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cdavis\Downloads\"/>
    </mc:Choice>
  </mc:AlternateContent>
  <xr:revisionPtr revIDLastSave="0" documentId="13_ncr:1_{85F4B80E-6E00-4A6E-9C14-864EC1D8DB2B}" xr6:coauthVersionLast="47" xr6:coauthVersionMax="47" xr10:uidLastSave="{00000000-0000-0000-0000-000000000000}"/>
  <bookViews>
    <workbookView xWindow="0" yWindow="240" windowWidth="38400" windowHeight="15240" xr2:uid="{00000000-000D-0000-FFFF-FFFF00000000}"/>
  </bookViews>
  <sheets>
    <sheet name="INSWMP Ledger" sheetId="7" r:id="rId1"/>
    <sheet name="Definitions" sheetId="8" r:id="rId2"/>
    <sheet name="Table A-Wetland Adv Credit Bal" sheetId="20" r:id="rId3"/>
    <sheet name="Table B-Stream Adv Credit Bal" sheetId="23" r:id="rId4"/>
  </sheets>
  <externalReferences>
    <externalReference r:id="rId5"/>
    <externalReference r:id="rId6"/>
    <externalReference r:id="rId7"/>
  </externalReferences>
  <definedNames>
    <definedName name="_xlnm.Print_Area" localSheetId="0">'INSWMP Ledger'!$A$1:$Y$120</definedName>
  </definedNames>
  <calcPr calcId="191029"/>
  <pivotCaches>
    <pivotCache cacheId="0" r:id="rId8"/>
    <pivotCache cacheId="1" r:id="rId9"/>
    <pivotCache cacheId="2" r:id="rId10"/>
    <pivotCache cacheId="3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93" i="7" l="1"/>
  <c r="Y993" i="7" s="1"/>
  <c r="G992" i="7"/>
  <c r="Y992" i="7" s="1"/>
  <c r="W992" i="7" l="1"/>
  <c r="X992" i="7"/>
  <c r="W993" i="7"/>
  <c r="X993" i="7"/>
  <c r="G1046" i="7" l="1"/>
  <c r="G1045" i="7"/>
  <c r="G1044" i="7"/>
  <c r="G1043" i="7"/>
  <c r="G1041" i="7"/>
  <c r="G1042" i="7"/>
  <c r="G1040" i="7"/>
  <c r="G1039" i="7"/>
  <c r="G1038" i="7"/>
  <c r="G1037" i="7"/>
  <c r="G1036" i="7"/>
  <c r="G1035" i="7"/>
  <c r="G1034" i="7"/>
  <c r="G1033" i="7"/>
  <c r="G1032" i="7"/>
  <c r="G1031" i="7"/>
  <c r="G1030" i="7"/>
  <c r="G1029" i="7"/>
  <c r="G1028" i="7"/>
  <c r="G1027" i="7"/>
  <c r="G1026" i="7"/>
  <c r="G1025" i="7"/>
  <c r="G1024" i="7"/>
  <c r="G756" i="7"/>
  <c r="G1023" i="7"/>
  <c r="G1022" i="7"/>
  <c r="G1021" i="7"/>
  <c r="G1020" i="7"/>
  <c r="G1019" i="7"/>
  <c r="G1018" i="7"/>
  <c r="G1017" i="7"/>
  <c r="G1016" i="7"/>
  <c r="G1015" i="7"/>
  <c r="G1014" i="7"/>
  <c r="G1013" i="7"/>
  <c r="G1012" i="7"/>
  <c r="G1011" i="7"/>
  <c r="G1010" i="7" l="1"/>
  <c r="G1009" i="7"/>
  <c r="G1008" i="7"/>
  <c r="G1007" i="7"/>
  <c r="G1006" i="7"/>
  <c r="G1005" i="7"/>
  <c r="G1004" i="7"/>
  <c r="G1003" i="7"/>
  <c r="G1002" i="7"/>
  <c r="G1001" i="7"/>
  <c r="G1000" i="7"/>
  <c r="G999" i="7"/>
  <c r="E108" i="20"/>
  <c r="W22" i="7"/>
  <c r="X22" i="7"/>
  <c r="Y22" i="7"/>
  <c r="W23" i="7"/>
  <c r="X23" i="7"/>
  <c r="Y23" i="7"/>
  <c r="W895" i="7" l="1"/>
  <c r="X895" i="7"/>
  <c r="Y895" i="7"/>
  <c r="E59" i="23"/>
  <c r="E60" i="23"/>
  <c r="E61" i="23"/>
  <c r="E62" i="23"/>
  <c r="E63" i="23"/>
  <c r="E64" i="23"/>
  <c r="E65" i="23"/>
  <c r="E66" i="23"/>
  <c r="E67" i="23"/>
  <c r="E68" i="23"/>
  <c r="E58" i="23"/>
  <c r="E100" i="20"/>
  <c r="E101" i="20"/>
  <c r="E102" i="20"/>
  <c r="E103" i="20"/>
  <c r="E104" i="20"/>
  <c r="E105" i="20"/>
  <c r="E106" i="20"/>
  <c r="E107" i="20"/>
  <c r="E109" i="20"/>
  <c r="E99" i="20"/>
  <c r="W872" i="7"/>
  <c r="X872" i="7"/>
  <c r="Y872" i="7"/>
  <c r="W873" i="7"/>
  <c r="X873" i="7"/>
  <c r="Y873" i="7"/>
  <c r="W874" i="7"/>
  <c r="X874" i="7"/>
  <c r="Y874" i="7"/>
  <c r="W875" i="7"/>
  <c r="X875" i="7"/>
  <c r="Y875" i="7"/>
  <c r="W876" i="7"/>
  <c r="X876" i="7"/>
  <c r="Y876" i="7"/>
  <c r="W877" i="7"/>
  <c r="X877" i="7"/>
  <c r="Y877" i="7"/>
  <c r="W878" i="7"/>
  <c r="X878" i="7"/>
  <c r="Y878" i="7"/>
  <c r="W879" i="7"/>
  <c r="X879" i="7"/>
  <c r="Y879" i="7"/>
  <c r="W880" i="7"/>
  <c r="X880" i="7"/>
  <c r="Y880" i="7"/>
  <c r="W881" i="7"/>
  <c r="X881" i="7"/>
  <c r="Y881" i="7"/>
  <c r="W882" i="7"/>
  <c r="X882" i="7"/>
  <c r="Y882" i="7"/>
  <c r="W883" i="7"/>
  <c r="X883" i="7"/>
  <c r="Y883" i="7"/>
  <c r="W884" i="7"/>
  <c r="X884" i="7"/>
  <c r="Y884" i="7"/>
  <c r="W885" i="7"/>
  <c r="X885" i="7"/>
  <c r="Y885" i="7"/>
  <c r="W886" i="7"/>
  <c r="X886" i="7"/>
  <c r="Y886" i="7"/>
  <c r="W887" i="7"/>
  <c r="X887" i="7"/>
  <c r="Y887" i="7"/>
  <c r="W888" i="7"/>
  <c r="X888" i="7"/>
  <c r="Y888" i="7"/>
  <c r="W889" i="7"/>
  <c r="X889" i="7"/>
  <c r="Y889" i="7"/>
  <c r="W890" i="7"/>
  <c r="X890" i="7"/>
  <c r="Y890" i="7"/>
  <c r="W891" i="7"/>
  <c r="X891" i="7"/>
  <c r="Y891" i="7"/>
  <c r="W892" i="7"/>
  <c r="X892" i="7"/>
  <c r="Y892" i="7"/>
  <c r="W893" i="7"/>
  <c r="X893" i="7"/>
  <c r="Y893" i="7"/>
  <c r="J38" i="20"/>
  <c r="J44" i="20"/>
  <c r="J45" i="20"/>
  <c r="J32" i="23"/>
  <c r="J34" i="23"/>
  <c r="J48" i="20"/>
  <c r="J29" i="23"/>
  <c r="J47" i="20"/>
  <c r="J31" i="23"/>
  <c r="J46" i="20"/>
  <c r="J40" i="20"/>
  <c r="J33" i="23"/>
  <c r="J39" i="20"/>
  <c r="J35" i="23"/>
  <c r="J43" i="20"/>
  <c r="J30" i="23"/>
  <c r="J27" i="23"/>
  <c r="J41" i="20"/>
  <c r="J42" i="20"/>
  <c r="J28" i="23"/>
  <c r="J36" i="23"/>
  <c r="J26" i="23"/>
  <c r="J38" i="23" l="1"/>
  <c r="J50" i="20"/>
  <c r="Y851" i="7"/>
  <c r="X851" i="7"/>
  <c r="W851" i="7"/>
  <c r="Y850" i="7"/>
  <c r="X850" i="7"/>
  <c r="W850" i="7"/>
  <c r="X853" i="7"/>
  <c r="X854" i="7"/>
  <c r="Y853" i="7"/>
  <c r="Y854" i="7"/>
  <c r="W853" i="7"/>
  <c r="W854" i="7"/>
  <c r="X774" i="7"/>
  <c r="Y771" i="7"/>
  <c r="Y772" i="7"/>
  <c r="Y773" i="7"/>
  <c r="Y774" i="7"/>
  <c r="X771" i="7"/>
  <c r="X772" i="7"/>
  <c r="X773" i="7"/>
  <c r="W771" i="7"/>
  <c r="W772" i="7"/>
  <c r="W773" i="7"/>
  <c r="W774" i="7"/>
  <c r="W788" i="7" l="1"/>
  <c r="X788" i="7"/>
  <c r="Y788" i="7"/>
  <c r="W789" i="7"/>
  <c r="X789" i="7"/>
  <c r="Y789" i="7"/>
  <c r="G790" i="7"/>
  <c r="X790" i="7" s="1"/>
  <c r="W791" i="7"/>
  <c r="X791" i="7"/>
  <c r="Y791" i="7"/>
  <c r="W792" i="7"/>
  <c r="X792" i="7"/>
  <c r="Y792" i="7"/>
  <c r="W793" i="7"/>
  <c r="X793" i="7"/>
  <c r="Y793" i="7"/>
  <c r="W794" i="7"/>
  <c r="X794" i="7"/>
  <c r="Y794" i="7"/>
  <c r="W795" i="7"/>
  <c r="X795" i="7"/>
  <c r="Y795" i="7"/>
  <c r="W796" i="7"/>
  <c r="X796" i="7"/>
  <c r="Y796" i="7"/>
  <c r="W797" i="7"/>
  <c r="X797" i="7"/>
  <c r="Y797" i="7"/>
  <c r="W798" i="7"/>
  <c r="X798" i="7"/>
  <c r="Y798" i="7"/>
  <c r="W799" i="7"/>
  <c r="X799" i="7"/>
  <c r="Y799" i="7"/>
  <c r="W800" i="7"/>
  <c r="X800" i="7"/>
  <c r="Y800" i="7"/>
  <c r="W801" i="7"/>
  <c r="X801" i="7"/>
  <c r="Y801" i="7"/>
  <c r="G778" i="7"/>
  <c r="Y500" i="7"/>
  <c r="X500" i="7"/>
  <c r="W500" i="7"/>
  <c r="Y499" i="7"/>
  <c r="X499" i="7"/>
  <c r="W499" i="7"/>
  <c r="Y233" i="7"/>
  <c r="X233" i="7"/>
  <c r="W233" i="7"/>
  <c r="Y198" i="7"/>
  <c r="X198" i="7"/>
  <c r="W198" i="7"/>
  <c r="Y197" i="7"/>
  <c r="X197" i="7"/>
  <c r="W197" i="7"/>
  <c r="Y196" i="7"/>
  <c r="X196" i="7"/>
  <c r="W196" i="7"/>
  <c r="Y190" i="7"/>
  <c r="X190" i="7"/>
  <c r="W190" i="7"/>
  <c r="Y180" i="7"/>
  <c r="X180" i="7"/>
  <c r="W180" i="7"/>
  <c r="Y179" i="7"/>
  <c r="X179" i="7"/>
  <c r="W179" i="7"/>
  <c r="Y153" i="7"/>
  <c r="X153" i="7"/>
  <c r="W153" i="7"/>
  <c r="Y148" i="7"/>
  <c r="X148" i="7"/>
  <c r="W148" i="7"/>
  <c r="Y139" i="7"/>
  <c r="X139" i="7"/>
  <c r="W139" i="7"/>
  <c r="Y138" i="7"/>
  <c r="X138" i="7"/>
  <c r="W138" i="7"/>
  <c r="Y137" i="7"/>
  <c r="X137" i="7"/>
  <c r="W137" i="7"/>
  <c r="Y136" i="7"/>
  <c r="X136" i="7"/>
  <c r="W136" i="7"/>
  <c r="Y135" i="7"/>
  <c r="X135" i="7"/>
  <c r="W135" i="7"/>
  <c r="Y127" i="7"/>
  <c r="X127" i="7"/>
  <c r="W127" i="7"/>
  <c r="Y126" i="7"/>
  <c r="X126" i="7"/>
  <c r="W126" i="7"/>
  <c r="W117" i="7"/>
  <c r="W116" i="7"/>
  <c r="Y114" i="7"/>
  <c r="X114" i="7"/>
  <c r="W114" i="7"/>
  <c r="Y113" i="7"/>
  <c r="X113" i="7"/>
  <c r="W113" i="7"/>
  <c r="Y108" i="7"/>
  <c r="X108" i="7"/>
  <c r="W108" i="7"/>
  <c r="Y103" i="7"/>
  <c r="X103" i="7"/>
  <c r="W103" i="7"/>
  <c r="Y102" i="7"/>
  <c r="X102" i="7"/>
  <c r="W102" i="7"/>
  <c r="Y101" i="7"/>
  <c r="X101" i="7"/>
  <c r="W101" i="7"/>
  <c r="Y100" i="7"/>
  <c r="X100" i="7"/>
  <c r="W100" i="7"/>
  <c r="Y95" i="7"/>
  <c r="X95" i="7"/>
  <c r="W95" i="7"/>
  <c r="Y94" i="7"/>
  <c r="X94" i="7"/>
  <c r="W94" i="7"/>
  <c r="Y92" i="7"/>
  <c r="X92" i="7"/>
  <c r="W92" i="7"/>
  <c r="Y91" i="7"/>
  <c r="X91" i="7"/>
  <c r="W91" i="7"/>
  <c r="Y87" i="7"/>
  <c r="X87" i="7"/>
  <c r="W87" i="7"/>
  <c r="Y85" i="7"/>
  <c r="X85" i="7"/>
  <c r="W85" i="7"/>
  <c r="Y83" i="7"/>
  <c r="X83" i="7"/>
  <c r="W83" i="7"/>
  <c r="Y80" i="7"/>
  <c r="X80" i="7"/>
  <c r="W80" i="7"/>
  <c r="Y79" i="7"/>
  <c r="X79" i="7"/>
  <c r="W79" i="7"/>
  <c r="Y78" i="7"/>
  <c r="X78" i="7"/>
  <c r="W78" i="7"/>
  <c r="Y70" i="7"/>
  <c r="X70" i="7"/>
  <c r="W70" i="7"/>
  <c r="Y66" i="7"/>
  <c r="X66" i="7"/>
  <c r="W66" i="7"/>
  <c r="Y65" i="7"/>
  <c r="X65" i="7"/>
  <c r="W65" i="7"/>
  <c r="Y58" i="7"/>
  <c r="X58" i="7"/>
  <c r="W58" i="7"/>
  <c r="Y54" i="7"/>
  <c r="X54" i="7"/>
  <c r="W54" i="7"/>
  <c r="Y48" i="7"/>
  <c r="X48" i="7"/>
  <c r="W48" i="7"/>
  <c r="Y47" i="7"/>
  <c r="X47" i="7"/>
  <c r="W47" i="7"/>
  <c r="Y46" i="7"/>
  <c r="X46" i="7"/>
  <c r="W46" i="7"/>
  <c r="Y45" i="7"/>
  <c r="X45" i="7"/>
  <c r="W45" i="7"/>
  <c r="Y44" i="7"/>
  <c r="X44" i="7"/>
  <c r="W44" i="7"/>
  <c r="Y43" i="7"/>
  <c r="X43" i="7"/>
  <c r="W43" i="7"/>
  <c r="Y42" i="7"/>
  <c r="X42" i="7"/>
  <c r="W42" i="7"/>
  <c r="Y41" i="7"/>
  <c r="X41" i="7"/>
  <c r="W41" i="7"/>
  <c r="Y38" i="7"/>
  <c r="X38" i="7"/>
  <c r="W38" i="7"/>
  <c r="Y37" i="7"/>
  <c r="X37" i="7"/>
  <c r="W37" i="7"/>
  <c r="Y29" i="7"/>
  <c r="X29" i="7"/>
  <c r="W29" i="7"/>
  <c r="Y28" i="7"/>
  <c r="X28" i="7"/>
  <c r="W28" i="7"/>
  <c r="Y721" i="7"/>
  <c r="X721" i="7"/>
  <c r="W721" i="7"/>
  <c r="Y719" i="7"/>
  <c r="X719" i="7"/>
  <c r="W719" i="7"/>
  <c r="Y718" i="7"/>
  <c r="X718" i="7"/>
  <c r="W718" i="7"/>
  <c r="Y720" i="7"/>
  <c r="X720" i="7"/>
  <c r="W720" i="7"/>
  <c r="Y668" i="7"/>
  <c r="X668" i="7"/>
  <c r="W668" i="7"/>
  <c r="Y667" i="7"/>
  <c r="X667" i="7"/>
  <c r="W667" i="7"/>
  <c r="Y752" i="7"/>
  <c r="X752" i="7"/>
  <c r="W752" i="7"/>
  <c r="Y751" i="7"/>
  <c r="X751" i="7"/>
  <c r="W751" i="7"/>
  <c r="Y750" i="7"/>
  <c r="X750" i="7"/>
  <c r="W750" i="7"/>
  <c r="Y749" i="7"/>
  <c r="X749" i="7"/>
  <c r="W749" i="7"/>
  <c r="Y748" i="7"/>
  <c r="X748" i="7"/>
  <c r="W748" i="7"/>
  <c r="Y747" i="7"/>
  <c r="X747" i="7"/>
  <c r="W747" i="7"/>
  <c r="Y746" i="7"/>
  <c r="X746" i="7"/>
  <c r="W746" i="7"/>
  <c r="Y725" i="7"/>
  <c r="X725" i="7"/>
  <c r="W725" i="7"/>
  <c r="Y724" i="7"/>
  <c r="X724" i="7"/>
  <c r="W724" i="7"/>
  <c r="I30" i="23"/>
  <c r="I28" i="23"/>
  <c r="I42" i="20"/>
  <c r="I41" i="20"/>
  <c r="I26" i="23"/>
  <c r="I34" i="23"/>
  <c r="I32" i="23"/>
  <c r="I36" i="23"/>
  <c r="I31" i="23"/>
  <c r="I45" i="20"/>
  <c r="I43" i="20"/>
  <c r="I39" i="20"/>
  <c r="I27" i="23"/>
  <c r="I38" i="20"/>
  <c r="I33" i="23"/>
  <c r="I46" i="20"/>
  <c r="I48" i="20"/>
  <c r="I47" i="20"/>
  <c r="I35" i="23"/>
  <c r="I29" i="23"/>
  <c r="I44" i="20"/>
  <c r="I40" i="20"/>
  <c r="W790" i="7" l="1"/>
  <c r="Y790" i="7"/>
  <c r="I38" i="23"/>
  <c r="I50" i="20"/>
  <c r="W722" i="7"/>
  <c r="X722" i="7"/>
  <c r="Y722" i="7"/>
  <c r="W723" i="7"/>
  <c r="X723" i="7"/>
  <c r="Y723" i="7"/>
  <c r="W726" i="7"/>
  <c r="X726" i="7"/>
  <c r="Y726" i="7"/>
  <c r="W729" i="7"/>
  <c r="X729" i="7"/>
  <c r="Y729" i="7"/>
  <c r="W730" i="7"/>
  <c r="X730" i="7"/>
  <c r="Y730" i="7"/>
  <c r="G728" i="7"/>
  <c r="W728" i="7" s="1"/>
  <c r="G727" i="7"/>
  <c r="W727" i="7" s="1"/>
  <c r="W702" i="7"/>
  <c r="X702" i="7"/>
  <c r="Y702" i="7"/>
  <c r="W703" i="7"/>
  <c r="X703" i="7"/>
  <c r="Y703" i="7"/>
  <c r="W704" i="7"/>
  <c r="X704" i="7"/>
  <c r="Y704" i="7"/>
  <c r="W706" i="7"/>
  <c r="X706" i="7"/>
  <c r="Y706" i="7"/>
  <c r="W707" i="7"/>
  <c r="X707" i="7"/>
  <c r="Y707" i="7"/>
  <c r="W708" i="7"/>
  <c r="X708" i="7"/>
  <c r="Y708" i="7"/>
  <c r="W709" i="7"/>
  <c r="X709" i="7"/>
  <c r="Y709" i="7"/>
  <c r="W698" i="7"/>
  <c r="X698" i="7"/>
  <c r="Y698" i="7"/>
  <c r="W692" i="7"/>
  <c r="X692" i="7"/>
  <c r="Y692" i="7"/>
  <c r="W693" i="7"/>
  <c r="X693" i="7"/>
  <c r="Y693" i="7"/>
  <c r="W699" i="7"/>
  <c r="X699" i="7"/>
  <c r="Y699" i="7"/>
  <c r="W694" i="7"/>
  <c r="X694" i="7"/>
  <c r="Y694" i="7"/>
  <c r="W701" i="7"/>
  <c r="X701" i="7"/>
  <c r="Y701" i="7"/>
  <c r="W690" i="7"/>
  <c r="X690" i="7"/>
  <c r="Y690" i="7"/>
  <c r="W705" i="7"/>
  <c r="X705" i="7"/>
  <c r="Y705" i="7"/>
  <c r="W687" i="7"/>
  <c r="X687" i="7"/>
  <c r="Y687" i="7"/>
  <c r="W688" i="7"/>
  <c r="X688" i="7"/>
  <c r="Y688" i="7"/>
  <c r="W685" i="7"/>
  <c r="X685" i="7"/>
  <c r="Y685" i="7"/>
  <c r="W689" i="7"/>
  <c r="X689" i="7"/>
  <c r="Y689" i="7"/>
  <c r="Y695" i="7"/>
  <c r="Y696" i="7"/>
  <c r="Y697" i="7"/>
  <c r="X695" i="7"/>
  <c r="X696" i="7"/>
  <c r="X697" i="7"/>
  <c r="W695" i="7"/>
  <c r="W696" i="7"/>
  <c r="W697" i="7"/>
  <c r="X700" i="7"/>
  <c r="Y700" i="7"/>
  <c r="W700" i="7"/>
  <c r="W691" i="7"/>
  <c r="X691" i="7"/>
  <c r="Y691" i="7"/>
  <c r="W658" i="7" l="1"/>
  <c r="X658" i="7"/>
  <c r="Y658" i="7"/>
  <c r="W659" i="7"/>
  <c r="X659" i="7"/>
  <c r="Y659" i="7"/>
  <c r="W660" i="7"/>
  <c r="X660" i="7"/>
  <c r="Y660" i="7"/>
  <c r="W661" i="7"/>
  <c r="X661" i="7"/>
  <c r="Y661" i="7"/>
  <c r="W654" i="7"/>
  <c r="X654" i="7"/>
  <c r="Y654" i="7"/>
  <c r="W652" i="7"/>
  <c r="X652" i="7"/>
  <c r="Y652" i="7"/>
  <c r="G539" i="7"/>
  <c r="Y539" i="7" s="1"/>
  <c r="W540" i="7"/>
  <c r="X540" i="7"/>
  <c r="Y540" i="7"/>
  <c r="W541" i="7"/>
  <c r="X541" i="7"/>
  <c r="Y541" i="7"/>
  <c r="W547" i="7"/>
  <c r="X547" i="7"/>
  <c r="Y547" i="7"/>
  <c r="W548" i="7"/>
  <c r="X548" i="7"/>
  <c r="Y548" i="7"/>
  <c r="W549" i="7"/>
  <c r="X549" i="7"/>
  <c r="Y549" i="7"/>
  <c r="W550" i="7"/>
  <c r="X550" i="7"/>
  <c r="Y550" i="7"/>
  <c r="W542" i="7"/>
  <c r="X542" i="7"/>
  <c r="Y542" i="7"/>
  <c r="W543" i="7"/>
  <c r="X543" i="7"/>
  <c r="Y543" i="7"/>
  <c r="W544" i="7"/>
  <c r="X544" i="7"/>
  <c r="Y544" i="7"/>
  <c r="W545" i="7"/>
  <c r="X545" i="7"/>
  <c r="Y545" i="7"/>
  <c r="W546" i="7"/>
  <c r="X546" i="7"/>
  <c r="Y546" i="7"/>
  <c r="W551" i="7"/>
  <c r="X551" i="7"/>
  <c r="Y551" i="7"/>
  <c r="W552" i="7"/>
  <c r="X552" i="7"/>
  <c r="Y552" i="7"/>
  <c r="W553" i="7"/>
  <c r="X553" i="7"/>
  <c r="Y553" i="7"/>
  <c r="W554" i="7"/>
  <c r="X554" i="7"/>
  <c r="Y554" i="7"/>
  <c r="W556" i="7"/>
  <c r="X556" i="7"/>
  <c r="Y556" i="7"/>
  <c r="W555" i="7"/>
  <c r="X555" i="7"/>
  <c r="Y555" i="7"/>
  <c r="W558" i="7"/>
  <c r="X558" i="7"/>
  <c r="Y558" i="7"/>
  <c r="W559" i="7"/>
  <c r="X559" i="7"/>
  <c r="Y559" i="7"/>
  <c r="H45" i="20"/>
  <c r="H44" i="20"/>
  <c r="H33" i="23"/>
  <c r="H41" i="20"/>
  <c r="H31" i="23"/>
  <c r="H35" i="23"/>
  <c r="G35" i="23"/>
  <c r="H29" i="23"/>
  <c r="H47" i="20"/>
  <c r="H38" i="20"/>
  <c r="H39" i="20"/>
  <c r="H27" i="23"/>
  <c r="H28" i="23"/>
  <c r="C35" i="23"/>
  <c r="H32" i="23"/>
  <c r="H42" i="20"/>
  <c r="H30" i="23"/>
  <c r="H40" i="20"/>
  <c r="G47" i="20"/>
  <c r="H26" i="23"/>
  <c r="H36" i="23"/>
  <c r="H46" i="20"/>
  <c r="H48" i="20"/>
  <c r="G36" i="23"/>
  <c r="H43" i="20"/>
  <c r="H34" i="23"/>
  <c r="C47" i="20"/>
  <c r="H38" i="23" l="1"/>
  <c r="H50" i="20"/>
  <c r="X539" i="7"/>
  <c r="W539" i="7"/>
  <c r="G454" i="7"/>
  <c r="Y454" i="7" s="1"/>
  <c r="Y456" i="7"/>
  <c r="X456" i="7"/>
  <c r="W456" i="7"/>
  <c r="G457" i="7"/>
  <c r="Y457" i="7" s="1"/>
  <c r="Y451" i="7"/>
  <c r="X451" i="7"/>
  <c r="Y969" i="7"/>
  <c r="X969" i="7"/>
  <c r="W969" i="7"/>
  <c r="Y968" i="7"/>
  <c r="X968" i="7"/>
  <c r="W968" i="7"/>
  <c r="Y967" i="7"/>
  <c r="X967" i="7"/>
  <c r="W967" i="7"/>
  <c r="Y966" i="7"/>
  <c r="X966" i="7"/>
  <c r="W966" i="7"/>
  <c r="Y965" i="7"/>
  <c r="X965" i="7"/>
  <c r="W965" i="7"/>
  <c r="Y964" i="7"/>
  <c r="X964" i="7"/>
  <c r="W964" i="7"/>
  <c r="Y963" i="7"/>
  <c r="X963" i="7"/>
  <c r="W963" i="7"/>
  <c r="Y962" i="7"/>
  <c r="X962" i="7"/>
  <c r="W962" i="7"/>
  <c r="Y961" i="7"/>
  <c r="X961" i="7"/>
  <c r="W961" i="7"/>
  <c r="Y960" i="7"/>
  <c r="X960" i="7"/>
  <c r="W960" i="7"/>
  <c r="Y959" i="7"/>
  <c r="X959" i="7"/>
  <c r="W959" i="7"/>
  <c r="Y958" i="7"/>
  <c r="X958" i="7"/>
  <c r="W958" i="7"/>
  <c r="Y957" i="7"/>
  <c r="X957" i="7"/>
  <c r="W957" i="7"/>
  <c r="Y956" i="7"/>
  <c r="X956" i="7"/>
  <c r="W956" i="7"/>
  <c r="Y955" i="7"/>
  <c r="X955" i="7"/>
  <c r="W955" i="7"/>
  <c r="Y954" i="7"/>
  <c r="X954" i="7"/>
  <c r="W954" i="7"/>
  <c r="Y953" i="7"/>
  <c r="X953" i="7"/>
  <c r="W953" i="7"/>
  <c r="Y952" i="7"/>
  <c r="X952" i="7"/>
  <c r="W952" i="7"/>
  <c r="Y951" i="7"/>
  <c r="X951" i="7"/>
  <c r="W951" i="7"/>
  <c r="Y950" i="7"/>
  <c r="X950" i="7"/>
  <c r="W950" i="7"/>
  <c r="Y949" i="7"/>
  <c r="X949" i="7"/>
  <c r="W949" i="7"/>
  <c r="Y948" i="7"/>
  <c r="X948" i="7"/>
  <c r="W948" i="7"/>
  <c r="Y947" i="7"/>
  <c r="X947" i="7"/>
  <c r="W947" i="7"/>
  <c r="Y946" i="7"/>
  <c r="X946" i="7"/>
  <c r="W946" i="7"/>
  <c r="Y945" i="7"/>
  <c r="X945" i="7"/>
  <c r="W945" i="7"/>
  <c r="Y944" i="7"/>
  <c r="X944" i="7"/>
  <c r="W944" i="7"/>
  <c r="Y943" i="7"/>
  <c r="X943" i="7"/>
  <c r="W943" i="7"/>
  <c r="Y942" i="7"/>
  <c r="X942" i="7"/>
  <c r="W942" i="7"/>
  <c r="Y941" i="7"/>
  <c r="X941" i="7"/>
  <c r="W941" i="7"/>
  <c r="Y940" i="7"/>
  <c r="X940" i="7"/>
  <c r="W940" i="7"/>
  <c r="Y939" i="7"/>
  <c r="X939" i="7"/>
  <c r="W939" i="7"/>
  <c r="Y938" i="7"/>
  <c r="X938" i="7"/>
  <c r="W938" i="7"/>
  <c r="Y937" i="7"/>
  <c r="X937" i="7"/>
  <c r="W937" i="7"/>
  <c r="Y936" i="7"/>
  <c r="X936" i="7"/>
  <c r="W936" i="7"/>
  <c r="Y935" i="7"/>
  <c r="X935" i="7"/>
  <c r="W935" i="7"/>
  <c r="Y934" i="7"/>
  <c r="X934" i="7"/>
  <c r="W934" i="7"/>
  <c r="Y933" i="7"/>
  <c r="X933" i="7"/>
  <c r="W933" i="7"/>
  <c r="Y932" i="7"/>
  <c r="X932" i="7"/>
  <c r="W932" i="7"/>
  <c r="Y931" i="7"/>
  <c r="X931" i="7"/>
  <c r="W931" i="7"/>
  <c r="Y930" i="7"/>
  <c r="X930" i="7"/>
  <c r="W930" i="7"/>
  <c r="Y929" i="7"/>
  <c r="X929" i="7"/>
  <c r="W929" i="7"/>
  <c r="Y928" i="7"/>
  <c r="X928" i="7"/>
  <c r="W928" i="7"/>
  <c r="Y927" i="7"/>
  <c r="X927" i="7"/>
  <c r="W927" i="7"/>
  <c r="Y926" i="7"/>
  <c r="X926" i="7"/>
  <c r="W926" i="7"/>
  <c r="Y925" i="7"/>
  <c r="X925" i="7"/>
  <c r="W925" i="7"/>
  <c r="Y924" i="7"/>
  <c r="X924" i="7"/>
  <c r="W924" i="7"/>
  <c r="Y923" i="7"/>
  <c r="X923" i="7"/>
  <c r="W923" i="7"/>
  <c r="Y922" i="7"/>
  <c r="X922" i="7"/>
  <c r="W922" i="7"/>
  <c r="Y921" i="7"/>
  <c r="X921" i="7"/>
  <c r="W921" i="7"/>
  <c r="Y920" i="7"/>
  <c r="X920" i="7"/>
  <c r="W920" i="7"/>
  <c r="Y919" i="7"/>
  <c r="X919" i="7"/>
  <c r="W919" i="7"/>
  <c r="Y918" i="7"/>
  <c r="X918" i="7"/>
  <c r="W918" i="7"/>
  <c r="Y917" i="7"/>
  <c r="X917" i="7"/>
  <c r="W917" i="7"/>
  <c r="Y916" i="7"/>
  <c r="X916" i="7"/>
  <c r="W916" i="7"/>
  <c r="Y915" i="7"/>
  <c r="X915" i="7"/>
  <c r="W915" i="7"/>
  <c r="Y914" i="7"/>
  <c r="X914" i="7"/>
  <c r="W914" i="7"/>
  <c r="Y913" i="7"/>
  <c r="X913" i="7"/>
  <c r="W913" i="7"/>
  <c r="Y912" i="7"/>
  <c r="X912" i="7"/>
  <c r="W912" i="7"/>
  <c r="Y911" i="7"/>
  <c r="X911" i="7"/>
  <c r="W911" i="7"/>
  <c r="Y910" i="7"/>
  <c r="X910" i="7"/>
  <c r="W910" i="7"/>
  <c r="Y909" i="7"/>
  <c r="X909" i="7"/>
  <c r="W909" i="7"/>
  <c r="Y908" i="7"/>
  <c r="X908" i="7"/>
  <c r="W908" i="7"/>
  <c r="Y907" i="7"/>
  <c r="X907" i="7"/>
  <c r="W907" i="7"/>
  <c r="Y906" i="7"/>
  <c r="X906" i="7"/>
  <c r="W906" i="7"/>
  <c r="Y905" i="7"/>
  <c r="X905" i="7"/>
  <c r="W905" i="7"/>
  <c r="Y904" i="7"/>
  <c r="X904" i="7"/>
  <c r="W904" i="7"/>
  <c r="Y903" i="7"/>
  <c r="X903" i="7"/>
  <c r="W903" i="7"/>
  <c r="Y902" i="7"/>
  <c r="X902" i="7"/>
  <c r="W902" i="7"/>
  <c r="Y901" i="7"/>
  <c r="X901" i="7"/>
  <c r="W901" i="7"/>
  <c r="Y900" i="7"/>
  <c r="X900" i="7"/>
  <c r="W900" i="7"/>
  <c r="Y899" i="7"/>
  <c r="X899" i="7"/>
  <c r="W899" i="7"/>
  <c r="Y898" i="7"/>
  <c r="X898" i="7"/>
  <c r="W898" i="7"/>
  <c r="Y897" i="7"/>
  <c r="X897" i="7"/>
  <c r="W897" i="7"/>
  <c r="Y896" i="7"/>
  <c r="X896" i="7"/>
  <c r="W896" i="7"/>
  <c r="Y894" i="7"/>
  <c r="X894" i="7"/>
  <c r="W894" i="7"/>
  <c r="Y871" i="7"/>
  <c r="X871" i="7"/>
  <c r="W871" i="7"/>
  <c r="Y870" i="7"/>
  <c r="X870" i="7"/>
  <c r="W870" i="7"/>
  <c r="Y869" i="7"/>
  <c r="X869" i="7"/>
  <c r="W869" i="7"/>
  <c r="Y868" i="7"/>
  <c r="X868" i="7"/>
  <c r="W868" i="7"/>
  <c r="Y867" i="7"/>
  <c r="X867" i="7"/>
  <c r="W867" i="7"/>
  <c r="Y866" i="7"/>
  <c r="X866" i="7"/>
  <c r="W866" i="7"/>
  <c r="Y865" i="7"/>
  <c r="X865" i="7"/>
  <c r="W865" i="7"/>
  <c r="Y864" i="7"/>
  <c r="X864" i="7"/>
  <c r="W864" i="7"/>
  <c r="Y863" i="7"/>
  <c r="X863" i="7"/>
  <c r="W863" i="7"/>
  <c r="Y862" i="7"/>
  <c r="X862" i="7"/>
  <c r="W862" i="7"/>
  <c r="Y861" i="7"/>
  <c r="X861" i="7"/>
  <c r="W861" i="7"/>
  <c r="Y860" i="7"/>
  <c r="X860" i="7"/>
  <c r="W860" i="7"/>
  <c r="Y859" i="7"/>
  <c r="X859" i="7"/>
  <c r="W859" i="7"/>
  <c r="Y858" i="7"/>
  <c r="X858" i="7"/>
  <c r="W858" i="7"/>
  <c r="Y857" i="7"/>
  <c r="X857" i="7"/>
  <c r="W857" i="7"/>
  <c r="Y856" i="7"/>
  <c r="X856" i="7"/>
  <c r="W856" i="7"/>
  <c r="Y855" i="7"/>
  <c r="X855" i="7"/>
  <c r="W855" i="7"/>
  <c r="Y852" i="7"/>
  <c r="X852" i="7"/>
  <c r="W852" i="7"/>
  <c r="Y849" i="7"/>
  <c r="X849" i="7"/>
  <c r="W849" i="7"/>
  <c r="Y848" i="7"/>
  <c r="X848" i="7"/>
  <c r="W848" i="7"/>
  <c r="Y847" i="7"/>
  <c r="X847" i="7"/>
  <c r="W847" i="7"/>
  <c r="Y846" i="7"/>
  <c r="X846" i="7"/>
  <c r="W846" i="7"/>
  <c r="Y845" i="7"/>
  <c r="X845" i="7"/>
  <c r="W845" i="7"/>
  <c r="Y844" i="7"/>
  <c r="X844" i="7"/>
  <c r="W844" i="7"/>
  <c r="Y843" i="7"/>
  <c r="X843" i="7"/>
  <c r="W843" i="7"/>
  <c r="Y842" i="7"/>
  <c r="X842" i="7"/>
  <c r="W842" i="7"/>
  <c r="Y841" i="7"/>
  <c r="X841" i="7"/>
  <c r="W841" i="7"/>
  <c r="Y840" i="7"/>
  <c r="X840" i="7"/>
  <c r="W840" i="7"/>
  <c r="Y839" i="7"/>
  <c r="X839" i="7"/>
  <c r="W839" i="7"/>
  <c r="Y838" i="7"/>
  <c r="X838" i="7"/>
  <c r="W838" i="7"/>
  <c r="Y837" i="7"/>
  <c r="X837" i="7"/>
  <c r="W837" i="7"/>
  <c r="Y836" i="7"/>
  <c r="X836" i="7"/>
  <c r="W836" i="7"/>
  <c r="Y835" i="7"/>
  <c r="X835" i="7"/>
  <c r="W835" i="7"/>
  <c r="Y834" i="7"/>
  <c r="X834" i="7"/>
  <c r="W834" i="7"/>
  <c r="Y833" i="7"/>
  <c r="X833" i="7"/>
  <c r="W833" i="7"/>
  <c r="Y832" i="7"/>
  <c r="X832" i="7"/>
  <c r="W832" i="7"/>
  <c r="Y831" i="7"/>
  <c r="X831" i="7"/>
  <c r="W831" i="7"/>
  <c r="Y830" i="7"/>
  <c r="X830" i="7"/>
  <c r="W830" i="7"/>
  <c r="Y829" i="7"/>
  <c r="X829" i="7"/>
  <c r="W829" i="7"/>
  <c r="Y828" i="7"/>
  <c r="X828" i="7"/>
  <c r="W828" i="7"/>
  <c r="Y827" i="7"/>
  <c r="X827" i="7"/>
  <c r="W827" i="7"/>
  <c r="Y826" i="7"/>
  <c r="X826" i="7"/>
  <c r="W826" i="7"/>
  <c r="Y825" i="7"/>
  <c r="X825" i="7"/>
  <c r="W825" i="7"/>
  <c r="Y824" i="7"/>
  <c r="X824" i="7"/>
  <c r="W824" i="7"/>
  <c r="Y823" i="7"/>
  <c r="X823" i="7"/>
  <c r="W823" i="7"/>
  <c r="Y822" i="7"/>
  <c r="X822" i="7"/>
  <c r="W822" i="7"/>
  <c r="Y821" i="7"/>
  <c r="X821" i="7"/>
  <c r="W821" i="7"/>
  <c r="Y820" i="7"/>
  <c r="X820" i="7"/>
  <c r="W820" i="7"/>
  <c r="Y819" i="7"/>
  <c r="X819" i="7"/>
  <c r="W819" i="7"/>
  <c r="Y818" i="7"/>
  <c r="X818" i="7"/>
  <c r="W818" i="7"/>
  <c r="Y817" i="7"/>
  <c r="X817" i="7"/>
  <c r="W817" i="7"/>
  <c r="Y816" i="7"/>
  <c r="X816" i="7"/>
  <c r="W816" i="7"/>
  <c r="Y815" i="7"/>
  <c r="X815" i="7"/>
  <c r="W815" i="7"/>
  <c r="Y814" i="7"/>
  <c r="X814" i="7"/>
  <c r="W814" i="7"/>
  <c r="Y813" i="7"/>
  <c r="X813" i="7"/>
  <c r="W813" i="7"/>
  <c r="Y812" i="7"/>
  <c r="X812" i="7"/>
  <c r="W812" i="7"/>
  <c r="Y811" i="7"/>
  <c r="X811" i="7"/>
  <c r="W811" i="7"/>
  <c r="Y810" i="7"/>
  <c r="X810" i="7"/>
  <c r="W810" i="7"/>
  <c r="Y809" i="7"/>
  <c r="X809" i="7"/>
  <c r="W809" i="7"/>
  <c r="Y808" i="7"/>
  <c r="X808" i="7"/>
  <c r="W808" i="7"/>
  <c r="Y807" i="7"/>
  <c r="X807" i="7"/>
  <c r="W807" i="7"/>
  <c r="Y806" i="7"/>
  <c r="X806" i="7"/>
  <c r="W806" i="7"/>
  <c r="Y805" i="7"/>
  <c r="X805" i="7"/>
  <c r="W805" i="7"/>
  <c r="Y804" i="7"/>
  <c r="X804" i="7"/>
  <c r="W804" i="7"/>
  <c r="Y803" i="7"/>
  <c r="X803" i="7"/>
  <c r="W803" i="7"/>
  <c r="Y802" i="7"/>
  <c r="X802" i="7"/>
  <c r="W802" i="7"/>
  <c r="Y787" i="7"/>
  <c r="X787" i="7"/>
  <c r="W787" i="7"/>
  <c r="Y786" i="7"/>
  <c r="X786" i="7"/>
  <c r="W786" i="7"/>
  <c r="Y785" i="7"/>
  <c r="X785" i="7"/>
  <c r="W785" i="7"/>
  <c r="Y784" i="7"/>
  <c r="X784" i="7"/>
  <c r="W784" i="7"/>
  <c r="Y783" i="7"/>
  <c r="X783" i="7"/>
  <c r="W783" i="7"/>
  <c r="Y782" i="7"/>
  <c r="X782" i="7"/>
  <c r="W782" i="7"/>
  <c r="Y781" i="7"/>
  <c r="X781" i="7"/>
  <c r="W781" i="7"/>
  <c r="Y780" i="7"/>
  <c r="X780" i="7"/>
  <c r="W780" i="7"/>
  <c r="Y779" i="7"/>
  <c r="X779" i="7"/>
  <c r="W779" i="7"/>
  <c r="Y778" i="7"/>
  <c r="X778" i="7"/>
  <c r="W778" i="7"/>
  <c r="Y777" i="7"/>
  <c r="X777" i="7"/>
  <c r="W777" i="7"/>
  <c r="Y776" i="7"/>
  <c r="X776" i="7"/>
  <c r="W776" i="7"/>
  <c r="Y775" i="7"/>
  <c r="X775" i="7"/>
  <c r="W775" i="7"/>
  <c r="Y770" i="7"/>
  <c r="X770" i="7"/>
  <c r="W770" i="7"/>
  <c r="Y769" i="7"/>
  <c r="X769" i="7"/>
  <c r="W769" i="7"/>
  <c r="Y768" i="7"/>
  <c r="X768" i="7"/>
  <c r="W768" i="7"/>
  <c r="Y767" i="7"/>
  <c r="X767" i="7"/>
  <c r="W767" i="7"/>
  <c r="Y766" i="7"/>
  <c r="X766" i="7"/>
  <c r="W766" i="7"/>
  <c r="Y765" i="7"/>
  <c r="X765" i="7"/>
  <c r="W765" i="7"/>
  <c r="Y764" i="7"/>
  <c r="X764" i="7"/>
  <c r="W764" i="7"/>
  <c r="Y763" i="7"/>
  <c r="X763" i="7"/>
  <c r="W763" i="7"/>
  <c r="Y762" i="7"/>
  <c r="X762" i="7"/>
  <c r="W762" i="7"/>
  <c r="Y761" i="7"/>
  <c r="X761" i="7"/>
  <c r="W761" i="7"/>
  <c r="Y760" i="7"/>
  <c r="X760" i="7"/>
  <c r="W760" i="7"/>
  <c r="Y759" i="7"/>
  <c r="X759" i="7"/>
  <c r="W759" i="7"/>
  <c r="Y758" i="7"/>
  <c r="X758" i="7"/>
  <c r="W758" i="7"/>
  <c r="Y757" i="7"/>
  <c r="X757" i="7"/>
  <c r="W757" i="7"/>
  <c r="Y756" i="7"/>
  <c r="X756" i="7"/>
  <c r="W756" i="7"/>
  <c r="Y755" i="7"/>
  <c r="X755" i="7"/>
  <c r="W755" i="7"/>
  <c r="Y754" i="7"/>
  <c r="X754" i="7"/>
  <c r="W754" i="7"/>
  <c r="Y753" i="7"/>
  <c r="X753" i="7"/>
  <c r="W753" i="7"/>
  <c r="Y742" i="7"/>
  <c r="X742" i="7"/>
  <c r="W742" i="7"/>
  <c r="Y741" i="7"/>
  <c r="X741" i="7"/>
  <c r="W741" i="7"/>
  <c r="Y740" i="7"/>
  <c r="X740" i="7"/>
  <c r="W740" i="7"/>
  <c r="Y739" i="7"/>
  <c r="X739" i="7"/>
  <c r="W739" i="7"/>
  <c r="Y743" i="7"/>
  <c r="X743" i="7"/>
  <c r="W743" i="7"/>
  <c r="Y738" i="7"/>
  <c r="X738" i="7"/>
  <c r="W738" i="7"/>
  <c r="Y737" i="7"/>
  <c r="X737" i="7"/>
  <c r="W737" i="7"/>
  <c r="Y736" i="7"/>
  <c r="X736" i="7"/>
  <c r="W736" i="7"/>
  <c r="Y735" i="7"/>
  <c r="X735" i="7"/>
  <c r="W735" i="7"/>
  <c r="Y734" i="7"/>
  <c r="X734" i="7"/>
  <c r="W734" i="7"/>
  <c r="Y744" i="7"/>
  <c r="X744" i="7"/>
  <c r="W744" i="7"/>
  <c r="Y733" i="7"/>
  <c r="X733" i="7"/>
  <c r="W733" i="7"/>
  <c r="Y732" i="7"/>
  <c r="X732" i="7"/>
  <c r="W732" i="7"/>
  <c r="Y731" i="7"/>
  <c r="X731" i="7"/>
  <c r="W731" i="7"/>
  <c r="Y728" i="7"/>
  <c r="X728" i="7"/>
  <c r="Y727" i="7"/>
  <c r="X727" i="7"/>
  <c r="Y717" i="7"/>
  <c r="X717" i="7"/>
  <c r="W717" i="7"/>
  <c r="Y716" i="7"/>
  <c r="X716" i="7"/>
  <c r="W716" i="7"/>
  <c r="Y715" i="7"/>
  <c r="X715" i="7"/>
  <c r="W715" i="7"/>
  <c r="Y714" i="7"/>
  <c r="X714" i="7"/>
  <c r="W714" i="7"/>
  <c r="Y713" i="7"/>
  <c r="X713" i="7"/>
  <c r="W713" i="7"/>
  <c r="Y712" i="7"/>
  <c r="X712" i="7"/>
  <c r="W712" i="7"/>
  <c r="Y711" i="7"/>
  <c r="X711" i="7"/>
  <c r="W711" i="7"/>
  <c r="Y710" i="7"/>
  <c r="X710" i="7"/>
  <c r="W710" i="7"/>
  <c r="Y686" i="7"/>
  <c r="X686" i="7"/>
  <c r="W686" i="7"/>
  <c r="Y684" i="7"/>
  <c r="X684" i="7"/>
  <c r="W684" i="7"/>
  <c r="Y683" i="7"/>
  <c r="X683" i="7"/>
  <c r="W683" i="7"/>
  <c r="Y682" i="7"/>
  <c r="X682" i="7"/>
  <c r="W682" i="7"/>
  <c r="Y681" i="7"/>
  <c r="X681" i="7"/>
  <c r="W681" i="7"/>
  <c r="Y680" i="7"/>
  <c r="X680" i="7"/>
  <c r="W680" i="7"/>
  <c r="Y679" i="7"/>
  <c r="X679" i="7"/>
  <c r="W679" i="7"/>
  <c r="Y678" i="7"/>
  <c r="X678" i="7"/>
  <c r="W678" i="7"/>
  <c r="Y677" i="7"/>
  <c r="X677" i="7"/>
  <c r="W677" i="7"/>
  <c r="Y676" i="7"/>
  <c r="X676" i="7"/>
  <c r="W676" i="7"/>
  <c r="Y675" i="7"/>
  <c r="X675" i="7"/>
  <c r="W675" i="7"/>
  <c r="Y674" i="7"/>
  <c r="X674" i="7"/>
  <c r="W674" i="7"/>
  <c r="Y673" i="7"/>
  <c r="X673" i="7"/>
  <c r="W673" i="7"/>
  <c r="Y672" i="7"/>
  <c r="X672" i="7"/>
  <c r="W672" i="7"/>
  <c r="Y671" i="7"/>
  <c r="X671" i="7"/>
  <c r="W671" i="7"/>
  <c r="Y670" i="7"/>
  <c r="X670" i="7"/>
  <c r="W670" i="7"/>
  <c r="Y669" i="7"/>
  <c r="X669" i="7"/>
  <c r="W669" i="7"/>
  <c r="Y666" i="7"/>
  <c r="X666" i="7"/>
  <c r="W666" i="7"/>
  <c r="Y665" i="7"/>
  <c r="X665" i="7"/>
  <c r="W665" i="7"/>
  <c r="Y664" i="7"/>
  <c r="X664" i="7"/>
  <c r="W664" i="7"/>
  <c r="Y663" i="7"/>
  <c r="X663" i="7"/>
  <c r="W663" i="7"/>
  <c r="Y662" i="7"/>
  <c r="X662" i="7"/>
  <c r="W662" i="7"/>
  <c r="Y657" i="7"/>
  <c r="X657" i="7"/>
  <c r="W657" i="7"/>
  <c r="Y655" i="7"/>
  <c r="X655" i="7"/>
  <c r="W655" i="7"/>
  <c r="Y653" i="7"/>
  <c r="X653" i="7"/>
  <c r="W653" i="7"/>
  <c r="Y632" i="7"/>
  <c r="X632" i="7"/>
  <c r="W632" i="7"/>
  <c r="Y651" i="7"/>
  <c r="X651" i="7"/>
  <c r="W651" i="7"/>
  <c r="Y650" i="7"/>
  <c r="X650" i="7"/>
  <c r="W650" i="7"/>
  <c r="Y649" i="7"/>
  <c r="X649" i="7"/>
  <c r="W649" i="7"/>
  <c r="Y648" i="7"/>
  <c r="X648" i="7"/>
  <c r="W648" i="7"/>
  <c r="Y647" i="7"/>
  <c r="X647" i="7"/>
  <c r="W647" i="7"/>
  <c r="Y635" i="7"/>
  <c r="X635" i="7"/>
  <c r="W635" i="7"/>
  <c r="Y638" i="7"/>
  <c r="X638" i="7"/>
  <c r="W638" i="7"/>
  <c r="Y637" i="7"/>
  <c r="X637" i="7"/>
  <c r="W637" i="7"/>
  <c r="Y636" i="7"/>
  <c r="X636" i="7"/>
  <c r="W636" i="7"/>
  <c r="Y645" i="7"/>
  <c r="X645" i="7"/>
  <c r="W645" i="7"/>
  <c r="Y644" i="7"/>
  <c r="X644" i="7"/>
  <c r="W644" i="7"/>
  <c r="Y643" i="7"/>
  <c r="X643" i="7"/>
  <c r="W643" i="7"/>
  <c r="Y642" i="7"/>
  <c r="X642" i="7"/>
  <c r="W642" i="7"/>
  <c r="Y640" i="7"/>
  <c r="X640" i="7"/>
  <c r="W640" i="7"/>
  <c r="Y639" i="7"/>
  <c r="X639" i="7"/>
  <c r="W639" i="7"/>
  <c r="Y641" i="7"/>
  <c r="X641" i="7"/>
  <c r="W641" i="7"/>
  <c r="Y634" i="7"/>
  <c r="X634" i="7"/>
  <c r="W634" i="7"/>
  <c r="Y633" i="7"/>
  <c r="X633" i="7"/>
  <c r="W633" i="7"/>
  <c r="Y627" i="7"/>
  <c r="X627" i="7"/>
  <c r="W627" i="7"/>
  <c r="Y626" i="7"/>
  <c r="X626" i="7"/>
  <c r="W626" i="7"/>
  <c r="Y631" i="7"/>
  <c r="X631" i="7"/>
  <c r="W631" i="7"/>
  <c r="Y624" i="7"/>
  <c r="X624" i="7"/>
  <c r="W624" i="7"/>
  <c r="Y623" i="7"/>
  <c r="X623" i="7"/>
  <c r="W623" i="7"/>
  <c r="Y630" i="7"/>
  <c r="X630" i="7"/>
  <c r="W630" i="7"/>
  <c r="Y629" i="7"/>
  <c r="X629" i="7"/>
  <c r="W629" i="7"/>
  <c r="Y628" i="7"/>
  <c r="X628" i="7"/>
  <c r="W628" i="7"/>
  <c r="Y625" i="7"/>
  <c r="X625" i="7"/>
  <c r="W625" i="7"/>
  <c r="Y622" i="7"/>
  <c r="X622" i="7"/>
  <c r="W622" i="7"/>
  <c r="Y621" i="7"/>
  <c r="X621" i="7"/>
  <c r="W621" i="7"/>
  <c r="Y620" i="7"/>
  <c r="X620" i="7"/>
  <c r="W620" i="7"/>
  <c r="Y619" i="7"/>
  <c r="X619" i="7"/>
  <c r="W619" i="7"/>
  <c r="Y618" i="7"/>
  <c r="X618" i="7"/>
  <c r="W618" i="7"/>
  <c r="Y617" i="7"/>
  <c r="X617" i="7"/>
  <c r="W617" i="7"/>
  <c r="Y616" i="7"/>
  <c r="X616" i="7"/>
  <c r="W616" i="7"/>
  <c r="Y615" i="7"/>
  <c r="X615" i="7"/>
  <c r="W615" i="7"/>
  <c r="Y614" i="7"/>
  <c r="X614" i="7"/>
  <c r="W614" i="7"/>
  <c r="Y613" i="7"/>
  <c r="X613" i="7"/>
  <c r="W613" i="7"/>
  <c r="Y612" i="7"/>
  <c r="X612" i="7"/>
  <c r="W612" i="7"/>
  <c r="Y611" i="7"/>
  <c r="X611" i="7"/>
  <c r="W611" i="7"/>
  <c r="Y608" i="7"/>
  <c r="X608" i="7"/>
  <c r="W608" i="7"/>
  <c r="Y607" i="7"/>
  <c r="X607" i="7"/>
  <c r="W607" i="7"/>
  <c r="Y609" i="7"/>
  <c r="X609" i="7"/>
  <c r="W609" i="7"/>
  <c r="Y610" i="7"/>
  <c r="X610" i="7"/>
  <c r="W610" i="7"/>
  <c r="Y606" i="7"/>
  <c r="X606" i="7"/>
  <c r="W606" i="7"/>
  <c r="Y598" i="7"/>
  <c r="X598" i="7"/>
  <c r="W598" i="7"/>
  <c r="Y597" i="7"/>
  <c r="X597" i="7"/>
  <c r="W597" i="7"/>
  <c r="Y596" i="7"/>
  <c r="X596" i="7"/>
  <c r="W596" i="7"/>
  <c r="Y602" i="7"/>
  <c r="X602" i="7"/>
  <c r="W602" i="7"/>
  <c r="Y605" i="7"/>
  <c r="X605" i="7"/>
  <c r="W605" i="7"/>
  <c r="Y604" i="7"/>
  <c r="X604" i="7"/>
  <c r="W604" i="7"/>
  <c r="Y603" i="7"/>
  <c r="X603" i="7"/>
  <c r="W603" i="7"/>
  <c r="Y601" i="7"/>
  <c r="X601" i="7"/>
  <c r="W601" i="7"/>
  <c r="Y600" i="7"/>
  <c r="X600" i="7"/>
  <c r="W600" i="7"/>
  <c r="Y599" i="7"/>
  <c r="X599" i="7"/>
  <c r="W599" i="7"/>
  <c r="Y595" i="7"/>
  <c r="X595" i="7"/>
  <c r="W595" i="7"/>
  <c r="Y594" i="7"/>
  <c r="X594" i="7"/>
  <c r="W594" i="7"/>
  <c r="Y593" i="7"/>
  <c r="X593" i="7"/>
  <c r="W593" i="7"/>
  <c r="Y592" i="7"/>
  <c r="X592" i="7"/>
  <c r="W592" i="7"/>
  <c r="Y591" i="7"/>
  <c r="X591" i="7"/>
  <c r="W591" i="7"/>
  <c r="Y590" i="7"/>
  <c r="X590" i="7"/>
  <c r="W590" i="7"/>
  <c r="Y589" i="7"/>
  <c r="X589" i="7"/>
  <c r="W589" i="7"/>
  <c r="Y588" i="7"/>
  <c r="X588" i="7"/>
  <c r="W588" i="7"/>
  <c r="Y585" i="7"/>
  <c r="X585" i="7"/>
  <c r="W585" i="7"/>
  <c r="Y584" i="7"/>
  <c r="X584" i="7"/>
  <c r="W584" i="7"/>
  <c r="Y583" i="7"/>
  <c r="X583" i="7"/>
  <c r="W583" i="7"/>
  <c r="Y580" i="7"/>
  <c r="X580" i="7"/>
  <c r="W580" i="7"/>
  <c r="Y586" i="7"/>
  <c r="X586" i="7"/>
  <c r="W586" i="7"/>
  <c r="Y581" i="7"/>
  <c r="X581" i="7"/>
  <c r="W581" i="7"/>
  <c r="Y582" i="7"/>
  <c r="X582" i="7"/>
  <c r="W582" i="7"/>
  <c r="Y578" i="7"/>
  <c r="X578" i="7"/>
  <c r="W578" i="7"/>
  <c r="Y577" i="7"/>
  <c r="X577" i="7"/>
  <c r="W577" i="7"/>
  <c r="Y576" i="7"/>
  <c r="X576" i="7"/>
  <c r="W576" i="7"/>
  <c r="Y575" i="7"/>
  <c r="X575" i="7"/>
  <c r="W575" i="7"/>
  <c r="Y574" i="7"/>
  <c r="X574" i="7"/>
  <c r="W574" i="7"/>
  <c r="Y573" i="7"/>
  <c r="X573" i="7"/>
  <c r="W573" i="7"/>
  <c r="Y572" i="7"/>
  <c r="X572" i="7"/>
  <c r="W572" i="7"/>
  <c r="Y571" i="7"/>
  <c r="X571" i="7"/>
  <c r="W571" i="7"/>
  <c r="Y567" i="7"/>
  <c r="X567" i="7"/>
  <c r="W567" i="7"/>
  <c r="Y570" i="7"/>
  <c r="X570" i="7"/>
  <c r="W570" i="7"/>
  <c r="Y569" i="7"/>
  <c r="X569" i="7"/>
  <c r="W569" i="7"/>
  <c r="Y568" i="7"/>
  <c r="X568" i="7"/>
  <c r="W568" i="7"/>
  <c r="Y564" i="7"/>
  <c r="X564" i="7"/>
  <c r="W564" i="7"/>
  <c r="Y563" i="7"/>
  <c r="X563" i="7"/>
  <c r="W563" i="7"/>
  <c r="Y562" i="7"/>
  <c r="X562" i="7"/>
  <c r="W562" i="7"/>
  <c r="Y561" i="7"/>
  <c r="X561" i="7"/>
  <c r="W561" i="7"/>
  <c r="Y560" i="7"/>
  <c r="X560" i="7"/>
  <c r="W560" i="7"/>
  <c r="Y566" i="7"/>
  <c r="X566" i="7"/>
  <c r="W566" i="7"/>
  <c r="Y565" i="7"/>
  <c r="X565" i="7"/>
  <c r="W565" i="7"/>
  <c r="Y537" i="7"/>
  <c r="X537" i="7"/>
  <c r="W537" i="7"/>
  <c r="Y536" i="7"/>
  <c r="X536" i="7"/>
  <c r="W536" i="7"/>
  <c r="Y535" i="7"/>
  <c r="X535" i="7"/>
  <c r="W535" i="7"/>
  <c r="Y534" i="7"/>
  <c r="X534" i="7"/>
  <c r="W534" i="7"/>
  <c r="Y533" i="7"/>
  <c r="X533" i="7"/>
  <c r="W533" i="7"/>
  <c r="Y532" i="7"/>
  <c r="X532" i="7"/>
  <c r="W532" i="7"/>
  <c r="Y530" i="7"/>
  <c r="X530" i="7"/>
  <c r="W530" i="7"/>
  <c r="Y529" i="7"/>
  <c r="X529" i="7"/>
  <c r="W529" i="7"/>
  <c r="Y528" i="7"/>
  <c r="X528" i="7"/>
  <c r="W528" i="7"/>
  <c r="Y527" i="7"/>
  <c r="X527" i="7"/>
  <c r="W527" i="7"/>
  <c r="Y526" i="7"/>
  <c r="X526" i="7"/>
  <c r="W526" i="7"/>
  <c r="Y525" i="7"/>
  <c r="X525" i="7"/>
  <c r="W525" i="7"/>
  <c r="Y524" i="7"/>
  <c r="X524" i="7"/>
  <c r="W524" i="7"/>
  <c r="Y523" i="7"/>
  <c r="X523" i="7"/>
  <c r="W523" i="7"/>
  <c r="Y521" i="7"/>
  <c r="X521" i="7"/>
  <c r="W521" i="7"/>
  <c r="Y522" i="7"/>
  <c r="X522" i="7"/>
  <c r="W522" i="7"/>
  <c r="Y520" i="7"/>
  <c r="X520" i="7"/>
  <c r="W520" i="7"/>
  <c r="Y519" i="7"/>
  <c r="X519" i="7"/>
  <c r="W519" i="7"/>
  <c r="Y517" i="7"/>
  <c r="X517" i="7"/>
  <c r="W517" i="7"/>
  <c r="Y518" i="7"/>
  <c r="X518" i="7"/>
  <c r="W518" i="7"/>
  <c r="Y515" i="7"/>
  <c r="X515" i="7"/>
  <c r="W515" i="7"/>
  <c r="Y514" i="7"/>
  <c r="X514" i="7"/>
  <c r="W514" i="7"/>
  <c r="Y516" i="7"/>
  <c r="X516" i="7"/>
  <c r="W516" i="7"/>
  <c r="Y511" i="7"/>
  <c r="X511" i="7"/>
  <c r="W511" i="7"/>
  <c r="Y513" i="7"/>
  <c r="X513" i="7"/>
  <c r="W513" i="7"/>
  <c r="Y512" i="7"/>
  <c r="X512" i="7"/>
  <c r="W512" i="7"/>
  <c r="Y509" i="7"/>
  <c r="X509" i="7"/>
  <c r="W509" i="7"/>
  <c r="Y510" i="7"/>
  <c r="X510" i="7"/>
  <c r="W510" i="7"/>
  <c r="Y502" i="7"/>
  <c r="X502" i="7"/>
  <c r="W502" i="7"/>
  <c r="Y508" i="7"/>
  <c r="X508" i="7"/>
  <c r="W508" i="7"/>
  <c r="Y507" i="7"/>
  <c r="X507" i="7"/>
  <c r="W507" i="7"/>
  <c r="Y506" i="7"/>
  <c r="X506" i="7"/>
  <c r="W506" i="7"/>
  <c r="Y505" i="7"/>
  <c r="X505" i="7"/>
  <c r="W505" i="7"/>
  <c r="Y504" i="7"/>
  <c r="X504" i="7"/>
  <c r="W504" i="7"/>
  <c r="Y503" i="7"/>
  <c r="X503" i="7"/>
  <c r="W503" i="7"/>
  <c r="Y501" i="7"/>
  <c r="X501" i="7"/>
  <c r="W501" i="7"/>
  <c r="Y498" i="7"/>
  <c r="X498" i="7"/>
  <c r="W498" i="7"/>
  <c r="Y497" i="7"/>
  <c r="X497" i="7"/>
  <c r="W497" i="7"/>
  <c r="Y496" i="7"/>
  <c r="X496" i="7"/>
  <c r="W496" i="7"/>
  <c r="Y495" i="7"/>
  <c r="X495" i="7"/>
  <c r="W495" i="7"/>
  <c r="Y494" i="7"/>
  <c r="X494" i="7"/>
  <c r="W494" i="7"/>
  <c r="Y493" i="7"/>
  <c r="X493" i="7"/>
  <c r="W493" i="7"/>
  <c r="Y492" i="7"/>
  <c r="X492" i="7"/>
  <c r="W492" i="7"/>
  <c r="Y491" i="7"/>
  <c r="X491" i="7"/>
  <c r="W491" i="7"/>
  <c r="Y484" i="7"/>
  <c r="X484" i="7"/>
  <c r="W484" i="7"/>
  <c r="Y490" i="7"/>
  <c r="X490" i="7"/>
  <c r="W490" i="7"/>
  <c r="Y489" i="7"/>
  <c r="X489" i="7"/>
  <c r="W489" i="7"/>
  <c r="Y488" i="7"/>
  <c r="X488" i="7"/>
  <c r="W488" i="7"/>
  <c r="Y487" i="7"/>
  <c r="X487" i="7"/>
  <c r="W487" i="7"/>
  <c r="Y486" i="7"/>
  <c r="X486" i="7"/>
  <c r="W486" i="7"/>
  <c r="Y485" i="7"/>
  <c r="X485" i="7"/>
  <c r="W485" i="7"/>
  <c r="Y482" i="7"/>
  <c r="X482" i="7"/>
  <c r="W482" i="7"/>
  <c r="Y483" i="7"/>
  <c r="X483" i="7"/>
  <c r="W483" i="7"/>
  <c r="Y481" i="7"/>
  <c r="X481" i="7"/>
  <c r="W481" i="7"/>
  <c r="Y480" i="7"/>
  <c r="X480" i="7"/>
  <c r="W480" i="7"/>
  <c r="Y479" i="7"/>
  <c r="X479" i="7"/>
  <c r="W479" i="7"/>
  <c r="Y478" i="7"/>
  <c r="X478" i="7"/>
  <c r="W478" i="7"/>
  <c r="Y477" i="7"/>
  <c r="X477" i="7"/>
  <c r="W477" i="7"/>
  <c r="Y476" i="7"/>
  <c r="X476" i="7"/>
  <c r="W476" i="7"/>
  <c r="Y475" i="7"/>
  <c r="X475" i="7"/>
  <c r="W475" i="7"/>
  <c r="Y471" i="7"/>
  <c r="X471" i="7"/>
  <c r="W471" i="7"/>
  <c r="Y474" i="7"/>
  <c r="X474" i="7"/>
  <c r="W474" i="7"/>
  <c r="Y473" i="7"/>
  <c r="X473" i="7"/>
  <c r="W473" i="7"/>
  <c r="Y472" i="7"/>
  <c r="X472" i="7"/>
  <c r="W472" i="7"/>
  <c r="Y468" i="7"/>
  <c r="X468" i="7"/>
  <c r="W468" i="7"/>
  <c r="Y467" i="7"/>
  <c r="X467" i="7"/>
  <c r="W467" i="7"/>
  <c r="Y470" i="7"/>
  <c r="X470" i="7"/>
  <c r="W470" i="7"/>
  <c r="Y469" i="7"/>
  <c r="X469" i="7"/>
  <c r="W469" i="7"/>
  <c r="Y466" i="7"/>
  <c r="X466" i="7"/>
  <c r="W466" i="7"/>
  <c r="Y465" i="7"/>
  <c r="X465" i="7"/>
  <c r="W465" i="7"/>
  <c r="Y464" i="7"/>
  <c r="X464" i="7"/>
  <c r="W464" i="7"/>
  <c r="Y463" i="7"/>
  <c r="X463" i="7"/>
  <c r="W463" i="7"/>
  <c r="Y462" i="7"/>
  <c r="X462" i="7"/>
  <c r="W462" i="7"/>
  <c r="Y461" i="7"/>
  <c r="X461" i="7"/>
  <c r="W461" i="7"/>
  <c r="Y459" i="7"/>
  <c r="X459" i="7"/>
  <c r="W459" i="7"/>
  <c r="Y458" i="7"/>
  <c r="X458" i="7"/>
  <c r="W458" i="7"/>
  <c r="Y460" i="7"/>
  <c r="X460" i="7"/>
  <c r="W460" i="7"/>
  <c r="Y455" i="7"/>
  <c r="X455" i="7"/>
  <c r="W455" i="7"/>
  <c r="Y453" i="7"/>
  <c r="X453" i="7"/>
  <c r="W453" i="7"/>
  <c r="Y452" i="7"/>
  <c r="X452" i="7"/>
  <c r="W452" i="7"/>
  <c r="Y450" i="7"/>
  <c r="X450" i="7"/>
  <c r="W450" i="7"/>
  <c r="Y449" i="7"/>
  <c r="X449" i="7"/>
  <c r="W449" i="7"/>
  <c r="Y448" i="7"/>
  <c r="X448" i="7"/>
  <c r="W448" i="7"/>
  <c r="G445" i="7"/>
  <c r="Y445" i="7" s="1"/>
  <c r="G444" i="7"/>
  <c r="Y444" i="7" s="1"/>
  <c r="G386" i="7"/>
  <c r="X386" i="7" s="1"/>
  <c r="G385" i="7"/>
  <c r="X385" i="7" s="1"/>
  <c r="G384" i="7"/>
  <c r="W384" i="7" s="1"/>
  <c r="X454" i="7" l="1"/>
  <c r="W454" i="7"/>
  <c r="W457" i="7"/>
  <c r="Y386" i="7"/>
  <c r="X457" i="7"/>
  <c r="X444" i="7"/>
  <c r="X445" i="7"/>
  <c r="W445" i="7"/>
  <c r="W444" i="7"/>
  <c r="X384" i="7"/>
  <c r="Y385" i="7"/>
  <c r="Y384" i="7"/>
  <c r="W385" i="7"/>
  <c r="W386" i="7"/>
  <c r="G443" i="7" l="1"/>
  <c r="Y443" i="7" s="1"/>
  <c r="Y442" i="7"/>
  <c r="X442" i="7"/>
  <c r="W442" i="7"/>
  <c r="Y441" i="7"/>
  <c r="X441" i="7"/>
  <c r="W441" i="7"/>
  <c r="G45" i="20"/>
  <c r="F39" i="20"/>
  <c r="G34" i="23"/>
  <c r="G27" i="23"/>
  <c r="G30" i="23"/>
  <c r="G29" i="23"/>
  <c r="G40" i="20"/>
  <c r="G31" i="23"/>
  <c r="G41" i="20"/>
  <c r="G32" i="23"/>
  <c r="G43" i="20"/>
  <c r="G33" i="23"/>
  <c r="G46" i="20"/>
  <c r="G48" i="20"/>
  <c r="G42" i="20"/>
  <c r="G44" i="20"/>
  <c r="F42" i="20"/>
  <c r="F43" i="20"/>
  <c r="G39" i="20"/>
  <c r="G26" i="23"/>
  <c r="G38" i="20"/>
  <c r="G28" i="23"/>
  <c r="F40" i="20"/>
  <c r="G38" i="23" l="1"/>
  <c r="G50" i="20"/>
  <c r="G439" i="7"/>
  <c r="Y439" i="7" s="1"/>
  <c r="G438" i="7"/>
  <c r="W438" i="7" s="1"/>
  <c r="W443" i="7"/>
  <c r="X443" i="7"/>
  <c r="W446" i="7"/>
  <c r="X446" i="7"/>
  <c r="Y446" i="7"/>
  <c r="W447" i="7"/>
  <c r="X447" i="7"/>
  <c r="Y447" i="7"/>
  <c r="W970" i="7"/>
  <c r="X970" i="7"/>
  <c r="Y970" i="7"/>
  <c r="W971" i="7"/>
  <c r="X971" i="7"/>
  <c r="Y971" i="7"/>
  <c r="W972" i="7"/>
  <c r="X972" i="7"/>
  <c r="Y972" i="7"/>
  <c r="W973" i="7"/>
  <c r="X973" i="7"/>
  <c r="Y973" i="7"/>
  <c r="W974" i="7"/>
  <c r="X974" i="7"/>
  <c r="Y974" i="7"/>
  <c r="W975" i="7"/>
  <c r="X975" i="7"/>
  <c r="Y975" i="7"/>
  <c r="W976" i="7"/>
  <c r="X976" i="7"/>
  <c r="Y976" i="7"/>
  <c r="W977" i="7"/>
  <c r="X977" i="7"/>
  <c r="Y977" i="7"/>
  <c r="W978" i="7"/>
  <c r="X978" i="7"/>
  <c r="Y978" i="7"/>
  <c r="W979" i="7"/>
  <c r="X979" i="7"/>
  <c r="Y979" i="7"/>
  <c r="W980" i="7"/>
  <c r="X980" i="7"/>
  <c r="Y980" i="7"/>
  <c r="W981" i="7"/>
  <c r="X981" i="7"/>
  <c r="Y981" i="7"/>
  <c r="W982" i="7"/>
  <c r="X982" i="7"/>
  <c r="Y982" i="7"/>
  <c r="W983" i="7"/>
  <c r="X983" i="7"/>
  <c r="Y983" i="7"/>
  <c r="W984" i="7"/>
  <c r="X984" i="7"/>
  <c r="Y984" i="7"/>
  <c r="W985" i="7"/>
  <c r="X985" i="7"/>
  <c r="Y985" i="7"/>
  <c r="W986" i="7"/>
  <c r="X986" i="7"/>
  <c r="Y986" i="7"/>
  <c r="W987" i="7"/>
  <c r="X987" i="7"/>
  <c r="Y987" i="7"/>
  <c r="W988" i="7"/>
  <c r="X988" i="7"/>
  <c r="Y988" i="7"/>
  <c r="W989" i="7"/>
  <c r="X989" i="7"/>
  <c r="Y989" i="7"/>
  <c r="W990" i="7"/>
  <c r="X990" i="7"/>
  <c r="Y990" i="7"/>
  <c r="W991" i="7"/>
  <c r="X991" i="7"/>
  <c r="Y991" i="7"/>
  <c r="W994" i="7"/>
  <c r="X994" i="7"/>
  <c r="Y994" i="7"/>
  <c r="W995" i="7"/>
  <c r="X995" i="7"/>
  <c r="Y995" i="7"/>
  <c r="W996" i="7"/>
  <c r="X996" i="7"/>
  <c r="Y996" i="7"/>
  <c r="W997" i="7"/>
  <c r="X997" i="7"/>
  <c r="Y997" i="7"/>
  <c r="W998" i="7"/>
  <c r="X998" i="7"/>
  <c r="Y998" i="7"/>
  <c r="W999" i="7"/>
  <c r="X999" i="7"/>
  <c r="Y999" i="7"/>
  <c r="W1000" i="7"/>
  <c r="X1000" i="7"/>
  <c r="Y1000" i="7"/>
  <c r="W1001" i="7"/>
  <c r="X1001" i="7"/>
  <c r="Y1001" i="7"/>
  <c r="W1002" i="7"/>
  <c r="X1002" i="7"/>
  <c r="Y1002" i="7"/>
  <c r="W1003" i="7"/>
  <c r="X1003" i="7"/>
  <c r="Y1003" i="7"/>
  <c r="W1004" i="7"/>
  <c r="X1004" i="7"/>
  <c r="Y1004" i="7"/>
  <c r="W1005" i="7"/>
  <c r="X1005" i="7"/>
  <c r="Y1005" i="7"/>
  <c r="W1006" i="7"/>
  <c r="X1006" i="7"/>
  <c r="Y1006" i="7"/>
  <c r="W1007" i="7"/>
  <c r="X1007" i="7"/>
  <c r="Y1007" i="7"/>
  <c r="W1008" i="7"/>
  <c r="X1008" i="7"/>
  <c r="Y1008" i="7"/>
  <c r="W1009" i="7"/>
  <c r="X1009" i="7"/>
  <c r="Y1009" i="7"/>
  <c r="W1010" i="7"/>
  <c r="X1010" i="7"/>
  <c r="Y1010" i="7"/>
  <c r="W1011" i="7"/>
  <c r="X1011" i="7"/>
  <c r="Y1011" i="7"/>
  <c r="W1012" i="7"/>
  <c r="X1012" i="7"/>
  <c r="Y1012" i="7"/>
  <c r="W1013" i="7"/>
  <c r="X1013" i="7"/>
  <c r="Y1013" i="7"/>
  <c r="W1014" i="7"/>
  <c r="X1014" i="7"/>
  <c r="Y1014" i="7"/>
  <c r="W1015" i="7"/>
  <c r="X1015" i="7"/>
  <c r="Y1015" i="7"/>
  <c r="W1016" i="7"/>
  <c r="X1016" i="7"/>
  <c r="Y1016" i="7"/>
  <c r="W1017" i="7"/>
  <c r="X1017" i="7"/>
  <c r="Y1017" i="7"/>
  <c r="W1018" i="7"/>
  <c r="X1018" i="7"/>
  <c r="Y1018" i="7"/>
  <c r="W1019" i="7"/>
  <c r="X1019" i="7"/>
  <c r="Y1019" i="7"/>
  <c r="W1020" i="7"/>
  <c r="X1020" i="7"/>
  <c r="Y1020" i="7"/>
  <c r="W1021" i="7"/>
  <c r="X1021" i="7"/>
  <c r="Y1021" i="7"/>
  <c r="W1022" i="7"/>
  <c r="X1022" i="7"/>
  <c r="Y1022" i="7"/>
  <c r="W1023" i="7"/>
  <c r="X1023" i="7"/>
  <c r="Y1023" i="7"/>
  <c r="W1024" i="7"/>
  <c r="X1024" i="7"/>
  <c r="Y1024" i="7"/>
  <c r="W1025" i="7"/>
  <c r="X1025" i="7"/>
  <c r="Y1025" i="7"/>
  <c r="W1026" i="7"/>
  <c r="X1026" i="7"/>
  <c r="Y1026" i="7"/>
  <c r="W1027" i="7"/>
  <c r="X1027" i="7"/>
  <c r="Y1027" i="7"/>
  <c r="W1028" i="7"/>
  <c r="X1028" i="7"/>
  <c r="Y1028" i="7"/>
  <c r="W1029" i="7"/>
  <c r="X1029" i="7"/>
  <c r="Y1029" i="7"/>
  <c r="W1030" i="7"/>
  <c r="X1030" i="7"/>
  <c r="Y1030" i="7"/>
  <c r="W1031" i="7"/>
  <c r="X1031" i="7"/>
  <c r="Y1031" i="7"/>
  <c r="W1032" i="7"/>
  <c r="X1032" i="7"/>
  <c r="Y1032" i="7"/>
  <c r="W1033" i="7"/>
  <c r="X1033" i="7"/>
  <c r="Y1033" i="7"/>
  <c r="W1034" i="7"/>
  <c r="X1034" i="7"/>
  <c r="Y1034" i="7"/>
  <c r="W1035" i="7"/>
  <c r="X1035" i="7"/>
  <c r="Y1035" i="7"/>
  <c r="W1036" i="7"/>
  <c r="X1036" i="7"/>
  <c r="Y1036" i="7"/>
  <c r="W1037" i="7"/>
  <c r="X1037" i="7"/>
  <c r="Y1037" i="7"/>
  <c r="W1038" i="7"/>
  <c r="X1038" i="7"/>
  <c r="Y1038" i="7"/>
  <c r="W1039" i="7"/>
  <c r="X1039" i="7"/>
  <c r="Y1039" i="7"/>
  <c r="W1040" i="7"/>
  <c r="X1040" i="7"/>
  <c r="Y1040" i="7"/>
  <c r="W1041" i="7"/>
  <c r="X1041" i="7"/>
  <c r="Y1041" i="7"/>
  <c r="W1042" i="7"/>
  <c r="X1042" i="7"/>
  <c r="Y1042" i="7"/>
  <c r="W1043" i="7"/>
  <c r="X1043" i="7"/>
  <c r="Y1043" i="7"/>
  <c r="W1044" i="7"/>
  <c r="X1044" i="7"/>
  <c r="Y1044" i="7"/>
  <c r="W1045" i="7"/>
  <c r="X1045" i="7"/>
  <c r="Y1045" i="7"/>
  <c r="W1046" i="7"/>
  <c r="X1046" i="7"/>
  <c r="Y1046" i="7"/>
  <c r="W1047" i="7"/>
  <c r="X1047" i="7"/>
  <c r="Y1047" i="7"/>
  <c r="W1048" i="7"/>
  <c r="X1048" i="7"/>
  <c r="Y1048" i="7"/>
  <c r="W1049" i="7"/>
  <c r="X1049" i="7"/>
  <c r="Y1049" i="7"/>
  <c r="W1050" i="7"/>
  <c r="X1050" i="7"/>
  <c r="Y1050" i="7"/>
  <c r="W1051" i="7"/>
  <c r="X1051" i="7"/>
  <c r="Y1051" i="7"/>
  <c r="W1052" i="7"/>
  <c r="X1052" i="7"/>
  <c r="Y1052" i="7"/>
  <c r="W1053" i="7"/>
  <c r="X1053" i="7"/>
  <c r="Y1053" i="7"/>
  <c r="W1054" i="7"/>
  <c r="X1054" i="7"/>
  <c r="Y1054" i="7"/>
  <c r="W1055" i="7"/>
  <c r="X1055" i="7"/>
  <c r="Y1055" i="7"/>
  <c r="W1056" i="7"/>
  <c r="X1056" i="7"/>
  <c r="Y1056" i="7"/>
  <c r="W1057" i="7"/>
  <c r="X1057" i="7"/>
  <c r="Y1057" i="7"/>
  <c r="W1058" i="7"/>
  <c r="X1058" i="7"/>
  <c r="Y1058" i="7"/>
  <c r="W1059" i="7"/>
  <c r="X1059" i="7"/>
  <c r="Y1059" i="7"/>
  <c r="W1060" i="7"/>
  <c r="X1060" i="7"/>
  <c r="Y1060" i="7"/>
  <c r="W1061" i="7"/>
  <c r="X1061" i="7"/>
  <c r="Y1061" i="7"/>
  <c r="W1062" i="7"/>
  <c r="X1062" i="7"/>
  <c r="Y1062" i="7"/>
  <c r="W1063" i="7"/>
  <c r="X1063" i="7"/>
  <c r="Y1063" i="7"/>
  <c r="W1064" i="7"/>
  <c r="X1064" i="7"/>
  <c r="Y1064" i="7"/>
  <c r="W1065" i="7"/>
  <c r="X1065" i="7"/>
  <c r="Y1065" i="7"/>
  <c r="W1066" i="7"/>
  <c r="X1066" i="7"/>
  <c r="Y1066" i="7"/>
  <c r="W1067" i="7"/>
  <c r="X1067" i="7"/>
  <c r="Y1067" i="7"/>
  <c r="W1068" i="7"/>
  <c r="X1068" i="7"/>
  <c r="Y1068" i="7"/>
  <c r="W1069" i="7"/>
  <c r="X1069" i="7"/>
  <c r="Y1069" i="7"/>
  <c r="W1070" i="7"/>
  <c r="X1070" i="7"/>
  <c r="Y1070" i="7"/>
  <c r="W1071" i="7"/>
  <c r="X1071" i="7"/>
  <c r="Y1071" i="7"/>
  <c r="W1072" i="7"/>
  <c r="X1072" i="7"/>
  <c r="Y1072" i="7"/>
  <c r="W1073" i="7"/>
  <c r="X1073" i="7"/>
  <c r="Y1073" i="7"/>
  <c r="W1074" i="7"/>
  <c r="X1074" i="7"/>
  <c r="Y1074" i="7"/>
  <c r="W1075" i="7"/>
  <c r="X1075" i="7"/>
  <c r="Y1075" i="7"/>
  <c r="W1076" i="7"/>
  <c r="X1076" i="7"/>
  <c r="Y1076" i="7"/>
  <c r="W1077" i="7"/>
  <c r="X1077" i="7"/>
  <c r="Y1077" i="7"/>
  <c r="W1078" i="7"/>
  <c r="X1078" i="7"/>
  <c r="Y1078" i="7"/>
  <c r="W1079" i="7"/>
  <c r="X1079" i="7"/>
  <c r="Y1079" i="7"/>
  <c r="W1080" i="7"/>
  <c r="X1080" i="7"/>
  <c r="Y1080" i="7"/>
  <c r="W1081" i="7"/>
  <c r="X1081" i="7"/>
  <c r="Y1081" i="7"/>
  <c r="W1082" i="7"/>
  <c r="X1082" i="7"/>
  <c r="Y1082" i="7"/>
  <c r="W1083" i="7"/>
  <c r="X1083" i="7"/>
  <c r="Y1083" i="7"/>
  <c r="W1084" i="7"/>
  <c r="X1084" i="7"/>
  <c r="Y1084" i="7"/>
  <c r="W1085" i="7"/>
  <c r="X1085" i="7"/>
  <c r="Y1085" i="7"/>
  <c r="W1086" i="7"/>
  <c r="X1086" i="7"/>
  <c r="Y1086" i="7"/>
  <c r="W1087" i="7"/>
  <c r="X1087" i="7"/>
  <c r="Y1087" i="7"/>
  <c r="W1088" i="7"/>
  <c r="X1088" i="7"/>
  <c r="Y1088" i="7"/>
  <c r="W1089" i="7"/>
  <c r="X1089" i="7"/>
  <c r="Y1089" i="7"/>
  <c r="W1090" i="7"/>
  <c r="X1090" i="7"/>
  <c r="Y1090" i="7"/>
  <c r="W1091" i="7"/>
  <c r="X1091" i="7"/>
  <c r="Y1091" i="7"/>
  <c r="W1092" i="7"/>
  <c r="X1092" i="7"/>
  <c r="Y1092" i="7"/>
  <c r="W1093" i="7"/>
  <c r="X1093" i="7"/>
  <c r="Y1093" i="7"/>
  <c r="W1094" i="7"/>
  <c r="X1094" i="7"/>
  <c r="Y1094" i="7"/>
  <c r="W1095" i="7"/>
  <c r="X1095" i="7"/>
  <c r="Y1095" i="7"/>
  <c r="W1096" i="7"/>
  <c r="X1096" i="7"/>
  <c r="Y1096" i="7"/>
  <c r="W1097" i="7"/>
  <c r="X1097" i="7"/>
  <c r="Y1097" i="7"/>
  <c r="W1098" i="7"/>
  <c r="X1098" i="7"/>
  <c r="Y1098" i="7"/>
  <c r="W1099" i="7"/>
  <c r="X1099" i="7"/>
  <c r="Y1099" i="7"/>
  <c r="W1100" i="7"/>
  <c r="X1100" i="7"/>
  <c r="Y1100" i="7"/>
  <c r="W1101" i="7"/>
  <c r="X1101" i="7"/>
  <c r="Y1101" i="7"/>
  <c r="W1102" i="7"/>
  <c r="X1102" i="7"/>
  <c r="Y1102" i="7"/>
  <c r="W1103" i="7"/>
  <c r="X1103" i="7"/>
  <c r="Y1103" i="7"/>
  <c r="W1104" i="7"/>
  <c r="X1104" i="7"/>
  <c r="Y1104" i="7"/>
  <c r="W1105" i="7"/>
  <c r="X1105" i="7"/>
  <c r="Y1105" i="7"/>
  <c r="W1106" i="7"/>
  <c r="X1106" i="7"/>
  <c r="Y1106" i="7"/>
  <c r="W1107" i="7"/>
  <c r="X1107" i="7"/>
  <c r="Y1107" i="7"/>
  <c r="W1108" i="7"/>
  <c r="X1108" i="7"/>
  <c r="Y1108" i="7"/>
  <c r="W1109" i="7"/>
  <c r="X1109" i="7"/>
  <c r="Y1109" i="7"/>
  <c r="W1110" i="7"/>
  <c r="X1110" i="7"/>
  <c r="Y1110" i="7"/>
  <c r="W1111" i="7"/>
  <c r="X1111" i="7"/>
  <c r="Y1111" i="7"/>
  <c r="W1112" i="7"/>
  <c r="X1112" i="7"/>
  <c r="Y1112" i="7"/>
  <c r="W1113" i="7"/>
  <c r="X1113" i="7"/>
  <c r="Y1113" i="7"/>
  <c r="W1114" i="7"/>
  <c r="X1114" i="7"/>
  <c r="Y1114" i="7"/>
  <c r="W1115" i="7"/>
  <c r="X1115" i="7"/>
  <c r="Y1115" i="7"/>
  <c r="W1116" i="7"/>
  <c r="X1116" i="7"/>
  <c r="Y1116" i="7"/>
  <c r="W1117" i="7"/>
  <c r="X1117" i="7"/>
  <c r="Y1117" i="7"/>
  <c r="W1118" i="7"/>
  <c r="X1118" i="7"/>
  <c r="Y1118" i="7"/>
  <c r="W1119" i="7"/>
  <c r="X1119" i="7"/>
  <c r="Y1119" i="7"/>
  <c r="W1120" i="7"/>
  <c r="X1120" i="7"/>
  <c r="Y1120" i="7"/>
  <c r="W1121" i="7"/>
  <c r="X1121" i="7"/>
  <c r="Y1121" i="7"/>
  <c r="W1122" i="7"/>
  <c r="X1122" i="7"/>
  <c r="Y1122" i="7"/>
  <c r="W1123" i="7"/>
  <c r="X1123" i="7"/>
  <c r="Y1123" i="7"/>
  <c r="W1124" i="7"/>
  <c r="X1124" i="7"/>
  <c r="Y1124" i="7"/>
  <c r="W1125" i="7"/>
  <c r="X1125" i="7"/>
  <c r="Y1125" i="7"/>
  <c r="W1126" i="7"/>
  <c r="X1126" i="7"/>
  <c r="Y1126" i="7"/>
  <c r="W1127" i="7"/>
  <c r="X1127" i="7"/>
  <c r="Y1127" i="7"/>
  <c r="W1128" i="7"/>
  <c r="X1128" i="7"/>
  <c r="Y1128" i="7"/>
  <c r="W1129" i="7"/>
  <c r="X1129" i="7"/>
  <c r="Y1129" i="7"/>
  <c r="W1130" i="7"/>
  <c r="X1130" i="7"/>
  <c r="Y1130" i="7"/>
  <c r="W1131" i="7"/>
  <c r="X1131" i="7"/>
  <c r="Y1131" i="7"/>
  <c r="W1132" i="7"/>
  <c r="X1132" i="7"/>
  <c r="Y1132" i="7"/>
  <c r="W1133" i="7"/>
  <c r="X1133" i="7"/>
  <c r="Y1133" i="7"/>
  <c r="W1134" i="7"/>
  <c r="X1134" i="7"/>
  <c r="Y1134" i="7"/>
  <c r="W1135" i="7"/>
  <c r="X1135" i="7"/>
  <c r="Y1135" i="7"/>
  <c r="W1136" i="7"/>
  <c r="X1136" i="7"/>
  <c r="Y1136" i="7"/>
  <c r="W1137" i="7"/>
  <c r="X1137" i="7"/>
  <c r="Y1137" i="7"/>
  <c r="W1138" i="7"/>
  <c r="X1138" i="7"/>
  <c r="Y1138" i="7"/>
  <c r="W1139" i="7"/>
  <c r="X1139" i="7"/>
  <c r="Y1139" i="7"/>
  <c r="W1140" i="7"/>
  <c r="X1140" i="7"/>
  <c r="Y1140" i="7"/>
  <c r="W1141" i="7"/>
  <c r="X1141" i="7"/>
  <c r="Y1141" i="7"/>
  <c r="W1142" i="7"/>
  <c r="X1142" i="7"/>
  <c r="Y1142" i="7"/>
  <c r="W1143" i="7"/>
  <c r="X1143" i="7"/>
  <c r="Y1143" i="7"/>
  <c r="W1144" i="7"/>
  <c r="X1144" i="7"/>
  <c r="Y1144" i="7"/>
  <c r="W1145" i="7"/>
  <c r="X1145" i="7"/>
  <c r="Y1145" i="7"/>
  <c r="W1146" i="7"/>
  <c r="X1146" i="7"/>
  <c r="Y1146" i="7"/>
  <c r="W1147" i="7"/>
  <c r="X1147" i="7"/>
  <c r="Y1147" i="7"/>
  <c r="W1148" i="7"/>
  <c r="X1148" i="7"/>
  <c r="Y1148" i="7"/>
  <c r="W1149" i="7"/>
  <c r="X1149" i="7"/>
  <c r="Y1149" i="7"/>
  <c r="W1150" i="7"/>
  <c r="X1150" i="7"/>
  <c r="Y1150" i="7"/>
  <c r="W1151" i="7"/>
  <c r="X1151" i="7"/>
  <c r="Y1151" i="7"/>
  <c r="W1152" i="7"/>
  <c r="X1152" i="7"/>
  <c r="Y1152" i="7"/>
  <c r="W1153" i="7"/>
  <c r="X1153" i="7"/>
  <c r="Y1153" i="7"/>
  <c r="W1154" i="7"/>
  <c r="X1154" i="7"/>
  <c r="Y1154" i="7"/>
  <c r="W1155" i="7"/>
  <c r="X1155" i="7"/>
  <c r="Y1155" i="7"/>
  <c r="W1156" i="7"/>
  <c r="X1156" i="7"/>
  <c r="Y1156" i="7"/>
  <c r="W1157" i="7"/>
  <c r="X1157" i="7"/>
  <c r="Y1157" i="7"/>
  <c r="W1158" i="7"/>
  <c r="X1158" i="7"/>
  <c r="Y1158" i="7"/>
  <c r="W1159" i="7"/>
  <c r="X1159" i="7"/>
  <c r="Y1159" i="7"/>
  <c r="W1160" i="7"/>
  <c r="X1160" i="7"/>
  <c r="Y1160" i="7"/>
  <c r="W1161" i="7"/>
  <c r="X1161" i="7"/>
  <c r="Y1161" i="7"/>
  <c r="W1162" i="7"/>
  <c r="X1162" i="7"/>
  <c r="Y1162" i="7"/>
  <c r="W1163" i="7"/>
  <c r="X1163" i="7"/>
  <c r="Y1163" i="7"/>
  <c r="W1164" i="7"/>
  <c r="X1164" i="7"/>
  <c r="Y1164" i="7"/>
  <c r="W1165" i="7"/>
  <c r="X1165" i="7"/>
  <c r="Y1165" i="7"/>
  <c r="W1166" i="7"/>
  <c r="X1166" i="7"/>
  <c r="Y1166" i="7"/>
  <c r="W1167" i="7"/>
  <c r="X1167" i="7"/>
  <c r="Y1167" i="7"/>
  <c r="W1168" i="7"/>
  <c r="X1168" i="7"/>
  <c r="Y1168" i="7"/>
  <c r="W1169" i="7"/>
  <c r="X1169" i="7"/>
  <c r="Y1169" i="7"/>
  <c r="W1170" i="7"/>
  <c r="X1170" i="7"/>
  <c r="Y1170" i="7"/>
  <c r="W1171" i="7"/>
  <c r="X1171" i="7"/>
  <c r="Y1171" i="7"/>
  <c r="W1172" i="7"/>
  <c r="X1172" i="7"/>
  <c r="Y1172" i="7"/>
  <c r="W1173" i="7"/>
  <c r="X1173" i="7"/>
  <c r="Y1173" i="7"/>
  <c r="W1174" i="7"/>
  <c r="X1174" i="7"/>
  <c r="Y1174" i="7"/>
  <c r="W1175" i="7"/>
  <c r="X1175" i="7"/>
  <c r="Y1175" i="7"/>
  <c r="W1176" i="7"/>
  <c r="X1176" i="7"/>
  <c r="Y1176" i="7"/>
  <c r="W1177" i="7"/>
  <c r="X1177" i="7"/>
  <c r="Y1177" i="7"/>
  <c r="W1178" i="7"/>
  <c r="X1178" i="7"/>
  <c r="Y1178" i="7"/>
  <c r="W1179" i="7"/>
  <c r="X1179" i="7"/>
  <c r="Y1179" i="7"/>
  <c r="W1180" i="7"/>
  <c r="X1180" i="7"/>
  <c r="Y1180" i="7"/>
  <c r="W1181" i="7"/>
  <c r="X1181" i="7"/>
  <c r="Y1181" i="7"/>
  <c r="W1182" i="7"/>
  <c r="X1182" i="7"/>
  <c r="Y1182" i="7"/>
  <c r="W1183" i="7"/>
  <c r="X1183" i="7"/>
  <c r="Y1183" i="7"/>
  <c r="W1184" i="7"/>
  <c r="X1184" i="7"/>
  <c r="Y1184" i="7"/>
  <c r="W1185" i="7"/>
  <c r="X1185" i="7"/>
  <c r="Y1185" i="7"/>
  <c r="W1186" i="7"/>
  <c r="X1186" i="7"/>
  <c r="Y1186" i="7"/>
  <c r="W1187" i="7"/>
  <c r="X1187" i="7"/>
  <c r="Y1187" i="7"/>
  <c r="W1188" i="7"/>
  <c r="X1188" i="7"/>
  <c r="Y1188" i="7"/>
  <c r="W1189" i="7"/>
  <c r="X1189" i="7"/>
  <c r="Y1189" i="7"/>
  <c r="W1190" i="7"/>
  <c r="X1190" i="7"/>
  <c r="Y1190" i="7"/>
  <c r="W1191" i="7"/>
  <c r="X1191" i="7"/>
  <c r="Y1191" i="7"/>
  <c r="W1192" i="7"/>
  <c r="X1192" i="7"/>
  <c r="Y1192" i="7"/>
  <c r="W1193" i="7"/>
  <c r="X1193" i="7"/>
  <c r="Y1193" i="7"/>
  <c r="W1194" i="7"/>
  <c r="X1194" i="7"/>
  <c r="Y1194" i="7"/>
  <c r="W1195" i="7"/>
  <c r="X1195" i="7"/>
  <c r="Y1195" i="7"/>
  <c r="W1196" i="7"/>
  <c r="X1196" i="7"/>
  <c r="Y1196" i="7"/>
  <c r="W1197" i="7"/>
  <c r="X1197" i="7"/>
  <c r="Y1197" i="7"/>
  <c r="W1198" i="7"/>
  <c r="X1198" i="7"/>
  <c r="Y1198" i="7"/>
  <c r="W1199" i="7"/>
  <c r="X1199" i="7"/>
  <c r="Y1199" i="7"/>
  <c r="W1200" i="7"/>
  <c r="X1200" i="7"/>
  <c r="Y1200" i="7"/>
  <c r="W1201" i="7"/>
  <c r="X1201" i="7"/>
  <c r="Y1201" i="7"/>
  <c r="W1202" i="7"/>
  <c r="X1202" i="7"/>
  <c r="Y1202" i="7"/>
  <c r="W1203" i="7"/>
  <c r="X1203" i="7"/>
  <c r="Y1203" i="7"/>
  <c r="W1204" i="7"/>
  <c r="X1204" i="7"/>
  <c r="Y1204" i="7"/>
  <c r="W1205" i="7"/>
  <c r="X1205" i="7"/>
  <c r="Y1205" i="7"/>
  <c r="W1206" i="7"/>
  <c r="X1206" i="7"/>
  <c r="Y1206" i="7"/>
  <c r="W1207" i="7"/>
  <c r="X1207" i="7"/>
  <c r="Y1207" i="7"/>
  <c r="W1208" i="7"/>
  <c r="X1208" i="7"/>
  <c r="Y1208" i="7"/>
  <c r="W1209" i="7"/>
  <c r="X1209" i="7"/>
  <c r="Y1209" i="7"/>
  <c r="W1210" i="7"/>
  <c r="X1210" i="7"/>
  <c r="Y1210" i="7"/>
  <c r="W1211" i="7"/>
  <c r="X1211" i="7"/>
  <c r="Y1211" i="7"/>
  <c r="W1212" i="7"/>
  <c r="X1212" i="7"/>
  <c r="Y1212" i="7"/>
  <c r="W1213" i="7"/>
  <c r="X1213" i="7"/>
  <c r="Y1213" i="7"/>
  <c r="W1214" i="7"/>
  <c r="X1214" i="7"/>
  <c r="Y1214" i="7"/>
  <c r="W1215" i="7"/>
  <c r="X1215" i="7"/>
  <c r="Y1215" i="7"/>
  <c r="W1216" i="7"/>
  <c r="X1216" i="7"/>
  <c r="Y1216" i="7"/>
  <c r="W1217" i="7"/>
  <c r="X1217" i="7"/>
  <c r="Y1217" i="7"/>
  <c r="W1218" i="7"/>
  <c r="X1218" i="7"/>
  <c r="Y1218" i="7"/>
  <c r="W1219" i="7"/>
  <c r="X1219" i="7"/>
  <c r="Y1219" i="7"/>
  <c r="W1220" i="7"/>
  <c r="X1220" i="7"/>
  <c r="Y1220" i="7"/>
  <c r="W1221" i="7"/>
  <c r="X1221" i="7"/>
  <c r="Y1221" i="7"/>
  <c r="W1222" i="7"/>
  <c r="X1222" i="7"/>
  <c r="Y1222" i="7"/>
  <c r="W1223" i="7"/>
  <c r="X1223" i="7"/>
  <c r="Y1223" i="7"/>
  <c r="W1224" i="7"/>
  <c r="X1224" i="7"/>
  <c r="Y1224" i="7"/>
  <c r="W1225" i="7"/>
  <c r="X1225" i="7"/>
  <c r="Y1225" i="7"/>
  <c r="W1226" i="7"/>
  <c r="X1226" i="7"/>
  <c r="Y1226" i="7"/>
  <c r="W1227" i="7"/>
  <c r="X1227" i="7"/>
  <c r="Y1227" i="7"/>
  <c r="W1228" i="7"/>
  <c r="X1228" i="7"/>
  <c r="Y1228" i="7"/>
  <c r="W1229" i="7"/>
  <c r="X1229" i="7"/>
  <c r="Y1229" i="7"/>
  <c r="W1230" i="7"/>
  <c r="X1230" i="7"/>
  <c r="Y1230" i="7"/>
  <c r="W1231" i="7"/>
  <c r="X1231" i="7"/>
  <c r="Y1231" i="7"/>
  <c r="W1232" i="7"/>
  <c r="X1232" i="7"/>
  <c r="Y1232" i="7"/>
  <c r="W1233" i="7"/>
  <c r="X1233" i="7"/>
  <c r="Y1233" i="7"/>
  <c r="W1234" i="7"/>
  <c r="X1234" i="7"/>
  <c r="Y1234" i="7"/>
  <c r="W1235" i="7"/>
  <c r="X1235" i="7"/>
  <c r="Y1235" i="7"/>
  <c r="W1236" i="7"/>
  <c r="X1236" i="7"/>
  <c r="Y1236" i="7"/>
  <c r="W1237" i="7"/>
  <c r="X1237" i="7"/>
  <c r="Y1237" i="7"/>
  <c r="W1238" i="7"/>
  <c r="X1238" i="7"/>
  <c r="Y1238" i="7"/>
  <c r="W1239" i="7"/>
  <c r="X1239" i="7"/>
  <c r="Y1239" i="7"/>
  <c r="W1240" i="7"/>
  <c r="X1240" i="7"/>
  <c r="Y1240" i="7"/>
  <c r="W1241" i="7"/>
  <c r="X1241" i="7"/>
  <c r="Y1241" i="7"/>
  <c r="W1242" i="7"/>
  <c r="X1242" i="7"/>
  <c r="Y1242" i="7"/>
  <c r="W1243" i="7"/>
  <c r="X1243" i="7"/>
  <c r="Y1243" i="7"/>
  <c r="W1244" i="7"/>
  <c r="X1244" i="7"/>
  <c r="Y1244" i="7"/>
  <c r="W1245" i="7"/>
  <c r="X1245" i="7"/>
  <c r="Y1245" i="7"/>
  <c r="W1246" i="7"/>
  <c r="X1246" i="7"/>
  <c r="Y1246" i="7"/>
  <c r="W1247" i="7"/>
  <c r="X1247" i="7"/>
  <c r="Y1247" i="7"/>
  <c r="W1248" i="7"/>
  <c r="X1248" i="7"/>
  <c r="Y1248" i="7"/>
  <c r="W1249" i="7"/>
  <c r="X1249" i="7"/>
  <c r="Y1249" i="7"/>
  <c r="W1250" i="7"/>
  <c r="X1250" i="7"/>
  <c r="Y1250" i="7"/>
  <c r="W1251" i="7"/>
  <c r="X1251" i="7"/>
  <c r="Y1251" i="7"/>
  <c r="W1252" i="7"/>
  <c r="X1252" i="7"/>
  <c r="Y1252" i="7"/>
  <c r="W1253" i="7"/>
  <c r="X1253" i="7"/>
  <c r="Y1253" i="7"/>
  <c r="W1254" i="7"/>
  <c r="X1254" i="7"/>
  <c r="Y1254" i="7"/>
  <c r="W1255" i="7"/>
  <c r="X1255" i="7"/>
  <c r="Y1255" i="7"/>
  <c r="W1256" i="7"/>
  <c r="X1256" i="7"/>
  <c r="Y1256" i="7"/>
  <c r="W1257" i="7"/>
  <c r="X1257" i="7"/>
  <c r="Y1257" i="7"/>
  <c r="W1258" i="7"/>
  <c r="X1258" i="7"/>
  <c r="Y1258" i="7"/>
  <c r="W1259" i="7"/>
  <c r="X1259" i="7"/>
  <c r="Y1259" i="7"/>
  <c r="W1260" i="7"/>
  <c r="X1260" i="7"/>
  <c r="Y1260" i="7"/>
  <c r="W1261" i="7"/>
  <c r="X1261" i="7"/>
  <c r="Y1261" i="7"/>
  <c r="W1262" i="7"/>
  <c r="X1262" i="7"/>
  <c r="Y1262" i="7"/>
  <c r="W1263" i="7"/>
  <c r="X1263" i="7"/>
  <c r="Y1263" i="7"/>
  <c r="W1264" i="7"/>
  <c r="X1264" i="7"/>
  <c r="Y1264" i="7"/>
  <c r="W1265" i="7"/>
  <c r="X1265" i="7"/>
  <c r="Y1265" i="7"/>
  <c r="W1266" i="7"/>
  <c r="X1266" i="7"/>
  <c r="Y1266" i="7"/>
  <c r="W1267" i="7"/>
  <c r="X1267" i="7"/>
  <c r="Y1267" i="7"/>
  <c r="W1268" i="7"/>
  <c r="X1268" i="7"/>
  <c r="Y1268" i="7"/>
  <c r="W1269" i="7"/>
  <c r="X1269" i="7"/>
  <c r="Y1269" i="7"/>
  <c r="W1270" i="7"/>
  <c r="X1270" i="7"/>
  <c r="Y1270" i="7"/>
  <c r="W1271" i="7"/>
  <c r="X1271" i="7"/>
  <c r="Y1271" i="7"/>
  <c r="W1272" i="7"/>
  <c r="X1272" i="7"/>
  <c r="Y1272" i="7"/>
  <c r="W1273" i="7"/>
  <c r="X1273" i="7"/>
  <c r="Y1273" i="7"/>
  <c r="W1274" i="7"/>
  <c r="X1274" i="7"/>
  <c r="Y1274" i="7"/>
  <c r="W1275" i="7"/>
  <c r="X1275" i="7"/>
  <c r="Y1275" i="7"/>
  <c r="W1276" i="7"/>
  <c r="X1276" i="7"/>
  <c r="Y1276" i="7"/>
  <c r="W1277" i="7"/>
  <c r="X1277" i="7"/>
  <c r="Y1277" i="7"/>
  <c r="W1278" i="7"/>
  <c r="X1278" i="7"/>
  <c r="Y1278" i="7"/>
  <c r="W1279" i="7"/>
  <c r="X1279" i="7"/>
  <c r="Y1279" i="7"/>
  <c r="W1280" i="7"/>
  <c r="X1280" i="7"/>
  <c r="Y1280" i="7"/>
  <c r="W1281" i="7"/>
  <c r="X1281" i="7"/>
  <c r="Y1281" i="7"/>
  <c r="W1282" i="7"/>
  <c r="X1282" i="7"/>
  <c r="Y1282" i="7"/>
  <c r="W1283" i="7"/>
  <c r="X1283" i="7"/>
  <c r="Y1283" i="7"/>
  <c r="W1284" i="7"/>
  <c r="X1284" i="7"/>
  <c r="Y1284" i="7"/>
  <c r="W1285" i="7"/>
  <c r="X1285" i="7"/>
  <c r="Y1285" i="7"/>
  <c r="W1286" i="7"/>
  <c r="X1286" i="7"/>
  <c r="Y1286" i="7"/>
  <c r="W1287" i="7"/>
  <c r="X1287" i="7"/>
  <c r="Y1287" i="7"/>
  <c r="W1288" i="7"/>
  <c r="X1288" i="7"/>
  <c r="Y1288" i="7"/>
  <c r="W1289" i="7"/>
  <c r="X1289" i="7"/>
  <c r="Y1289" i="7"/>
  <c r="W1290" i="7"/>
  <c r="X1290" i="7"/>
  <c r="Y1290" i="7"/>
  <c r="W1291" i="7"/>
  <c r="X1291" i="7"/>
  <c r="Y1291" i="7"/>
  <c r="W1292" i="7"/>
  <c r="X1292" i="7"/>
  <c r="Y1292" i="7"/>
  <c r="W1293" i="7"/>
  <c r="X1293" i="7"/>
  <c r="Y1293" i="7"/>
  <c r="W1294" i="7"/>
  <c r="X1294" i="7"/>
  <c r="Y1294" i="7"/>
  <c r="W1295" i="7"/>
  <c r="X1295" i="7"/>
  <c r="Y1295" i="7"/>
  <c r="W1296" i="7"/>
  <c r="X1296" i="7"/>
  <c r="Y1296" i="7"/>
  <c r="W1297" i="7"/>
  <c r="X1297" i="7"/>
  <c r="Y1297" i="7"/>
  <c r="W1298" i="7"/>
  <c r="X1298" i="7"/>
  <c r="Y1298" i="7"/>
  <c r="W1299" i="7"/>
  <c r="X1299" i="7"/>
  <c r="Y1299" i="7"/>
  <c r="W1300" i="7"/>
  <c r="X1300" i="7"/>
  <c r="Y1300" i="7"/>
  <c r="W1301" i="7"/>
  <c r="X1301" i="7"/>
  <c r="Y1301" i="7"/>
  <c r="W1302" i="7"/>
  <c r="X1302" i="7"/>
  <c r="Y1302" i="7"/>
  <c r="W1303" i="7"/>
  <c r="X1303" i="7"/>
  <c r="Y1303" i="7"/>
  <c r="W1304" i="7"/>
  <c r="X1304" i="7"/>
  <c r="Y1304" i="7"/>
  <c r="W1305" i="7"/>
  <c r="X1305" i="7"/>
  <c r="Y1305" i="7"/>
  <c r="W1306" i="7"/>
  <c r="X1306" i="7"/>
  <c r="Y1306" i="7"/>
  <c r="W1307" i="7"/>
  <c r="X1307" i="7"/>
  <c r="Y1307" i="7"/>
  <c r="W1308" i="7"/>
  <c r="X1308" i="7"/>
  <c r="Y1308" i="7"/>
  <c r="W1309" i="7"/>
  <c r="X1309" i="7"/>
  <c r="Y1309" i="7"/>
  <c r="W1310" i="7"/>
  <c r="X1310" i="7"/>
  <c r="Y1310" i="7"/>
  <c r="W1311" i="7"/>
  <c r="X1311" i="7"/>
  <c r="Y1311" i="7"/>
  <c r="W1312" i="7"/>
  <c r="X1312" i="7"/>
  <c r="Y1312" i="7"/>
  <c r="W1313" i="7"/>
  <c r="X1313" i="7"/>
  <c r="Y1313" i="7"/>
  <c r="W1314" i="7"/>
  <c r="X1314" i="7"/>
  <c r="Y1314" i="7"/>
  <c r="W1315" i="7"/>
  <c r="X1315" i="7"/>
  <c r="Y1315" i="7"/>
  <c r="W1316" i="7"/>
  <c r="X1316" i="7"/>
  <c r="Y1316" i="7"/>
  <c r="W1317" i="7"/>
  <c r="X1317" i="7"/>
  <c r="Y1317" i="7"/>
  <c r="W1318" i="7"/>
  <c r="X1318" i="7"/>
  <c r="Y1318" i="7"/>
  <c r="W1319" i="7"/>
  <c r="X1319" i="7"/>
  <c r="Y1319" i="7"/>
  <c r="W1320" i="7"/>
  <c r="X1320" i="7"/>
  <c r="Y1320" i="7"/>
  <c r="W1321" i="7"/>
  <c r="X1321" i="7"/>
  <c r="Y1321" i="7"/>
  <c r="W1322" i="7"/>
  <c r="X1322" i="7"/>
  <c r="Y1322" i="7"/>
  <c r="W1323" i="7"/>
  <c r="X1323" i="7"/>
  <c r="Y1323" i="7"/>
  <c r="W1324" i="7"/>
  <c r="X1324" i="7"/>
  <c r="Y1324" i="7"/>
  <c r="W1325" i="7"/>
  <c r="X1325" i="7"/>
  <c r="Y1325" i="7"/>
  <c r="W1326" i="7"/>
  <c r="X1326" i="7"/>
  <c r="Y1326" i="7"/>
  <c r="W1327" i="7"/>
  <c r="X1327" i="7"/>
  <c r="Y1327" i="7"/>
  <c r="W1328" i="7"/>
  <c r="X1328" i="7"/>
  <c r="Y1328" i="7"/>
  <c r="W1329" i="7"/>
  <c r="X1329" i="7"/>
  <c r="Y1329" i="7"/>
  <c r="W1330" i="7"/>
  <c r="X1330" i="7"/>
  <c r="Y1330" i="7"/>
  <c r="W1331" i="7"/>
  <c r="X1331" i="7"/>
  <c r="Y1331" i="7"/>
  <c r="W1332" i="7"/>
  <c r="X1332" i="7"/>
  <c r="Y1332" i="7"/>
  <c r="W1333" i="7"/>
  <c r="X1333" i="7"/>
  <c r="Y1333" i="7"/>
  <c r="W1334" i="7"/>
  <c r="X1334" i="7"/>
  <c r="Y1334" i="7"/>
  <c r="W1335" i="7"/>
  <c r="X1335" i="7"/>
  <c r="Y1335" i="7"/>
  <c r="W1336" i="7"/>
  <c r="X1336" i="7"/>
  <c r="Y1336" i="7"/>
  <c r="W1337" i="7"/>
  <c r="X1337" i="7"/>
  <c r="Y1337" i="7"/>
  <c r="W1338" i="7"/>
  <c r="X1338" i="7"/>
  <c r="Y1338" i="7"/>
  <c r="W1339" i="7"/>
  <c r="X1339" i="7"/>
  <c r="Y1339" i="7"/>
  <c r="W1340" i="7"/>
  <c r="X1340" i="7"/>
  <c r="Y1340" i="7"/>
  <c r="W1341" i="7"/>
  <c r="X1341" i="7"/>
  <c r="Y1341" i="7"/>
  <c r="W1342" i="7"/>
  <c r="X1342" i="7"/>
  <c r="Y1342" i="7"/>
  <c r="W1343" i="7"/>
  <c r="X1343" i="7"/>
  <c r="Y1343" i="7"/>
  <c r="W1344" i="7"/>
  <c r="X1344" i="7"/>
  <c r="Y1344" i="7"/>
  <c r="W1345" i="7"/>
  <c r="X1345" i="7"/>
  <c r="Y1345" i="7"/>
  <c r="W1346" i="7"/>
  <c r="X1346" i="7"/>
  <c r="Y1346" i="7"/>
  <c r="W1347" i="7"/>
  <c r="X1347" i="7"/>
  <c r="Y1347" i="7"/>
  <c r="W1348" i="7"/>
  <c r="X1348" i="7"/>
  <c r="Y1348" i="7"/>
  <c r="W1349" i="7"/>
  <c r="X1349" i="7"/>
  <c r="Y1349" i="7"/>
  <c r="W1350" i="7"/>
  <c r="X1350" i="7"/>
  <c r="Y1350" i="7"/>
  <c r="W1351" i="7"/>
  <c r="X1351" i="7"/>
  <c r="Y1351" i="7"/>
  <c r="W1352" i="7"/>
  <c r="X1352" i="7"/>
  <c r="Y1352" i="7"/>
  <c r="W1353" i="7"/>
  <c r="X1353" i="7"/>
  <c r="Y1353" i="7"/>
  <c r="W1354" i="7"/>
  <c r="X1354" i="7"/>
  <c r="Y1354" i="7"/>
  <c r="W1355" i="7"/>
  <c r="X1355" i="7"/>
  <c r="Y1355" i="7"/>
  <c r="W1356" i="7"/>
  <c r="X1356" i="7"/>
  <c r="Y1356" i="7"/>
  <c r="W1357" i="7"/>
  <c r="X1357" i="7"/>
  <c r="Y1357" i="7"/>
  <c r="W1358" i="7"/>
  <c r="X1358" i="7"/>
  <c r="Y1358" i="7"/>
  <c r="W1359" i="7"/>
  <c r="X1359" i="7"/>
  <c r="Y1359" i="7"/>
  <c r="W1360" i="7"/>
  <c r="X1360" i="7"/>
  <c r="Y1360" i="7"/>
  <c r="W1361" i="7"/>
  <c r="X1361" i="7"/>
  <c r="Y1361" i="7"/>
  <c r="W1362" i="7"/>
  <c r="X1362" i="7"/>
  <c r="Y1362" i="7"/>
  <c r="W1363" i="7"/>
  <c r="X1363" i="7"/>
  <c r="Y1363" i="7"/>
  <c r="W1364" i="7"/>
  <c r="X1364" i="7"/>
  <c r="Y1364" i="7"/>
  <c r="W1365" i="7"/>
  <c r="X1365" i="7"/>
  <c r="Y1365" i="7"/>
  <c r="W1366" i="7"/>
  <c r="X1366" i="7"/>
  <c r="Y1366" i="7"/>
  <c r="W1367" i="7"/>
  <c r="X1367" i="7"/>
  <c r="Y1367" i="7"/>
  <c r="W1368" i="7"/>
  <c r="X1368" i="7"/>
  <c r="Y1368" i="7"/>
  <c r="W1369" i="7"/>
  <c r="X1369" i="7"/>
  <c r="Y1369" i="7"/>
  <c r="W1370" i="7"/>
  <c r="X1370" i="7"/>
  <c r="Y1370" i="7"/>
  <c r="W1371" i="7"/>
  <c r="X1371" i="7"/>
  <c r="Y1371" i="7"/>
  <c r="W1372" i="7"/>
  <c r="X1372" i="7"/>
  <c r="Y1372" i="7"/>
  <c r="W1373" i="7"/>
  <c r="X1373" i="7"/>
  <c r="Y1373" i="7"/>
  <c r="W1374" i="7"/>
  <c r="X1374" i="7"/>
  <c r="Y1374" i="7"/>
  <c r="W1375" i="7"/>
  <c r="X1375" i="7"/>
  <c r="Y1375" i="7"/>
  <c r="W1376" i="7"/>
  <c r="X1376" i="7"/>
  <c r="Y1376" i="7"/>
  <c r="W1377" i="7"/>
  <c r="X1377" i="7"/>
  <c r="Y1377" i="7"/>
  <c r="W1378" i="7"/>
  <c r="X1378" i="7"/>
  <c r="Y1378" i="7"/>
  <c r="W1379" i="7"/>
  <c r="X1379" i="7"/>
  <c r="Y1379" i="7"/>
  <c r="W1380" i="7"/>
  <c r="X1380" i="7"/>
  <c r="Y1380" i="7"/>
  <c r="W1381" i="7"/>
  <c r="X1381" i="7"/>
  <c r="Y1381" i="7"/>
  <c r="W1382" i="7"/>
  <c r="X1382" i="7"/>
  <c r="Y1382" i="7"/>
  <c r="W1383" i="7"/>
  <c r="X1383" i="7"/>
  <c r="Y1383" i="7"/>
  <c r="W1384" i="7"/>
  <c r="X1384" i="7"/>
  <c r="Y1384" i="7"/>
  <c r="W1385" i="7"/>
  <c r="X1385" i="7"/>
  <c r="Y1385" i="7"/>
  <c r="W1386" i="7"/>
  <c r="X1386" i="7"/>
  <c r="Y1386" i="7"/>
  <c r="W1387" i="7"/>
  <c r="X1387" i="7"/>
  <c r="Y1387" i="7"/>
  <c r="W1388" i="7"/>
  <c r="X1388" i="7"/>
  <c r="Y1388" i="7"/>
  <c r="W1389" i="7"/>
  <c r="X1389" i="7"/>
  <c r="Y1389" i="7"/>
  <c r="W1390" i="7"/>
  <c r="X1390" i="7"/>
  <c r="Y1390" i="7"/>
  <c r="W1391" i="7"/>
  <c r="X1391" i="7"/>
  <c r="Y1391" i="7"/>
  <c r="W1392" i="7"/>
  <c r="X1392" i="7"/>
  <c r="Y1392" i="7"/>
  <c r="W1393" i="7"/>
  <c r="X1393" i="7"/>
  <c r="Y1393" i="7"/>
  <c r="W1394" i="7"/>
  <c r="X1394" i="7"/>
  <c r="Y1394" i="7"/>
  <c r="W1395" i="7"/>
  <c r="X1395" i="7"/>
  <c r="Y1395" i="7"/>
  <c r="W1396" i="7"/>
  <c r="X1396" i="7"/>
  <c r="Y1396" i="7"/>
  <c r="W1397" i="7"/>
  <c r="X1397" i="7"/>
  <c r="Y1397" i="7"/>
  <c r="W1398" i="7"/>
  <c r="X1398" i="7"/>
  <c r="Y1398" i="7"/>
  <c r="W1399" i="7"/>
  <c r="X1399" i="7"/>
  <c r="Y1399" i="7"/>
  <c r="W1400" i="7"/>
  <c r="X1400" i="7"/>
  <c r="Y1400" i="7"/>
  <c r="W1401" i="7"/>
  <c r="X1401" i="7"/>
  <c r="Y1401" i="7"/>
  <c r="W1402" i="7"/>
  <c r="X1402" i="7"/>
  <c r="Y1402" i="7"/>
  <c r="W1403" i="7"/>
  <c r="X1403" i="7"/>
  <c r="Y1403" i="7"/>
  <c r="W1404" i="7"/>
  <c r="X1404" i="7"/>
  <c r="Y1404" i="7"/>
  <c r="W1405" i="7"/>
  <c r="X1405" i="7"/>
  <c r="Y1405" i="7"/>
  <c r="W1406" i="7"/>
  <c r="X1406" i="7"/>
  <c r="Y1406" i="7"/>
  <c r="W1407" i="7"/>
  <c r="X1407" i="7"/>
  <c r="Y1407" i="7"/>
  <c r="W1408" i="7"/>
  <c r="X1408" i="7"/>
  <c r="Y1408" i="7"/>
  <c r="W1409" i="7"/>
  <c r="X1409" i="7"/>
  <c r="Y1409" i="7"/>
  <c r="W1410" i="7"/>
  <c r="X1410" i="7"/>
  <c r="Y1410" i="7"/>
  <c r="W1411" i="7"/>
  <c r="X1411" i="7"/>
  <c r="Y1411" i="7"/>
  <c r="W1412" i="7"/>
  <c r="X1412" i="7"/>
  <c r="Y1412" i="7"/>
  <c r="W1413" i="7"/>
  <c r="X1413" i="7"/>
  <c r="Y1413" i="7"/>
  <c r="W1414" i="7"/>
  <c r="X1414" i="7"/>
  <c r="Y1414" i="7"/>
  <c r="W1415" i="7"/>
  <c r="X1415" i="7"/>
  <c r="Y1415" i="7"/>
  <c r="W1416" i="7"/>
  <c r="X1416" i="7"/>
  <c r="Y1416" i="7"/>
  <c r="W1417" i="7"/>
  <c r="X1417" i="7"/>
  <c r="Y1417" i="7"/>
  <c r="W1418" i="7"/>
  <c r="X1418" i="7"/>
  <c r="Y1418" i="7"/>
  <c r="W1419" i="7"/>
  <c r="X1419" i="7"/>
  <c r="Y1419" i="7"/>
  <c r="W1420" i="7"/>
  <c r="X1420" i="7"/>
  <c r="Y1420" i="7"/>
  <c r="W1421" i="7"/>
  <c r="X1421" i="7"/>
  <c r="Y1421" i="7"/>
  <c r="W1422" i="7"/>
  <c r="X1422" i="7"/>
  <c r="Y1422" i="7"/>
  <c r="W1423" i="7"/>
  <c r="X1423" i="7"/>
  <c r="Y1423" i="7"/>
  <c r="W1424" i="7"/>
  <c r="X1424" i="7"/>
  <c r="Y1424" i="7"/>
  <c r="W1425" i="7"/>
  <c r="X1425" i="7"/>
  <c r="Y1425" i="7"/>
  <c r="W1426" i="7"/>
  <c r="X1426" i="7"/>
  <c r="Y1426" i="7"/>
  <c r="W1427" i="7"/>
  <c r="X1427" i="7"/>
  <c r="Y1427" i="7"/>
  <c r="W1428" i="7"/>
  <c r="X1428" i="7"/>
  <c r="Y1428" i="7"/>
  <c r="W1429" i="7"/>
  <c r="X1429" i="7"/>
  <c r="Y1429" i="7"/>
  <c r="W1430" i="7"/>
  <c r="X1430" i="7"/>
  <c r="Y1430" i="7"/>
  <c r="W1431" i="7"/>
  <c r="X1431" i="7"/>
  <c r="Y1431" i="7"/>
  <c r="W1432" i="7"/>
  <c r="X1432" i="7"/>
  <c r="Y1432" i="7"/>
  <c r="W1433" i="7"/>
  <c r="X1433" i="7"/>
  <c r="Y1433" i="7"/>
  <c r="W1434" i="7"/>
  <c r="X1434" i="7"/>
  <c r="Y1434" i="7"/>
  <c r="W1435" i="7"/>
  <c r="X1435" i="7"/>
  <c r="Y1435" i="7"/>
  <c r="W1436" i="7"/>
  <c r="X1436" i="7"/>
  <c r="Y1436" i="7"/>
  <c r="W1437" i="7"/>
  <c r="X1437" i="7"/>
  <c r="Y1437" i="7"/>
  <c r="W1438" i="7"/>
  <c r="X1438" i="7"/>
  <c r="Y1438" i="7"/>
  <c r="W1439" i="7"/>
  <c r="X1439" i="7"/>
  <c r="Y1439" i="7"/>
  <c r="W1440" i="7"/>
  <c r="X1440" i="7"/>
  <c r="Y1440" i="7"/>
  <c r="W1441" i="7"/>
  <c r="X1441" i="7"/>
  <c r="Y1441" i="7"/>
  <c r="W1442" i="7"/>
  <c r="X1442" i="7"/>
  <c r="Y1442" i="7"/>
  <c r="W1443" i="7"/>
  <c r="X1443" i="7"/>
  <c r="Y1443" i="7"/>
  <c r="W1444" i="7"/>
  <c r="X1444" i="7"/>
  <c r="Y1444" i="7"/>
  <c r="W1445" i="7"/>
  <c r="X1445" i="7"/>
  <c r="Y1445" i="7"/>
  <c r="W1446" i="7"/>
  <c r="X1446" i="7"/>
  <c r="Y1446" i="7"/>
  <c r="W1447" i="7"/>
  <c r="X1447" i="7"/>
  <c r="Y1447" i="7"/>
  <c r="W1448" i="7"/>
  <c r="X1448" i="7"/>
  <c r="Y1448" i="7"/>
  <c r="W1449" i="7"/>
  <c r="X1449" i="7"/>
  <c r="Y1449" i="7"/>
  <c r="W1450" i="7"/>
  <c r="X1450" i="7"/>
  <c r="Y1450" i="7"/>
  <c r="W1451" i="7"/>
  <c r="X1451" i="7"/>
  <c r="Y1451" i="7"/>
  <c r="W1452" i="7"/>
  <c r="X1452" i="7"/>
  <c r="Y1452" i="7"/>
  <c r="W1453" i="7"/>
  <c r="X1453" i="7"/>
  <c r="Y1453" i="7"/>
  <c r="W1454" i="7"/>
  <c r="X1454" i="7"/>
  <c r="Y1454" i="7"/>
  <c r="W1455" i="7"/>
  <c r="X1455" i="7"/>
  <c r="Y1455" i="7"/>
  <c r="W1456" i="7"/>
  <c r="X1456" i="7"/>
  <c r="Y1456" i="7"/>
  <c r="W1457" i="7"/>
  <c r="X1457" i="7"/>
  <c r="Y1457" i="7"/>
  <c r="W1458" i="7"/>
  <c r="X1458" i="7"/>
  <c r="Y1458" i="7"/>
  <c r="W1459" i="7"/>
  <c r="X1459" i="7"/>
  <c r="Y1459" i="7"/>
  <c r="W1460" i="7"/>
  <c r="X1460" i="7"/>
  <c r="Y1460" i="7"/>
  <c r="W1461" i="7"/>
  <c r="X1461" i="7"/>
  <c r="Y1461" i="7"/>
  <c r="W1462" i="7"/>
  <c r="X1462" i="7"/>
  <c r="Y1462" i="7"/>
  <c r="W1463" i="7"/>
  <c r="X1463" i="7"/>
  <c r="Y1463" i="7"/>
  <c r="W1464" i="7"/>
  <c r="X1464" i="7"/>
  <c r="Y1464" i="7"/>
  <c r="W1465" i="7"/>
  <c r="X1465" i="7"/>
  <c r="Y1465" i="7"/>
  <c r="W1466" i="7"/>
  <c r="X1466" i="7"/>
  <c r="Y1466" i="7"/>
  <c r="W1467" i="7"/>
  <c r="X1467" i="7"/>
  <c r="Y1467" i="7"/>
  <c r="W1468" i="7"/>
  <c r="X1468" i="7"/>
  <c r="Y1468" i="7"/>
  <c r="W1469" i="7"/>
  <c r="X1469" i="7"/>
  <c r="Y1469" i="7"/>
  <c r="W1470" i="7"/>
  <c r="X1470" i="7"/>
  <c r="Y1470" i="7"/>
  <c r="W1471" i="7"/>
  <c r="X1471" i="7"/>
  <c r="Y1471" i="7"/>
  <c r="W1472" i="7"/>
  <c r="X1472" i="7"/>
  <c r="Y1472" i="7"/>
  <c r="W1473" i="7"/>
  <c r="X1473" i="7"/>
  <c r="Y1473" i="7"/>
  <c r="W1474" i="7"/>
  <c r="X1474" i="7"/>
  <c r="Y1474" i="7"/>
  <c r="W1475" i="7"/>
  <c r="X1475" i="7"/>
  <c r="Y1475" i="7"/>
  <c r="W1476" i="7"/>
  <c r="X1476" i="7"/>
  <c r="Y1476" i="7"/>
  <c r="W1477" i="7"/>
  <c r="X1477" i="7"/>
  <c r="Y1477" i="7"/>
  <c r="W1478" i="7"/>
  <c r="X1478" i="7"/>
  <c r="Y1478" i="7"/>
  <c r="W1479" i="7"/>
  <c r="X1479" i="7"/>
  <c r="Y1479" i="7"/>
  <c r="W1480" i="7"/>
  <c r="X1480" i="7"/>
  <c r="Y1480" i="7"/>
  <c r="W1481" i="7"/>
  <c r="X1481" i="7"/>
  <c r="Y1481" i="7"/>
  <c r="W1482" i="7"/>
  <c r="X1482" i="7"/>
  <c r="Y1482" i="7"/>
  <c r="W1483" i="7"/>
  <c r="X1483" i="7"/>
  <c r="Y1483" i="7"/>
  <c r="W1484" i="7"/>
  <c r="X1484" i="7"/>
  <c r="Y1484" i="7"/>
  <c r="W1485" i="7"/>
  <c r="X1485" i="7"/>
  <c r="Y1485" i="7"/>
  <c r="W1486" i="7"/>
  <c r="X1486" i="7"/>
  <c r="Y1486" i="7"/>
  <c r="W1487" i="7"/>
  <c r="X1487" i="7"/>
  <c r="Y1487" i="7"/>
  <c r="W1488" i="7"/>
  <c r="X1488" i="7"/>
  <c r="Y1488" i="7"/>
  <c r="W1489" i="7"/>
  <c r="X1489" i="7"/>
  <c r="Y1489" i="7"/>
  <c r="W1490" i="7"/>
  <c r="X1490" i="7"/>
  <c r="Y1490" i="7"/>
  <c r="W1491" i="7"/>
  <c r="X1491" i="7"/>
  <c r="Y1491" i="7"/>
  <c r="W1492" i="7"/>
  <c r="X1492" i="7"/>
  <c r="Y1492" i="7"/>
  <c r="W1493" i="7"/>
  <c r="X1493" i="7"/>
  <c r="Y1493" i="7"/>
  <c r="W1494" i="7"/>
  <c r="X1494" i="7"/>
  <c r="Y1494" i="7"/>
  <c r="W1495" i="7"/>
  <c r="X1495" i="7"/>
  <c r="Y1495" i="7"/>
  <c r="W1496" i="7"/>
  <c r="X1496" i="7"/>
  <c r="Y1496" i="7"/>
  <c r="W1497" i="7"/>
  <c r="X1497" i="7"/>
  <c r="Y1497" i="7"/>
  <c r="W1498" i="7"/>
  <c r="X1498" i="7"/>
  <c r="Y1498" i="7"/>
  <c r="W1499" i="7"/>
  <c r="X1499" i="7"/>
  <c r="Y1499" i="7"/>
  <c r="W1500" i="7"/>
  <c r="X1500" i="7"/>
  <c r="Y1500" i="7"/>
  <c r="W1501" i="7"/>
  <c r="X1501" i="7"/>
  <c r="Y1501" i="7"/>
  <c r="W1502" i="7"/>
  <c r="X1502" i="7"/>
  <c r="Y1502" i="7"/>
  <c r="W1503" i="7"/>
  <c r="X1503" i="7"/>
  <c r="Y1503" i="7"/>
  <c r="W1504" i="7"/>
  <c r="X1504" i="7"/>
  <c r="Y1504" i="7"/>
  <c r="W1505" i="7"/>
  <c r="X1505" i="7"/>
  <c r="Y1505" i="7"/>
  <c r="W1506" i="7"/>
  <c r="X1506" i="7"/>
  <c r="Y1506" i="7"/>
  <c r="W1507" i="7"/>
  <c r="X1507" i="7"/>
  <c r="Y1507" i="7"/>
  <c r="W1508" i="7"/>
  <c r="X1508" i="7"/>
  <c r="Y1508" i="7"/>
  <c r="W1509" i="7"/>
  <c r="X1509" i="7"/>
  <c r="Y1509" i="7"/>
  <c r="W1510" i="7"/>
  <c r="X1510" i="7"/>
  <c r="Y1510" i="7"/>
  <c r="W1511" i="7"/>
  <c r="X1511" i="7"/>
  <c r="Y1511" i="7"/>
  <c r="W1512" i="7"/>
  <c r="X1512" i="7"/>
  <c r="Y1512" i="7"/>
  <c r="W1513" i="7"/>
  <c r="X1513" i="7"/>
  <c r="Y1513" i="7"/>
  <c r="W1514" i="7"/>
  <c r="X1514" i="7"/>
  <c r="Y1514" i="7"/>
  <c r="W1515" i="7"/>
  <c r="X1515" i="7"/>
  <c r="Y1515" i="7"/>
  <c r="W1516" i="7"/>
  <c r="X1516" i="7"/>
  <c r="Y1516" i="7"/>
  <c r="W1517" i="7"/>
  <c r="X1517" i="7"/>
  <c r="Y1517" i="7"/>
  <c r="W1518" i="7"/>
  <c r="X1518" i="7"/>
  <c r="Y1518" i="7"/>
  <c r="W1519" i="7"/>
  <c r="X1519" i="7"/>
  <c r="Y1519" i="7"/>
  <c r="W1520" i="7"/>
  <c r="X1520" i="7"/>
  <c r="Y1520" i="7"/>
  <c r="W1521" i="7"/>
  <c r="X1521" i="7"/>
  <c r="Y1521" i="7"/>
  <c r="W1522" i="7"/>
  <c r="X1522" i="7"/>
  <c r="Y1522" i="7"/>
  <c r="W1523" i="7"/>
  <c r="X1523" i="7"/>
  <c r="Y1523" i="7"/>
  <c r="W1524" i="7"/>
  <c r="X1524" i="7"/>
  <c r="Y1524" i="7"/>
  <c r="W1525" i="7"/>
  <c r="X1525" i="7"/>
  <c r="Y1525" i="7"/>
  <c r="W1526" i="7"/>
  <c r="X1526" i="7"/>
  <c r="Y1526" i="7"/>
  <c r="W1527" i="7"/>
  <c r="X1527" i="7"/>
  <c r="Y1527" i="7"/>
  <c r="W1528" i="7"/>
  <c r="X1528" i="7"/>
  <c r="Y1528" i="7"/>
  <c r="W1529" i="7"/>
  <c r="X1529" i="7"/>
  <c r="Y1529" i="7"/>
  <c r="W1530" i="7"/>
  <c r="X1530" i="7"/>
  <c r="Y1530" i="7"/>
  <c r="W1531" i="7"/>
  <c r="X1531" i="7"/>
  <c r="Y1531" i="7"/>
  <c r="W1532" i="7"/>
  <c r="X1532" i="7"/>
  <c r="Y1532" i="7"/>
  <c r="W1533" i="7"/>
  <c r="X1533" i="7"/>
  <c r="Y1533" i="7"/>
  <c r="W1534" i="7"/>
  <c r="X1534" i="7"/>
  <c r="Y1534" i="7"/>
  <c r="W1535" i="7"/>
  <c r="X1535" i="7"/>
  <c r="Y1535" i="7"/>
  <c r="W1536" i="7"/>
  <c r="X1536" i="7"/>
  <c r="Y1536" i="7"/>
  <c r="W1537" i="7"/>
  <c r="X1537" i="7"/>
  <c r="Y1537" i="7"/>
  <c r="W1538" i="7"/>
  <c r="X1538" i="7"/>
  <c r="Y1538" i="7"/>
  <c r="W1539" i="7"/>
  <c r="X1539" i="7"/>
  <c r="Y1539" i="7"/>
  <c r="W1540" i="7"/>
  <c r="X1540" i="7"/>
  <c r="Y1540" i="7"/>
  <c r="W1541" i="7"/>
  <c r="X1541" i="7"/>
  <c r="Y1541" i="7"/>
  <c r="W1542" i="7"/>
  <c r="X1542" i="7"/>
  <c r="Y1542" i="7"/>
  <c r="W1543" i="7"/>
  <c r="X1543" i="7"/>
  <c r="Y1543" i="7"/>
  <c r="W1544" i="7"/>
  <c r="X1544" i="7"/>
  <c r="Y1544" i="7"/>
  <c r="W1545" i="7"/>
  <c r="X1545" i="7"/>
  <c r="Y1545" i="7"/>
  <c r="W1546" i="7"/>
  <c r="X1546" i="7"/>
  <c r="Y1546" i="7"/>
  <c r="W1547" i="7"/>
  <c r="X1547" i="7"/>
  <c r="Y1547" i="7"/>
  <c r="W1548" i="7"/>
  <c r="X1548" i="7"/>
  <c r="Y1548" i="7"/>
  <c r="W1549" i="7"/>
  <c r="X1549" i="7"/>
  <c r="Y1549" i="7"/>
  <c r="W1550" i="7"/>
  <c r="X1550" i="7"/>
  <c r="Y1550" i="7"/>
  <c r="W1551" i="7"/>
  <c r="X1551" i="7"/>
  <c r="Y1551" i="7"/>
  <c r="W1552" i="7"/>
  <c r="X1552" i="7"/>
  <c r="Y1552" i="7"/>
  <c r="W1553" i="7"/>
  <c r="X1553" i="7"/>
  <c r="Y1553" i="7"/>
  <c r="W1554" i="7"/>
  <c r="X1554" i="7"/>
  <c r="Y1554" i="7"/>
  <c r="W1555" i="7"/>
  <c r="X1555" i="7"/>
  <c r="Y1555" i="7"/>
  <c r="W1556" i="7"/>
  <c r="X1556" i="7"/>
  <c r="Y1556" i="7"/>
  <c r="W1557" i="7"/>
  <c r="X1557" i="7"/>
  <c r="Y1557" i="7"/>
  <c r="W1558" i="7"/>
  <c r="X1558" i="7"/>
  <c r="Y1558" i="7"/>
  <c r="W1559" i="7"/>
  <c r="X1559" i="7"/>
  <c r="Y1559" i="7"/>
  <c r="W1560" i="7"/>
  <c r="X1560" i="7"/>
  <c r="Y1560" i="7"/>
  <c r="W1561" i="7"/>
  <c r="X1561" i="7"/>
  <c r="Y1561" i="7"/>
  <c r="W1562" i="7"/>
  <c r="X1562" i="7"/>
  <c r="Y1562" i="7"/>
  <c r="W1563" i="7"/>
  <c r="X1563" i="7"/>
  <c r="Y1563" i="7"/>
  <c r="W1564" i="7"/>
  <c r="X1564" i="7"/>
  <c r="Y1564" i="7"/>
  <c r="W1565" i="7"/>
  <c r="X1565" i="7"/>
  <c r="Y1565" i="7"/>
  <c r="W1566" i="7"/>
  <c r="X1566" i="7"/>
  <c r="Y1566" i="7"/>
  <c r="W1567" i="7"/>
  <c r="X1567" i="7"/>
  <c r="Y1567" i="7"/>
  <c r="W1568" i="7"/>
  <c r="X1568" i="7"/>
  <c r="Y1568" i="7"/>
  <c r="W1569" i="7"/>
  <c r="X1569" i="7"/>
  <c r="Y1569" i="7"/>
  <c r="W1570" i="7"/>
  <c r="X1570" i="7"/>
  <c r="Y1570" i="7"/>
  <c r="W1571" i="7"/>
  <c r="X1571" i="7"/>
  <c r="Y1571" i="7"/>
  <c r="W1572" i="7"/>
  <c r="X1572" i="7"/>
  <c r="Y1572" i="7"/>
  <c r="W1573" i="7"/>
  <c r="X1573" i="7"/>
  <c r="Y1573" i="7"/>
  <c r="W1574" i="7"/>
  <c r="X1574" i="7"/>
  <c r="Y1574" i="7"/>
  <c r="W1575" i="7"/>
  <c r="X1575" i="7"/>
  <c r="Y1575" i="7"/>
  <c r="W1576" i="7"/>
  <c r="X1576" i="7"/>
  <c r="Y1576" i="7"/>
  <c r="W1577" i="7"/>
  <c r="X1577" i="7"/>
  <c r="Y1577" i="7"/>
  <c r="W1578" i="7"/>
  <c r="X1578" i="7"/>
  <c r="Y1578" i="7"/>
  <c r="W1579" i="7"/>
  <c r="X1579" i="7"/>
  <c r="Y1579" i="7"/>
  <c r="W1580" i="7"/>
  <c r="X1580" i="7"/>
  <c r="Y1580" i="7"/>
  <c r="W1581" i="7"/>
  <c r="X1581" i="7"/>
  <c r="Y1581" i="7"/>
  <c r="W1582" i="7"/>
  <c r="X1582" i="7"/>
  <c r="Y1582" i="7"/>
  <c r="W1583" i="7"/>
  <c r="X1583" i="7"/>
  <c r="Y1583" i="7"/>
  <c r="W1584" i="7"/>
  <c r="X1584" i="7"/>
  <c r="Y1584" i="7"/>
  <c r="W1585" i="7"/>
  <c r="X1585" i="7"/>
  <c r="Y1585" i="7"/>
  <c r="W1586" i="7"/>
  <c r="X1586" i="7"/>
  <c r="Y1586" i="7"/>
  <c r="W1587" i="7"/>
  <c r="X1587" i="7"/>
  <c r="Y1587" i="7"/>
  <c r="W1588" i="7"/>
  <c r="X1588" i="7"/>
  <c r="Y1588" i="7"/>
  <c r="W1589" i="7"/>
  <c r="X1589" i="7"/>
  <c r="Y1589" i="7"/>
  <c r="W1590" i="7"/>
  <c r="X1590" i="7"/>
  <c r="Y1590" i="7"/>
  <c r="W1591" i="7"/>
  <c r="X1591" i="7"/>
  <c r="Y1591" i="7"/>
  <c r="W1592" i="7"/>
  <c r="X1592" i="7"/>
  <c r="Y1592" i="7"/>
  <c r="W1593" i="7"/>
  <c r="X1593" i="7"/>
  <c r="Y1593" i="7"/>
  <c r="W1594" i="7"/>
  <c r="X1594" i="7"/>
  <c r="Y1594" i="7"/>
  <c r="W1595" i="7"/>
  <c r="X1595" i="7"/>
  <c r="Y1595" i="7"/>
  <c r="W1596" i="7"/>
  <c r="X1596" i="7"/>
  <c r="Y1596" i="7"/>
  <c r="W1597" i="7"/>
  <c r="X1597" i="7"/>
  <c r="Y1597" i="7"/>
  <c r="W1598" i="7"/>
  <c r="X1598" i="7"/>
  <c r="Y1598" i="7"/>
  <c r="W1599" i="7"/>
  <c r="X1599" i="7"/>
  <c r="Y1599" i="7"/>
  <c r="W1600" i="7"/>
  <c r="X1600" i="7"/>
  <c r="Y1600" i="7"/>
  <c r="W1601" i="7"/>
  <c r="X1601" i="7"/>
  <c r="Y1601" i="7"/>
  <c r="W1602" i="7"/>
  <c r="X1602" i="7"/>
  <c r="Y1602" i="7"/>
  <c r="W1603" i="7"/>
  <c r="X1603" i="7"/>
  <c r="Y1603" i="7"/>
  <c r="W1604" i="7"/>
  <c r="X1604" i="7"/>
  <c r="Y1604" i="7"/>
  <c r="W1605" i="7"/>
  <c r="X1605" i="7"/>
  <c r="Y1605" i="7"/>
  <c r="W1606" i="7"/>
  <c r="X1606" i="7"/>
  <c r="Y1606" i="7"/>
  <c r="W1607" i="7"/>
  <c r="X1607" i="7"/>
  <c r="Y1607" i="7"/>
  <c r="W1608" i="7"/>
  <c r="X1608" i="7"/>
  <c r="Y1608" i="7"/>
  <c r="W1609" i="7"/>
  <c r="X1609" i="7"/>
  <c r="Y1609" i="7"/>
  <c r="W1610" i="7"/>
  <c r="X1610" i="7"/>
  <c r="Y1610" i="7"/>
  <c r="W1611" i="7"/>
  <c r="X1611" i="7"/>
  <c r="Y1611" i="7"/>
  <c r="W1612" i="7"/>
  <c r="X1612" i="7"/>
  <c r="Y1612" i="7"/>
  <c r="W1613" i="7"/>
  <c r="X1613" i="7"/>
  <c r="Y1613" i="7"/>
  <c r="W1614" i="7"/>
  <c r="X1614" i="7"/>
  <c r="Y1614" i="7"/>
  <c r="W1615" i="7"/>
  <c r="X1615" i="7"/>
  <c r="Y1615" i="7"/>
  <c r="W1616" i="7"/>
  <c r="X1616" i="7"/>
  <c r="Y1616" i="7"/>
  <c r="W1617" i="7"/>
  <c r="X1617" i="7"/>
  <c r="Y1617" i="7"/>
  <c r="W1618" i="7"/>
  <c r="X1618" i="7"/>
  <c r="Y1618" i="7"/>
  <c r="W1619" i="7"/>
  <c r="X1619" i="7"/>
  <c r="Y1619" i="7"/>
  <c r="W1620" i="7"/>
  <c r="X1620" i="7"/>
  <c r="Y1620" i="7"/>
  <c r="W1621" i="7"/>
  <c r="X1621" i="7"/>
  <c r="Y1621" i="7"/>
  <c r="W1622" i="7"/>
  <c r="X1622" i="7"/>
  <c r="Y1622" i="7"/>
  <c r="W1623" i="7"/>
  <c r="X1623" i="7"/>
  <c r="Y1623" i="7"/>
  <c r="W1624" i="7"/>
  <c r="X1624" i="7"/>
  <c r="Y1624" i="7"/>
  <c r="W1625" i="7"/>
  <c r="X1625" i="7"/>
  <c r="Y1625" i="7"/>
  <c r="W1626" i="7"/>
  <c r="X1626" i="7"/>
  <c r="Y1626" i="7"/>
  <c r="W1627" i="7"/>
  <c r="X1627" i="7"/>
  <c r="Y1627" i="7"/>
  <c r="W1628" i="7"/>
  <c r="X1628" i="7"/>
  <c r="Y1628" i="7"/>
  <c r="W1629" i="7"/>
  <c r="X1629" i="7"/>
  <c r="Y1629" i="7"/>
  <c r="W1630" i="7"/>
  <c r="X1630" i="7"/>
  <c r="Y1630" i="7"/>
  <c r="W1631" i="7"/>
  <c r="X1631" i="7"/>
  <c r="Y1631" i="7"/>
  <c r="W1632" i="7"/>
  <c r="X1632" i="7"/>
  <c r="Y1632" i="7"/>
  <c r="W1633" i="7"/>
  <c r="X1633" i="7"/>
  <c r="Y1633" i="7"/>
  <c r="W1634" i="7"/>
  <c r="X1634" i="7"/>
  <c r="Y1634" i="7"/>
  <c r="W1635" i="7"/>
  <c r="X1635" i="7"/>
  <c r="Y1635" i="7"/>
  <c r="W1636" i="7"/>
  <c r="X1636" i="7"/>
  <c r="Y1636" i="7"/>
  <c r="W1637" i="7"/>
  <c r="X1637" i="7"/>
  <c r="Y1637" i="7"/>
  <c r="W1638" i="7"/>
  <c r="X1638" i="7"/>
  <c r="Y1638" i="7"/>
  <c r="W1639" i="7"/>
  <c r="X1639" i="7"/>
  <c r="Y1639" i="7"/>
  <c r="W1640" i="7"/>
  <c r="X1640" i="7"/>
  <c r="Y1640" i="7"/>
  <c r="W1641" i="7"/>
  <c r="X1641" i="7"/>
  <c r="Y1641" i="7"/>
  <c r="W1642" i="7"/>
  <c r="X1642" i="7"/>
  <c r="Y1642" i="7"/>
  <c r="W1643" i="7"/>
  <c r="X1643" i="7"/>
  <c r="Y1643" i="7"/>
  <c r="W1644" i="7"/>
  <c r="X1644" i="7"/>
  <c r="Y1644" i="7"/>
  <c r="W1645" i="7"/>
  <c r="X1645" i="7"/>
  <c r="Y1645" i="7"/>
  <c r="W1646" i="7"/>
  <c r="X1646" i="7"/>
  <c r="Y1646" i="7"/>
  <c r="W1647" i="7"/>
  <c r="X1647" i="7"/>
  <c r="Y1647" i="7"/>
  <c r="W1648" i="7"/>
  <c r="X1648" i="7"/>
  <c r="Y1648" i="7"/>
  <c r="W1649" i="7"/>
  <c r="X1649" i="7"/>
  <c r="Y1649" i="7"/>
  <c r="W1650" i="7"/>
  <c r="X1650" i="7"/>
  <c r="Y1650" i="7"/>
  <c r="W1651" i="7"/>
  <c r="X1651" i="7"/>
  <c r="Y1651" i="7"/>
  <c r="W1652" i="7"/>
  <c r="X1652" i="7"/>
  <c r="Y1652" i="7"/>
  <c r="W1653" i="7"/>
  <c r="X1653" i="7"/>
  <c r="Y1653" i="7"/>
  <c r="W1654" i="7"/>
  <c r="X1654" i="7"/>
  <c r="Y1654" i="7"/>
  <c r="W1655" i="7"/>
  <c r="X1655" i="7"/>
  <c r="Y1655" i="7"/>
  <c r="W1656" i="7"/>
  <c r="X1656" i="7"/>
  <c r="Y1656" i="7"/>
  <c r="W1657" i="7"/>
  <c r="X1657" i="7"/>
  <c r="Y1657" i="7"/>
  <c r="W1658" i="7"/>
  <c r="X1658" i="7"/>
  <c r="Y1658" i="7"/>
  <c r="W1659" i="7"/>
  <c r="X1659" i="7"/>
  <c r="Y1659" i="7"/>
  <c r="W1660" i="7"/>
  <c r="X1660" i="7"/>
  <c r="Y1660" i="7"/>
  <c r="W1661" i="7"/>
  <c r="X1661" i="7"/>
  <c r="Y1661" i="7"/>
  <c r="W1662" i="7"/>
  <c r="X1662" i="7"/>
  <c r="Y1662" i="7"/>
  <c r="W1663" i="7"/>
  <c r="X1663" i="7"/>
  <c r="Y1663" i="7"/>
  <c r="W1664" i="7"/>
  <c r="X1664" i="7"/>
  <c r="Y1664" i="7"/>
  <c r="W1665" i="7"/>
  <c r="X1665" i="7"/>
  <c r="Y1665" i="7"/>
  <c r="W1666" i="7"/>
  <c r="X1666" i="7"/>
  <c r="Y1666" i="7"/>
  <c r="W1667" i="7"/>
  <c r="X1667" i="7"/>
  <c r="Y1667" i="7"/>
  <c r="W1668" i="7"/>
  <c r="X1668" i="7"/>
  <c r="Y1668" i="7"/>
  <c r="W1669" i="7"/>
  <c r="X1669" i="7"/>
  <c r="Y1669" i="7"/>
  <c r="W1670" i="7"/>
  <c r="X1670" i="7"/>
  <c r="Y1670" i="7"/>
  <c r="W1671" i="7"/>
  <c r="X1671" i="7"/>
  <c r="Y1671" i="7"/>
  <c r="W1672" i="7"/>
  <c r="X1672" i="7"/>
  <c r="Y1672" i="7"/>
  <c r="W1673" i="7"/>
  <c r="X1673" i="7"/>
  <c r="Y1673" i="7"/>
  <c r="W1674" i="7"/>
  <c r="X1674" i="7"/>
  <c r="Y1674" i="7"/>
  <c r="W1675" i="7"/>
  <c r="X1675" i="7"/>
  <c r="Y1675" i="7"/>
  <c r="W1676" i="7"/>
  <c r="X1676" i="7"/>
  <c r="Y1676" i="7"/>
  <c r="W1677" i="7"/>
  <c r="X1677" i="7"/>
  <c r="Y1677" i="7"/>
  <c r="W1678" i="7"/>
  <c r="X1678" i="7"/>
  <c r="Y1678" i="7"/>
  <c r="W1679" i="7"/>
  <c r="X1679" i="7"/>
  <c r="Y1679" i="7"/>
  <c r="W1680" i="7"/>
  <c r="X1680" i="7"/>
  <c r="Y1680" i="7"/>
  <c r="W1681" i="7"/>
  <c r="X1681" i="7"/>
  <c r="Y1681" i="7"/>
  <c r="W1682" i="7"/>
  <c r="X1682" i="7"/>
  <c r="Y1682" i="7"/>
  <c r="W1683" i="7"/>
  <c r="X1683" i="7"/>
  <c r="Y1683" i="7"/>
  <c r="W1684" i="7"/>
  <c r="X1684" i="7"/>
  <c r="Y1684" i="7"/>
  <c r="W1685" i="7"/>
  <c r="X1685" i="7"/>
  <c r="Y1685" i="7"/>
  <c r="W1686" i="7"/>
  <c r="X1686" i="7"/>
  <c r="Y1686" i="7"/>
  <c r="W1687" i="7"/>
  <c r="X1687" i="7"/>
  <c r="Y1687" i="7"/>
  <c r="W1688" i="7"/>
  <c r="X1688" i="7"/>
  <c r="Y1688" i="7"/>
  <c r="W1689" i="7"/>
  <c r="X1689" i="7"/>
  <c r="Y1689" i="7"/>
  <c r="W1690" i="7"/>
  <c r="X1690" i="7"/>
  <c r="Y1690" i="7"/>
  <c r="W1691" i="7"/>
  <c r="X1691" i="7"/>
  <c r="Y1691" i="7"/>
  <c r="W1692" i="7"/>
  <c r="X1692" i="7"/>
  <c r="Y1692" i="7"/>
  <c r="W1693" i="7"/>
  <c r="X1693" i="7"/>
  <c r="Y1693" i="7"/>
  <c r="W1694" i="7"/>
  <c r="X1694" i="7"/>
  <c r="Y1694" i="7"/>
  <c r="W1695" i="7"/>
  <c r="X1695" i="7"/>
  <c r="Y1695" i="7"/>
  <c r="W1696" i="7"/>
  <c r="X1696" i="7"/>
  <c r="Y1696" i="7"/>
  <c r="W1697" i="7"/>
  <c r="X1697" i="7"/>
  <c r="Y1697" i="7"/>
  <c r="W1698" i="7"/>
  <c r="X1698" i="7"/>
  <c r="Y1698" i="7"/>
  <c r="W1699" i="7"/>
  <c r="X1699" i="7"/>
  <c r="Y1699" i="7"/>
  <c r="W1700" i="7"/>
  <c r="X1700" i="7"/>
  <c r="Y1700" i="7"/>
  <c r="W1701" i="7"/>
  <c r="X1701" i="7"/>
  <c r="Y1701" i="7"/>
  <c r="W1702" i="7"/>
  <c r="X1702" i="7"/>
  <c r="Y1702" i="7"/>
  <c r="W1703" i="7"/>
  <c r="X1703" i="7"/>
  <c r="Y1703" i="7"/>
  <c r="W1704" i="7"/>
  <c r="X1704" i="7"/>
  <c r="Y1704" i="7"/>
  <c r="W1705" i="7"/>
  <c r="X1705" i="7"/>
  <c r="Y1705" i="7"/>
  <c r="W1706" i="7"/>
  <c r="X1706" i="7"/>
  <c r="Y1706" i="7"/>
  <c r="W1707" i="7"/>
  <c r="X1707" i="7"/>
  <c r="Y1707" i="7"/>
  <c r="W1708" i="7"/>
  <c r="X1708" i="7"/>
  <c r="Y1708" i="7"/>
  <c r="W1709" i="7"/>
  <c r="X1709" i="7"/>
  <c r="Y1709" i="7"/>
  <c r="W1710" i="7"/>
  <c r="X1710" i="7"/>
  <c r="Y1710" i="7"/>
  <c r="W1711" i="7"/>
  <c r="X1711" i="7"/>
  <c r="Y1711" i="7"/>
  <c r="W1712" i="7"/>
  <c r="X1712" i="7"/>
  <c r="Y1712" i="7"/>
  <c r="W1713" i="7"/>
  <c r="X1713" i="7"/>
  <c r="Y1713" i="7"/>
  <c r="W1714" i="7"/>
  <c r="X1714" i="7"/>
  <c r="Y1714" i="7"/>
  <c r="W1715" i="7"/>
  <c r="X1715" i="7"/>
  <c r="Y1715" i="7"/>
  <c r="W1716" i="7"/>
  <c r="X1716" i="7"/>
  <c r="Y1716" i="7"/>
  <c r="W1717" i="7"/>
  <c r="X1717" i="7"/>
  <c r="Y1717" i="7"/>
  <c r="W1718" i="7"/>
  <c r="X1718" i="7"/>
  <c r="Y1718" i="7"/>
  <c r="W1719" i="7"/>
  <c r="X1719" i="7"/>
  <c r="Y1719" i="7"/>
  <c r="W1720" i="7"/>
  <c r="X1720" i="7"/>
  <c r="Y1720" i="7"/>
  <c r="W1721" i="7"/>
  <c r="X1721" i="7"/>
  <c r="Y1721" i="7"/>
  <c r="W1722" i="7"/>
  <c r="X1722" i="7"/>
  <c r="Y1722" i="7"/>
  <c r="W1723" i="7"/>
  <c r="X1723" i="7"/>
  <c r="Y1723" i="7"/>
  <c r="W1724" i="7"/>
  <c r="X1724" i="7"/>
  <c r="Y1724" i="7"/>
  <c r="W1725" i="7"/>
  <c r="X1725" i="7"/>
  <c r="Y1725" i="7"/>
  <c r="W1726" i="7"/>
  <c r="X1726" i="7"/>
  <c r="Y1726" i="7"/>
  <c r="W1727" i="7"/>
  <c r="X1727" i="7"/>
  <c r="Y1727" i="7"/>
  <c r="W1728" i="7"/>
  <c r="X1728" i="7"/>
  <c r="Y1728" i="7"/>
  <c r="W1729" i="7"/>
  <c r="X1729" i="7"/>
  <c r="Y1729" i="7"/>
  <c r="W1730" i="7"/>
  <c r="X1730" i="7"/>
  <c r="Y1730" i="7"/>
  <c r="W1731" i="7"/>
  <c r="X1731" i="7"/>
  <c r="Y1731" i="7"/>
  <c r="W1732" i="7"/>
  <c r="X1732" i="7"/>
  <c r="Y1732" i="7"/>
  <c r="W1733" i="7"/>
  <c r="X1733" i="7"/>
  <c r="Y1733" i="7"/>
  <c r="W1734" i="7"/>
  <c r="X1734" i="7"/>
  <c r="Y1734" i="7"/>
  <c r="W1735" i="7"/>
  <c r="X1735" i="7"/>
  <c r="Y1735" i="7"/>
  <c r="W1736" i="7"/>
  <c r="X1736" i="7"/>
  <c r="Y1736" i="7"/>
  <c r="W1737" i="7"/>
  <c r="X1737" i="7"/>
  <c r="Y1737" i="7"/>
  <c r="W1738" i="7"/>
  <c r="X1738" i="7"/>
  <c r="Y1738" i="7"/>
  <c r="W1739" i="7"/>
  <c r="X1739" i="7"/>
  <c r="Y1739" i="7"/>
  <c r="W1740" i="7"/>
  <c r="X1740" i="7"/>
  <c r="Y1740" i="7"/>
  <c r="W1741" i="7"/>
  <c r="X1741" i="7"/>
  <c r="Y1741" i="7"/>
  <c r="W1742" i="7"/>
  <c r="X1742" i="7"/>
  <c r="Y1742" i="7"/>
  <c r="W1743" i="7"/>
  <c r="X1743" i="7"/>
  <c r="Y1743" i="7"/>
  <c r="W1744" i="7"/>
  <c r="X1744" i="7"/>
  <c r="Y1744" i="7"/>
  <c r="W1745" i="7"/>
  <c r="X1745" i="7"/>
  <c r="Y1745" i="7"/>
  <c r="W1746" i="7"/>
  <c r="X1746" i="7"/>
  <c r="Y1746" i="7"/>
  <c r="W1747" i="7"/>
  <c r="X1747" i="7"/>
  <c r="Y1747" i="7"/>
  <c r="W1748" i="7"/>
  <c r="X1748" i="7"/>
  <c r="Y1748" i="7"/>
  <c r="W1749" i="7"/>
  <c r="X1749" i="7"/>
  <c r="Y1749" i="7"/>
  <c r="W1750" i="7"/>
  <c r="X1750" i="7"/>
  <c r="Y1750" i="7"/>
  <c r="W1751" i="7"/>
  <c r="X1751" i="7"/>
  <c r="Y1751" i="7"/>
  <c r="W1752" i="7"/>
  <c r="X1752" i="7"/>
  <c r="Y1752" i="7"/>
  <c r="W1753" i="7"/>
  <c r="X1753" i="7"/>
  <c r="Y1753" i="7"/>
  <c r="W1754" i="7"/>
  <c r="X1754" i="7"/>
  <c r="Y1754" i="7"/>
  <c r="W1755" i="7"/>
  <c r="X1755" i="7"/>
  <c r="Y1755" i="7"/>
  <c r="W1756" i="7"/>
  <c r="X1756" i="7"/>
  <c r="Y1756" i="7"/>
  <c r="W1757" i="7"/>
  <c r="X1757" i="7"/>
  <c r="Y1757" i="7"/>
  <c r="W1758" i="7"/>
  <c r="X1758" i="7"/>
  <c r="Y1758" i="7"/>
  <c r="W1759" i="7"/>
  <c r="X1759" i="7"/>
  <c r="Y1759" i="7"/>
  <c r="W1760" i="7"/>
  <c r="X1760" i="7"/>
  <c r="Y1760" i="7"/>
  <c r="W1761" i="7"/>
  <c r="X1761" i="7"/>
  <c r="Y1761" i="7"/>
  <c r="W1762" i="7"/>
  <c r="X1762" i="7"/>
  <c r="Y1762" i="7"/>
  <c r="W1763" i="7"/>
  <c r="X1763" i="7"/>
  <c r="Y1763" i="7"/>
  <c r="W1764" i="7"/>
  <c r="X1764" i="7"/>
  <c r="Y1764" i="7"/>
  <c r="W1765" i="7"/>
  <c r="X1765" i="7"/>
  <c r="Y1765" i="7"/>
  <c r="W1766" i="7"/>
  <c r="X1766" i="7"/>
  <c r="Y1766" i="7"/>
  <c r="W1767" i="7"/>
  <c r="X1767" i="7"/>
  <c r="Y1767" i="7"/>
  <c r="W1768" i="7"/>
  <c r="X1768" i="7"/>
  <c r="Y1768" i="7"/>
  <c r="W1769" i="7"/>
  <c r="X1769" i="7"/>
  <c r="Y1769" i="7"/>
  <c r="W1770" i="7"/>
  <c r="X1770" i="7"/>
  <c r="Y1770" i="7"/>
  <c r="W1771" i="7"/>
  <c r="X1771" i="7"/>
  <c r="Y1771" i="7"/>
  <c r="W1772" i="7"/>
  <c r="X1772" i="7"/>
  <c r="Y1772" i="7"/>
  <c r="W1773" i="7"/>
  <c r="X1773" i="7"/>
  <c r="Y1773" i="7"/>
  <c r="W1774" i="7"/>
  <c r="X1774" i="7"/>
  <c r="Y1774" i="7"/>
  <c r="W1775" i="7"/>
  <c r="X1775" i="7"/>
  <c r="Y1775" i="7"/>
  <c r="W1776" i="7"/>
  <c r="X1776" i="7"/>
  <c r="Y1776" i="7"/>
  <c r="W1777" i="7"/>
  <c r="X1777" i="7"/>
  <c r="Y1777" i="7"/>
  <c r="W1778" i="7"/>
  <c r="X1778" i="7"/>
  <c r="Y1778" i="7"/>
  <c r="W1779" i="7"/>
  <c r="X1779" i="7"/>
  <c r="Y1779" i="7"/>
  <c r="W1780" i="7"/>
  <c r="X1780" i="7"/>
  <c r="Y1780" i="7"/>
  <c r="W1781" i="7"/>
  <c r="X1781" i="7"/>
  <c r="Y1781" i="7"/>
  <c r="W1782" i="7"/>
  <c r="X1782" i="7"/>
  <c r="Y1782" i="7"/>
  <c r="W1783" i="7"/>
  <c r="X1783" i="7"/>
  <c r="Y1783" i="7"/>
  <c r="W1784" i="7"/>
  <c r="X1784" i="7"/>
  <c r="Y1784" i="7"/>
  <c r="W1785" i="7"/>
  <c r="X1785" i="7"/>
  <c r="Y1785" i="7"/>
  <c r="W1786" i="7"/>
  <c r="X1786" i="7"/>
  <c r="Y1786" i="7"/>
  <c r="W1787" i="7"/>
  <c r="X1787" i="7"/>
  <c r="Y1787" i="7"/>
  <c r="W1788" i="7"/>
  <c r="X1788" i="7"/>
  <c r="Y1788" i="7"/>
  <c r="W1789" i="7"/>
  <c r="X1789" i="7"/>
  <c r="Y1789" i="7"/>
  <c r="W1790" i="7"/>
  <c r="X1790" i="7"/>
  <c r="Y1790" i="7"/>
  <c r="W1791" i="7"/>
  <c r="X1791" i="7"/>
  <c r="Y1791" i="7"/>
  <c r="W1792" i="7"/>
  <c r="X1792" i="7"/>
  <c r="Y1792" i="7"/>
  <c r="W1793" i="7"/>
  <c r="X1793" i="7"/>
  <c r="Y1793" i="7"/>
  <c r="W1794" i="7"/>
  <c r="X1794" i="7"/>
  <c r="Y1794" i="7"/>
  <c r="W1795" i="7"/>
  <c r="X1795" i="7"/>
  <c r="Y1795" i="7"/>
  <c r="W1796" i="7"/>
  <c r="X1796" i="7"/>
  <c r="Y1796" i="7"/>
  <c r="W1797" i="7"/>
  <c r="X1797" i="7"/>
  <c r="Y1797" i="7"/>
  <c r="W1798" i="7"/>
  <c r="X1798" i="7"/>
  <c r="Y1798" i="7"/>
  <c r="W1799" i="7"/>
  <c r="X1799" i="7"/>
  <c r="Y1799" i="7"/>
  <c r="W1800" i="7"/>
  <c r="X1800" i="7"/>
  <c r="Y1800" i="7"/>
  <c r="W1801" i="7"/>
  <c r="X1801" i="7"/>
  <c r="Y1801" i="7"/>
  <c r="W1802" i="7"/>
  <c r="X1802" i="7"/>
  <c r="Y1802" i="7"/>
  <c r="W1803" i="7"/>
  <c r="X1803" i="7"/>
  <c r="Y1803" i="7"/>
  <c r="W1804" i="7"/>
  <c r="X1804" i="7"/>
  <c r="Y1804" i="7"/>
  <c r="W1805" i="7"/>
  <c r="X1805" i="7"/>
  <c r="Y1805" i="7"/>
  <c r="W1806" i="7"/>
  <c r="X1806" i="7"/>
  <c r="Y1806" i="7"/>
  <c r="W1807" i="7"/>
  <c r="X1807" i="7"/>
  <c r="Y1807" i="7"/>
  <c r="W1808" i="7"/>
  <c r="X1808" i="7"/>
  <c r="Y1808" i="7"/>
  <c r="W1809" i="7"/>
  <c r="X1809" i="7"/>
  <c r="Y1809" i="7"/>
  <c r="W1810" i="7"/>
  <c r="X1810" i="7"/>
  <c r="Y1810" i="7"/>
  <c r="W1811" i="7"/>
  <c r="X1811" i="7"/>
  <c r="Y1811" i="7"/>
  <c r="W1812" i="7"/>
  <c r="X1812" i="7"/>
  <c r="Y1812" i="7"/>
  <c r="W1813" i="7"/>
  <c r="X1813" i="7"/>
  <c r="Y1813" i="7"/>
  <c r="W1814" i="7"/>
  <c r="X1814" i="7"/>
  <c r="Y1814" i="7"/>
  <c r="W1815" i="7"/>
  <c r="X1815" i="7"/>
  <c r="Y1815" i="7"/>
  <c r="W1816" i="7"/>
  <c r="X1816" i="7"/>
  <c r="Y1816" i="7"/>
  <c r="W1817" i="7"/>
  <c r="X1817" i="7"/>
  <c r="Y1817" i="7"/>
  <c r="W1818" i="7"/>
  <c r="X1818" i="7"/>
  <c r="Y1818" i="7"/>
  <c r="W1819" i="7"/>
  <c r="X1819" i="7"/>
  <c r="Y1819" i="7"/>
  <c r="W1820" i="7"/>
  <c r="X1820" i="7"/>
  <c r="Y1820" i="7"/>
  <c r="W1821" i="7"/>
  <c r="X1821" i="7"/>
  <c r="Y1821" i="7"/>
  <c r="W1822" i="7"/>
  <c r="X1822" i="7"/>
  <c r="Y1822" i="7"/>
  <c r="W1823" i="7"/>
  <c r="X1823" i="7"/>
  <c r="Y1823" i="7"/>
  <c r="W1824" i="7"/>
  <c r="X1824" i="7"/>
  <c r="Y1824" i="7"/>
  <c r="W1825" i="7"/>
  <c r="X1825" i="7"/>
  <c r="Y1825" i="7"/>
  <c r="W1826" i="7"/>
  <c r="X1826" i="7"/>
  <c r="Y1826" i="7"/>
  <c r="W1827" i="7"/>
  <c r="X1827" i="7"/>
  <c r="Y1827" i="7"/>
  <c r="W1828" i="7"/>
  <c r="X1828" i="7"/>
  <c r="Y1828" i="7"/>
  <c r="W1829" i="7"/>
  <c r="X1829" i="7"/>
  <c r="Y1829" i="7"/>
  <c r="W1830" i="7"/>
  <c r="X1830" i="7"/>
  <c r="Y1830" i="7"/>
  <c r="W1831" i="7"/>
  <c r="X1831" i="7"/>
  <c r="Y1831" i="7"/>
  <c r="W1832" i="7"/>
  <c r="X1832" i="7"/>
  <c r="Y1832" i="7"/>
  <c r="W1833" i="7"/>
  <c r="X1833" i="7"/>
  <c r="Y1833" i="7"/>
  <c r="W1834" i="7"/>
  <c r="X1834" i="7"/>
  <c r="Y1834" i="7"/>
  <c r="W1835" i="7"/>
  <c r="X1835" i="7"/>
  <c r="Y1835" i="7"/>
  <c r="W1836" i="7"/>
  <c r="X1836" i="7"/>
  <c r="Y1836" i="7"/>
  <c r="W1837" i="7"/>
  <c r="X1837" i="7"/>
  <c r="Y1837" i="7"/>
  <c r="W1838" i="7"/>
  <c r="X1838" i="7"/>
  <c r="Y1838" i="7"/>
  <c r="W1839" i="7"/>
  <c r="X1839" i="7"/>
  <c r="Y1839" i="7"/>
  <c r="W1840" i="7"/>
  <c r="X1840" i="7"/>
  <c r="Y1840" i="7"/>
  <c r="W1841" i="7"/>
  <c r="X1841" i="7"/>
  <c r="Y1841" i="7"/>
  <c r="W1842" i="7"/>
  <c r="X1842" i="7"/>
  <c r="Y1842" i="7"/>
  <c r="W1843" i="7"/>
  <c r="X1843" i="7"/>
  <c r="Y1843" i="7"/>
  <c r="W1844" i="7"/>
  <c r="X1844" i="7"/>
  <c r="Y1844" i="7"/>
  <c r="W1845" i="7"/>
  <c r="X1845" i="7"/>
  <c r="Y1845" i="7"/>
  <c r="W1846" i="7"/>
  <c r="X1846" i="7"/>
  <c r="Y1846" i="7"/>
  <c r="W1847" i="7"/>
  <c r="X1847" i="7"/>
  <c r="Y1847" i="7"/>
  <c r="W1848" i="7"/>
  <c r="X1848" i="7"/>
  <c r="Y1848" i="7"/>
  <c r="W1849" i="7"/>
  <c r="X1849" i="7"/>
  <c r="Y1849" i="7"/>
  <c r="W1850" i="7"/>
  <c r="X1850" i="7"/>
  <c r="Y1850" i="7"/>
  <c r="W1851" i="7"/>
  <c r="X1851" i="7"/>
  <c r="Y1851" i="7"/>
  <c r="W1852" i="7"/>
  <c r="X1852" i="7"/>
  <c r="Y1852" i="7"/>
  <c r="W1853" i="7"/>
  <c r="X1853" i="7"/>
  <c r="Y1853" i="7"/>
  <c r="W1854" i="7"/>
  <c r="X1854" i="7"/>
  <c r="Y1854" i="7"/>
  <c r="W1855" i="7"/>
  <c r="X1855" i="7"/>
  <c r="Y1855" i="7"/>
  <c r="W1856" i="7"/>
  <c r="X1856" i="7"/>
  <c r="Y1856" i="7"/>
  <c r="W1857" i="7"/>
  <c r="X1857" i="7"/>
  <c r="Y1857" i="7"/>
  <c r="W1858" i="7"/>
  <c r="X1858" i="7"/>
  <c r="Y1858" i="7"/>
  <c r="W1859" i="7"/>
  <c r="X1859" i="7"/>
  <c r="Y1859" i="7"/>
  <c r="W1860" i="7"/>
  <c r="X1860" i="7"/>
  <c r="Y1860" i="7"/>
  <c r="W1861" i="7"/>
  <c r="X1861" i="7"/>
  <c r="Y1861" i="7"/>
  <c r="W1862" i="7"/>
  <c r="X1862" i="7"/>
  <c r="Y1862" i="7"/>
  <c r="W1863" i="7"/>
  <c r="X1863" i="7"/>
  <c r="Y1863" i="7"/>
  <c r="W1864" i="7"/>
  <c r="X1864" i="7"/>
  <c r="Y1864" i="7"/>
  <c r="W1865" i="7"/>
  <c r="X1865" i="7"/>
  <c r="Y1865" i="7"/>
  <c r="W1866" i="7"/>
  <c r="X1866" i="7"/>
  <c r="Y1866" i="7"/>
  <c r="W1867" i="7"/>
  <c r="X1867" i="7"/>
  <c r="Y1867" i="7"/>
  <c r="W1868" i="7"/>
  <c r="X1868" i="7"/>
  <c r="Y1868" i="7"/>
  <c r="W1869" i="7"/>
  <c r="X1869" i="7"/>
  <c r="Y1869" i="7"/>
  <c r="W1870" i="7"/>
  <c r="X1870" i="7"/>
  <c r="Y1870" i="7"/>
  <c r="W1871" i="7"/>
  <c r="X1871" i="7"/>
  <c r="Y1871" i="7"/>
  <c r="W1872" i="7"/>
  <c r="X1872" i="7"/>
  <c r="Y1872" i="7"/>
  <c r="W1873" i="7"/>
  <c r="X1873" i="7"/>
  <c r="Y1873" i="7"/>
  <c r="W1874" i="7"/>
  <c r="X1874" i="7"/>
  <c r="Y1874" i="7"/>
  <c r="W1875" i="7"/>
  <c r="X1875" i="7"/>
  <c r="Y1875" i="7"/>
  <c r="W1876" i="7"/>
  <c r="X1876" i="7"/>
  <c r="Y1876" i="7"/>
  <c r="W1877" i="7"/>
  <c r="X1877" i="7"/>
  <c r="Y1877" i="7"/>
  <c r="W1878" i="7"/>
  <c r="X1878" i="7"/>
  <c r="Y1878" i="7"/>
  <c r="W1879" i="7"/>
  <c r="X1879" i="7"/>
  <c r="Y1879" i="7"/>
  <c r="W1880" i="7"/>
  <c r="X1880" i="7"/>
  <c r="Y1880" i="7"/>
  <c r="W1881" i="7"/>
  <c r="X1881" i="7"/>
  <c r="Y1881" i="7"/>
  <c r="W1882" i="7"/>
  <c r="X1882" i="7"/>
  <c r="Y1882" i="7"/>
  <c r="W1883" i="7"/>
  <c r="X1883" i="7"/>
  <c r="Y1883" i="7"/>
  <c r="W1884" i="7"/>
  <c r="X1884" i="7"/>
  <c r="Y1884" i="7"/>
  <c r="W1885" i="7"/>
  <c r="X1885" i="7"/>
  <c r="Y1885" i="7"/>
  <c r="W1886" i="7"/>
  <c r="X1886" i="7"/>
  <c r="Y1886" i="7"/>
  <c r="W1887" i="7"/>
  <c r="X1887" i="7"/>
  <c r="Y1887" i="7"/>
  <c r="W1888" i="7"/>
  <c r="X1888" i="7"/>
  <c r="Y1888" i="7"/>
  <c r="W1889" i="7"/>
  <c r="X1889" i="7"/>
  <c r="Y1889" i="7"/>
  <c r="W1890" i="7"/>
  <c r="X1890" i="7"/>
  <c r="Y1890" i="7"/>
  <c r="W1891" i="7"/>
  <c r="X1891" i="7"/>
  <c r="Y1891" i="7"/>
  <c r="W1892" i="7"/>
  <c r="X1892" i="7"/>
  <c r="Y1892" i="7"/>
  <c r="W1893" i="7"/>
  <c r="X1893" i="7"/>
  <c r="Y1893" i="7"/>
  <c r="W1894" i="7"/>
  <c r="X1894" i="7"/>
  <c r="Y1894" i="7"/>
  <c r="W1895" i="7"/>
  <c r="X1895" i="7"/>
  <c r="Y1895" i="7"/>
  <c r="W1896" i="7"/>
  <c r="X1896" i="7"/>
  <c r="Y1896" i="7"/>
  <c r="W1897" i="7"/>
  <c r="X1897" i="7"/>
  <c r="Y1897" i="7"/>
  <c r="W1898" i="7"/>
  <c r="X1898" i="7"/>
  <c r="Y1898" i="7"/>
  <c r="W1899" i="7"/>
  <c r="X1899" i="7"/>
  <c r="Y1899" i="7"/>
  <c r="W1900" i="7"/>
  <c r="X1900" i="7"/>
  <c r="Y1900" i="7"/>
  <c r="W1901" i="7"/>
  <c r="X1901" i="7"/>
  <c r="Y1901" i="7"/>
  <c r="W1902" i="7"/>
  <c r="X1902" i="7"/>
  <c r="Y1902" i="7"/>
  <c r="W1903" i="7"/>
  <c r="X1903" i="7"/>
  <c r="Y1903" i="7"/>
  <c r="W1904" i="7"/>
  <c r="X1904" i="7"/>
  <c r="Y1904" i="7"/>
  <c r="W1905" i="7"/>
  <c r="X1905" i="7"/>
  <c r="Y1905" i="7"/>
  <c r="W1906" i="7"/>
  <c r="X1906" i="7"/>
  <c r="Y1906" i="7"/>
  <c r="W1907" i="7"/>
  <c r="X1907" i="7"/>
  <c r="Y1907" i="7"/>
  <c r="W1908" i="7"/>
  <c r="X1908" i="7"/>
  <c r="Y1908" i="7"/>
  <c r="W1909" i="7"/>
  <c r="X1909" i="7"/>
  <c r="Y1909" i="7"/>
  <c r="W1910" i="7"/>
  <c r="X1910" i="7"/>
  <c r="Y1910" i="7"/>
  <c r="W1911" i="7"/>
  <c r="X1911" i="7"/>
  <c r="Y1911" i="7"/>
  <c r="W1912" i="7"/>
  <c r="X1912" i="7"/>
  <c r="Y1912" i="7"/>
  <c r="W1913" i="7"/>
  <c r="X1913" i="7"/>
  <c r="Y1913" i="7"/>
  <c r="W1914" i="7"/>
  <c r="X1914" i="7"/>
  <c r="Y1914" i="7"/>
  <c r="W1915" i="7"/>
  <c r="X1915" i="7"/>
  <c r="Y1915" i="7"/>
  <c r="W1916" i="7"/>
  <c r="X1916" i="7"/>
  <c r="Y1916" i="7"/>
  <c r="W1917" i="7"/>
  <c r="X1917" i="7"/>
  <c r="Y1917" i="7"/>
  <c r="W1918" i="7"/>
  <c r="X1918" i="7"/>
  <c r="Y1918" i="7"/>
  <c r="W1919" i="7"/>
  <c r="X1919" i="7"/>
  <c r="Y1919" i="7"/>
  <c r="W1920" i="7"/>
  <c r="X1920" i="7"/>
  <c r="Y1920" i="7"/>
  <c r="W1921" i="7"/>
  <c r="X1921" i="7"/>
  <c r="Y1921" i="7"/>
  <c r="W1922" i="7"/>
  <c r="X1922" i="7"/>
  <c r="Y1922" i="7"/>
  <c r="W1923" i="7"/>
  <c r="X1923" i="7"/>
  <c r="Y1923" i="7"/>
  <c r="W1924" i="7"/>
  <c r="X1924" i="7"/>
  <c r="Y1924" i="7"/>
  <c r="W1925" i="7"/>
  <c r="X1925" i="7"/>
  <c r="Y1925" i="7"/>
  <c r="W1926" i="7"/>
  <c r="X1926" i="7"/>
  <c r="Y1926" i="7"/>
  <c r="W1927" i="7"/>
  <c r="X1927" i="7"/>
  <c r="Y1927" i="7"/>
  <c r="W1928" i="7"/>
  <c r="X1928" i="7"/>
  <c r="Y1928" i="7"/>
  <c r="W1929" i="7"/>
  <c r="X1929" i="7"/>
  <c r="Y1929" i="7"/>
  <c r="W1930" i="7"/>
  <c r="X1930" i="7"/>
  <c r="Y1930" i="7"/>
  <c r="W1931" i="7"/>
  <c r="X1931" i="7"/>
  <c r="Y1931" i="7"/>
  <c r="W1932" i="7"/>
  <c r="X1932" i="7"/>
  <c r="Y1932" i="7"/>
  <c r="W1933" i="7"/>
  <c r="X1933" i="7"/>
  <c r="Y1933" i="7"/>
  <c r="W1934" i="7"/>
  <c r="X1934" i="7"/>
  <c r="Y1934" i="7"/>
  <c r="W1935" i="7"/>
  <c r="X1935" i="7"/>
  <c r="Y1935" i="7"/>
  <c r="W1936" i="7"/>
  <c r="X1936" i="7"/>
  <c r="Y1936" i="7"/>
  <c r="W1937" i="7"/>
  <c r="X1937" i="7"/>
  <c r="Y1937" i="7"/>
  <c r="W1938" i="7"/>
  <c r="X1938" i="7"/>
  <c r="Y1938" i="7"/>
  <c r="W1939" i="7"/>
  <c r="X1939" i="7"/>
  <c r="Y1939" i="7"/>
  <c r="W1940" i="7"/>
  <c r="X1940" i="7"/>
  <c r="Y1940" i="7"/>
  <c r="W1941" i="7"/>
  <c r="X1941" i="7"/>
  <c r="Y1941" i="7"/>
  <c r="W1942" i="7"/>
  <c r="X1942" i="7"/>
  <c r="Y1942" i="7"/>
  <c r="W1943" i="7"/>
  <c r="X1943" i="7"/>
  <c r="Y1943" i="7"/>
  <c r="W1944" i="7"/>
  <c r="X1944" i="7"/>
  <c r="Y1944" i="7"/>
  <c r="W1945" i="7"/>
  <c r="X1945" i="7"/>
  <c r="Y1945" i="7"/>
  <c r="W1946" i="7"/>
  <c r="X1946" i="7"/>
  <c r="Y1946" i="7"/>
  <c r="W1947" i="7"/>
  <c r="X1947" i="7"/>
  <c r="Y1947" i="7"/>
  <c r="W1948" i="7"/>
  <c r="X1948" i="7"/>
  <c r="Y1948" i="7"/>
  <c r="W1949" i="7"/>
  <c r="X1949" i="7"/>
  <c r="Y1949" i="7"/>
  <c r="W1950" i="7"/>
  <c r="X1950" i="7"/>
  <c r="Y1950" i="7"/>
  <c r="W1951" i="7"/>
  <c r="X1951" i="7"/>
  <c r="Y1951" i="7"/>
  <c r="W1952" i="7"/>
  <c r="X1952" i="7"/>
  <c r="Y1952" i="7"/>
  <c r="W1953" i="7"/>
  <c r="X1953" i="7"/>
  <c r="Y1953" i="7"/>
  <c r="W1954" i="7"/>
  <c r="X1954" i="7"/>
  <c r="Y1954" i="7"/>
  <c r="W1955" i="7"/>
  <c r="X1955" i="7"/>
  <c r="Y1955" i="7"/>
  <c r="W1956" i="7"/>
  <c r="X1956" i="7"/>
  <c r="Y1956" i="7"/>
  <c r="W1957" i="7"/>
  <c r="X1957" i="7"/>
  <c r="Y1957" i="7"/>
  <c r="W1958" i="7"/>
  <c r="X1958" i="7"/>
  <c r="Y1958" i="7"/>
  <c r="W1959" i="7"/>
  <c r="X1959" i="7"/>
  <c r="Y1959" i="7"/>
  <c r="W1960" i="7"/>
  <c r="X1960" i="7"/>
  <c r="Y1960" i="7"/>
  <c r="W1961" i="7"/>
  <c r="X1961" i="7"/>
  <c r="Y1961" i="7"/>
  <c r="W1962" i="7"/>
  <c r="X1962" i="7"/>
  <c r="Y1962" i="7"/>
  <c r="W1963" i="7"/>
  <c r="X1963" i="7"/>
  <c r="Y1963" i="7"/>
  <c r="W1964" i="7"/>
  <c r="X1964" i="7"/>
  <c r="Y1964" i="7"/>
  <c r="W1965" i="7"/>
  <c r="X1965" i="7"/>
  <c r="Y1965" i="7"/>
  <c r="W1966" i="7"/>
  <c r="X1966" i="7"/>
  <c r="Y1966" i="7"/>
  <c r="W1967" i="7"/>
  <c r="X1967" i="7"/>
  <c r="Y1967" i="7"/>
  <c r="W1968" i="7"/>
  <c r="X1968" i="7"/>
  <c r="Y1968" i="7"/>
  <c r="W1969" i="7"/>
  <c r="X1969" i="7"/>
  <c r="Y1969" i="7"/>
  <c r="W1970" i="7"/>
  <c r="X1970" i="7"/>
  <c r="Y1970" i="7"/>
  <c r="W1971" i="7"/>
  <c r="X1971" i="7"/>
  <c r="Y1971" i="7"/>
  <c r="W1972" i="7"/>
  <c r="X1972" i="7"/>
  <c r="Y1972" i="7"/>
  <c r="W1973" i="7"/>
  <c r="X1973" i="7"/>
  <c r="Y1973" i="7"/>
  <c r="W1974" i="7"/>
  <c r="X1974" i="7"/>
  <c r="Y1974" i="7"/>
  <c r="W1975" i="7"/>
  <c r="X1975" i="7"/>
  <c r="Y1975" i="7"/>
  <c r="W1976" i="7"/>
  <c r="X1976" i="7"/>
  <c r="Y1976" i="7"/>
  <c r="W1977" i="7"/>
  <c r="X1977" i="7"/>
  <c r="Y1977" i="7"/>
  <c r="W1978" i="7"/>
  <c r="X1978" i="7"/>
  <c r="Y1978" i="7"/>
  <c r="W1979" i="7"/>
  <c r="X1979" i="7"/>
  <c r="Y1979" i="7"/>
  <c r="W1980" i="7"/>
  <c r="X1980" i="7"/>
  <c r="Y1980" i="7"/>
  <c r="W1981" i="7"/>
  <c r="X1981" i="7"/>
  <c r="Y1981" i="7"/>
  <c r="W1982" i="7"/>
  <c r="X1982" i="7"/>
  <c r="Y1982" i="7"/>
  <c r="W1983" i="7"/>
  <c r="X1983" i="7"/>
  <c r="Y1983" i="7"/>
  <c r="W1984" i="7"/>
  <c r="X1984" i="7"/>
  <c r="Y1984" i="7"/>
  <c r="W1985" i="7"/>
  <c r="X1985" i="7"/>
  <c r="Y1985" i="7"/>
  <c r="W1986" i="7"/>
  <c r="X1986" i="7"/>
  <c r="Y1986" i="7"/>
  <c r="W1987" i="7"/>
  <c r="X1987" i="7"/>
  <c r="Y1987" i="7"/>
  <c r="W1988" i="7"/>
  <c r="X1988" i="7"/>
  <c r="Y1988" i="7"/>
  <c r="W1989" i="7"/>
  <c r="X1989" i="7"/>
  <c r="Y1989" i="7"/>
  <c r="W1990" i="7"/>
  <c r="X1990" i="7"/>
  <c r="Y1990" i="7"/>
  <c r="W1991" i="7"/>
  <c r="X1991" i="7"/>
  <c r="Y1991" i="7"/>
  <c r="W1992" i="7"/>
  <c r="X1992" i="7"/>
  <c r="Y1992" i="7"/>
  <c r="W1993" i="7"/>
  <c r="X1993" i="7"/>
  <c r="Y1993" i="7"/>
  <c r="W1994" i="7"/>
  <c r="X1994" i="7"/>
  <c r="Y1994" i="7"/>
  <c r="W1995" i="7"/>
  <c r="X1995" i="7"/>
  <c r="Y1995" i="7"/>
  <c r="W1996" i="7"/>
  <c r="X1996" i="7"/>
  <c r="Y1996" i="7"/>
  <c r="W1997" i="7"/>
  <c r="X1997" i="7"/>
  <c r="Y1997" i="7"/>
  <c r="W1998" i="7"/>
  <c r="X1998" i="7"/>
  <c r="Y1998" i="7"/>
  <c r="W1999" i="7"/>
  <c r="X1999" i="7"/>
  <c r="Y1999" i="7"/>
  <c r="W2000" i="7"/>
  <c r="X2000" i="7"/>
  <c r="Y2000" i="7"/>
  <c r="W2001" i="7"/>
  <c r="X2001" i="7"/>
  <c r="Y2001" i="7"/>
  <c r="W2002" i="7"/>
  <c r="X2002" i="7"/>
  <c r="Y2002" i="7"/>
  <c r="W2003" i="7"/>
  <c r="X2003" i="7"/>
  <c r="Y2003" i="7"/>
  <c r="W2004" i="7"/>
  <c r="X2004" i="7"/>
  <c r="Y2004" i="7"/>
  <c r="W2005" i="7"/>
  <c r="X2005" i="7"/>
  <c r="Y2005" i="7"/>
  <c r="W2006" i="7"/>
  <c r="X2006" i="7"/>
  <c r="Y2006" i="7"/>
  <c r="W2007" i="7"/>
  <c r="X2007" i="7"/>
  <c r="Y2007" i="7"/>
  <c r="W2008" i="7"/>
  <c r="X2008" i="7"/>
  <c r="Y2008" i="7"/>
  <c r="W2009" i="7"/>
  <c r="X2009" i="7"/>
  <c r="Y2009" i="7"/>
  <c r="W2010" i="7"/>
  <c r="X2010" i="7"/>
  <c r="Y2010" i="7"/>
  <c r="W2011" i="7"/>
  <c r="X2011" i="7"/>
  <c r="Y2011" i="7"/>
  <c r="W2012" i="7"/>
  <c r="X2012" i="7"/>
  <c r="Y2012" i="7"/>
  <c r="W2013" i="7"/>
  <c r="X2013" i="7"/>
  <c r="Y2013" i="7"/>
  <c r="W2014" i="7"/>
  <c r="X2014" i="7"/>
  <c r="Y2014" i="7"/>
  <c r="W2015" i="7"/>
  <c r="X2015" i="7"/>
  <c r="Y2015" i="7"/>
  <c r="W2016" i="7"/>
  <c r="X2016" i="7"/>
  <c r="Y2016" i="7"/>
  <c r="W2017" i="7"/>
  <c r="X2017" i="7"/>
  <c r="Y2017" i="7"/>
  <c r="W2018" i="7"/>
  <c r="X2018" i="7"/>
  <c r="Y2018" i="7"/>
  <c r="W2019" i="7"/>
  <c r="X2019" i="7"/>
  <c r="Y2019" i="7"/>
  <c r="W2020" i="7"/>
  <c r="X2020" i="7"/>
  <c r="Y2020" i="7"/>
  <c r="W2021" i="7"/>
  <c r="X2021" i="7"/>
  <c r="Y2021" i="7"/>
  <c r="W2022" i="7"/>
  <c r="X2022" i="7"/>
  <c r="Y2022" i="7"/>
  <c r="W2023" i="7"/>
  <c r="X2023" i="7"/>
  <c r="Y2023" i="7"/>
  <c r="W2024" i="7"/>
  <c r="X2024" i="7"/>
  <c r="Y2024" i="7"/>
  <c r="W2025" i="7"/>
  <c r="X2025" i="7"/>
  <c r="Y2025" i="7"/>
  <c r="W2026" i="7"/>
  <c r="X2026" i="7"/>
  <c r="Y2026" i="7"/>
  <c r="W2027" i="7"/>
  <c r="X2027" i="7"/>
  <c r="Y2027" i="7"/>
  <c r="W2028" i="7"/>
  <c r="X2028" i="7"/>
  <c r="Y2028" i="7"/>
  <c r="W2029" i="7"/>
  <c r="X2029" i="7"/>
  <c r="Y2029" i="7"/>
  <c r="W2030" i="7"/>
  <c r="X2030" i="7"/>
  <c r="Y2030" i="7"/>
  <c r="W2031" i="7"/>
  <c r="X2031" i="7"/>
  <c r="Y2031" i="7"/>
  <c r="W2032" i="7"/>
  <c r="X2032" i="7"/>
  <c r="Y2032" i="7"/>
  <c r="W2033" i="7"/>
  <c r="X2033" i="7"/>
  <c r="Y2033" i="7"/>
  <c r="W2034" i="7"/>
  <c r="X2034" i="7"/>
  <c r="Y2034" i="7"/>
  <c r="W2035" i="7"/>
  <c r="X2035" i="7"/>
  <c r="Y2035" i="7"/>
  <c r="W2036" i="7"/>
  <c r="X2036" i="7"/>
  <c r="Y2036" i="7"/>
  <c r="W2037" i="7"/>
  <c r="X2037" i="7"/>
  <c r="Y2037" i="7"/>
  <c r="W2038" i="7"/>
  <c r="X2038" i="7"/>
  <c r="Y2038" i="7"/>
  <c r="W2039" i="7"/>
  <c r="X2039" i="7"/>
  <c r="Y2039" i="7"/>
  <c r="W2040" i="7"/>
  <c r="X2040" i="7"/>
  <c r="Y2040" i="7"/>
  <c r="W2041" i="7"/>
  <c r="X2041" i="7"/>
  <c r="Y2041" i="7"/>
  <c r="W2042" i="7"/>
  <c r="X2042" i="7"/>
  <c r="Y2042" i="7"/>
  <c r="W2043" i="7"/>
  <c r="X2043" i="7"/>
  <c r="Y2043" i="7"/>
  <c r="W2044" i="7"/>
  <c r="X2044" i="7"/>
  <c r="Y2044" i="7"/>
  <c r="W2045" i="7"/>
  <c r="X2045" i="7"/>
  <c r="Y2045" i="7"/>
  <c r="W2046" i="7"/>
  <c r="X2046" i="7"/>
  <c r="Y2046" i="7"/>
  <c r="W2047" i="7"/>
  <c r="X2047" i="7"/>
  <c r="Y2047" i="7"/>
  <c r="W2048" i="7"/>
  <c r="X2048" i="7"/>
  <c r="Y2048" i="7"/>
  <c r="W2049" i="7"/>
  <c r="X2049" i="7"/>
  <c r="Y2049" i="7"/>
  <c r="W2050" i="7"/>
  <c r="X2050" i="7"/>
  <c r="Y2050" i="7"/>
  <c r="W2051" i="7"/>
  <c r="X2051" i="7"/>
  <c r="Y2051" i="7"/>
  <c r="W2052" i="7"/>
  <c r="X2052" i="7"/>
  <c r="Y2052" i="7"/>
  <c r="W2053" i="7"/>
  <c r="X2053" i="7"/>
  <c r="Y2053" i="7"/>
  <c r="W2054" i="7"/>
  <c r="X2054" i="7"/>
  <c r="Y2054" i="7"/>
  <c r="W2055" i="7"/>
  <c r="X2055" i="7"/>
  <c r="Y2055" i="7"/>
  <c r="W2056" i="7"/>
  <c r="X2056" i="7"/>
  <c r="Y2056" i="7"/>
  <c r="W2057" i="7"/>
  <c r="X2057" i="7"/>
  <c r="Y2057" i="7"/>
  <c r="W2058" i="7"/>
  <c r="X2058" i="7"/>
  <c r="Y2058" i="7"/>
  <c r="W2059" i="7"/>
  <c r="X2059" i="7"/>
  <c r="Y2059" i="7"/>
  <c r="W2060" i="7"/>
  <c r="X2060" i="7"/>
  <c r="Y2060" i="7"/>
  <c r="W2061" i="7"/>
  <c r="X2061" i="7"/>
  <c r="Y2061" i="7"/>
  <c r="W2062" i="7"/>
  <c r="X2062" i="7"/>
  <c r="Y2062" i="7"/>
  <c r="W2063" i="7"/>
  <c r="X2063" i="7"/>
  <c r="Y2063" i="7"/>
  <c r="W2064" i="7"/>
  <c r="X2064" i="7"/>
  <c r="Y2064" i="7"/>
  <c r="W2065" i="7"/>
  <c r="X2065" i="7"/>
  <c r="Y2065" i="7"/>
  <c r="W2066" i="7"/>
  <c r="X2066" i="7"/>
  <c r="Y2066" i="7"/>
  <c r="W2067" i="7"/>
  <c r="X2067" i="7"/>
  <c r="Y2067" i="7"/>
  <c r="W2068" i="7"/>
  <c r="X2068" i="7"/>
  <c r="Y2068" i="7"/>
  <c r="W2069" i="7"/>
  <c r="X2069" i="7"/>
  <c r="Y2069" i="7"/>
  <c r="W2070" i="7"/>
  <c r="X2070" i="7"/>
  <c r="Y2070" i="7"/>
  <c r="W2071" i="7"/>
  <c r="X2071" i="7"/>
  <c r="Y2071" i="7"/>
  <c r="W2072" i="7"/>
  <c r="X2072" i="7"/>
  <c r="Y2072" i="7"/>
  <c r="W2073" i="7"/>
  <c r="X2073" i="7"/>
  <c r="Y2073" i="7"/>
  <c r="W2074" i="7"/>
  <c r="X2074" i="7"/>
  <c r="Y2074" i="7"/>
  <c r="W2075" i="7"/>
  <c r="X2075" i="7"/>
  <c r="Y2075" i="7"/>
  <c r="W2076" i="7"/>
  <c r="X2076" i="7"/>
  <c r="Y2076" i="7"/>
  <c r="W2077" i="7"/>
  <c r="X2077" i="7"/>
  <c r="Y2077" i="7"/>
  <c r="W2078" i="7"/>
  <c r="X2078" i="7"/>
  <c r="Y2078" i="7"/>
  <c r="W2079" i="7"/>
  <c r="X2079" i="7"/>
  <c r="Y2079" i="7"/>
  <c r="W2080" i="7"/>
  <c r="X2080" i="7"/>
  <c r="Y2080" i="7"/>
  <c r="W2081" i="7"/>
  <c r="X2081" i="7"/>
  <c r="Y2081" i="7"/>
  <c r="W2082" i="7"/>
  <c r="X2082" i="7"/>
  <c r="Y2082" i="7"/>
  <c r="W2083" i="7"/>
  <c r="X2083" i="7"/>
  <c r="Y2083" i="7"/>
  <c r="W2084" i="7"/>
  <c r="X2084" i="7"/>
  <c r="Y2084" i="7"/>
  <c r="W2085" i="7"/>
  <c r="X2085" i="7"/>
  <c r="Y2085" i="7"/>
  <c r="W2086" i="7"/>
  <c r="X2086" i="7"/>
  <c r="Y2086" i="7"/>
  <c r="W2087" i="7"/>
  <c r="X2087" i="7"/>
  <c r="Y2087" i="7"/>
  <c r="W2088" i="7"/>
  <c r="X2088" i="7"/>
  <c r="Y2088" i="7"/>
  <c r="W2089" i="7"/>
  <c r="X2089" i="7"/>
  <c r="Y2089" i="7"/>
  <c r="W2090" i="7"/>
  <c r="X2090" i="7"/>
  <c r="Y2090" i="7"/>
  <c r="W2091" i="7"/>
  <c r="X2091" i="7"/>
  <c r="Y2091" i="7"/>
  <c r="W2092" i="7"/>
  <c r="X2092" i="7"/>
  <c r="Y2092" i="7"/>
  <c r="W2093" i="7"/>
  <c r="X2093" i="7"/>
  <c r="Y2093" i="7"/>
  <c r="W2094" i="7"/>
  <c r="X2094" i="7"/>
  <c r="Y2094" i="7"/>
  <c r="W2095" i="7"/>
  <c r="X2095" i="7"/>
  <c r="Y2095" i="7"/>
  <c r="W2096" i="7"/>
  <c r="X2096" i="7"/>
  <c r="Y2096" i="7"/>
  <c r="W2097" i="7"/>
  <c r="X2097" i="7"/>
  <c r="Y2097" i="7"/>
  <c r="W2098" i="7"/>
  <c r="X2098" i="7"/>
  <c r="Y2098" i="7"/>
  <c r="W2099" i="7"/>
  <c r="X2099" i="7"/>
  <c r="Y2099" i="7"/>
  <c r="W2100" i="7"/>
  <c r="X2100" i="7"/>
  <c r="Y2100" i="7"/>
  <c r="W2101" i="7"/>
  <c r="X2101" i="7"/>
  <c r="Y2101" i="7"/>
  <c r="W2102" i="7"/>
  <c r="X2102" i="7"/>
  <c r="Y2102" i="7"/>
  <c r="W2103" i="7"/>
  <c r="X2103" i="7"/>
  <c r="Y2103" i="7"/>
  <c r="W2104" i="7"/>
  <c r="X2104" i="7"/>
  <c r="Y2104" i="7"/>
  <c r="W2105" i="7"/>
  <c r="X2105" i="7"/>
  <c r="Y2105" i="7"/>
  <c r="W2106" i="7"/>
  <c r="X2106" i="7"/>
  <c r="Y2106" i="7"/>
  <c r="W2107" i="7"/>
  <c r="X2107" i="7"/>
  <c r="Y2107" i="7"/>
  <c r="W2108" i="7"/>
  <c r="X2108" i="7"/>
  <c r="Y2108" i="7"/>
  <c r="W2109" i="7"/>
  <c r="X2109" i="7"/>
  <c r="Y2109" i="7"/>
  <c r="W2110" i="7"/>
  <c r="X2110" i="7"/>
  <c r="Y2110" i="7"/>
  <c r="W2111" i="7"/>
  <c r="X2111" i="7"/>
  <c r="Y2111" i="7"/>
  <c r="W2112" i="7"/>
  <c r="X2112" i="7"/>
  <c r="Y2112" i="7"/>
  <c r="W2113" i="7"/>
  <c r="X2113" i="7"/>
  <c r="Y2113" i="7"/>
  <c r="W2114" i="7"/>
  <c r="X2114" i="7"/>
  <c r="Y2114" i="7"/>
  <c r="W2115" i="7"/>
  <c r="X2115" i="7"/>
  <c r="Y2115" i="7"/>
  <c r="G436" i="7"/>
  <c r="W436" i="7" s="1"/>
  <c r="G437" i="7"/>
  <c r="F26" i="23"/>
  <c r="Y438" i="7" l="1"/>
  <c r="X438" i="7"/>
  <c r="Y436" i="7"/>
  <c r="X436" i="7"/>
  <c r="W439" i="7"/>
  <c r="X439" i="7"/>
  <c r="G433" i="7"/>
  <c r="G434" i="7"/>
  <c r="G432" i="7"/>
  <c r="G431" i="7"/>
  <c r="G430" i="7"/>
  <c r="G429" i="7"/>
  <c r="G428" i="7"/>
  <c r="G427" i="7"/>
  <c r="G411" i="7"/>
  <c r="G415" i="7"/>
  <c r="W415" i="7" s="1"/>
  <c r="G414" i="7"/>
  <c r="Y414" i="7" s="1"/>
  <c r="G413" i="7"/>
  <c r="X413" i="7" s="1"/>
  <c r="G412" i="7"/>
  <c r="Y412" i="7" s="1"/>
  <c r="G423" i="7"/>
  <c r="Y423" i="7" s="1"/>
  <c r="G422" i="7"/>
  <c r="Y422" i="7" s="1"/>
  <c r="G421" i="7"/>
  <c r="Y421" i="7" s="1"/>
  <c r="G420" i="7"/>
  <c r="Y420" i="7" s="1"/>
  <c r="G419" i="7"/>
  <c r="G418" i="7"/>
  <c r="G417" i="7"/>
  <c r="G416" i="7"/>
  <c r="G408" i="7"/>
  <c r="W413" i="7" l="1"/>
  <c r="W423" i="7"/>
  <c r="W412" i="7"/>
  <c r="W422" i="7"/>
  <c r="X412" i="7"/>
  <c r="X414" i="7"/>
  <c r="X423" i="7"/>
  <c r="X422" i="7"/>
  <c r="X421" i="7"/>
  <c r="W414" i="7"/>
  <c r="X420" i="7"/>
  <c r="Y415" i="7"/>
  <c r="Y413" i="7"/>
  <c r="W421" i="7"/>
  <c r="W420" i="7"/>
  <c r="X415" i="7"/>
  <c r="G410" i="7"/>
  <c r="G409" i="7"/>
  <c r="G406" i="7"/>
  <c r="G405" i="7"/>
  <c r="G404" i="7"/>
  <c r="G403" i="7"/>
  <c r="G395" i="7"/>
  <c r="G397" i="7"/>
  <c r="G396" i="7"/>
  <c r="G401" i="7"/>
  <c r="G400" i="7"/>
  <c r="G399" i="7"/>
  <c r="G398" i="7"/>
  <c r="G393" i="7"/>
  <c r="Y393" i="7" s="1"/>
  <c r="G392" i="7"/>
  <c r="Y392" i="7" s="1"/>
  <c r="G391" i="7"/>
  <c r="G390" i="7"/>
  <c r="G389" i="7"/>
  <c r="G388" i="7"/>
  <c r="G387" i="7"/>
  <c r="G383" i="7"/>
  <c r="G382" i="7"/>
  <c r="G377" i="7"/>
  <c r="G378" i="7"/>
  <c r="G376" i="7"/>
  <c r="G375" i="7"/>
  <c r="G374" i="7"/>
  <c r="Y335" i="7"/>
  <c r="X335" i="7"/>
  <c r="W335" i="7"/>
  <c r="W392" i="7" l="1"/>
  <c r="X392" i="7"/>
  <c r="W393" i="7"/>
  <c r="X393" i="7"/>
  <c r="G370" i="7"/>
  <c r="G369" i="7"/>
  <c r="G368" i="7"/>
  <c r="G361" i="7"/>
  <c r="F33" i="23"/>
  <c r="F35" i="23"/>
  <c r="Y286" i="7" l="1"/>
  <c r="X286" i="7"/>
  <c r="W286" i="7"/>
  <c r="Y260" i="7"/>
  <c r="X260" i="7"/>
  <c r="W260" i="7"/>
  <c r="Y259" i="7"/>
  <c r="X259" i="7"/>
  <c r="W259" i="7"/>
  <c r="Y258" i="7"/>
  <c r="X258" i="7"/>
  <c r="W258" i="7"/>
  <c r="Y257" i="7"/>
  <c r="X257" i="7"/>
  <c r="W257" i="7"/>
  <c r="Y246" i="7"/>
  <c r="X246" i="7"/>
  <c r="W246" i="7"/>
  <c r="X227" i="7"/>
  <c r="Y222" i="7"/>
  <c r="X222" i="7"/>
  <c r="W222" i="7"/>
  <c r="Y221" i="7"/>
  <c r="X221" i="7"/>
  <c r="W221" i="7"/>
  <c r="Y218" i="7"/>
  <c r="X218" i="7"/>
  <c r="W218" i="7"/>
  <c r="W220" i="7"/>
  <c r="Y207" i="7"/>
  <c r="X207" i="7"/>
  <c r="W207" i="7"/>
  <c r="W206" i="7"/>
  <c r="W205" i="7"/>
  <c r="Y145" i="7"/>
  <c r="X145" i="7"/>
  <c r="W145" i="7"/>
  <c r="Y67" i="7"/>
  <c r="X67" i="7"/>
  <c r="W67" i="7"/>
  <c r="Y84" i="7"/>
  <c r="Y86" i="7"/>
  <c r="Y88" i="7"/>
  <c r="Y90" i="7"/>
  <c r="Y89" i="7"/>
  <c r="Y93" i="7"/>
  <c r="Y96" i="7"/>
  <c r="Y97" i="7"/>
  <c r="Y98" i="7"/>
  <c r="Y99" i="7"/>
  <c r="Y104" i="7"/>
  <c r="Y105" i="7"/>
  <c r="Y106" i="7"/>
  <c r="Y107" i="7"/>
  <c r="Y109" i="7"/>
  <c r="Y110" i="7"/>
  <c r="Y111" i="7"/>
  <c r="Y112" i="7"/>
  <c r="Y119" i="7"/>
  <c r="Y120" i="7"/>
  <c r="Y121" i="7"/>
  <c r="Y123" i="7"/>
  <c r="Y124" i="7"/>
  <c r="Y125" i="7"/>
  <c r="Y122" i="7"/>
  <c r="Y128" i="7"/>
  <c r="Y129" i="7"/>
  <c r="Y130" i="7"/>
  <c r="Y131" i="7"/>
  <c r="Y132" i="7"/>
  <c r="Y133" i="7"/>
  <c r="Y140" i="7"/>
  <c r="Y134" i="7"/>
  <c r="Y141" i="7"/>
  <c r="Y142" i="7"/>
  <c r="Y143" i="7"/>
  <c r="Y144" i="7"/>
  <c r="Y146" i="7"/>
  <c r="Y147" i="7"/>
  <c r="Y149" i="7"/>
  <c r="Y150" i="7"/>
  <c r="Y151" i="7"/>
  <c r="Y152" i="7"/>
  <c r="Y154" i="7"/>
  <c r="Y155" i="7"/>
  <c r="Y156" i="7"/>
  <c r="Y157" i="7"/>
  <c r="Y158" i="7"/>
  <c r="Y159" i="7"/>
  <c r="Y160" i="7"/>
  <c r="Y161" i="7"/>
  <c r="Y162" i="7"/>
  <c r="Y163" i="7"/>
  <c r="Y164" i="7"/>
  <c r="Y165" i="7"/>
  <c r="Y166" i="7"/>
  <c r="Y167" i="7"/>
  <c r="Y175" i="7"/>
  <c r="Y176" i="7"/>
  <c r="Y177" i="7"/>
  <c r="Y178" i="7"/>
  <c r="Y181" i="7"/>
  <c r="Y182" i="7"/>
  <c r="Y184" i="7"/>
  <c r="Y188" i="7"/>
  <c r="Y185" i="7"/>
  <c r="Y186" i="7"/>
  <c r="Y187" i="7"/>
  <c r="Y189" i="7"/>
  <c r="Y191" i="7"/>
  <c r="Y192" i="7"/>
  <c r="Y193" i="7"/>
  <c r="Y194" i="7"/>
  <c r="Y195" i="7"/>
  <c r="Y199" i="7"/>
  <c r="Y200" i="7"/>
  <c r="Y202" i="7"/>
  <c r="Y203" i="7"/>
  <c r="Y204" i="7"/>
  <c r="Y205" i="7"/>
  <c r="Y206" i="7"/>
  <c r="Y201" i="7"/>
  <c r="Y208" i="7"/>
  <c r="Y209" i="7"/>
  <c r="Y213" i="7"/>
  <c r="Y214" i="7"/>
  <c r="Y215" i="7"/>
  <c r="Y216" i="7"/>
  <c r="Y212" i="7"/>
  <c r="Y210" i="7"/>
  <c r="Y211" i="7"/>
  <c r="Y217" i="7"/>
  <c r="Y219" i="7"/>
  <c r="Y220" i="7"/>
  <c r="Y223" i="7"/>
  <c r="Y224" i="7"/>
  <c r="Y225" i="7"/>
  <c r="Y226" i="7"/>
  <c r="Y227" i="7"/>
  <c r="Y228" i="7"/>
  <c r="Y229" i="7"/>
  <c r="Y230" i="7"/>
  <c r="Y234" i="7"/>
  <c r="Y235" i="7"/>
  <c r="Y231" i="7"/>
  <c r="Y232" i="7"/>
  <c r="Y236" i="7"/>
  <c r="Y255" i="7"/>
  <c r="Y256" i="7"/>
  <c r="Y249" i="7"/>
  <c r="Y250" i="7"/>
  <c r="Y251" i="7"/>
  <c r="Y252" i="7"/>
  <c r="Y253" i="7"/>
  <c r="Y254" i="7"/>
  <c r="Y248" i="7"/>
  <c r="Y237" i="7"/>
  <c r="Y238" i="7"/>
  <c r="Y239" i="7"/>
  <c r="Y240" i="7"/>
  <c r="Y241" i="7"/>
  <c r="Y242" i="7"/>
  <c r="Y243" i="7"/>
  <c r="Y261" i="7"/>
  <c r="Y262" i="7"/>
  <c r="Y263" i="7"/>
  <c r="Y264" i="7"/>
  <c r="Y265" i="7"/>
  <c r="Y266" i="7"/>
  <c r="Y267" i="7"/>
  <c r="Y268" i="7"/>
  <c r="Y269" i="7"/>
  <c r="Y270" i="7"/>
  <c r="Y271" i="7"/>
  <c r="Y273" i="7"/>
  <c r="Y274" i="7"/>
  <c r="Y275" i="7"/>
  <c r="Y272" i="7"/>
  <c r="Y276" i="7"/>
  <c r="Y277" i="7"/>
  <c r="Y278" i="7"/>
  <c r="Y279" i="7"/>
  <c r="Y280" i="7"/>
  <c r="Y281" i="7"/>
  <c r="Y282" i="7"/>
  <c r="Y283" i="7"/>
  <c r="Y284" i="7"/>
  <c r="Y285" i="7"/>
  <c r="Y287" i="7"/>
  <c r="Y288" i="7"/>
  <c r="Y289" i="7"/>
  <c r="Y290" i="7"/>
  <c r="Y291" i="7"/>
  <c r="Y292" i="7"/>
  <c r="Y293" i="7"/>
  <c r="Y294" i="7"/>
  <c r="Y297" i="7"/>
  <c r="Y299" i="7"/>
  <c r="Y300" i="7"/>
  <c r="Y303" i="7"/>
  <c r="Y296" i="7"/>
  <c r="Y298" i="7"/>
  <c r="Y301" i="7"/>
  <c r="Y302" i="7"/>
  <c r="Y304" i="7"/>
  <c r="Y305" i="7"/>
  <c r="Y306" i="7"/>
  <c r="Y307" i="7"/>
  <c r="Y308" i="7"/>
  <c r="Y309" i="7"/>
  <c r="Y310" i="7"/>
  <c r="Y311" i="7"/>
  <c r="Y315" i="7"/>
  <c r="Y316" i="7"/>
  <c r="Y317" i="7"/>
  <c r="Y312" i="7"/>
  <c r="Y313" i="7"/>
  <c r="Y314" i="7"/>
  <c r="Y318" i="7"/>
  <c r="Y321" i="7"/>
  <c r="Y326" i="7"/>
  <c r="Y327" i="7"/>
  <c r="Y328" i="7"/>
  <c r="Y329" i="7"/>
  <c r="Y330" i="7"/>
  <c r="Y331" i="7"/>
  <c r="Y332" i="7"/>
  <c r="Y333" i="7"/>
  <c r="Y319" i="7"/>
  <c r="Y320" i="7"/>
  <c r="Y323" i="7"/>
  <c r="Y324" i="7"/>
  <c r="Y325" i="7"/>
  <c r="Y322" i="7"/>
  <c r="Y336" i="7"/>
  <c r="Y337" i="7"/>
  <c r="Y338" i="7"/>
  <c r="Y339" i="7"/>
  <c r="Y340" i="7"/>
  <c r="Y341" i="7"/>
  <c r="Y342" i="7"/>
  <c r="Y343" i="7"/>
  <c r="Y344" i="7"/>
  <c r="Y345" i="7"/>
  <c r="Y346" i="7"/>
  <c r="Y347" i="7"/>
  <c r="Y348" i="7"/>
  <c r="Y349" i="7"/>
  <c r="Y351" i="7"/>
  <c r="Y350" i="7"/>
  <c r="Y352" i="7"/>
  <c r="Y353" i="7"/>
  <c r="Y354" i="7"/>
  <c r="Y355" i="7"/>
  <c r="Y356" i="7"/>
  <c r="Y357" i="7"/>
  <c r="Y358" i="7"/>
  <c r="Y359" i="7"/>
  <c r="Y360" i="7"/>
  <c r="Y361" i="7"/>
  <c r="Y362" i="7"/>
  <c r="Y364" i="7"/>
  <c r="Y363" i="7"/>
  <c r="Y365" i="7"/>
  <c r="Y366" i="7"/>
  <c r="Y368" i="7"/>
  <c r="Y369" i="7"/>
  <c r="Y370" i="7"/>
  <c r="Y367" i="7"/>
  <c r="Y371" i="7"/>
  <c r="Y372" i="7"/>
  <c r="Y334" i="7"/>
  <c r="Y373" i="7"/>
  <c r="Y374" i="7"/>
  <c r="Y375" i="7"/>
  <c r="Y376" i="7"/>
  <c r="Y378" i="7"/>
  <c r="Y377" i="7"/>
  <c r="Y379" i="7"/>
  <c r="Y380" i="7"/>
  <c r="Y381" i="7"/>
  <c r="Y382" i="7"/>
  <c r="Y383" i="7"/>
  <c r="Y387" i="7"/>
  <c r="Y388" i="7"/>
  <c r="Y389" i="7"/>
  <c r="Y390" i="7"/>
  <c r="Y394" i="7"/>
  <c r="Y391" i="7"/>
  <c r="Y398" i="7"/>
  <c r="Y399" i="7"/>
  <c r="Y400" i="7"/>
  <c r="Y401" i="7"/>
  <c r="Y396" i="7"/>
  <c r="Y397" i="7"/>
  <c r="Y395" i="7"/>
  <c r="Y402" i="7"/>
  <c r="Y403" i="7"/>
  <c r="Y404" i="7"/>
  <c r="Y405" i="7"/>
  <c r="Y406" i="7"/>
  <c r="Y407" i="7"/>
  <c r="Y409" i="7"/>
  <c r="Y410" i="7"/>
  <c r="Y408" i="7"/>
  <c r="Y416" i="7"/>
  <c r="Y417" i="7"/>
  <c r="Y418" i="7"/>
  <c r="Y419" i="7"/>
  <c r="Y411" i="7"/>
  <c r="Y427" i="7"/>
  <c r="Y428" i="7"/>
  <c r="Y424" i="7"/>
  <c r="Y425" i="7"/>
  <c r="Y426" i="7"/>
  <c r="Y429" i="7"/>
  <c r="Y430" i="7"/>
  <c r="Y431" i="7"/>
  <c r="Y432" i="7"/>
  <c r="Y434" i="7"/>
  <c r="Y433" i="7"/>
  <c r="Y435" i="7"/>
  <c r="Y437" i="7"/>
  <c r="X84" i="7"/>
  <c r="X86" i="7"/>
  <c r="X88" i="7"/>
  <c r="X90" i="7"/>
  <c r="X89" i="7"/>
  <c r="X93" i="7"/>
  <c r="X96" i="7"/>
  <c r="X97" i="7"/>
  <c r="X98" i="7"/>
  <c r="X99" i="7"/>
  <c r="X104" i="7"/>
  <c r="X105" i="7"/>
  <c r="X106" i="7"/>
  <c r="X107" i="7"/>
  <c r="X109" i="7"/>
  <c r="X110" i="7"/>
  <c r="X111" i="7"/>
  <c r="X112" i="7"/>
  <c r="X119" i="7"/>
  <c r="X120" i="7"/>
  <c r="X121" i="7"/>
  <c r="X123" i="7"/>
  <c r="X124" i="7"/>
  <c r="X125" i="7"/>
  <c r="X122" i="7"/>
  <c r="X128" i="7"/>
  <c r="X129" i="7"/>
  <c r="X130" i="7"/>
  <c r="X131" i="7"/>
  <c r="X132" i="7"/>
  <c r="X133" i="7"/>
  <c r="X140" i="7"/>
  <c r="X134" i="7"/>
  <c r="X141" i="7"/>
  <c r="X142" i="7"/>
  <c r="X143" i="7"/>
  <c r="X144" i="7"/>
  <c r="X146" i="7"/>
  <c r="X147" i="7"/>
  <c r="X149" i="7"/>
  <c r="X150" i="7"/>
  <c r="X151" i="7"/>
  <c r="X152" i="7"/>
  <c r="X154" i="7"/>
  <c r="X155" i="7"/>
  <c r="X156" i="7"/>
  <c r="X157" i="7"/>
  <c r="X158" i="7"/>
  <c r="X159" i="7"/>
  <c r="X160" i="7"/>
  <c r="X161" i="7"/>
  <c r="X162" i="7"/>
  <c r="X163" i="7"/>
  <c r="X164" i="7"/>
  <c r="X165" i="7"/>
  <c r="X166" i="7"/>
  <c r="X167" i="7"/>
  <c r="X175" i="7"/>
  <c r="X176" i="7"/>
  <c r="X177" i="7"/>
  <c r="X178" i="7"/>
  <c r="X181" i="7"/>
  <c r="X182" i="7"/>
  <c r="X184" i="7"/>
  <c r="X188" i="7"/>
  <c r="X185" i="7"/>
  <c r="X186" i="7"/>
  <c r="X187" i="7"/>
  <c r="X189" i="7"/>
  <c r="X191" i="7"/>
  <c r="X192" i="7"/>
  <c r="X193" i="7"/>
  <c r="X194" i="7"/>
  <c r="X195" i="7"/>
  <c r="X199" i="7"/>
  <c r="X200" i="7"/>
  <c r="X202" i="7"/>
  <c r="X203" i="7"/>
  <c r="X204" i="7"/>
  <c r="X205" i="7"/>
  <c r="X206" i="7"/>
  <c r="X201" i="7"/>
  <c r="X208" i="7"/>
  <c r="X209" i="7"/>
  <c r="X213" i="7"/>
  <c r="X214" i="7"/>
  <c r="X215" i="7"/>
  <c r="X216" i="7"/>
  <c r="X212" i="7"/>
  <c r="X210" i="7"/>
  <c r="X211" i="7"/>
  <c r="X217" i="7"/>
  <c r="X219" i="7"/>
  <c r="X220" i="7"/>
  <c r="X223" i="7"/>
  <c r="X224" i="7"/>
  <c r="X225" i="7"/>
  <c r="X226" i="7"/>
  <c r="X228" i="7"/>
  <c r="X229" i="7"/>
  <c r="X230" i="7"/>
  <c r="X234" i="7"/>
  <c r="X235" i="7"/>
  <c r="X231" i="7"/>
  <c r="X232" i="7"/>
  <c r="X236" i="7"/>
  <c r="X255" i="7"/>
  <c r="X256" i="7"/>
  <c r="X249" i="7"/>
  <c r="X250" i="7"/>
  <c r="X251" i="7"/>
  <c r="X252" i="7"/>
  <c r="X253" i="7"/>
  <c r="X254" i="7"/>
  <c r="X248" i="7"/>
  <c r="X237" i="7"/>
  <c r="X238" i="7"/>
  <c r="X239" i="7"/>
  <c r="X240" i="7"/>
  <c r="X241" i="7"/>
  <c r="X242" i="7"/>
  <c r="X243" i="7"/>
  <c r="X261" i="7"/>
  <c r="X262" i="7"/>
  <c r="X263" i="7"/>
  <c r="X264" i="7"/>
  <c r="X265" i="7"/>
  <c r="X266" i="7"/>
  <c r="X267" i="7"/>
  <c r="X268" i="7"/>
  <c r="X269" i="7"/>
  <c r="X270" i="7"/>
  <c r="X271" i="7"/>
  <c r="X273" i="7"/>
  <c r="X274" i="7"/>
  <c r="X275" i="7"/>
  <c r="X272" i="7"/>
  <c r="X276" i="7"/>
  <c r="X277" i="7"/>
  <c r="X278" i="7"/>
  <c r="X279" i="7"/>
  <c r="X280" i="7"/>
  <c r="X281" i="7"/>
  <c r="X282" i="7"/>
  <c r="X283" i="7"/>
  <c r="X284" i="7"/>
  <c r="X285" i="7"/>
  <c r="X287" i="7"/>
  <c r="X288" i="7"/>
  <c r="X289" i="7"/>
  <c r="X290" i="7"/>
  <c r="X291" i="7"/>
  <c r="X292" i="7"/>
  <c r="X293" i="7"/>
  <c r="X294" i="7"/>
  <c r="X297" i="7"/>
  <c r="X299" i="7"/>
  <c r="X300" i="7"/>
  <c r="X303" i="7"/>
  <c r="X296" i="7"/>
  <c r="X298" i="7"/>
  <c r="X301" i="7"/>
  <c r="X302" i="7"/>
  <c r="X304" i="7"/>
  <c r="X305" i="7"/>
  <c r="X306" i="7"/>
  <c r="X307" i="7"/>
  <c r="X308" i="7"/>
  <c r="X309" i="7"/>
  <c r="X310" i="7"/>
  <c r="X311" i="7"/>
  <c r="X315" i="7"/>
  <c r="X316" i="7"/>
  <c r="X317" i="7"/>
  <c r="X312" i="7"/>
  <c r="X313" i="7"/>
  <c r="X314" i="7"/>
  <c r="X318" i="7"/>
  <c r="X321" i="7"/>
  <c r="X326" i="7"/>
  <c r="X327" i="7"/>
  <c r="X328" i="7"/>
  <c r="X329" i="7"/>
  <c r="X330" i="7"/>
  <c r="X331" i="7"/>
  <c r="X332" i="7"/>
  <c r="X333" i="7"/>
  <c r="X319" i="7"/>
  <c r="X320" i="7"/>
  <c r="X323" i="7"/>
  <c r="X324" i="7"/>
  <c r="X325" i="7"/>
  <c r="X322" i="7"/>
  <c r="X336" i="7"/>
  <c r="X337" i="7"/>
  <c r="X338" i="7"/>
  <c r="X339" i="7"/>
  <c r="X340" i="7"/>
  <c r="X341" i="7"/>
  <c r="X342" i="7"/>
  <c r="X343" i="7"/>
  <c r="X344" i="7"/>
  <c r="X345" i="7"/>
  <c r="X346" i="7"/>
  <c r="X347" i="7"/>
  <c r="X348" i="7"/>
  <c r="X349" i="7"/>
  <c r="X351" i="7"/>
  <c r="X350" i="7"/>
  <c r="X352" i="7"/>
  <c r="X353" i="7"/>
  <c r="X354" i="7"/>
  <c r="X355" i="7"/>
  <c r="X356" i="7"/>
  <c r="X357" i="7"/>
  <c r="X358" i="7"/>
  <c r="X359" i="7"/>
  <c r="X360" i="7"/>
  <c r="X361" i="7"/>
  <c r="X362" i="7"/>
  <c r="X364" i="7"/>
  <c r="X363" i="7"/>
  <c r="X365" i="7"/>
  <c r="X366" i="7"/>
  <c r="X368" i="7"/>
  <c r="X369" i="7"/>
  <c r="X370" i="7"/>
  <c r="X367" i="7"/>
  <c r="X371" i="7"/>
  <c r="X372" i="7"/>
  <c r="X334" i="7"/>
  <c r="X373" i="7"/>
  <c r="X374" i="7"/>
  <c r="X375" i="7"/>
  <c r="X376" i="7"/>
  <c r="X378" i="7"/>
  <c r="X377" i="7"/>
  <c r="X379" i="7"/>
  <c r="X380" i="7"/>
  <c r="X381" i="7"/>
  <c r="X382" i="7"/>
  <c r="X383" i="7"/>
  <c r="X387" i="7"/>
  <c r="X388" i="7"/>
  <c r="X389" i="7"/>
  <c r="X390" i="7"/>
  <c r="X394" i="7"/>
  <c r="X391" i="7"/>
  <c r="X398" i="7"/>
  <c r="X399" i="7"/>
  <c r="X400" i="7"/>
  <c r="X401" i="7"/>
  <c r="X396" i="7"/>
  <c r="X397" i="7"/>
  <c r="X395" i="7"/>
  <c r="X402" i="7"/>
  <c r="X403" i="7"/>
  <c r="X404" i="7"/>
  <c r="X405" i="7"/>
  <c r="X406" i="7"/>
  <c r="X407" i="7"/>
  <c r="X409" i="7"/>
  <c r="X410" i="7"/>
  <c r="X408" i="7"/>
  <c r="X416" i="7"/>
  <c r="X417" i="7"/>
  <c r="X418" i="7"/>
  <c r="X419" i="7"/>
  <c r="X411" i="7"/>
  <c r="X427" i="7"/>
  <c r="X428" i="7"/>
  <c r="X424" i="7"/>
  <c r="X425" i="7"/>
  <c r="X426" i="7"/>
  <c r="X429" i="7"/>
  <c r="X430" i="7"/>
  <c r="X431" i="7"/>
  <c r="X432" i="7"/>
  <c r="X434" i="7"/>
  <c r="X433" i="7"/>
  <c r="X435" i="7"/>
  <c r="X437" i="7"/>
  <c r="W84" i="7"/>
  <c r="W86" i="7"/>
  <c r="W88" i="7"/>
  <c r="W90" i="7"/>
  <c r="W89" i="7"/>
  <c r="W93" i="7"/>
  <c r="W96" i="7"/>
  <c r="W97" i="7"/>
  <c r="W98" i="7"/>
  <c r="W99" i="7"/>
  <c r="W104" i="7"/>
  <c r="W105" i="7"/>
  <c r="W106" i="7"/>
  <c r="W107" i="7"/>
  <c r="W109" i="7"/>
  <c r="W110" i="7"/>
  <c r="W111" i="7"/>
  <c r="W112" i="7"/>
  <c r="W121" i="7"/>
  <c r="W123" i="7"/>
  <c r="W124" i="7"/>
  <c r="W125" i="7"/>
  <c r="W122" i="7"/>
  <c r="W128" i="7"/>
  <c r="W129" i="7"/>
  <c r="W130" i="7"/>
  <c r="W131" i="7"/>
  <c r="W132" i="7"/>
  <c r="W133" i="7"/>
  <c r="W140" i="7"/>
  <c r="W134" i="7"/>
  <c r="W141" i="7"/>
  <c r="W142" i="7"/>
  <c r="W143" i="7"/>
  <c r="W144" i="7"/>
  <c r="W146" i="7"/>
  <c r="W147" i="7"/>
  <c r="W149" i="7"/>
  <c r="W150" i="7"/>
  <c r="W151" i="7"/>
  <c r="W152" i="7"/>
  <c r="W154" i="7"/>
  <c r="W155" i="7"/>
  <c r="W156" i="7"/>
  <c r="W157" i="7"/>
  <c r="W158" i="7"/>
  <c r="W159" i="7"/>
  <c r="W160" i="7"/>
  <c r="W161" i="7"/>
  <c r="W162" i="7"/>
  <c r="W163" i="7"/>
  <c r="W164" i="7"/>
  <c r="W165" i="7"/>
  <c r="W166" i="7"/>
  <c r="W167" i="7"/>
  <c r="W175" i="7"/>
  <c r="W176" i="7"/>
  <c r="W177" i="7"/>
  <c r="W178" i="7"/>
  <c r="W181" i="7"/>
  <c r="W182" i="7"/>
  <c r="W184" i="7"/>
  <c r="W188" i="7"/>
  <c r="W185" i="7"/>
  <c r="W186" i="7"/>
  <c r="W187" i="7"/>
  <c r="W189" i="7"/>
  <c r="W191" i="7"/>
  <c r="W192" i="7"/>
  <c r="W193" i="7"/>
  <c r="W194" i="7"/>
  <c r="W195" i="7"/>
  <c r="W199" i="7"/>
  <c r="W200" i="7"/>
  <c r="W202" i="7"/>
  <c r="W203" i="7"/>
  <c r="W204" i="7"/>
  <c r="W201" i="7"/>
  <c r="W208" i="7"/>
  <c r="W209" i="7"/>
  <c r="W213" i="7"/>
  <c r="W214" i="7"/>
  <c r="W215" i="7"/>
  <c r="W216" i="7"/>
  <c r="W212" i="7"/>
  <c r="W210" i="7"/>
  <c r="W211" i="7"/>
  <c r="W217" i="7"/>
  <c r="W219" i="7"/>
  <c r="W223" i="7"/>
  <c r="W224" i="7"/>
  <c r="W225" i="7"/>
  <c r="W226" i="7"/>
  <c r="W227" i="7"/>
  <c r="W228" i="7"/>
  <c r="W229" i="7"/>
  <c r="W230" i="7"/>
  <c r="W234" i="7"/>
  <c r="W235" i="7"/>
  <c r="W231" i="7"/>
  <c r="W232" i="7"/>
  <c r="W236" i="7"/>
  <c r="W255" i="7"/>
  <c r="W256" i="7"/>
  <c r="W249" i="7"/>
  <c r="W250" i="7"/>
  <c r="W251" i="7"/>
  <c r="W252" i="7"/>
  <c r="W253" i="7"/>
  <c r="W254" i="7"/>
  <c r="W248" i="7"/>
  <c r="W237" i="7"/>
  <c r="W238" i="7"/>
  <c r="W239" i="7"/>
  <c r="W240" i="7"/>
  <c r="W241" i="7"/>
  <c r="W242" i="7"/>
  <c r="W243" i="7"/>
  <c r="W261" i="7"/>
  <c r="W262" i="7"/>
  <c r="W263" i="7"/>
  <c r="W264" i="7"/>
  <c r="W265" i="7"/>
  <c r="W266" i="7"/>
  <c r="W267" i="7"/>
  <c r="W268" i="7"/>
  <c r="W269" i="7"/>
  <c r="W270" i="7"/>
  <c r="W271" i="7"/>
  <c r="W273" i="7"/>
  <c r="W274" i="7"/>
  <c r="W275" i="7"/>
  <c r="W272" i="7"/>
  <c r="W276" i="7"/>
  <c r="W277" i="7"/>
  <c r="W278" i="7"/>
  <c r="W279" i="7"/>
  <c r="W280" i="7"/>
  <c r="W281" i="7"/>
  <c r="W282" i="7"/>
  <c r="W283" i="7"/>
  <c r="W284" i="7"/>
  <c r="W285" i="7"/>
  <c r="W287" i="7"/>
  <c r="W288" i="7"/>
  <c r="W289" i="7"/>
  <c r="W290" i="7"/>
  <c r="W291" i="7"/>
  <c r="W292" i="7"/>
  <c r="W293" i="7"/>
  <c r="W294" i="7"/>
  <c r="W297" i="7"/>
  <c r="W299" i="7"/>
  <c r="W300" i="7"/>
  <c r="W303" i="7"/>
  <c r="W296" i="7"/>
  <c r="W298" i="7"/>
  <c r="W301" i="7"/>
  <c r="W302" i="7"/>
  <c r="W304" i="7"/>
  <c r="W305" i="7"/>
  <c r="W306" i="7"/>
  <c r="W307" i="7"/>
  <c r="W308" i="7"/>
  <c r="W309" i="7"/>
  <c r="W310" i="7"/>
  <c r="W311" i="7"/>
  <c r="W315" i="7"/>
  <c r="W316" i="7"/>
  <c r="W317" i="7"/>
  <c r="W312" i="7"/>
  <c r="W313" i="7"/>
  <c r="W314" i="7"/>
  <c r="W318" i="7"/>
  <c r="W321" i="7"/>
  <c r="W326" i="7"/>
  <c r="W327" i="7"/>
  <c r="W328" i="7"/>
  <c r="W329" i="7"/>
  <c r="W330" i="7"/>
  <c r="W331" i="7"/>
  <c r="W332" i="7"/>
  <c r="W333" i="7"/>
  <c r="W319" i="7"/>
  <c r="W320" i="7"/>
  <c r="W323" i="7"/>
  <c r="W324" i="7"/>
  <c r="W325" i="7"/>
  <c r="W322" i="7"/>
  <c r="W336" i="7"/>
  <c r="W337" i="7"/>
  <c r="W338" i="7"/>
  <c r="W339" i="7"/>
  <c r="W340" i="7"/>
  <c r="W341" i="7"/>
  <c r="W342" i="7"/>
  <c r="W343" i="7"/>
  <c r="W344" i="7"/>
  <c r="W345" i="7"/>
  <c r="W346" i="7"/>
  <c r="W347" i="7"/>
  <c r="W348" i="7"/>
  <c r="W349" i="7"/>
  <c r="W351" i="7"/>
  <c r="W350" i="7"/>
  <c r="W352" i="7"/>
  <c r="W353" i="7"/>
  <c r="W354" i="7"/>
  <c r="W355" i="7"/>
  <c r="W356" i="7"/>
  <c r="W357" i="7"/>
  <c r="W358" i="7"/>
  <c r="W359" i="7"/>
  <c r="W360" i="7"/>
  <c r="W361" i="7"/>
  <c r="W362" i="7"/>
  <c r="W364" i="7"/>
  <c r="W363" i="7"/>
  <c r="W365" i="7"/>
  <c r="W366" i="7"/>
  <c r="W368" i="7"/>
  <c r="W369" i="7"/>
  <c r="W370" i="7"/>
  <c r="W367" i="7"/>
  <c r="W371" i="7"/>
  <c r="W372" i="7"/>
  <c r="W334" i="7"/>
  <c r="W373" i="7"/>
  <c r="W374" i="7"/>
  <c r="W375" i="7"/>
  <c r="W376" i="7"/>
  <c r="W378" i="7"/>
  <c r="W377" i="7"/>
  <c r="W379" i="7"/>
  <c r="W380" i="7"/>
  <c r="W381" i="7"/>
  <c r="W382" i="7"/>
  <c r="W383" i="7"/>
  <c r="W387" i="7"/>
  <c r="W388" i="7"/>
  <c r="W389" i="7"/>
  <c r="W390" i="7"/>
  <c r="W394" i="7"/>
  <c r="W391" i="7"/>
  <c r="W398" i="7"/>
  <c r="W399" i="7"/>
  <c r="W400" i="7"/>
  <c r="W401" i="7"/>
  <c r="W396" i="7"/>
  <c r="W397" i="7"/>
  <c r="W395" i="7"/>
  <c r="W402" i="7"/>
  <c r="W403" i="7"/>
  <c r="W404" i="7"/>
  <c r="W405" i="7"/>
  <c r="W406" i="7"/>
  <c r="W407" i="7"/>
  <c r="W409" i="7"/>
  <c r="W410" i="7"/>
  <c r="W408" i="7"/>
  <c r="W416" i="7"/>
  <c r="W417" i="7"/>
  <c r="W418" i="7"/>
  <c r="W419" i="7"/>
  <c r="W411" i="7"/>
  <c r="W427" i="7"/>
  <c r="W428" i="7"/>
  <c r="W424" i="7"/>
  <c r="W425" i="7"/>
  <c r="W426" i="7"/>
  <c r="W429" i="7"/>
  <c r="W430" i="7"/>
  <c r="W431" i="7"/>
  <c r="W432" i="7"/>
  <c r="W434" i="7"/>
  <c r="W433" i="7"/>
  <c r="W435" i="7"/>
  <c r="W437" i="7"/>
  <c r="W27" i="7"/>
  <c r="W30" i="7"/>
  <c r="W31" i="7"/>
  <c r="W34" i="7"/>
  <c r="W35" i="7"/>
  <c r="W36" i="7"/>
  <c r="W39" i="7"/>
  <c r="W40" i="7"/>
  <c r="W50" i="7"/>
  <c r="W51" i="7"/>
  <c r="W52" i="7"/>
  <c r="W53" i="7"/>
  <c r="W55" i="7"/>
  <c r="W56" i="7"/>
  <c r="W57" i="7"/>
  <c r="W59" i="7"/>
  <c r="W60" i="7"/>
  <c r="W61" i="7"/>
  <c r="W62" i="7"/>
  <c r="W63" i="7"/>
  <c r="W64" i="7"/>
  <c r="W68" i="7"/>
  <c r="W69" i="7"/>
  <c r="W71" i="7"/>
  <c r="W81" i="7"/>
  <c r="W82" i="7"/>
  <c r="W74" i="7"/>
  <c r="W75" i="7"/>
  <c r="W72" i="7"/>
  <c r="W73" i="7"/>
  <c r="W76" i="7"/>
  <c r="W77" i="7"/>
  <c r="X27" i="7"/>
  <c r="X30" i="7"/>
  <c r="X31" i="7"/>
  <c r="X34" i="7"/>
  <c r="X35" i="7"/>
  <c r="X36" i="7"/>
  <c r="X39" i="7"/>
  <c r="X40" i="7"/>
  <c r="X50" i="7"/>
  <c r="X51" i="7"/>
  <c r="X52" i="7"/>
  <c r="X53" i="7"/>
  <c r="X55" i="7"/>
  <c r="X56" i="7"/>
  <c r="X57" i="7"/>
  <c r="X59" i="7"/>
  <c r="X60" i="7"/>
  <c r="X61" i="7"/>
  <c r="X62" i="7"/>
  <c r="X63" i="7"/>
  <c r="X64" i="7"/>
  <c r="X68" i="7"/>
  <c r="X69" i="7"/>
  <c r="X71" i="7"/>
  <c r="X81" i="7"/>
  <c r="X82" i="7"/>
  <c r="X74" i="7"/>
  <c r="X75" i="7"/>
  <c r="X72" i="7"/>
  <c r="X73" i="7"/>
  <c r="X76" i="7"/>
  <c r="X77" i="7"/>
  <c r="Y15" i="7"/>
  <c r="Y8" i="7"/>
  <c r="Y9" i="7"/>
  <c r="Y4" i="7"/>
  <c r="Y5" i="7"/>
  <c r="Y18" i="7"/>
  <c r="Y19" i="7"/>
  <c r="Y10" i="7"/>
  <c r="Y11" i="7"/>
  <c r="Y20" i="7"/>
  <c r="Y21" i="7"/>
  <c r="Y24" i="7"/>
  <c r="Y25" i="7"/>
  <c r="Y6" i="7"/>
  <c r="Y7" i="7"/>
  <c r="Y16" i="7"/>
  <c r="Y17" i="7"/>
  <c r="Y12" i="7"/>
  <c r="Y13" i="7"/>
  <c r="Y26" i="7"/>
  <c r="Y27" i="7"/>
  <c r="Y30" i="7"/>
  <c r="Y31" i="7"/>
  <c r="Y34" i="7"/>
  <c r="Y35" i="7"/>
  <c r="Y36" i="7"/>
  <c r="Y39" i="7"/>
  <c r="Y40" i="7"/>
  <c r="Y50" i="7"/>
  <c r="Y51" i="7"/>
  <c r="Y52" i="7"/>
  <c r="Y53" i="7"/>
  <c r="Y55" i="7"/>
  <c r="Y56" i="7"/>
  <c r="Y57" i="7"/>
  <c r="Y59" i="7"/>
  <c r="Y60" i="7"/>
  <c r="Y61" i="7"/>
  <c r="Y62" i="7"/>
  <c r="Y63" i="7"/>
  <c r="Y64" i="7"/>
  <c r="Y68" i="7"/>
  <c r="Y69" i="7"/>
  <c r="Y71" i="7"/>
  <c r="Y81" i="7"/>
  <c r="Y82" i="7"/>
  <c r="Y74" i="7"/>
  <c r="Y75" i="7"/>
  <c r="Y72" i="7"/>
  <c r="Y73" i="7"/>
  <c r="Y76" i="7"/>
  <c r="Y77" i="7"/>
  <c r="X15" i="7"/>
  <c r="X8" i="7"/>
  <c r="X9" i="7"/>
  <c r="X4" i="7"/>
  <c r="X5" i="7"/>
  <c r="X18" i="7"/>
  <c r="X19" i="7"/>
  <c r="X10" i="7"/>
  <c r="X11" i="7"/>
  <c r="X20" i="7"/>
  <c r="X21" i="7"/>
  <c r="X24" i="7"/>
  <c r="X25" i="7"/>
  <c r="X6" i="7"/>
  <c r="X7" i="7"/>
  <c r="X16" i="7"/>
  <c r="X17" i="7"/>
  <c r="X12" i="7"/>
  <c r="X13" i="7"/>
  <c r="X26" i="7"/>
  <c r="W15" i="7"/>
  <c r="W8" i="7"/>
  <c r="W9" i="7"/>
  <c r="W4" i="7"/>
  <c r="W5" i="7"/>
  <c r="W18" i="7"/>
  <c r="W19" i="7"/>
  <c r="W10" i="7"/>
  <c r="W11" i="7"/>
  <c r="W20" i="7"/>
  <c r="W21" i="7"/>
  <c r="W24" i="7"/>
  <c r="W25" i="7"/>
  <c r="W6" i="7"/>
  <c r="W7" i="7"/>
  <c r="W16" i="7"/>
  <c r="W17" i="7"/>
  <c r="W12" i="7"/>
  <c r="W13" i="7"/>
  <c r="W26" i="7"/>
  <c r="Y14" i="7"/>
  <c r="X14" i="7"/>
  <c r="W14" i="7"/>
  <c r="Y3" i="7"/>
  <c r="X3" i="7"/>
  <c r="W3" i="7"/>
  <c r="Y2" i="7"/>
  <c r="X2" i="7"/>
  <c r="W2" i="7"/>
  <c r="U14" i="7"/>
  <c r="U3" i="7"/>
  <c r="U2" i="7"/>
  <c r="C3" i="7"/>
  <c r="C2" i="7"/>
  <c r="E44" i="20"/>
  <c r="C32" i="23"/>
  <c r="D33" i="23"/>
  <c r="C39" i="20"/>
  <c r="C34" i="23"/>
  <c r="E28" i="23"/>
  <c r="E30" i="23"/>
  <c r="C46" i="20"/>
  <c r="D34" i="23"/>
  <c r="D47" i="20"/>
  <c r="D38" i="20"/>
  <c r="D29" i="23"/>
  <c r="D35" i="23"/>
  <c r="D48" i="20"/>
  <c r="D42" i="20"/>
  <c r="F45" i="20"/>
  <c r="C40" i="20"/>
  <c r="D40" i="20"/>
  <c r="E33" i="23"/>
  <c r="E36" i="23"/>
  <c r="E32" i="23"/>
  <c r="C43" i="20"/>
  <c r="C27" i="23"/>
  <c r="D46" i="20"/>
  <c r="D28" i="23"/>
  <c r="D26" i="23"/>
  <c r="F29" i="23"/>
  <c r="E42" i="20"/>
  <c r="E48" i="20"/>
  <c r="C38" i="20"/>
  <c r="E35" i="23"/>
  <c r="E31" i="23"/>
  <c r="F30" i="23"/>
  <c r="C44" i="20"/>
  <c r="F41" i="20"/>
  <c r="D36" i="23"/>
  <c r="F34" i="23"/>
  <c r="E26" i="23"/>
  <c r="C45" i="20"/>
  <c r="F27" i="23"/>
  <c r="C30" i="23"/>
  <c r="D32" i="23"/>
  <c r="D45" i="20"/>
  <c r="D44" i="20"/>
  <c r="D27" i="23"/>
  <c r="F28" i="23"/>
  <c r="E38" i="20"/>
  <c r="E29" i="23"/>
  <c r="F48" i="20"/>
  <c r="C31" i="23"/>
  <c r="E40" i="20"/>
  <c r="D39" i="20"/>
  <c r="E46" i="20"/>
  <c r="F44" i="20"/>
  <c r="E43" i="20"/>
  <c r="F38" i="20"/>
  <c r="D43" i="20"/>
  <c r="E34" i="23"/>
  <c r="F36" i="23"/>
  <c r="C33" i="23"/>
  <c r="F46" i="20"/>
  <c r="F31" i="23"/>
  <c r="F47" i="20"/>
  <c r="C28" i="23"/>
  <c r="C29" i="23"/>
  <c r="D30" i="23"/>
  <c r="C26" i="23"/>
  <c r="E41" i="20"/>
  <c r="E27" i="23"/>
  <c r="C48" i="20"/>
  <c r="E45" i="20"/>
  <c r="D31" i="23"/>
  <c r="E47" i="20"/>
  <c r="C41" i="20"/>
  <c r="E39" i="20"/>
  <c r="C36" i="23"/>
  <c r="D41" i="20"/>
  <c r="F32" i="23"/>
  <c r="C42" i="20"/>
  <c r="K32" i="23" l="1"/>
  <c r="L32" i="23" s="1"/>
  <c r="K31" i="23"/>
  <c r="L31" i="23" s="1"/>
  <c r="K27" i="23"/>
  <c r="L27" i="23" s="1"/>
  <c r="K28" i="23"/>
  <c r="L28" i="23" s="1"/>
  <c r="K34" i="23"/>
  <c r="L34" i="23" s="1"/>
  <c r="K35" i="23"/>
  <c r="L35" i="23" s="1"/>
  <c r="K30" i="23"/>
  <c r="L30" i="23" s="1"/>
  <c r="K36" i="23"/>
  <c r="L36" i="23" s="1"/>
  <c r="K26" i="23"/>
  <c r="L26" i="23" s="1"/>
  <c r="K29" i="23"/>
  <c r="L29" i="23" s="1"/>
  <c r="K33" i="23"/>
  <c r="L33" i="23" s="1"/>
  <c r="K39" i="20"/>
  <c r="L39" i="20" s="1"/>
  <c r="K42" i="20"/>
  <c r="L42" i="20" s="1"/>
  <c r="K45" i="20"/>
  <c r="L45" i="20" s="1"/>
  <c r="K46" i="20"/>
  <c r="L46" i="20" s="1"/>
  <c r="K44" i="20"/>
  <c r="L44" i="20" s="1"/>
  <c r="K47" i="20"/>
  <c r="L47" i="20" s="1"/>
  <c r="K43" i="20"/>
  <c r="L43" i="20" s="1"/>
  <c r="K41" i="20"/>
  <c r="L41" i="20" s="1"/>
  <c r="K38" i="20"/>
  <c r="L38" i="20" s="1"/>
  <c r="K48" i="20"/>
  <c r="L48" i="20" s="1"/>
  <c r="K40" i="20"/>
  <c r="L40" i="20" s="1"/>
  <c r="E50" i="20"/>
  <c r="D50" i="20"/>
  <c r="F38" i="23"/>
  <c r="C50" i="20"/>
  <c r="C38" i="23"/>
  <c r="E38" i="23"/>
  <c r="F50" i="20"/>
  <c r="D38" i="23"/>
  <c r="K50" i="20" l="1"/>
  <c r="K38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tc={5D8FC04C-5EEB-4882-BAE5-439C98E8C373}</author>
    <author>tc={097604F2-BD80-417C-AA9D-57981C0BA4E5}</author>
  </authors>
  <commentList>
    <comment ref="C22" authorId="0" shapeId="0" xr:uid="{5D8FC04C-5EEB-4882-BAE5-439C98E8C37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8/22 new credit allocation - put as 2018 for calculation ease.  </t>
      </text>
    </comment>
    <comment ref="C23" authorId="1" shapeId="0" xr:uid="{097604F2-BD80-417C-AA9D-57981C0BA4E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8/22 new credit allocation - put as 2018 for calculation ease.  </t>
      </text>
    </comment>
  </commentList>
</comments>
</file>

<file path=xl/sharedStrings.xml><?xml version="1.0" encoding="utf-8"?>
<sst xmlns="http://schemas.openxmlformats.org/spreadsheetml/2006/main" count="14475" uniqueCount="2118">
  <si>
    <t>Applicant</t>
  </si>
  <si>
    <t>Calumet-Dunes</t>
  </si>
  <si>
    <t>Kankakee</t>
  </si>
  <si>
    <t>St. Joseph River</t>
  </si>
  <si>
    <t>Maumee</t>
  </si>
  <si>
    <t>Upper Wabash</t>
  </si>
  <si>
    <t>Middle Wabash</t>
  </si>
  <si>
    <t>Upper White</t>
  </si>
  <si>
    <t>Whitewater-East Fork White</t>
  </si>
  <si>
    <t>Lower White</t>
  </si>
  <si>
    <t>Upper Ohio</t>
  </si>
  <si>
    <t>Ohio-Wabash Lowlands</t>
  </si>
  <si>
    <t>Date</t>
  </si>
  <si>
    <t>Type</t>
  </si>
  <si>
    <t>Credits</t>
  </si>
  <si>
    <t>Impact Quantity</t>
  </si>
  <si>
    <t>Comments</t>
  </si>
  <si>
    <t>Latitude</t>
  </si>
  <si>
    <t>Longitude</t>
  </si>
  <si>
    <t>Service Area</t>
  </si>
  <si>
    <t>P Wdr</t>
  </si>
  <si>
    <t>Program Advance Credit Release</t>
  </si>
  <si>
    <t>Program Advance Credit Withdrawl</t>
  </si>
  <si>
    <t>S Wdr</t>
  </si>
  <si>
    <t>Init</t>
  </si>
  <si>
    <t>Rel</t>
  </si>
  <si>
    <t>Release - Credits Released from ILF Project</t>
  </si>
  <si>
    <t>Initiation - Potential Credits available from ILF Project</t>
  </si>
  <si>
    <t>Wdr</t>
  </si>
  <si>
    <t>Withdrawl - Credits Withdrawn from ILF Project, either used to fulfill advance credits or sold directly</t>
  </si>
  <si>
    <t>Description</t>
  </si>
  <si>
    <t>Service Areas</t>
  </si>
  <si>
    <t>Wetland</t>
  </si>
  <si>
    <t>Stream</t>
  </si>
  <si>
    <t>Credit Class</t>
  </si>
  <si>
    <t>Resource Type</t>
  </si>
  <si>
    <t>PEM</t>
  </si>
  <si>
    <t>PSS</t>
  </si>
  <si>
    <t>PFO</t>
  </si>
  <si>
    <t>Per</t>
  </si>
  <si>
    <t>Int</t>
  </si>
  <si>
    <t>Eph</t>
  </si>
  <si>
    <t>Emergent Wetland</t>
  </si>
  <si>
    <t>Scrub-Shrub Wetland</t>
  </si>
  <si>
    <t>Forested Wetland</t>
  </si>
  <si>
    <t>Perennial Steam</t>
  </si>
  <si>
    <t>Intermittent Stream</t>
  </si>
  <si>
    <t>Ephemeral Stream</t>
  </si>
  <si>
    <t>Date Fulfilled</t>
  </si>
  <si>
    <t>Fulfilled</t>
  </si>
  <si>
    <t>Yes</t>
  </si>
  <si>
    <t>No</t>
  </si>
  <si>
    <t>Credit Fulfilled by Site</t>
  </si>
  <si>
    <t>County</t>
  </si>
  <si>
    <t>DA Permit</t>
  </si>
  <si>
    <t>IDEM Permit</t>
  </si>
  <si>
    <t>In-Lieu Fee</t>
  </si>
  <si>
    <t>Calendar Year</t>
  </si>
  <si>
    <t>Impact Category</t>
  </si>
  <si>
    <t>Agriculture</t>
  </si>
  <si>
    <t>Dam</t>
  </si>
  <si>
    <t>Development</t>
  </si>
  <si>
    <t>Energy Production</t>
  </si>
  <si>
    <t>Transportation</t>
  </si>
  <si>
    <t>Intr</t>
  </si>
  <si>
    <t>Interest - Interest Allocation to Reserve Account</t>
  </si>
  <si>
    <t>In Lieu Fee Allocation</t>
  </si>
  <si>
    <t>Admin Fund</t>
  </si>
  <si>
    <t>SA Fund</t>
  </si>
  <si>
    <t>Reserve Fund</t>
  </si>
  <si>
    <t>Est</t>
  </si>
  <si>
    <t>Establish ILF Project and Allocate SA Funds</t>
  </si>
  <si>
    <t>HUC</t>
  </si>
  <si>
    <t>IN SWMP Instrument Mod.</t>
  </si>
  <si>
    <t>Row Labels</t>
  </si>
  <si>
    <t>Grand Total</t>
  </si>
  <si>
    <t>Column Labels</t>
  </si>
  <si>
    <t>n/a</t>
  </si>
  <si>
    <t>Allocation</t>
  </si>
  <si>
    <t>Jurisdiction</t>
  </si>
  <si>
    <t>Federal</t>
  </si>
  <si>
    <t>State Isolated</t>
  </si>
  <si>
    <t>LRL-2017-570</t>
  </si>
  <si>
    <t>2018-065-10-ALF-A</t>
  </si>
  <si>
    <t>Clark</t>
  </si>
  <si>
    <t>NRF Invoice Number</t>
  </si>
  <si>
    <t>Evansville Water and Sewer Utility</t>
  </si>
  <si>
    <t>LRL-2018-390</t>
  </si>
  <si>
    <t>2018-264-82-ADF-A</t>
  </si>
  <si>
    <t>Vanderburgh</t>
  </si>
  <si>
    <t>Sum of Credits</t>
  </si>
  <si>
    <t>ILF Restoration Project</t>
  </si>
  <si>
    <t>PeopleSoft ID #</t>
  </si>
  <si>
    <t>Transaction Type</t>
  </si>
  <si>
    <t>Month</t>
  </si>
  <si>
    <t>May</t>
  </si>
  <si>
    <t>September</t>
  </si>
  <si>
    <t>Sum of In-Lieu Fee</t>
  </si>
  <si>
    <t>October</t>
  </si>
  <si>
    <t>GLA Properties II, LLC</t>
  </si>
  <si>
    <t>IWGP 2018-586-41-TMS-A</t>
  </si>
  <si>
    <t>Johnson</t>
  </si>
  <si>
    <t>Class 1 Isolated Wetland Non-Forested</t>
  </si>
  <si>
    <t>N/A</t>
  </si>
  <si>
    <t>POET Design and Construction</t>
  </si>
  <si>
    <t>LRL-2018-310-scm</t>
  </si>
  <si>
    <t>2018-397-73-ALF-A</t>
  </si>
  <si>
    <t>Shelby</t>
  </si>
  <si>
    <t>LRL-2018-415-sjk</t>
  </si>
  <si>
    <t>2018-414-35-HAP-A</t>
  </si>
  <si>
    <t>Huntington, Grant</t>
  </si>
  <si>
    <t>LRE-2017-01163-157</t>
  </si>
  <si>
    <t>2017-415-57-HAP-A</t>
  </si>
  <si>
    <t>Noble</t>
  </si>
  <si>
    <t>Town of Whitestown</t>
  </si>
  <si>
    <t>2017-244-06-JMK-A</t>
  </si>
  <si>
    <t>LRL-2017-299-sjk</t>
  </si>
  <si>
    <t>Boone</t>
  </si>
  <si>
    <t>November</t>
  </si>
  <si>
    <t>Park 70 Partners, LP</t>
  </si>
  <si>
    <t>IWIP 2011-191-30-AMM-A</t>
  </si>
  <si>
    <t>Hancock</t>
  </si>
  <si>
    <t>Arbor Investments, LLC</t>
  </si>
  <si>
    <t>LRL-2017-1149-MKD</t>
  </si>
  <si>
    <t>2018-498-03-TMS-A</t>
  </si>
  <si>
    <t>Bartholomew</t>
  </si>
  <si>
    <t>TBD, LLC</t>
  </si>
  <si>
    <t>LRL-2014-00480</t>
  </si>
  <si>
    <t>2014-267-AMM-V</t>
  </si>
  <si>
    <t>Floyd</t>
  </si>
  <si>
    <t>River Ridge Development Authority</t>
  </si>
  <si>
    <t>LRL-2016-1167-MKD</t>
  </si>
  <si>
    <t>2017-107-10-JBT-A</t>
  </si>
  <si>
    <t>IWIP 2017-107-JBT-A</t>
  </si>
  <si>
    <t>December</t>
  </si>
  <si>
    <t>City of Fishers</t>
  </si>
  <si>
    <t>IWGP 2018-588-29-JBT-A</t>
  </si>
  <si>
    <t>Hamilton</t>
  </si>
  <si>
    <t>Fischer Development Company</t>
  </si>
  <si>
    <t>IWGP 2018-718-29-ALF-A</t>
  </si>
  <si>
    <t>City of Lawrence</t>
  </si>
  <si>
    <t>LRL-2017-31-sam</t>
  </si>
  <si>
    <t>2016-410-49-JBT-V</t>
  </si>
  <si>
    <t>Marion</t>
  </si>
  <si>
    <t xml:space="preserve">January </t>
  </si>
  <si>
    <t>Becknell Services, LLC</t>
  </si>
  <si>
    <t>LRL-2017-898-sam</t>
  </si>
  <si>
    <t>2018-464-41-TMS-A</t>
  </si>
  <si>
    <t>20/20 Custom Molded Plastics</t>
  </si>
  <si>
    <t>2018-652-90-ADF-A</t>
  </si>
  <si>
    <t>LRL-2018-803-lcl</t>
  </si>
  <si>
    <t>Wells</t>
  </si>
  <si>
    <t>Corps mitigation requirement more than IDEM 401 WQC</t>
  </si>
  <si>
    <t>Louisville &amp; Indiana Railroad Company</t>
  </si>
  <si>
    <t>LRL-2018-382</t>
  </si>
  <si>
    <t>2018-182-72-ALF-A</t>
  </si>
  <si>
    <t>Scott</t>
  </si>
  <si>
    <t>*Note:  USACE required 0.4 Emergent Credits</t>
  </si>
  <si>
    <t>Coordinates are midpoint of linear project</t>
  </si>
  <si>
    <t>Vaughn Wamsley</t>
  </si>
  <si>
    <t>LRL-2018-753-htm</t>
  </si>
  <si>
    <t>2018-504-32-JMK-A</t>
  </si>
  <si>
    <t>Hendricks</t>
  </si>
  <si>
    <t>February</t>
  </si>
  <si>
    <t>LRE-2000-700010-R10</t>
  </si>
  <si>
    <t>2010-206-46-JWR-A</t>
  </si>
  <si>
    <t>LaPorte</t>
  </si>
  <si>
    <t>INDOT DES . 1382409</t>
  </si>
  <si>
    <t>Vanderburgh County Engineer</t>
  </si>
  <si>
    <t>LRL-2018-52-djd</t>
  </si>
  <si>
    <t>2017-881-82-JWR-A</t>
  </si>
  <si>
    <t>Section 401 Mod. No 404 Mitigation due to single and complete.  LPA DES No. 1400549</t>
  </si>
  <si>
    <t>Section 401 Mod. No 404 Mitigation due to single and complete.   LPA DES No. 1400549</t>
  </si>
  <si>
    <t>March</t>
  </si>
  <si>
    <t>RBL Properties, LLC</t>
  </si>
  <si>
    <t>IWGP 2018-528-15-15-TMS-V</t>
  </si>
  <si>
    <t>Dearborn</t>
  </si>
  <si>
    <t>Evansville Water &amp; Sewer Utility</t>
  </si>
  <si>
    <t>LRL-2018-546-tmb</t>
  </si>
  <si>
    <t>2018-651-82-ADF</t>
  </si>
  <si>
    <t>*Note:  USACE required 0.67 Emergent Credits</t>
  </si>
  <si>
    <t>Tallgrass Energy, Inc</t>
  </si>
  <si>
    <t>LRL-2018-922-sjk</t>
  </si>
  <si>
    <t>2018-818-32-JMK-A</t>
  </si>
  <si>
    <t>LRL-2018-697-djd</t>
  </si>
  <si>
    <t>2018-496-72-JBT-A</t>
  </si>
  <si>
    <t>(DES NO. 1500530)</t>
  </si>
  <si>
    <t>(DES NO. 1500530)  Note: The emergent impacts includes 0.037 open water req by IDEM</t>
  </si>
  <si>
    <t>Woodcreek TriQuad Drive LLC</t>
  </si>
  <si>
    <t>LRC-2018-852</t>
  </si>
  <si>
    <t>2018-874-46-MTM-A</t>
  </si>
  <si>
    <t>Edgeworth Laskey Properties, LLC</t>
  </si>
  <si>
    <t>IWGP 2018-897-29-ALF-A</t>
  </si>
  <si>
    <t>April</t>
  </si>
  <si>
    <t>The Peterson Company</t>
  </si>
  <si>
    <t>LRL-2002-439-sam</t>
  </si>
  <si>
    <t>2002-603-30-AJP-A</t>
  </si>
  <si>
    <t>Ford Sawmills, Inc.</t>
  </si>
  <si>
    <t>LRL-2018-353-sam</t>
  </si>
  <si>
    <t>2015-334-42-DDC-V</t>
  </si>
  <si>
    <t>Knox</t>
  </si>
  <si>
    <t xml:space="preserve">ATF impacts </t>
  </si>
  <si>
    <t>The Indiana Rail Road Co.</t>
  </si>
  <si>
    <t>LRL-2018-527-htm</t>
  </si>
  <si>
    <t>2019-060-84-jmk</t>
  </si>
  <si>
    <t>Vigo</t>
  </si>
  <si>
    <t>LRL-2017-430-djd</t>
  </si>
  <si>
    <t>2017-272-10-skg</t>
  </si>
  <si>
    <t>(DES No. 13820657) *Note: IDEM 401 WQC documented stream impacts 382 LF Ephemeral and 85 LF Intermittent (467 LF Cumulative)</t>
  </si>
  <si>
    <t>Vectren (Indiana Gas Co., Inc.)</t>
  </si>
  <si>
    <t>LRL-2016-1228</t>
  </si>
  <si>
    <t>2016-732-32-SKG-A</t>
  </si>
  <si>
    <t>USACE did not require mitigation</t>
  </si>
  <si>
    <t>LRE-2008-00236-175-R10</t>
  </si>
  <si>
    <t>2009-039-75-JPS-A</t>
  </si>
  <si>
    <t>Starke</t>
  </si>
  <si>
    <t>Drees Homes</t>
  </si>
  <si>
    <t>IWGP 2019-189-32-JMK-A</t>
  </si>
  <si>
    <t>LRL-2015-638-sjk</t>
  </si>
  <si>
    <t>2016-145-10-JWR-A</t>
  </si>
  <si>
    <t>INDOT DES No. 1400597</t>
  </si>
  <si>
    <t>Burns Development, Inc.</t>
  </si>
  <si>
    <t>IWGP 2019-234-18-ALF-A</t>
  </si>
  <si>
    <t>Delaware</t>
  </si>
  <si>
    <t>Wisconsin Central Ltd.</t>
  </si>
  <si>
    <t>LRC-2010-803-IN</t>
  </si>
  <si>
    <t>not provided</t>
  </si>
  <si>
    <t>Lake</t>
  </si>
  <si>
    <t>2012-409-45-MTM-A</t>
  </si>
  <si>
    <t>*</t>
  </si>
  <si>
    <t>*404 &amp; 401 were modified due to failed mitigation site to deliver designed credit; information on impacts are in the permits</t>
  </si>
  <si>
    <t>INDOT DES No. 1382408 (Historical DES No. 0711018)</t>
  </si>
  <si>
    <t xml:space="preserve">June </t>
  </si>
  <si>
    <t>Monroe County Highway Engineering</t>
  </si>
  <si>
    <t>LRL-2017-69-lcl</t>
  </si>
  <si>
    <t>2017-095-53-JWR-A</t>
  </si>
  <si>
    <t>Monroe</t>
  </si>
  <si>
    <t>*Note:  Mitigation only required for Section 401.  Section 404 impacts not required due to single and complete nature.</t>
  </si>
  <si>
    <t>July</t>
  </si>
  <si>
    <t>City of Greenfield</t>
  </si>
  <si>
    <t>LRL-2017-1184-sam</t>
  </si>
  <si>
    <t>2019-144-30-ALF-A</t>
  </si>
  <si>
    <t>*Note:  The 401 WQC indicates that 146 linear feet of perennial stream impacts but no stream mitigation required.</t>
  </si>
  <si>
    <t>Northern Indiana Public Service Company</t>
  </si>
  <si>
    <t>LRC-2019-041</t>
  </si>
  <si>
    <t>2019-013-46-MTM-A</t>
  </si>
  <si>
    <t>*Note:  IDEM required 4LF more than USACE</t>
  </si>
  <si>
    <t>KD Investment Group, LLC</t>
  </si>
  <si>
    <t>IWGP 031-29-ALF-A</t>
  </si>
  <si>
    <t>August</t>
  </si>
  <si>
    <t>Langston Development</t>
  </si>
  <si>
    <t>IWGP 2018-775-29-ALF-A</t>
  </si>
  <si>
    <t>RCI Development LLC</t>
  </si>
  <si>
    <t>LRE-2014-007700-102-R19</t>
  </si>
  <si>
    <t>2019-161-02-WRH-A</t>
  </si>
  <si>
    <t>Allen</t>
  </si>
  <si>
    <t>LRE-2017-00547-137-R19</t>
  </si>
  <si>
    <t xml:space="preserve">2019-153-37-MTM-A </t>
  </si>
  <si>
    <t>Speedway LLC</t>
  </si>
  <si>
    <t>Jasper</t>
  </si>
  <si>
    <t>Olthof Homes</t>
  </si>
  <si>
    <t>LRL-2018-49-sjk</t>
  </si>
  <si>
    <t>2019-275-29-ALF-A</t>
  </si>
  <si>
    <t>USACE did not require ILF mitigation</t>
  </si>
  <si>
    <t>Indiana Gas Co, Inc.</t>
  </si>
  <si>
    <t>LRL-2019-388-MKD</t>
  </si>
  <si>
    <t>2019-294-10-TMS-A</t>
  </si>
  <si>
    <t>AEP I&amp;M Transco</t>
  </si>
  <si>
    <t>LRE-2017-01162-100-N19</t>
  </si>
  <si>
    <t>2019-251-20-JWR-A</t>
  </si>
  <si>
    <t>Elkhart</t>
  </si>
  <si>
    <t>USACE did not require ILF mitigation. Lat/Long beginning point of linear project.  End point Lat 41.603708, Long -85.993569</t>
  </si>
  <si>
    <t>LRL-2015-489-sjk</t>
  </si>
  <si>
    <t>2015-294-79-JWR-A</t>
  </si>
  <si>
    <t>Tippecanoe</t>
  </si>
  <si>
    <t>INDOT DES No. 0400774</t>
  </si>
  <si>
    <t>INDOT DES No. 1702301</t>
  </si>
  <si>
    <t>LRL-2019-205-sam</t>
  </si>
  <si>
    <t>2019-110-62-JBT-A</t>
  </si>
  <si>
    <t>Perry</t>
  </si>
  <si>
    <t>Plainfield Community School Corporation</t>
  </si>
  <si>
    <t>IWGP 2019-560-32-JMK-A</t>
  </si>
  <si>
    <t>LRL-2017-461-scm</t>
  </si>
  <si>
    <t>2019-072-32-JBT-A</t>
  </si>
  <si>
    <t>Duke Energy</t>
  </si>
  <si>
    <t>IWIP 2019-026-29-ALF-A</t>
  </si>
  <si>
    <t xml:space="preserve">Hamilton </t>
  </si>
  <si>
    <t>LRC-2015-411</t>
  </si>
  <si>
    <t>2019-137-46-MTM-A</t>
  </si>
  <si>
    <t>LRC-2019-255</t>
  </si>
  <si>
    <t>`2019-200-46-MTM-A</t>
  </si>
  <si>
    <t>41. 719149</t>
  </si>
  <si>
    <t>401 WQC also included impacts to 0.0051 acres of PEM</t>
  </si>
  <si>
    <t>City of Greenwood</t>
  </si>
  <si>
    <t>IWIP 2019-658-41-TMS-A</t>
  </si>
  <si>
    <t>LRL-2015-749-sjk</t>
  </si>
  <si>
    <t>2017-110-72-SKG-A</t>
  </si>
  <si>
    <t>LRL-1999-1520-djd</t>
  </si>
  <si>
    <t>1999-300-10-MBF-A</t>
  </si>
  <si>
    <t>2019-089-49-JWR-A</t>
  </si>
  <si>
    <t>LRL-2016-481-dds</t>
  </si>
  <si>
    <t>Morgan &amp; Marion</t>
  </si>
  <si>
    <t>Corps IP and RGP.  IDEM required more mitigation.  INDOT DES No. 0500430</t>
  </si>
  <si>
    <t>Sabert Corporation</t>
  </si>
  <si>
    <t>LRE-2019-00221-102</t>
  </si>
  <si>
    <t>IWIP 2019-446-02-WRH-A</t>
  </si>
  <si>
    <t>2019-446-02-WRH-A</t>
  </si>
  <si>
    <t>DeKalb County Airport Authority</t>
  </si>
  <si>
    <t>LRE-1989-1170052-R17</t>
  </si>
  <si>
    <t>2017-397-17-HAP-A</t>
  </si>
  <si>
    <t>DeKalb</t>
  </si>
  <si>
    <t>LRL-2018-1010-djd</t>
  </si>
  <si>
    <t>2019-566-36-JBT-A</t>
  </si>
  <si>
    <t>Jackson</t>
  </si>
  <si>
    <t>INDOT DES No. 1400090</t>
  </si>
  <si>
    <t>Iron Street Partners, LLC</t>
  </si>
  <si>
    <t>LRL-2019-222-anr</t>
  </si>
  <si>
    <t>2019-184-10-TMS-V</t>
  </si>
  <si>
    <t>TBH, LLC</t>
  </si>
  <si>
    <t>Not Applicable</t>
  </si>
  <si>
    <t>2019-567-60-TMS-A</t>
  </si>
  <si>
    <t>Owen</t>
  </si>
  <si>
    <t>No USACE number due to minimal impacts (&lt;300 LF) and no notification</t>
  </si>
  <si>
    <t>LRL-2019-698-scm</t>
  </si>
  <si>
    <t>2019-625-87-JBT-A</t>
  </si>
  <si>
    <t>Warrick</t>
  </si>
  <si>
    <t>INDOT DES No. 1500052</t>
  </si>
  <si>
    <t>Providence Real Estate Development</t>
  </si>
  <si>
    <t>LRC-2018-305</t>
  </si>
  <si>
    <t>2018-554-45-MTM-A</t>
  </si>
  <si>
    <t>City of Fort Wayne - Parks and Recreation</t>
  </si>
  <si>
    <t>LRE-2015-01011-102</t>
  </si>
  <si>
    <t>2017-201-02-HAP-A</t>
  </si>
  <si>
    <t>Kelley Auto Real Estate, LLC &amp; Menards, Inc.</t>
  </si>
  <si>
    <t>LRE-2018-00428-102-R18</t>
  </si>
  <si>
    <t>2018-627-02-MTM-A</t>
  </si>
  <si>
    <t>Corps RGP did not require mitigation - IDEM 401 WQC required mitigation</t>
  </si>
  <si>
    <t>Raindrop, LLC</t>
  </si>
  <si>
    <t>LRL-2018-107-LCL</t>
  </si>
  <si>
    <t>2019-079-32-JMK-A</t>
  </si>
  <si>
    <t xml:space="preserve">IWIP 2019-079-32-JMK-A </t>
  </si>
  <si>
    <t>Town of Zionsville</t>
  </si>
  <si>
    <t>LRL-2019-585-sam</t>
  </si>
  <si>
    <t>2019-600-06-ALF-A</t>
  </si>
  <si>
    <t>Corps issued Indiana RGP No. 1 requiring to meet IDEM conditions in which required the ILF stream mitigation credits</t>
  </si>
  <si>
    <t>City of Crown Point</t>
  </si>
  <si>
    <t>LRC-2019-948</t>
  </si>
  <si>
    <t>2019-793-45-MTM-A</t>
  </si>
  <si>
    <t xml:space="preserve">Funds received by INRF August 2019; INRF receipt sent to DNR in January 2020 due to oversight. </t>
  </si>
  <si>
    <t>Jordan Creek Wind Farm, LLC</t>
  </si>
  <si>
    <t>LRL-2019-990-lcl</t>
  </si>
  <si>
    <t>2019-828-86-MTM-X</t>
  </si>
  <si>
    <t>Warren, Benton &amp; Vermillion</t>
  </si>
  <si>
    <t>Wal-Mart Compliance</t>
  </si>
  <si>
    <t>LRL-2010-705-sam</t>
  </si>
  <si>
    <t>2010-554-40-DDC-A</t>
  </si>
  <si>
    <t>Jennings</t>
  </si>
  <si>
    <t xml:space="preserve">Mitigation only required by IDEM </t>
  </si>
  <si>
    <t>Credit purchase a result of failed mitigation, Credits purchased by Kleenco on Wal-Marts behalf</t>
  </si>
  <si>
    <t xml:space="preserve">Evansville Water &amp; Sewer Utility </t>
  </si>
  <si>
    <t>LRL-2019-631-mad</t>
  </si>
  <si>
    <t xml:space="preserve">2019-475-82-TMS-A </t>
  </si>
  <si>
    <t>A Safe Haven Foundation</t>
  </si>
  <si>
    <t>LRC-2018-674</t>
  </si>
  <si>
    <t>2019-564-45-MTM-A</t>
  </si>
  <si>
    <t>P.W. Reality, LLC</t>
  </si>
  <si>
    <t>LRE-2014-00296-143-R20</t>
  </si>
  <si>
    <t>2020-54-43-JWR-X</t>
  </si>
  <si>
    <t>Westfield Commercial Ventures, LLC</t>
  </si>
  <si>
    <t>IWGP 2020-64-29-ALF-A</t>
  </si>
  <si>
    <t>LRL-2019-872-djd</t>
  </si>
  <si>
    <t>2019-647-36-JBT-A</t>
  </si>
  <si>
    <t>Corps issued Indiana RGP requiring to meet IDEM conditions required the ILF stream mitigation credits</t>
  </si>
  <si>
    <t>LRL-2019-972-scm</t>
  </si>
  <si>
    <t>2019-735-19-JBT-A</t>
  </si>
  <si>
    <t>Dubois</t>
  </si>
  <si>
    <t>Arbor Homes</t>
  </si>
  <si>
    <t>LRL-2016-1055-sjk</t>
  </si>
  <si>
    <t>2019-731-30-ALF-A</t>
  </si>
  <si>
    <t>Hendricks County Highway Department</t>
  </si>
  <si>
    <t>2019-542-32-JMK-A</t>
  </si>
  <si>
    <t>LRL-2019-395-MKD</t>
  </si>
  <si>
    <t>Corps RGP - 401 WQC mitigation required</t>
  </si>
  <si>
    <t>LRC-2019-181</t>
  </si>
  <si>
    <t>2019-133-64-JBT-A</t>
  </si>
  <si>
    <t>Porter</t>
  </si>
  <si>
    <t>Orange</t>
  </si>
  <si>
    <t>LRL-2013-590-djd</t>
  </si>
  <si>
    <t>2019-759-59-JBT-A</t>
  </si>
  <si>
    <t>LRL-2019-959-scm</t>
  </si>
  <si>
    <t>2019-720-87-JBT-A</t>
  </si>
  <si>
    <t>LRL-2019-539-JMG</t>
  </si>
  <si>
    <t>2019-639-26-TMS-A</t>
  </si>
  <si>
    <t>Gibson</t>
  </si>
  <si>
    <t>LRC-2019-793</t>
  </si>
  <si>
    <t>2019-654-45-JBT-A</t>
  </si>
  <si>
    <t>M/I Homes of Indiana, L.P.</t>
  </si>
  <si>
    <t>LRL-2013-242-sam</t>
  </si>
  <si>
    <t>2013-298-29-HAP-A</t>
  </si>
  <si>
    <t>Sunbeam Malores, LLC</t>
  </si>
  <si>
    <t>IWIP 2020-132-41-TMS-A</t>
  </si>
  <si>
    <t xml:space="preserve">LRL-2014-540-lcl  </t>
  </si>
  <si>
    <t xml:space="preserve">2020-12-34-JWR-X </t>
  </si>
  <si>
    <t>Corps NWP 12 and IDEM RGP</t>
  </si>
  <si>
    <t>Howard</t>
  </si>
  <si>
    <t>LRL-2019-740-LCL</t>
  </si>
  <si>
    <t>Lennar Homes of Indiana, Inc.</t>
  </si>
  <si>
    <t>2019-846-32-ERL-A</t>
  </si>
  <si>
    <t>NIPSCO</t>
  </si>
  <si>
    <t>LRL-2018-386-tmb</t>
  </si>
  <si>
    <t>Warrick County Engineer</t>
  </si>
  <si>
    <t>2019-022-87-ADF-A</t>
  </si>
  <si>
    <t>State Isolated Wetland Individual Permit for Class II Forested Wetland Impacts</t>
  </si>
  <si>
    <t>UniFirst Corporation</t>
  </si>
  <si>
    <t>LRC-2018-890</t>
  </si>
  <si>
    <t>2020-011-45-MTM-A</t>
  </si>
  <si>
    <t>LRL-2019-178-jlt</t>
  </si>
  <si>
    <t>2019-126-38-WRH-A</t>
  </si>
  <si>
    <t>Jay</t>
  </si>
  <si>
    <t>Duke Energy, LLC.</t>
  </si>
  <si>
    <t>LRL-2020-152-JMG</t>
  </si>
  <si>
    <t>2020-102-26-TMS-A</t>
  </si>
  <si>
    <t xml:space="preserve"> May </t>
  </si>
  <si>
    <t>Indianapolis Department of Public Works</t>
  </si>
  <si>
    <t>LRL-2019-320-scm</t>
  </si>
  <si>
    <t>2019-222-49-ALF-A</t>
  </si>
  <si>
    <t xml:space="preserve">Marion </t>
  </si>
  <si>
    <t>Corps RGP - IDEM only required mitigation</t>
  </si>
  <si>
    <t>LRL-2019-715-sjk</t>
  </si>
  <si>
    <t>2020-017-29-ALF-A</t>
  </si>
  <si>
    <t>LRL-2009-336-sam</t>
  </si>
  <si>
    <t>2009-146-32-JPS-A</t>
  </si>
  <si>
    <t>Hendricks County Engineering Department</t>
  </si>
  <si>
    <t>June</t>
  </si>
  <si>
    <t>IWGP 2020-172-82-TMS-A</t>
  </si>
  <si>
    <t>Westport Homes</t>
  </si>
  <si>
    <t>LRL-2019-865-sjk</t>
  </si>
  <si>
    <t>2019-903-49-ALF-A</t>
  </si>
  <si>
    <t>DDM, LLC.</t>
  </si>
  <si>
    <t>LRL-2019-184-cat</t>
  </si>
  <si>
    <t>2019-147-10-TMS-A</t>
  </si>
  <si>
    <t>Spectacle Gary, LLC</t>
  </si>
  <si>
    <t>2020-159-45-MTM-A</t>
  </si>
  <si>
    <t>LRC-2015-763</t>
  </si>
  <si>
    <t>2020-196-45-MTM-X</t>
  </si>
  <si>
    <t>James Lanigan</t>
  </si>
  <si>
    <t>LRC-2020-467</t>
  </si>
  <si>
    <t>2020-424-64-MTM-X</t>
  </si>
  <si>
    <t xml:space="preserve">*885 linear feet of seawall impacts to open water.  </t>
  </si>
  <si>
    <t>Dearborn County Board of Commissioners</t>
  </si>
  <si>
    <t>LRL-2020-228-cat</t>
  </si>
  <si>
    <t>2020-307-15-TMS</t>
  </si>
  <si>
    <t>City of Wabash</t>
  </si>
  <si>
    <t>LRL-2012-686-sjk</t>
  </si>
  <si>
    <t>2018-909-85-JWR-A</t>
  </si>
  <si>
    <t>Wabash</t>
  </si>
  <si>
    <t>Corps determined stream impacts perennial - IDEM recorded stream impacts intermittent (IN SWMP recorded per 404 impact/credit table)</t>
  </si>
  <si>
    <t>Dominion Group</t>
  </si>
  <si>
    <t>LRE-2016-00710-102-R20</t>
  </si>
  <si>
    <t>Louisville and Indiana Railroad Co.</t>
  </si>
  <si>
    <t>IWGP 2020-114-41-JBT-A</t>
  </si>
  <si>
    <t>2020-114-41-JBT-A</t>
  </si>
  <si>
    <t>LRL-2019-997-MKD</t>
  </si>
  <si>
    <t xml:space="preserve">*Note: Reported 401 as PFO vs. PSS, per verification JLT.  </t>
  </si>
  <si>
    <t xml:space="preserve">*Note: USACE required 0.23 PEM, IDEM's increased PFO offset </t>
  </si>
  <si>
    <t>LRE-2018-1302-144-U18</t>
  </si>
  <si>
    <t>2019-509-44-JWR-V</t>
  </si>
  <si>
    <t>Elvie Frey Investments, LLC</t>
  </si>
  <si>
    <t>LaGrange</t>
  </si>
  <si>
    <t>Indy Clean Fill South</t>
  </si>
  <si>
    <t>IWGP 2020-538-49-JWR-A</t>
  </si>
  <si>
    <t>City of Carmel</t>
  </si>
  <si>
    <t>LRL-2020-194-sjk</t>
  </si>
  <si>
    <t>2020-448-29-ALF-X</t>
  </si>
  <si>
    <t>IWGP 2020-447-29-ALF-A</t>
  </si>
  <si>
    <t>C&amp;H Capital LLC</t>
  </si>
  <si>
    <t>Hendricks County (Jail)</t>
  </si>
  <si>
    <t>LRL-2020-453-sjk</t>
  </si>
  <si>
    <t>2020-429-32-ERL-A</t>
  </si>
  <si>
    <t>DePauw University</t>
  </si>
  <si>
    <t>LRL-2019-845-lcl</t>
  </si>
  <si>
    <t>2020-430-67-ERL-A</t>
  </si>
  <si>
    <t>Putnam</t>
  </si>
  <si>
    <t>2017-321-02-HAP-A</t>
  </si>
  <si>
    <t>Hoosier Energy</t>
  </si>
  <si>
    <t>LRL-2019-710</t>
  </si>
  <si>
    <t>2019-508-63-TMS-A</t>
  </si>
  <si>
    <t>Pike</t>
  </si>
  <si>
    <t>Prologis</t>
  </si>
  <si>
    <t>LRL-2020-00683-SAM</t>
  </si>
  <si>
    <t>2019-904-30-ALF-A</t>
  </si>
  <si>
    <t>Lennar Corporation</t>
  </si>
  <si>
    <t>IWGP-2020-515-45-MTM-A</t>
  </si>
  <si>
    <t>IWGP 2020-498-32-ERL-A</t>
  </si>
  <si>
    <t>SIGECO dba Vectren Power Supply</t>
  </si>
  <si>
    <t>LRL-2016-408-jmb</t>
  </si>
  <si>
    <t>2016-259-65-JWR-A</t>
  </si>
  <si>
    <t>Posey</t>
  </si>
  <si>
    <t>LRL-2019-670-scm</t>
  </si>
  <si>
    <t>2019-488-72-JBT-A</t>
  </si>
  <si>
    <t>LRL-2020-406-cat</t>
  </si>
  <si>
    <t>2020-305-39-TMS-X</t>
  </si>
  <si>
    <t>Jefferson</t>
  </si>
  <si>
    <t>City of Greendale</t>
  </si>
  <si>
    <t>IWGP 2020-405-15-TMS-A</t>
  </si>
  <si>
    <t>Perry County Development Corporation</t>
  </si>
  <si>
    <t>LRL-2015-59-KJS</t>
  </si>
  <si>
    <t>2017-426-JWR-62-JWR</t>
  </si>
  <si>
    <t>DNR Permit #</t>
  </si>
  <si>
    <t>Walmart Stores, Inc.</t>
  </si>
  <si>
    <t>IWIP 2020-388-30-ALF-A</t>
  </si>
  <si>
    <t>Class I Non-Forested (1 to 1 ratio)</t>
  </si>
  <si>
    <t>St. Joseph County</t>
  </si>
  <si>
    <t>LRE-2019-01448-171-R19</t>
  </si>
  <si>
    <t>2019-919-71-JWR-A</t>
  </si>
  <si>
    <t>St. Joseph</t>
  </si>
  <si>
    <t>Lake County Board of Commissioners</t>
  </si>
  <si>
    <t>LRC-2019-729</t>
  </si>
  <si>
    <t>2019-619-45-MTM-A</t>
  </si>
  <si>
    <t>Tonn and Blank Construction</t>
  </si>
  <si>
    <t>LRC-2019-872</t>
  </si>
  <si>
    <t>2020-269-45-MTM-A</t>
  </si>
  <si>
    <t>Olthof Homes - Ed Recktenwald</t>
  </si>
  <si>
    <t>2019-425-64-MTM-A</t>
  </si>
  <si>
    <t>LRL-2020-39-djd</t>
  </si>
  <si>
    <t>2020-250-74-JBT-A</t>
  </si>
  <si>
    <t>Spencer</t>
  </si>
  <si>
    <t>DES No. 0710929; USACE did not require mitigation approved RGP</t>
  </si>
  <si>
    <t xml:space="preserve">September </t>
  </si>
  <si>
    <t>LRL-2020-60-scm</t>
  </si>
  <si>
    <t>2020-91-77-JBT-A</t>
  </si>
  <si>
    <t>Sullivan</t>
  </si>
  <si>
    <t>DES No. 9701930; USACE did not require mitigation approved RGP</t>
  </si>
  <si>
    <t>LRL-2019-882-djd</t>
  </si>
  <si>
    <t>2019-878-06-JBT-A</t>
  </si>
  <si>
    <t>DES No. 1173629 and 1173630; USACE did not require mitigation approved RGP</t>
  </si>
  <si>
    <t>IWGP 2020-287-04-JBT-A</t>
  </si>
  <si>
    <t>Benton</t>
  </si>
  <si>
    <t>DES NO. 1701564; Class 1 State Isolated Wetland Impact</t>
  </si>
  <si>
    <t>St. Joseph County Airport Authority</t>
  </si>
  <si>
    <t>LRE-2001-1710041-R20</t>
  </si>
  <si>
    <t>2020-521-71-JWR-X</t>
  </si>
  <si>
    <t>Corps and IDEM RGP</t>
  </si>
  <si>
    <t>LRL-2018-801-djd</t>
  </si>
  <si>
    <t>2019-653-12-JBT-A</t>
  </si>
  <si>
    <t>Clinton &amp; Howard</t>
  </si>
  <si>
    <t>IWGP 2019-653-12-JBT-A</t>
  </si>
  <si>
    <t>IDEM required more ILF Credits than the Corps for PEM impacts (INDOT DES No.: 1400263, 1592971, 1400265)</t>
  </si>
  <si>
    <t>The Corps did not require ILF Stream Credits (INDOT DES No.: 1400263, 1592971, 1400265)</t>
  </si>
  <si>
    <t>The Corps did not require ILF credits for PSS impacts (INDOT DES No.: 1400263, 1592971, 1400265)</t>
  </si>
  <si>
    <t>IDEM required more ILF Credits than the Corps for PFO impacts (INDOT DES No.: 1400263, 1592971, 1400265)</t>
  </si>
  <si>
    <t>Class I Non-Forested (1 to 1 ratio) (INDOT DES No.: 1400263, 1592971, 1400265)</t>
  </si>
  <si>
    <t>2019-844-32-JBT-A</t>
  </si>
  <si>
    <t>Corps did not require ILF mitigation for this reach of I-70 (mitigation required previously under same 404 No.) (DES 1592433)</t>
  </si>
  <si>
    <t>IWGP 2020-136-06-JBT-A</t>
  </si>
  <si>
    <t>2020-136-06-JBT-A</t>
  </si>
  <si>
    <t xml:space="preserve">LRL-2019-584-djd </t>
  </si>
  <si>
    <t>The Corps did not require ILF Stream Credits (INDOT DES No.: 1400071)</t>
  </si>
  <si>
    <t>Class I Non-Forested (INDOT DES No.: 1400071)</t>
  </si>
  <si>
    <t>Class II Forested (INDOT DES No.: 1400071)</t>
  </si>
  <si>
    <t>NAVFAC MIDPLANT PWD</t>
  </si>
  <si>
    <t>LRL-2019-71-lcl</t>
  </si>
  <si>
    <t>2020-084-51-TMS-A</t>
  </si>
  <si>
    <t>Martin</t>
  </si>
  <si>
    <t>LRL-2019-945-dds (IP)</t>
  </si>
  <si>
    <t>2020-154-49-JBT-A</t>
  </si>
  <si>
    <t>DES No. 1802075</t>
  </si>
  <si>
    <t>DES No. 1802075; IDEM required more PSS ILF mitigation than the Corps</t>
  </si>
  <si>
    <t>LRL-2019-945-dds (RGP)</t>
  </si>
  <si>
    <t>DES No. 1802075; IDEM required more PFO ILF mitigation than the Corps</t>
  </si>
  <si>
    <t>IWGP 2020-154-49-JBT-A</t>
  </si>
  <si>
    <t>DES No. 1802075; Class I non-forested state isolated wetland</t>
  </si>
  <si>
    <t>Pulte Homes of Indiana</t>
  </si>
  <si>
    <t>LRL-2019-905-sjk</t>
  </si>
  <si>
    <t>2020-40-32-ERL-A</t>
  </si>
  <si>
    <t>The Corps required more stream credits than IDEM</t>
  </si>
  <si>
    <t>IDEM required more wetland credits than the Corps</t>
  </si>
  <si>
    <t>LRL-2020-443-djd</t>
  </si>
  <si>
    <t>2020-533-22-JBT-X</t>
  </si>
  <si>
    <t>DES No. 1700126 USACE approved RGP no mitigation.  Project has 204 LF EPH stream impacts</t>
  </si>
  <si>
    <t>Vanderburgh County Engineering Department</t>
  </si>
  <si>
    <t>LRL-2008-912-mdh</t>
  </si>
  <si>
    <t>2008-327-JPS-A</t>
  </si>
  <si>
    <t>401 did not require credit purchase for failed mitigation.</t>
  </si>
  <si>
    <t>Glenn Springs Holdings, Inc</t>
  </si>
  <si>
    <t>LRC-2020-125</t>
  </si>
  <si>
    <t>2020-464-45-MTM-A</t>
  </si>
  <si>
    <t xml:space="preserve">Wetland credit purchase for perennial stream encapsulation.  </t>
  </si>
  <si>
    <t>2020-150-53-JBT-A</t>
  </si>
  <si>
    <t xml:space="preserve">Des No. 1702958; USACE approved RGP 1 and required no mitigation </t>
  </si>
  <si>
    <t>LRL-2017-1037-sjk</t>
  </si>
  <si>
    <t>2019-276-30-ALF-A</t>
  </si>
  <si>
    <t>Impacts to open water of Geist Reservoir; Corps RGP, only IDEM required mitigation</t>
  </si>
  <si>
    <t>2020-282-32-ERL-A</t>
  </si>
  <si>
    <t>LRL-2017-1185-djd (RGP)</t>
  </si>
  <si>
    <t>IWGP 2020-282-32-ERL-A</t>
  </si>
  <si>
    <t>Corps RGP did not require ILF mitigation</t>
  </si>
  <si>
    <t>State Isolated Class 1 (PEM) Non-Forested Wetland impact</t>
  </si>
  <si>
    <t>IWGP 2020-686-29-ALF-A</t>
  </si>
  <si>
    <t>IWGP 2020-581-89-ALF-A</t>
  </si>
  <si>
    <t>Wayne</t>
  </si>
  <si>
    <t>LRL-2020-445-scm</t>
  </si>
  <si>
    <t>2020-462-24-JBT-X</t>
  </si>
  <si>
    <t>Franklin</t>
  </si>
  <si>
    <t>Des #1600492; Corps RGP did not require ILF mitigation</t>
  </si>
  <si>
    <t>LRL-2017-54</t>
  </si>
  <si>
    <t>2016-702-79-SKG-A</t>
  </si>
  <si>
    <t>Bartholomew and Jackson</t>
  </si>
  <si>
    <t>DES # 0501212; USACE did not require mitigation</t>
  </si>
  <si>
    <t xml:space="preserve">LRE-2020-00293-120-R20 (RGP) </t>
  </si>
  <si>
    <t xml:space="preserve">2020-553-20-JBT-A </t>
  </si>
  <si>
    <t>DES No. 1600415; USACE did not require ILF mitigation</t>
  </si>
  <si>
    <t>Shear Group</t>
  </si>
  <si>
    <t>IWIP 2019-817-49-ALF-A</t>
  </si>
  <si>
    <t>State Isolated Class II (PFO) Forested Wetland impact</t>
  </si>
  <si>
    <t>Donna Neese</t>
  </si>
  <si>
    <t>IWGP 2020-680-TMS-A</t>
  </si>
  <si>
    <t>Aaron Anderson</t>
  </si>
  <si>
    <t>LRC-2020-393(RGP)</t>
  </si>
  <si>
    <t>2020-573-64-MTM-A</t>
  </si>
  <si>
    <t>Sunbeam Development</t>
  </si>
  <si>
    <t>IWGP 2020-877-29-ALF-A</t>
  </si>
  <si>
    <t>North Buck Creek Realty, LLC</t>
  </si>
  <si>
    <t>IWGP-2020-816-30-ALF-A</t>
  </si>
  <si>
    <t>State Isolated Class I Non-Forested (PSS) Wetland impact</t>
  </si>
  <si>
    <t>State Isolated Class I Non-Forested (PEM) Wetland impact</t>
  </si>
  <si>
    <t>City of Indianapolis DPW</t>
  </si>
  <si>
    <t>LRL-2020-497-lcl</t>
  </si>
  <si>
    <t>2020-549-49-ALF-A</t>
  </si>
  <si>
    <t>Corps RGP did not require mitigation</t>
  </si>
  <si>
    <t>IWGP 2020-753-29-ALF-A</t>
  </si>
  <si>
    <t>State Isolated Class I Non-Forested (PEM) Wetland impact - Project had additional impacts that were mitigated permittee responsible</t>
  </si>
  <si>
    <t>Exeter Property Group</t>
  </si>
  <si>
    <t>IWIP 2020-795-30-ALF-A</t>
  </si>
  <si>
    <t>State Isolated Class II Forested (PFO) Wetland impacts</t>
  </si>
  <si>
    <t>January</t>
  </si>
  <si>
    <t>Terre Haute Regional Airport</t>
  </si>
  <si>
    <t>IWGP 2019-380-84-JMK-A</t>
  </si>
  <si>
    <t>State Isolated General Permit Non-Forested (PEM)</t>
  </si>
  <si>
    <t>LRL-2016-559-djd</t>
  </si>
  <si>
    <t>2019-171-10-JBT-A</t>
  </si>
  <si>
    <t>DES #1382612, MOD</t>
  </si>
  <si>
    <t>LRL-2020-494-scm</t>
  </si>
  <si>
    <t>2020-587-39-JBT-A</t>
  </si>
  <si>
    <t>DES # 1600669</t>
  </si>
  <si>
    <t>Allen County Highway Department</t>
  </si>
  <si>
    <t>LRE-2020-02315-102-R20</t>
  </si>
  <si>
    <t>2020-856-02-WRH-X</t>
  </si>
  <si>
    <t>Corps RGP - IDEM RGP</t>
  </si>
  <si>
    <t xml:space="preserve">LRL-2020-447-scm </t>
  </si>
  <si>
    <t xml:space="preserve">2020-568-32-JBT-A </t>
  </si>
  <si>
    <t>Hendricks and Marion</t>
  </si>
  <si>
    <t>IWIP 2020-782-38-WRH-A</t>
  </si>
  <si>
    <t>State Isolated Class II Non-Forested (PEM) impacts</t>
  </si>
  <si>
    <t>State Isolated Class II Forested (PFO) impacts</t>
  </si>
  <si>
    <t>IWGP 2020-746-JBT-A</t>
  </si>
  <si>
    <t>IWIP 2020-746-JBT-A</t>
  </si>
  <si>
    <t>State Isolated Wetland General Permit - Non-Forested (PEM) impact - DES#1592968</t>
  </si>
  <si>
    <t>State Isolated Wetland Individual Permit - Class II Non-Forested (PEM) impact  - DES#1592968</t>
  </si>
  <si>
    <t>Hancock Regional Hospital</t>
  </si>
  <si>
    <t>IWGP 2020-972-30-ALF-A</t>
  </si>
  <si>
    <t>State Isolated Wetland General Permit-Class I Non-Forested (PEM)</t>
  </si>
  <si>
    <t>Indiana Harbor Belt Railroad</t>
  </si>
  <si>
    <t>IWGP 2020-833-45-MTM-A</t>
  </si>
  <si>
    <t>State Isolated Wetland General Permit - Class I Non-Forested (PEM)</t>
  </si>
  <si>
    <t>IWGP 2018-169-32-JMK-A</t>
  </si>
  <si>
    <t>IWGP 2019-837-46-MTM-A</t>
  </si>
  <si>
    <t>Originally reported as Calumet-Dunes, but impact was in the Kankakee SA, and has been updated; Class II Forested Wetland</t>
  </si>
  <si>
    <t>Oakmont Development</t>
  </si>
  <si>
    <t>IWGP 2020-974-02-WRH-A</t>
  </si>
  <si>
    <t>Class II Forested Wetland impact</t>
  </si>
  <si>
    <t>LRC-2019-425</t>
  </si>
  <si>
    <t>2020-73-64-MTM-X</t>
  </si>
  <si>
    <t>AMS 2021 BTS - Fort Wayne IN, LLC</t>
  </si>
  <si>
    <t>IWGP 2021-33-02-WRH-A</t>
  </si>
  <si>
    <t>City of Mishawaka</t>
  </si>
  <si>
    <t>LRE-2018-01101-171-R20</t>
  </si>
  <si>
    <t>2020-060-71-JWR-A</t>
  </si>
  <si>
    <t>Open water fill with ILF wetland mitigation required</t>
  </si>
  <si>
    <t>Clover Communities McCordsville LLC</t>
  </si>
  <si>
    <t>IWGP 2020-163-30-ALF-A</t>
  </si>
  <si>
    <t>State Isolated Class I Non-Forested (PEM)  Wetland impact</t>
  </si>
  <si>
    <t>AMS - RC Services, LLC</t>
  </si>
  <si>
    <t>IWIP 2020-931-32-ERL-A</t>
  </si>
  <si>
    <t>IWGP 2020-931-32-ERL-A</t>
  </si>
  <si>
    <t>Cedar Pointe, LLC</t>
  </si>
  <si>
    <t>IWGP 2021-013-22-TMS-A</t>
  </si>
  <si>
    <t>State Isolated Class II NF, PEM</t>
  </si>
  <si>
    <t>Koetter Real Estate Services</t>
  </si>
  <si>
    <t>LRL-2020-00022</t>
  </si>
  <si>
    <t>2020-013-10-TMS-A</t>
  </si>
  <si>
    <t>Hanson Aggregates Midwest, LLC</t>
  </si>
  <si>
    <t>LRL-2020-26-MKD</t>
  </si>
  <si>
    <t>2020-041-TMS-A</t>
  </si>
  <si>
    <t>LRL-2019-726-lcl</t>
  </si>
  <si>
    <t>2020-952-30-ALF-A</t>
  </si>
  <si>
    <t>Northern Indiana Commuter Transportation District</t>
  </si>
  <si>
    <t>LRC-2016-423</t>
  </si>
  <si>
    <t>2020-661-45-MTM-A</t>
  </si>
  <si>
    <t>Grand Communities, LLC</t>
  </si>
  <si>
    <t>IWGP 2020-946-6-ERL-A</t>
  </si>
  <si>
    <t>State Isolated Class II Forested</t>
  </si>
  <si>
    <t>LRL-2020-639-scm</t>
  </si>
  <si>
    <t>2020-640-06-JBT-A</t>
  </si>
  <si>
    <t>IWGP 2020-640-06-JBT-A</t>
  </si>
  <si>
    <t>State Isolated Class I (PEM)</t>
  </si>
  <si>
    <t>LRC-2020-00788</t>
  </si>
  <si>
    <t>LRC-2020-00789</t>
  </si>
  <si>
    <t>2020-838-64-JBT-A</t>
  </si>
  <si>
    <t>2020-911-32-JBT-A</t>
  </si>
  <si>
    <t>Corps did not require mitigation</t>
  </si>
  <si>
    <t>LRE-2000-30021-102-R21</t>
  </si>
  <si>
    <t>2007-698-02-SSA-A</t>
  </si>
  <si>
    <t>41-078652</t>
  </si>
  <si>
    <t>For failed mitigation</t>
  </si>
  <si>
    <t>LRL-2018-684-sjk</t>
  </si>
  <si>
    <t>2021-030-29-ALF-A</t>
  </si>
  <si>
    <t>Open Water Impacts (1.97 acres fill within Geist Reservoir for beach development).  Corps did not require mitigation</t>
  </si>
  <si>
    <t>Todd Katz</t>
  </si>
  <si>
    <t>IWIP 2021-028-29-ALF-A</t>
  </si>
  <si>
    <t>CenterPoint Energy</t>
  </si>
  <si>
    <t>IWGP 2021-184-30-A</t>
  </si>
  <si>
    <t>Luke Family of Brands</t>
  </si>
  <si>
    <t>LRC-2019-676-RGP</t>
  </si>
  <si>
    <t>2020-428-45-MTM-A</t>
  </si>
  <si>
    <t>INT</t>
  </si>
  <si>
    <t>INDOT</t>
  </si>
  <si>
    <t>LRC-2020-753-RGP</t>
  </si>
  <si>
    <t>2020-839-64-JBT-A</t>
  </si>
  <si>
    <t>None</t>
  </si>
  <si>
    <t>IWGP 2021-278-18-WRH-A</t>
  </si>
  <si>
    <t>PER</t>
  </si>
  <si>
    <t>LRE-2020-02409-143-R21</t>
  </si>
  <si>
    <t>2021-217-43-JBT-X</t>
  </si>
  <si>
    <t>Kosciusko</t>
  </si>
  <si>
    <t>Corps required more ILF stream credit than IDEM</t>
  </si>
  <si>
    <t>LRL-2020-452-scm</t>
  </si>
  <si>
    <t>2020-468-34-JBT-A</t>
  </si>
  <si>
    <t>EPH</t>
  </si>
  <si>
    <t>LRL-2019-137-sjk</t>
  </si>
  <si>
    <t xml:space="preserve">202-537-70-ALF-A </t>
  </si>
  <si>
    <t>Rush</t>
  </si>
  <si>
    <t>Stream Total</t>
  </si>
  <si>
    <t>Wetland Total</t>
  </si>
  <si>
    <t>Starting Stream</t>
  </si>
  <si>
    <t>Starting Wetland</t>
  </si>
  <si>
    <t>Total Credits Sold</t>
  </si>
  <si>
    <t>Stream Credits Sold by SA</t>
  </si>
  <si>
    <t>Excel Development</t>
  </si>
  <si>
    <t>–87.511936</t>
  </si>
  <si>
    <t>IWGP 2020-968-29-ALF-A</t>
  </si>
  <si>
    <t>LRL-2018-495-MKD</t>
  </si>
  <si>
    <t xml:space="preserve">2020-978-10-TMS </t>
  </si>
  <si>
    <t>LRL-2016-994-sjk</t>
  </si>
  <si>
    <t>2017-221-29-HAP-A</t>
  </si>
  <si>
    <t>Vectren Corp. (now Center Point Energy)</t>
  </si>
  <si>
    <t>Pure Development</t>
  </si>
  <si>
    <t>2021-425-45-MTM-X</t>
  </si>
  <si>
    <t xml:space="preserve">Lake </t>
  </si>
  <si>
    <t>Ports of Indiana</t>
  </si>
  <si>
    <t>LRL-1979-00062</t>
  </si>
  <si>
    <t>2021-205-10-TMS-A</t>
  </si>
  <si>
    <t>Corps required more stream and wetland credits</t>
  </si>
  <si>
    <t xml:space="preserve">IWGP 2021-205-10-TMS-A </t>
  </si>
  <si>
    <t>Called wanting credit sale now so invoiced for ISO W too</t>
  </si>
  <si>
    <t>CP215, LLC</t>
  </si>
  <si>
    <t>IWIP 2020-970-35-WRH-A</t>
  </si>
  <si>
    <t>Huntington</t>
  </si>
  <si>
    <t>Harrison County</t>
  </si>
  <si>
    <t>LRL-2017-773-djd</t>
  </si>
  <si>
    <t>2017-533-31-ALF-A</t>
  </si>
  <si>
    <t>Harrison</t>
  </si>
  <si>
    <t xml:space="preserve">Non-Compliance Required Credit Purchase, appears to have not been sent, so proceeding. </t>
  </si>
  <si>
    <t>Citizens Energy Group</t>
  </si>
  <si>
    <t>LRL-2019-806-LCL</t>
  </si>
  <si>
    <t>2020-914-49-ALF-A</t>
  </si>
  <si>
    <t>FW-30807-0</t>
  </si>
  <si>
    <t xml:space="preserve">Corps permit requires 600, IDEM permit requires 500, DNR Permit requires 0.25 FW purchase.  Had thought also 500 additional credits per FW permit, but are modifying permit to clarify. </t>
  </si>
  <si>
    <t>Arco/Murray</t>
  </si>
  <si>
    <t>IWIP 2021-104-32-ERL-A</t>
  </si>
  <si>
    <t xml:space="preserve">Note: Permit to purchase Class I was rescinded.  Thus requirement changed.   IWIP 2021-104-32-ERL-A:  1.464 credits for 0.732 impacts Class II Isolated PEM, IWGP 2021-104-32-ERL-A:  0.881 credits for 0.881 impacts to 0.881 Class I PEM - rescinded. 
</t>
  </si>
  <si>
    <t>LRL-2020-1000-sjk</t>
  </si>
  <si>
    <t>2020-994-49-ALF-A</t>
  </si>
  <si>
    <t>Eagle Enclave</t>
  </si>
  <si>
    <t>LRL-2013-8807-RJB</t>
  </si>
  <si>
    <t>2013-543-82-DCC-V.</t>
  </si>
  <si>
    <t>Purchase in Agreed Judgement 82D05-1707-MI-003721 to resolve violations in 401 Permit 2013-543-82-DCC-V.</t>
  </si>
  <si>
    <t>2021-0369-29-JBT-X</t>
  </si>
  <si>
    <t>Mitig Shortfall</t>
  </si>
  <si>
    <t>Poindexter Excavating</t>
  </si>
  <si>
    <t>LRL-2018-446-sam</t>
  </si>
  <si>
    <t>2018-899-32-JMK-A</t>
  </si>
  <si>
    <t xml:space="preserve">401 Modification - mitigation shortfall - permit modification for ILF credit purchase for remainder. </t>
  </si>
  <si>
    <t>Park 100 Development</t>
  </si>
  <si>
    <t>LRL-2019-642-sjk</t>
  </si>
  <si>
    <t>2021-222-49-JWR-A</t>
  </si>
  <si>
    <t xml:space="preserve">IDEM requires total stream mitigation of 440 intermittent and the rest is remediation done by the Permittee, Corps a total of 441. </t>
  </si>
  <si>
    <t xml:space="preserve">IDEM has a larger amount of credit purchase requirements. </t>
  </si>
  <si>
    <t xml:space="preserve">Clark County </t>
  </si>
  <si>
    <t>LRL-2020-807-MKD</t>
  </si>
  <si>
    <t>2020-993-10-TMS-A</t>
  </si>
  <si>
    <t xml:space="preserve">No Corps Mitigation required. </t>
  </si>
  <si>
    <t>Hancock Co Hway</t>
  </si>
  <si>
    <t>LRL-2020-783-sjk</t>
  </si>
  <si>
    <t>2020-718-30-ALF-A</t>
  </si>
  <si>
    <t xml:space="preserve">Corrected from permit to be WW EF, Corps requires slightly more. </t>
  </si>
  <si>
    <t>Corrected from permit to be WW EF</t>
  </si>
  <si>
    <t>LRL-2020-44-djd</t>
  </si>
  <si>
    <t>2020-649-03-JBT-A</t>
  </si>
  <si>
    <t>LRL-2020-815-MKD</t>
  </si>
  <si>
    <t>2021-246-53-TMS-A</t>
  </si>
  <si>
    <t>Crider and Crider</t>
  </si>
  <si>
    <t>Added later to master ledger as not added - Corps required no credits - INDOT 1802958 I-65 from SR 46 to SR 59</t>
  </si>
  <si>
    <t>Added later to master ledger as not added - Corps required no credits - INDOT 1802958 I-65 from SR 46 to SR 60</t>
  </si>
  <si>
    <t>LRC-2020-490</t>
  </si>
  <si>
    <t>2020-818-45-MTM-A</t>
  </si>
  <si>
    <t>Lake and Porter</t>
  </si>
  <si>
    <t>Aetna to Tassinong Gas Transmission Upgrade Project</t>
  </si>
  <si>
    <t>IWGP 2021-222-49-JWR-A</t>
  </si>
  <si>
    <t>ANR Pipeline Company’s MP26.71 Integrity Dig</t>
  </si>
  <si>
    <t>LRE-2021-00699-117</t>
  </si>
  <si>
    <t>2021-520-17-WRH-X</t>
  </si>
  <si>
    <t>IWGP 2021-35-45-MTM-A</t>
  </si>
  <si>
    <t xml:space="preserve"> LRC-2019-854 -DES 1401029</t>
  </si>
  <si>
    <t xml:space="preserve">2020-574-64-MTM-A </t>
  </si>
  <si>
    <t xml:space="preserve">Emergent credits purchased elsewhere. </t>
  </si>
  <si>
    <t>IWIP 2021-472-45-MTM-A</t>
  </si>
  <si>
    <t>Aylesworth Farm</t>
  </si>
  <si>
    <t>IWGP 2021-445-02-WRH-A</t>
  </si>
  <si>
    <t xml:space="preserve">Orig Impacts permitted under IWGP 2020-974-02-WRH-A,these are addtl impacts. </t>
  </si>
  <si>
    <t>Force Holdings - Project Husky</t>
  </si>
  <si>
    <t>LRL-2021-277-sjk</t>
  </si>
  <si>
    <t>2021-407-03-TMS-A</t>
  </si>
  <si>
    <t>IWIP-2021-407-03-TMS-A</t>
  </si>
  <si>
    <t xml:space="preserve">Requested invoice re-sent to diff recipient.  Corps requires more at 478 perennial, state 398. </t>
  </si>
  <si>
    <t xml:space="preserve">Corps is more at 1271 intermittent stream, State is 1059 intermittent stream. </t>
  </si>
  <si>
    <t>Corps is less at .56 forested wetland credits</t>
  </si>
  <si>
    <t xml:space="preserve">IWIP Class III Forested </t>
  </si>
  <si>
    <t>IWGP 2020-787-80-JBT-A</t>
  </si>
  <si>
    <t>Tipton</t>
  </si>
  <si>
    <t>Class I Non-Forested (PEM) DES 1592421</t>
  </si>
  <si>
    <t>Stonecrest Development</t>
  </si>
  <si>
    <t>LRL-2017-00451</t>
  </si>
  <si>
    <t>2019-779-22-TMS-A</t>
  </si>
  <si>
    <t>Corps requires .91 total wetland mitig - IDEM .202 emergent</t>
  </si>
  <si>
    <t>-85.81 8652</t>
  </si>
  <si>
    <t>Corps requires .91 total wetland mitig - IDEM .384 shrub</t>
  </si>
  <si>
    <t>Corps requires .91 total wetland mitig - IDEM .228 forested</t>
  </si>
  <si>
    <t>LRL-2020-217-scm</t>
  </si>
  <si>
    <t>2021-0106-73-JBT-A, IWGP</t>
  </si>
  <si>
    <t>IWGP 2021-106-73-JBT-A</t>
  </si>
  <si>
    <t>Requested credits - then asked to hold off due to IWGP - then replied to proceed on purchase.  Corps required more credits -IDEM 1.132, Corps 1.36, I-74 INDOT 1601973 1601974 1601978 1601980</t>
  </si>
  <si>
    <t>IWGP-2020-649-03-JBT-A</t>
  </si>
  <si>
    <t>LRL-2020-1097-scm</t>
  </si>
  <si>
    <t>2021-110-42-JBT-A</t>
  </si>
  <si>
    <t>Corps required no credits, confirmed - INDOT 1700156 &amp; 1700159</t>
  </si>
  <si>
    <t>LRE-2020-1742-137-R21</t>
  </si>
  <si>
    <t>2021-0231-37-JBT-A</t>
  </si>
  <si>
    <t xml:space="preserve">1700378 - I-65 Unnamed Tributary to Iroquois Liner - Corps required no mitigation. </t>
  </si>
  <si>
    <t>LRL-2010-506-djd</t>
  </si>
  <si>
    <t xml:space="preserve">2021-0083-60-JBT-X </t>
  </si>
  <si>
    <t>39.289348°</t>
  </si>
  <si>
    <t>86.779420°</t>
  </si>
  <si>
    <t xml:space="preserve">Des. No. 0014380 - Corps required more than IDEM required for mitigation. </t>
  </si>
  <si>
    <t xml:space="preserve">Raindrop, LLC </t>
  </si>
  <si>
    <t>IWIP 2021-558-32-ERL-A</t>
  </si>
  <si>
    <t>Hendricks &amp; Morgan</t>
  </si>
  <si>
    <t xml:space="preserve">Previously had permits IWGP 2020-985-32-ERL-A -rescinded, IWIP 2020-985-32-ERL-A- modified for no credit purchase.  IWIP 2021-558-32-ERL-A is a new permit on same project. </t>
  </si>
  <si>
    <t>LRL-2021-477-sam</t>
  </si>
  <si>
    <t>2021-348-49-MTM-A</t>
  </si>
  <si>
    <t xml:space="preserve">After the fact Credit Sale - Corps and IDEM required the same amounts. </t>
  </si>
  <si>
    <t>LRE-2021-00232-144-R21</t>
  </si>
  <si>
    <t>2021-0207-44-JBT-A</t>
  </si>
  <si>
    <t xml:space="preserve">Bloomington Parks - Griffy Lake </t>
  </si>
  <si>
    <t>2021-383-53-TMS-X</t>
  </si>
  <si>
    <t>RGP</t>
  </si>
  <si>
    <t>LRL-2020-00189</t>
  </si>
  <si>
    <t>2020-197-53-TMS-A</t>
  </si>
  <si>
    <t>39.260854,</t>
  </si>
  <si>
    <t xml:space="preserve">Corps did not require a credit purchase. </t>
  </si>
  <si>
    <t>Boys and Girls Clubs of Greater Northwest Indiana</t>
  </si>
  <si>
    <t>LRC-2020-01139</t>
  </si>
  <si>
    <t>2021-527-64-MTM-X</t>
  </si>
  <si>
    <t>IDEM 0.23, Corps .276</t>
  </si>
  <si>
    <t xml:space="preserve">November </t>
  </si>
  <si>
    <t>LRE-2008-103-120--R21</t>
  </si>
  <si>
    <t>2021-366-20-JBT-X</t>
  </si>
  <si>
    <t>Corps did not require any credit purchase - 1600421 US20</t>
  </si>
  <si>
    <t>Corps did not require any credit purchase - 1600421 US21</t>
  </si>
  <si>
    <t>Corps did not require any credit purchase - 1600421 US22</t>
  </si>
  <si>
    <t>Corps did not require any credit purchase - 1600421 US23</t>
  </si>
  <si>
    <t>LRE-2010-00799-120-S20</t>
  </si>
  <si>
    <t>2020-981-20-JBT-A</t>
  </si>
  <si>
    <t>Elkhart &amp; Kosciusko</t>
  </si>
  <si>
    <t>LRL-2019-699-dds</t>
  </si>
  <si>
    <t>2019-506-28-JBT-A</t>
  </si>
  <si>
    <t>Greene and Sullivan</t>
  </si>
  <si>
    <t>Redbird recreational area -  Des. No. 1601178 - Corps required no mitigation</t>
  </si>
  <si>
    <t>IDEM 52 - INDOT 1600517 - Permit revision changing amounts</t>
  </si>
  <si>
    <t>IDEM 7.183, Corps all wetland credits total of 7.705</t>
  </si>
  <si>
    <t>IDEM 0.282</t>
  </si>
  <si>
    <t>IDEM 0.24</t>
  </si>
  <si>
    <t>Savannah Ridge</t>
  </si>
  <si>
    <t>Indy South Greenwood Airport</t>
  </si>
  <si>
    <t>LRL-2019-1080-sjk</t>
  </si>
  <si>
    <t>2021-397-41-TMS-A</t>
  </si>
  <si>
    <t>Love's Travel Stops and Country Stores, Inc.</t>
  </si>
  <si>
    <t>LRL-2019-473-lcl</t>
  </si>
  <si>
    <t>2020-293-79-ERL-A</t>
  </si>
  <si>
    <t>IDEM required more ILF stream credit than the Corps</t>
  </si>
  <si>
    <t>Corps required more PEM ILF credit</t>
  </si>
  <si>
    <t>IDEM required more PSS credit, but accepted the additional PSS for the compensation</t>
  </si>
  <si>
    <t>Lake County</t>
  </si>
  <si>
    <t>LRE 2000-1450751</t>
  </si>
  <si>
    <t>2021-360-45-MTM-A</t>
  </si>
  <si>
    <t>45th Avenue Phase IIIA and IIIB – Des. 9980080</t>
  </si>
  <si>
    <t>46th Avenue Phase IIIA and IIIB – Des. 9980080</t>
  </si>
  <si>
    <t>47th Avenue Phase IIIA and IIIB – Des. 9980080</t>
  </si>
  <si>
    <t>48th Avenue Phase IIIA and IIIB – Des. 9980080</t>
  </si>
  <si>
    <t>Vail Properties</t>
  </si>
  <si>
    <t>IWIP 2021-682-30-JBT-A</t>
  </si>
  <si>
    <t>Old Dominion Road - Failed mitig - short time period</t>
  </si>
  <si>
    <t>LRL-2019-152-jmb</t>
  </si>
  <si>
    <t>2018-693-82</t>
  </si>
  <si>
    <t>Non-Compliance letter sent via IDEM 11/21 - Corps did not pursue as determined impacts pre-2014</t>
  </si>
  <si>
    <t>LRL-2020-01079-htm</t>
  </si>
  <si>
    <t>2020-951-41-TMS-A</t>
  </si>
  <si>
    <t>AEP</t>
  </si>
  <si>
    <t>IWIP 2021-629-05-WRH-A</t>
  </si>
  <si>
    <t>Blackford and Jay</t>
  </si>
  <si>
    <t>LRL-1991-119-sam</t>
  </si>
  <si>
    <t>1995-304-49-HAK-A</t>
  </si>
  <si>
    <t xml:space="preserve">Failed mitigation - Shadeland Avenue over Fall Creek Mitigation Resolution - 90 days to complete purchase. </t>
  </si>
  <si>
    <t>LRC-2021-00335</t>
  </si>
  <si>
    <t>2020-804-45-JBT-A</t>
  </si>
  <si>
    <t>TOTAL</t>
  </si>
  <si>
    <t xml:space="preserve">IWIP 2020-407-29-JBT-A </t>
  </si>
  <si>
    <t>LRL-2020-426-scm</t>
  </si>
  <si>
    <t xml:space="preserve">2020-407-29-JBT-A </t>
  </si>
  <si>
    <t>Scannell Properties</t>
  </si>
  <si>
    <t>LRL-2020-1066-lcl</t>
  </si>
  <si>
    <t>2021-324-32-ERL-A</t>
  </si>
  <si>
    <t>Graythorne Development</t>
  </si>
  <si>
    <t>LRC-2019-190</t>
  </si>
  <si>
    <t>2021-92-45-MTM-A</t>
  </si>
  <si>
    <t>IWIP 2021-92-45-MTM-A</t>
  </si>
  <si>
    <t xml:space="preserve">IDEM required 0.26 Forested. IDEM had wrong SA on permit, used Corps and IDEM noted this. </t>
  </si>
  <si>
    <t xml:space="preserve">IDEM had wrong SA on permit, used Corps and IDEM noted this. </t>
  </si>
  <si>
    <t>Corps required more - IDEM 101, Corps 126 - INDOT DES 1801500</t>
  </si>
  <si>
    <t>IDEM was 1.16, Corps was 1.45, Corps added surcharge for impacts while projects being planned/implemented</t>
  </si>
  <si>
    <t>Class II Forested  DES 1702149</t>
  </si>
  <si>
    <t>Corps required 526 lf int.  IDEM required more ILF stream credits than the Corps. IWGP Wetland credits 0.223, and .016 from 401, purchased from bank. 1702149</t>
  </si>
  <si>
    <t>WOSD revision issued - IWGP was rescinded, and IWIP was modified.  Held until mod final and revised credit amount.</t>
  </si>
  <si>
    <t>LRL-2021-83-scm</t>
  </si>
  <si>
    <t>2021-0297-82-JBT-A</t>
  </si>
  <si>
    <t>38.004,</t>
  </si>
  <si>
    <t>US41 Pigeon Creek DES 2001766 &amp; 200514 - DNR no addtl mitigation - IDEM .96 as all emergent - Corps broke out emergent and forested and .97 total</t>
  </si>
  <si>
    <t>US41 Pigeon Creek DES 2001766 &amp; 200514</t>
  </si>
  <si>
    <t>IWGP-2020-912-45-MTMA</t>
  </si>
  <si>
    <t>Juris Type</t>
  </si>
  <si>
    <t>Corps District of Iso</t>
  </si>
  <si>
    <t>Iso Type</t>
  </si>
  <si>
    <t>I</t>
  </si>
  <si>
    <t>SI</t>
  </si>
  <si>
    <t>D</t>
  </si>
  <si>
    <t>J</t>
  </si>
  <si>
    <t>L</t>
  </si>
  <si>
    <t>C</t>
  </si>
  <si>
    <t>COMB</t>
  </si>
  <si>
    <t>1 NF</t>
  </si>
  <si>
    <t>2 NF</t>
  </si>
  <si>
    <t>2 F</t>
  </si>
  <si>
    <t>1 f</t>
  </si>
  <si>
    <t>2 f</t>
  </si>
  <si>
    <t>3 F</t>
  </si>
  <si>
    <t>1 nf</t>
  </si>
  <si>
    <t>2 nf</t>
  </si>
  <si>
    <t>3 f</t>
  </si>
  <si>
    <t>LRC-2021-00964</t>
  </si>
  <si>
    <t>2021-872-45-MTM-X</t>
  </si>
  <si>
    <t>Energy</t>
  </si>
  <si>
    <t>Point 70 Logistic Ventures</t>
  </si>
  <si>
    <t>IWIP 2021-506-30-SLG-A</t>
  </si>
  <si>
    <t>Bridge Replacement - INDOT DES 1701595</t>
  </si>
  <si>
    <t>IWGP 2021-0060-30-JBT-A,</t>
  </si>
  <si>
    <t>Hancock and Henry</t>
  </si>
  <si>
    <t>INDOT 1700897 - confirmed 401/404 did not require any mitigation</t>
  </si>
  <si>
    <t xml:space="preserve">INDOT </t>
  </si>
  <si>
    <t>LRL-2021-118</t>
  </si>
  <si>
    <t>2021-505-60-JBT-A</t>
  </si>
  <si>
    <t xml:space="preserve">Corps requires 52, IDEM 51.1 - INDOT 1701595 SR 46 Bridge Replacement - note table provides wrong SA. </t>
  </si>
  <si>
    <t xml:space="preserve">Corps requires 0.68, IDEM 0.755 INDOT 1701595 SR 46 Bridge Replacement - note table provides wrong SA. </t>
  </si>
  <si>
    <t>LRL-2021-00711-DDC</t>
  </si>
  <si>
    <t>2021-667-29-JBT-A</t>
  </si>
  <si>
    <t>Geist Trail</t>
  </si>
  <si>
    <t xml:space="preserve">Geist Trail - Corps requires 1.926 PFO only </t>
  </si>
  <si>
    <t xml:space="preserve">Refund 1/25/22 - Funds except for Admin.  1.85 Class 1 Wetlands refunded - rest of the  Credit Purchase is unaffected.  Original Invoice #80. </t>
  </si>
  <si>
    <t>421 Realty Corporation</t>
  </si>
  <si>
    <t>IWIP 2021-787-49-JWR-A</t>
  </si>
  <si>
    <t>Permit mod 1/25/22 reduced credits from 3.87 to 1.56</t>
  </si>
  <si>
    <t>City of Kokomo</t>
  </si>
  <si>
    <t>LRL-2021-00739</t>
  </si>
  <si>
    <t>2019-602-00-JWR-A</t>
  </si>
  <si>
    <t>LRC-2021-00529</t>
  </si>
  <si>
    <t>2021-0328-45-JBT-A</t>
  </si>
  <si>
    <t>IDEM not requiring mitigation</t>
  </si>
  <si>
    <t xml:space="preserve">1701454 - Corps did not require mitigation. </t>
  </si>
  <si>
    <t>IWIP-2021-681-86-JBT-A</t>
  </si>
  <si>
    <t>Warren</t>
  </si>
  <si>
    <t xml:space="preserve">DES 1400249 State Road 26 Overlay - 401 and 404 did not require mitigation. </t>
  </si>
  <si>
    <t>LRE-2020-01227-150-R20</t>
  </si>
  <si>
    <t>2020-584-50-JBT-A</t>
  </si>
  <si>
    <t>Marshall</t>
  </si>
  <si>
    <t xml:space="preserve">1700331 - Corps did not require any mitigation. </t>
  </si>
  <si>
    <t>LRC-2021-00482</t>
  </si>
  <si>
    <t>2021-0356-46-JBT-A</t>
  </si>
  <si>
    <t>INDOT 1700021 US 20</t>
  </si>
  <si>
    <t>LRL-2017-1021</t>
  </si>
  <si>
    <t>2021-626-49-JBT-A</t>
  </si>
  <si>
    <t>I-465 NE Clear Path -DES 1400075 - corps required 924 int stream credits</t>
  </si>
  <si>
    <t>I-465 NE Clear Path -DES 1400076 - Corps did not require any PER</t>
  </si>
  <si>
    <t xml:space="preserve">I-465 NE Clear Path -DES 1400076 - Corps did not require any wetland mitig other than emergent through a Bank. </t>
  </si>
  <si>
    <t>IWGP 2021-169-47-JBT-A</t>
  </si>
  <si>
    <t>Lawrence</t>
  </si>
  <si>
    <t xml:space="preserve">1801377 &amp; 0400077 - IDEM 401 and 404 did not require any mitigation. </t>
  </si>
  <si>
    <t>Johnson County Board Commissioners</t>
  </si>
  <si>
    <t>LRL-2019-866-sjk</t>
  </si>
  <si>
    <t>2019-656-41-TMS-A</t>
  </si>
  <si>
    <t>LRC-2016-00529</t>
  </si>
  <si>
    <t>2021-21-45-MTM-A</t>
  </si>
  <si>
    <t>Bartholomew County</t>
  </si>
  <si>
    <t>LRL-2021-806-sjk</t>
  </si>
  <si>
    <t>IDEM and Corps same amounts</t>
  </si>
  <si>
    <t xml:space="preserve">IDEM 0.08 forested wetland - Corps 0.07 </t>
  </si>
  <si>
    <t>M/I Homes</t>
  </si>
  <si>
    <t>IWIP 2021-952-29-SCF-A</t>
  </si>
  <si>
    <t xml:space="preserve">March </t>
  </si>
  <si>
    <t>LRE-1998-1200250-R21</t>
  </si>
  <si>
    <t>2021-432-20-JBT-X</t>
  </si>
  <si>
    <t>LRE-1998-1200250-R22</t>
  </si>
  <si>
    <t xml:space="preserve">INDOT 1602099 SR 119 Elkhart River Bridge Replacement - Corps required 0 </t>
  </si>
  <si>
    <t xml:space="preserve"> INDOT 1602099 SR 119 Elkhart River Bridge Replacement - Corps required 0 </t>
  </si>
  <si>
    <t>Pioneer Packaging, LLC</t>
  </si>
  <si>
    <t>LRL-2021-1079-SAM</t>
  </si>
  <si>
    <t>2021-954-38-WLR</t>
  </si>
  <si>
    <t xml:space="preserve">After the fact credit sale. </t>
  </si>
  <si>
    <t>Wetland Credits Sold by SA</t>
  </si>
  <si>
    <t>Autumn Woods</t>
  </si>
  <si>
    <t>LRE-2021-00600-102</t>
  </si>
  <si>
    <t>2021-960-2-WLR-A</t>
  </si>
  <si>
    <t xml:space="preserve">2019-602-00-JWR-A </t>
  </si>
  <si>
    <t>(All)</t>
  </si>
  <si>
    <t>Franciscan Health</t>
  </si>
  <si>
    <t>IWIP 2020-715-45-MTM-A</t>
  </si>
  <si>
    <t>Class I Non-Forested Wetland impacts</t>
  </si>
  <si>
    <t>IWIP 2021-611-30-SLG-A</t>
  </si>
  <si>
    <t>Red Rocks Developments - Hancock Industrial</t>
  </si>
  <si>
    <t>Class II Forested Wetland Impacts</t>
  </si>
  <si>
    <t>Class II Non-Forested Wetland Impacts</t>
  </si>
  <si>
    <t>LRL-2020-89-sjk</t>
  </si>
  <si>
    <t>2021-848-29-WLR-A</t>
  </si>
  <si>
    <t>40.0057</t>
  </si>
  <si>
    <t>Amazon.com Services</t>
  </si>
  <si>
    <t>LRL-2021-655-MKD</t>
  </si>
  <si>
    <t>2021-908-31-TMS-A</t>
  </si>
  <si>
    <t>Corps required 402, IDEM required 335</t>
  </si>
  <si>
    <t xml:space="preserve">City of Portland </t>
  </si>
  <si>
    <t>LRL-2008-267-sam</t>
  </si>
  <si>
    <t>2007-728-38-SSA-V</t>
  </si>
  <si>
    <t xml:space="preserve">Permit mod after mitigation failed. </t>
  </si>
  <si>
    <t>CRG Residential</t>
  </si>
  <si>
    <t>LRL-2018-469-sjk</t>
  </si>
  <si>
    <t>2021-631-29-JBT-A</t>
  </si>
  <si>
    <t>Corps Rev permit required .0.53, 0.482 IDEM</t>
  </si>
  <si>
    <t xml:space="preserve">Corps REV permit 0.18, IDEM 0.163 </t>
  </si>
  <si>
    <t>IDEM table is incorrect and they do require stream credits. Both require 96.</t>
  </si>
  <si>
    <t>Gradison Land Development</t>
  </si>
  <si>
    <t>LRL-2021-583-sjk</t>
  </si>
  <si>
    <t>2021-869-29-JBT-A</t>
  </si>
  <si>
    <t>Corps requires 282 and IDEM 235</t>
  </si>
  <si>
    <t>Both require 0.32</t>
  </si>
  <si>
    <t>Tippecanoe Development</t>
  </si>
  <si>
    <t>IWP 2021-943-79-ERL</t>
  </si>
  <si>
    <t xml:space="preserve"> -86.8967.</t>
  </si>
  <si>
    <t>LRL-2008-1418-djd</t>
  </si>
  <si>
    <t>2009-509-49-JWR-A</t>
  </si>
  <si>
    <t>LRL-2010-74-sam</t>
  </si>
  <si>
    <t>2010-259-32-JWR-A</t>
  </si>
  <si>
    <t>LRL-2012-89-sjk</t>
  </si>
  <si>
    <t>2012-066-06-JWR-A</t>
  </si>
  <si>
    <t>Sent as one CS Letter with same Des #.  This is the modified total - Corps at 2384 and IDEM at 3000 eff 7/23/21.  All related to Pleasant Run Golf Course and one new DES # DES 1383193 .  Modified Permit Numbers -orig permittee responsibility - IDEM email changing all mitig to INT.</t>
  </si>
  <si>
    <t>Sent as one CS Letter with same Des #. All related to Pleasant Run Golf Course and one new DES # DES 1383193 .  Modified Permit Numbers -orig permittee responsibility - IDEM email changing all mitig to INT.</t>
  </si>
  <si>
    <t>Sent as one CS Letter with same Des #. Per INDOT IDEM 778 Corps 960. All related to Pleasant Run Golf Course and one new DES # DES 1383193 .  Modified Permit Numbers -orig permittee responsibility -IDEM email changing all mitig to INT.</t>
  </si>
  <si>
    <t>Midwest Logistics</t>
  </si>
  <si>
    <t>LRL-2012-820-sjk</t>
  </si>
  <si>
    <t>2021-1026-49-JWR</t>
  </si>
  <si>
    <t>This is the second half of project</t>
  </si>
  <si>
    <t xml:space="preserve">J </t>
  </si>
  <si>
    <t>OMPI</t>
  </si>
  <si>
    <t>IWiP-2022-117-29-EKB</t>
  </si>
  <si>
    <t>IWIP 2022-15-32-ERL-A</t>
  </si>
  <si>
    <t>IWIP-2022-26-45-MTM</t>
  </si>
  <si>
    <t>LRL-1990-568</t>
  </si>
  <si>
    <t>1991-001-10-GPN-A</t>
  </si>
  <si>
    <t>91-085</t>
  </si>
  <si>
    <t xml:space="preserve">41.420329     </t>
  </si>
  <si>
    <t>LRE-2008-01048-156-R21</t>
  </si>
  <si>
    <t>2021-712-56-JBT-A</t>
  </si>
  <si>
    <t>Newton</t>
  </si>
  <si>
    <t>LRL-2020-973-scm</t>
  </si>
  <si>
    <t>2021-477-30-JBT-A</t>
  </si>
  <si>
    <t>39.81146 to 39.82161</t>
  </si>
  <si>
    <t xml:space="preserve">85.93942 to  -85.74089 </t>
  </si>
  <si>
    <t>IWGP 2021-477-30-JBT-A</t>
  </si>
  <si>
    <t>Corps 0 - INDOT 1702919 - I 70 add travel lanes - INDOT 1702919</t>
  </si>
  <si>
    <t>Corps 3.7 - INDOT 1702919 - I 70 add travel lanes - INDOT 1702919</t>
  </si>
  <si>
    <t>Corps 1.33 - INDOT 1702919 - I 70 add travel lanes - INDOT 1702919</t>
  </si>
  <si>
    <t>INDOT 1702919 - I 70 add travel lanes - INDOT 1702919</t>
  </si>
  <si>
    <t>LRL-2021-1089-scm</t>
  </si>
  <si>
    <t xml:space="preserve">1701336 - Corps required no mitigation </t>
  </si>
  <si>
    <t>SOMB</t>
  </si>
  <si>
    <t>INDOT Interstate-265 Mitigation - IDEM verified permits are one and the same and only using LRL-1990-568 now. . 1991-001-10-GPN-A had referenced a Corps permit number of 91-085.  However, the Corps permit I have for the I-265 project is LRL-1990-568-djd.  1902145</t>
  </si>
  <si>
    <t>City of Portland Board of Aviation Commissioners</t>
  </si>
  <si>
    <t>Vanderburgh County Commissioners</t>
  </si>
  <si>
    <t>Related jurisdictional impacts minimal and approved via RGP, no jurisdictional mitigation for this project.</t>
  </si>
  <si>
    <t>Corps did not specifically require mitigation, but special condition requires to meet conditions of 401 WQC</t>
  </si>
  <si>
    <t>Marina Limited Partnership (Hassan Mercho)</t>
  </si>
  <si>
    <t>City of Richmond</t>
  </si>
  <si>
    <t xml:space="preserve">USACE didn't require mitigation, due to change in jurisdiction. </t>
  </si>
  <si>
    <t>State Isolated Class II (PSS)</t>
  </si>
  <si>
    <t xml:space="preserve">IWGP related to this not sub w other permits, credit sale will be processed separately. </t>
  </si>
  <si>
    <t xml:space="preserve">401/404 credit sale issued separately.  Didn't submit this w the other permits related to the credit request.  Discovered during clarification with agencies on permit language. </t>
  </si>
  <si>
    <t xml:space="preserve">Emailed - Credit receipt dated 1/25/2021 - letter inadvertently sent later.  </t>
  </si>
  <si>
    <t xml:space="preserve">Credit Sale Ltr Inadvertently sent later.  IDEM required 0 emergent. IDEM had wrong SA on permit, used Corps and IDEM noted this. </t>
  </si>
  <si>
    <t>Sun Energy</t>
  </si>
  <si>
    <t>LRL-2019-645</t>
  </si>
  <si>
    <t>General WQC NWP49</t>
  </si>
  <si>
    <t>Mining Permit S-00376</t>
  </si>
  <si>
    <t xml:space="preserve">.51 of required Corps credit purchase is open water but to be classified under Emergent. IDEM did not require a credit purchase. </t>
  </si>
  <si>
    <t>TC Energy</t>
  </si>
  <si>
    <t>LRC-2020-128</t>
  </si>
  <si>
    <t>2020-228-45-MTM-A, 2020-229-45-MTM-A</t>
  </si>
  <si>
    <t xml:space="preserve">Corps P1 required 0.209, P2 0.26 required (total 0.469)total,  IDEM required 0.26 in mod permit - but per Marty it’s a $26,315 which would be 0.277 credit purchase - consultant requested a purchase of 0.43.  Modified IDEM Permits for P1 and 2, so greatest total is P1 Corps at 0.209 and P2 0.277 IDEM. </t>
  </si>
  <si>
    <t>313 C</t>
  </si>
  <si>
    <t>LRL-2022-110-sam</t>
  </si>
  <si>
    <t>2022-311-49</t>
  </si>
  <si>
    <t>317 C</t>
  </si>
  <si>
    <t xml:space="preserve">Additional amount related to original credit purchase reflecting the increased amount of Corps over the required IDEM amount (0.34-0.28) Invoice changed to reflect incorrect SA identification in permit. </t>
  </si>
  <si>
    <t>COA Avon Landings</t>
  </si>
  <si>
    <t>IWIP 2022-289-32-ERL-A</t>
  </si>
  <si>
    <t xml:space="preserve">SI </t>
  </si>
  <si>
    <t>LRL-2021-845-sjk</t>
  </si>
  <si>
    <t>2022-198-30-EKB-A</t>
  </si>
  <si>
    <t xml:space="preserve">IDEM Permit mod to change SA. Corps required 2153 and IDEM required 1794 INT. </t>
  </si>
  <si>
    <t>City of West Lafayette</t>
  </si>
  <si>
    <t>LRL-2020-976-sjk</t>
  </si>
  <si>
    <t>2021-268-79</t>
  </si>
  <si>
    <t>IWIP-2022-311-49</t>
  </si>
  <si>
    <t xml:space="preserve">Changed SA Upper White to WWEF in Permit </t>
  </si>
  <si>
    <t>2022-261-2-WLR</t>
  </si>
  <si>
    <t>LRE-2021-01169-117-N21</t>
  </si>
  <si>
    <t>2022-3-17-WLR-A</t>
  </si>
  <si>
    <t>Dekalb</t>
  </si>
  <si>
    <t>Corps did not require any credit purchase</t>
  </si>
  <si>
    <t xml:space="preserve">AEP  </t>
  </si>
  <si>
    <t>Randolph</t>
  </si>
  <si>
    <t>D.R. Horton</t>
  </si>
  <si>
    <t>LRL-2021-1093</t>
  </si>
  <si>
    <t>2022-339-32-ERL</t>
  </si>
  <si>
    <t>IWIP-2022-339-32-ERL</t>
  </si>
  <si>
    <t>IDEM required 1045 and Corps 1255</t>
  </si>
  <si>
    <t>City of Seymour</t>
  </si>
  <si>
    <t>LRL-2018-970-scm</t>
  </si>
  <si>
    <t>2019-382-36-TMS-A</t>
  </si>
  <si>
    <t>Burkhart Bypass - Corps required 312 EPH, state required 520 EPH and 691 INT. Note incorrect CORPS permit number listed on IDEM permit.  Correct Corps number verified.  DES 1600743 and 1601943</t>
  </si>
  <si>
    <t>Burkhart Bypass -Corps required 1.27 PEM -  state required 1.224 PEM and .004 FOR</t>
  </si>
  <si>
    <t>Burkhart Bypass - Corps required 312 EPH, state required 520 EPH and 691 INT</t>
  </si>
  <si>
    <t>Additional Credit Release approved in 8/8/22 Corps letter</t>
  </si>
  <si>
    <t>LRE-2012-00268-120-N21</t>
  </si>
  <si>
    <t>2021-693-20-JWR-A</t>
  </si>
  <si>
    <t>Open Water Impacts - Emergent wetland credits</t>
  </si>
  <si>
    <t xml:space="preserve">Lennar Homes </t>
  </si>
  <si>
    <t>LRL-2017-334-sjk</t>
  </si>
  <si>
    <t>2021-907-29-SCF-A</t>
  </si>
  <si>
    <t>IDEM 229 Corps 275</t>
  </si>
  <si>
    <t>IDEM .216 and Corps 0.19</t>
  </si>
  <si>
    <t>LRL-2019-1083-jlt</t>
  </si>
  <si>
    <t>2020-294-32-ERL-A</t>
  </si>
  <si>
    <t xml:space="preserve">August </t>
  </si>
  <si>
    <t>326C</t>
  </si>
  <si>
    <t>Center Point</t>
  </si>
  <si>
    <t>2022-449-82-TMS</t>
  </si>
  <si>
    <t>No Corps Permit Issued</t>
  </si>
  <si>
    <t>LRE-2022-00212-146</t>
  </si>
  <si>
    <t>2022-362-46-JBT</t>
  </si>
  <si>
    <t>Corps did not require mitigation. DES 1703002</t>
  </si>
  <si>
    <t>LRL-2018-840</t>
  </si>
  <si>
    <t>2022-247-88-JBT</t>
  </si>
  <si>
    <t>LRL-2022-92-djd</t>
  </si>
  <si>
    <t>2022-86-68-SCF-X</t>
  </si>
  <si>
    <t xml:space="preserve">INDOT DES 1400195 - Corps required 0.45 Emergent, IDEM 0.374 </t>
  </si>
  <si>
    <t xml:space="preserve">INDOT DES 1702882, amount not in permit in email from IDEM. </t>
  </si>
  <si>
    <t>INDOT DES 1400195 - Corps required 284, IDEM required 310</t>
  </si>
  <si>
    <t>280C</t>
  </si>
  <si>
    <t>LRL-2021-30-MKD</t>
  </si>
  <si>
    <t>2021-729-31-TMS-A</t>
  </si>
  <si>
    <t>INDOT DES 1702960 - Corps required more ILF mitigation credits than IDEM</t>
  </si>
  <si>
    <t>Clark County Board of Commissioners (Landfill)</t>
  </si>
  <si>
    <t>LRL-2013-00374</t>
  </si>
  <si>
    <t>2021-189-10-TMS-A</t>
  </si>
  <si>
    <t>Purchase 1 of 7 scheduled credit purchases per the 404 and 401</t>
  </si>
  <si>
    <t>86C</t>
  </si>
  <si>
    <t>The Club at Holiday Farms, LLP</t>
  </si>
  <si>
    <t>LRL-2017-1101-lcl</t>
  </si>
  <si>
    <t>2018-728-06-JMK-A</t>
  </si>
  <si>
    <t>IWIP 2018-728-06-JMK</t>
  </si>
  <si>
    <t>Revised Permit and Invoice - new invoice 86C 0 Class I Non-Forested (PEM)</t>
  </si>
  <si>
    <t>Revised Permit and Invoice - new invoice 86C- Class II Forested - Revised amount</t>
  </si>
  <si>
    <t>Revised Permit and Invoice - new invoice 86C- Revised Permit - 401 Requirements same as the Corps</t>
  </si>
  <si>
    <t>Steuben County Highway Department</t>
  </si>
  <si>
    <t>LRE-2021-00264-176</t>
  </si>
  <si>
    <t>2021-129-76-WRH-A</t>
  </si>
  <si>
    <t>Steuben</t>
  </si>
  <si>
    <t>LRL-2021-949-MKD</t>
  </si>
  <si>
    <t>Clayton Properties</t>
  </si>
  <si>
    <t>2022-430-22-JWR-A</t>
  </si>
  <si>
    <t>LRL-2022-467</t>
  </si>
  <si>
    <t>2022-411-32</t>
  </si>
  <si>
    <t>IDEM Required 2.161, Corps 1.82</t>
  </si>
  <si>
    <t>New Albany Senior Partners, LLC</t>
  </si>
  <si>
    <t>LRL-2017-94-MKD</t>
  </si>
  <si>
    <t>2022-471-22-TMS-A</t>
  </si>
  <si>
    <t>Browning Investment, Inc.</t>
  </si>
  <si>
    <t>IWIP 2022-549-32-ERL-A</t>
  </si>
  <si>
    <t>LRL-2022-108-sjk</t>
  </si>
  <si>
    <t>City of Noblesville</t>
  </si>
  <si>
    <t>2022-444-29-EJW-A</t>
  </si>
  <si>
    <t>CDS Mixers &amp; Parts</t>
  </si>
  <si>
    <t>IWIP 2022-871-50-SCF-A</t>
  </si>
  <si>
    <t>VJW Basin, Inc.</t>
  </si>
  <si>
    <t>IWIP 2019-871-64-MTM-A</t>
  </si>
  <si>
    <t>LRC-2018-217</t>
  </si>
  <si>
    <t>2019-871-64-MTM-A</t>
  </si>
  <si>
    <t xml:space="preserve">Lennar Homes of Indiana </t>
  </si>
  <si>
    <t>IWIP 2022-681-41-JWR-A</t>
  </si>
  <si>
    <t>2 FO</t>
  </si>
  <si>
    <t>CenterPoint Energy Indiana South</t>
  </si>
  <si>
    <t>2022-795-82-TMS-X</t>
  </si>
  <si>
    <t>NWP - Corps did not require mitigation - No Corps 404 No.</t>
  </si>
  <si>
    <t>2022-556-08-JBT-A</t>
  </si>
  <si>
    <t>LRL-2022-285-djd</t>
  </si>
  <si>
    <t>Carroll</t>
  </si>
  <si>
    <t>Lawrence Central High School</t>
  </si>
  <si>
    <t>LRL-2021-444-sjk</t>
  </si>
  <si>
    <t>2022-421-49-JWR-A</t>
  </si>
  <si>
    <t>IDEM - 1059, Corps 1271</t>
  </si>
  <si>
    <t>IDEM -263, Corps - 315</t>
  </si>
  <si>
    <t>Commercial Links, LLC</t>
  </si>
  <si>
    <t>IWGP 2020-691-29-ALF-A</t>
  </si>
  <si>
    <t>IWIP 2022-826-10-JWR-A</t>
  </si>
  <si>
    <t>Holmans Crossing, LLC</t>
  </si>
  <si>
    <t xml:space="preserve">LRL-2019-576-MKD </t>
  </si>
  <si>
    <t xml:space="preserve">2019-559-84-ALF-A </t>
  </si>
  <si>
    <t>Auburn Holdings, LLC</t>
  </si>
  <si>
    <t>IWIP 2022-905-17-EJW-A</t>
  </si>
  <si>
    <t>IWIP 2022-852-49-EKB-A</t>
  </si>
  <si>
    <t>LRL-2021-681-sam</t>
  </si>
  <si>
    <t>2022-852-49-EKB-A</t>
  </si>
  <si>
    <t>3 FO</t>
  </si>
  <si>
    <t>Hamilton County Highway Department</t>
  </si>
  <si>
    <t>LRL-2022-362-sam</t>
  </si>
  <si>
    <t>2022-437-29-EKB-A</t>
  </si>
  <si>
    <t>LRL-2021-608-djd</t>
  </si>
  <si>
    <t>2022-482-27-SCF-A</t>
  </si>
  <si>
    <t>Grant</t>
  </si>
  <si>
    <t>LRL-2022-223-scm</t>
  </si>
  <si>
    <t>2022-477-78-SCF-A</t>
  </si>
  <si>
    <t>Switzerland</t>
  </si>
  <si>
    <t>LRL-2022-869-djd</t>
  </si>
  <si>
    <t>2022-965-15-JBT-X</t>
  </si>
  <si>
    <t>LRC-2022-00418</t>
  </si>
  <si>
    <t>2022-1052-64-JBT-X</t>
  </si>
  <si>
    <t>IDEM required more mitgation than the Corps</t>
  </si>
  <si>
    <t>LRL-2022-749-scm</t>
  </si>
  <si>
    <t>2022-836-55-JBT-A</t>
  </si>
  <si>
    <t>Morgan</t>
  </si>
  <si>
    <t>2021-0428-29-JBT-A</t>
  </si>
  <si>
    <t>LRL-2020-699-sjk</t>
  </si>
  <si>
    <t>ANR Pipeline Company</t>
  </si>
  <si>
    <t>IWIP 2022-1040-46-MTM-A</t>
  </si>
  <si>
    <t>Strategic Capital Partners, LLC</t>
  </si>
  <si>
    <t>IWGP 2021-327-06-ERL-A</t>
  </si>
  <si>
    <t>USACE Chicago District</t>
  </si>
  <si>
    <t>2004-354-45-MTM-A</t>
  </si>
  <si>
    <t>401 Modification</t>
  </si>
  <si>
    <t>LRL-2021-00537</t>
  </si>
  <si>
    <t>2022-552-82-TMS-A</t>
  </si>
  <si>
    <t>Vanderburg</t>
  </si>
  <si>
    <t>Corps required more mitigation than IDEM</t>
  </si>
  <si>
    <t>Argo Family Stoarage</t>
  </si>
  <si>
    <t>IWIP 2022-1108-30-EKB-A</t>
  </si>
  <si>
    <t>LRL-2022-395-dds</t>
  </si>
  <si>
    <t>2022-766-35-JBT-A</t>
  </si>
  <si>
    <t>LRL-2022-874-scm</t>
  </si>
  <si>
    <t>2022-923-36-JBT-A</t>
  </si>
  <si>
    <t>IWIP 2022-918-29-SCF-A</t>
  </si>
  <si>
    <t>LRL-2021-374-scm</t>
  </si>
  <si>
    <t>2022-120-36-SCF-X</t>
  </si>
  <si>
    <t>LRL-2022-170-scm</t>
  </si>
  <si>
    <t>2022-942-19-JBT-A</t>
  </si>
  <si>
    <t>IWIP-2022-210-68-EKB-A</t>
  </si>
  <si>
    <t>1 FO</t>
  </si>
  <si>
    <t>LRL-2019-22-sjk</t>
  </si>
  <si>
    <t>2022-401-49-EKB-A</t>
  </si>
  <si>
    <t>IWIP 2022-789-79-JBT-A</t>
  </si>
  <si>
    <t>Tippecanoe and Montgomery</t>
  </si>
  <si>
    <t>Shear GF1, LLC</t>
  </si>
  <si>
    <t>IWIP 2022-955-30-EKB-A</t>
  </si>
  <si>
    <t>Meijer</t>
  </si>
  <si>
    <t>LRL-2023-00072-jde</t>
  </si>
  <si>
    <t>2022-1330-29-EKB-X</t>
  </si>
  <si>
    <t>LRL-2022-39-djd</t>
  </si>
  <si>
    <t>2022-233-87-JBT-A</t>
  </si>
  <si>
    <t>LRL-2022-708-sjk</t>
  </si>
  <si>
    <t>2022-726-79-ERL-X</t>
  </si>
  <si>
    <t>Maple Leaf Crossing, LLC</t>
  </si>
  <si>
    <t>IWIP 2022-689-45-MTM-A</t>
  </si>
  <si>
    <t>City of Lafayette</t>
  </si>
  <si>
    <t>LRL-2000-864-sam</t>
  </si>
  <si>
    <t>2000-201-79-MTM-A</t>
  </si>
  <si>
    <t>LRL-2022-815-djd</t>
  </si>
  <si>
    <t>2022-1065-36-JBT-A</t>
  </si>
  <si>
    <t>Floyd County</t>
  </si>
  <si>
    <t>2022-691-22-JWR-X</t>
  </si>
  <si>
    <t>North Porter County Conservation Club</t>
  </si>
  <si>
    <t>LRC-2021-130</t>
  </si>
  <si>
    <t>2022-305-64-MTM-A</t>
  </si>
  <si>
    <t>LRL-2014-608-lcl</t>
  </si>
  <si>
    <t>Schoolcraft Development Company</t>
  </si>
  <si>
    <t>2020-767-49-ALF-A</t>
  </si>
  <si>
    <t>Corps required more ILF stream credit than IDEM - IDEM 321</t>
  </si>
  <si>
    <t>IDEM required more ILF wetland credit than Corps - corps required .34 SS</t>
  </si>
  <si>
    <t xml:space="preserve">Corps didn't require any PEM - ILF required for 0.14 open water impacts? - not listed in table. </t>
  </si>
  <si>
    <t>LRL-2021-00804-ddc</t>
  </si>
  <si>
    <t>Old Town Development</t>
  </si>
  <si>
    <t>2021-746-29-JBT-A</t>
  </si>
  <si>
    <t>LRC-2022-00195</t>
  </si>
  <si>
    <t>Atlantic Richfield Company</t>
  </si>
  <si>
    <t>2022-904-45-MTM-A</t>
  </si>
  <si>
    <t>LRC-2022-00039</t>
  </si>
  <si>
    <t>2022-13-64-MTM-A</t>
  </si>
  <si>
    <t>Porter County</t>
  </si>
  <si>
    <t>IDEM 0.405 Corps .486</t>
  </si>
  <si>
    <t>IDEM 0.182 Corps 0.144</t>
  </si>
  <si>
    <t>LRL-2022-547-tmb</t>
  </si>
  <si>
    <t>Evansville-Vanderburgh Airport Authority</t>
  </si>
  <si>
    <t>2022-640-82-TMS</t>
  </si>
  <si>
    <t>Corps required 494, IDEM 412</t>
  </si>
  <si>
    <t>LRL-2022-942-DDC</t>
  </si>
  <si>
    <t>GSR Ground A, LLC</t>
  </si>
  <si>
    <t>2022-1034-49-EKB-X</t>
  </si>
  <si>
    <t>LRC-2021-00756</t>
  </si>
  <si>
    <t>SP/DSP Portage Owner, LLC</t>
  </si>
  <si>
    <t>2022-1088-64-MTM-A</t>
  </si>
  <si>
    <t>IWIP 2023-35-29-SCF-A</t>
  </si>
  <si>
    <t>391 and 399</t>
  </si>
  <si>
    <t>Henke Development Group, LLC</t>
  </si>
  <si>
    <t>Clark County Board of Commissioners</t>
  </si>
  <si>
    <t>Purchase 2 of 7 required by 404 and 401</t>
  </si>
  <si>
    <t>LRL-2022-0823-kjs</t>
  </si>
  <si>
    <t>The Flats on 10th, LLC</t>
  </si>
  <si>
    <t>2022-936-10-JWR-A</t>
  </si>
  <si>
    <t>IWIP 2022-813-37-MTM-A</t>
  </si>
  <si>
    <t>MSD of Wayne Township</t>
  </si>
  <si>
    <t>IWIP 2023-105-49-EKB-A</t>
  </si>
  <si>
    <t>LRL-2022-318-sjk</t>
  </si>
  <si>
    <t>City of Delphi</t>
  </si>
  <si>
    <t>2022-204-8-SCF</t>
  </si>
  <si>
    <t>0.36 IDEM, 0.32 Corps</t>
  </si>
  <si>
    <t>0.52 IDEM, 0.63 Corps</t>
  </si>
  <si>
    <t>LRL-2022-536-sam</t>
  </si>
  <si>
    <t>Rise Commercial District</t>
  </si>
  <si>
    <t>2022-742-32-ERL-A</t>
  </si>
  <si>
    <t>Corps required more stream</t>
  </si>
  <si>
    <t>Corps required more for PEM credit</t>
  </si>
  <si>
    <t>IDEM required more for PSS credit</t>
  </si>
  <si>
    <t>IDEM required more for PFO credit</t>
  </si>
  <si>
    <t>LRL-2022-1041-djd</t>
  </si>
  <si>
    <t>2023-91-78-SCF-A</t>
  </si>
  <si>
    <t>LRL-2022-0051-jde</t>
  </si>
  <si>
    <t>2023-279-84-ERL-X</t>
  </si>
  <si>
    <t>LRE-2022-00816-176-N22</t>
  </si>
  <si>
    <t>2022-1148-76-EJW-X</t>
  </si>
  <si>
    <t>LRL-2022-946-scm</t>
  </si>
  <si>
    <t>2022-1372-55-JBT-X</t>
  </si>
  <si>
    <t>LRE-2011-00199-137-S22</t>
  </si>
  <si>
    <t>2022-813-37-MTM-A</t>
  </si>
  <si>
    <t>Epcon Communities</t>
  </si>
  <si>
    <t>LRL-2023-24-sjk</t>
  </si>
  <si>
    <t>2023-130-29-GCW-A</t>
  </si>
  <si>
    <t>New Venture Development Corp</t>
  </si>
  <si>
    <t>LRE-2022-00515-102-N22</t>
  </si>
  <si>
    <t>2022-1018-EJW-X</t>
  </si>
  <si>
    <t>DeKalb County Board of Commissioners</t>
  </si>
  <si>
    <t>LRE-2005-1170220-N23</t>
  </si>
  <si>
    <t>2023-24-17-EJW-X</t>
  </si>
  <si>
    <t>Hoosier Valley Development, LLC</t>
  </si>
  <si>
    <t>IWIP 2022-986-32-ERL-A</t>
  </si>
  <si>
    <t>LRE-2022-00697-176-N22</t>
  </si>
  <si>
    <t>2022-954-76-JBT-A</t>
  </si>
  <si>
    <t>LRL-2014-621-sam</t>
  </si>
  <si>
    <t>2022-858-40-SCF-A</t>
  </si>
  <si>
    <t>IWIP 2022-736-2-SCF-A</t>
  </si>
  <si>
    <t>LRL-2022-701-djd</t>
  </si>
  <si>
    <t>2023-153-55-SCF-A</t>
  </si>
  <si>
    <t>IWIP 2023-153-55-SCF-A</t>
  </si>
  <si>
    <t>Town of Plainfield</t>
  </si>
  <si>
    <t>LRL-2021-01015-DDC</t>
  </si>
  <si>
    <t>2021-990-32-ERL-A</t>
  </si>
  <si>
    <t>IWIP 2023-160-06-JBT-A</t>
  </si>
  <si>
    <t>Pedcor Community Development Corporation</t>
  </si>
  <si>
    <t>IWIP 2023-367-29-GCW-A</t>
  </si>
  <si>
    <t>Wildcat Resources, LLC</t>
  </si>
  <si>
    <t>IWIP 2022-1000-12-ERL-A</t>
  </si>
  <si>
    <t>Clinton</t>
  </si>
  <si>
    <t>Blue Lick Development LLC</t>
  </si>
  <si>
    <t>LRL-2022-00133</t>
  </si>
  <si>
    <t>2023-396-10-ERL-A</t>
  </si>
  <si>
    <t>IWIP 2023-76-49-EKB-A</t>
  </si>
  <si>
    <t>2023-422-10-JWR-A</t>
  </si>
  <si>
    <t>Phase I of 2 purchase requirements</t>
  </si>
  <si>
    <t>LRE-2022-00332-102</t>
  </si>
  <si>
    <t>2021-963-2-WLR-X</t>
  </si>
  <si>
    <t>LRL-2023-303-djd</t>
  </si>
  <si>
    <t>2023-327-90-MPY-A</t>
  </si>
  <si>
    <t>CGS Services, Incorporated</t>
  </si>
  <si>
    <t>LRL-2022-1015-sam</t>
  </si>
  <si>
    <t>2023-226-73-ERL-A</t>
  </si>
  <si>
    <t>Harris &amp; Ford LLC</t>
  </si>
  <si>
    <t>LRL-2021-00027-sjk</t>
  </si>
  <si>
    <t>2021-183-49-ALF-A</t>
  </si>
  <si>
    <t>LRE-2023-00201-176-N23</t>
  </si>
  <si>
    <t>2023-559-76-JBT-A</t>
  </si>
  <si>
    <t>IWIP 2023-380-41-JBT-A</t>
  </si>
  <si>
    <t>INDOT DES No. 1800082</t>
  </si>
  <si>
    <t>LRL-1994-01330-A</t>
  </si>
  <si>
    <t>SPIN Munster</t>
  </si>
  <si>
    <t>IWIP-2022-725-45-MTM-A</t>
  </si>
  <si>
    <t>City of Hobart - US 30</t>
  </si>
  <si>
    <t>LRC-2021-1116</t>
  </si>
  <si>
    <t>2021-529-45-MTM-A</t>
  </si>
  <si>
    <t>2023-170-49-GCW-X</t>
  </si>
  <si>
    <t>LRL-2023-66-djd</t>
  </si>
  <si>
    <t>2023-107-79-WLR-A</t>
  </si>
  <si>
    <t>Secure Holdings, LLC</t>
  </si>
  <si>
    <t>IWIP 2023-551-29-WLR-A</t>
  </si>
  <si>
    <t>LRL-2023-115-dds</t>
  </si>
  <si>
    <t>2023-315-52-JBT-A</t>
  </si>
  <si>
    <t>LRE-2023-00289-157-N23</t>
  </si>
  <si>
    <t>2023-563-57-JWR-X</t>
  </si>
  <si>
    <t>Miami</t>
  </si>
  <si>
    <t>INDOT DES 1900079</t>
  </si>
  <si>
    <t>INDOT DES 2002226</t>
  </si>
  <si>
    <t>LRL-2015-76-sam</t>
  </si>
  <si>
    <t>2015-032-15-JWR-A</t>
  </si>
  <si>
    <t>IWIP 2023-576-32-MPY-A</t>
  </si>
  <si>
    <t>Citimark Realty Partners, LLC</t>
  </si>
  <si>
    <t>IWIP 2023-554-06-ERL-A</t>
  </si>
  <si>
    <t>LRE-2023-00342-102-N23</t>
  </si>
  <si>
    <t>2023-663-2-JWR-X</t>
  </si>
  <si>
    <t>LRE-2023-00345-157-N23</t>
  </si>
  <si>
    <t>2023-681-57-JWR-X</t>
  </si>
  <si>
    <t>INDOT DES 2002214</t>
  </si>
  <si>
    <t>INDOT DES 2002217</t>
  </si>
  <si>
    <t>M.A. Mortenson Company</t>
  </si>
  <si>
    <t>LRE-2023-00194-102-N23</t>
  </si>
  <si>
    <t>2023-350-2-EJW-A</t>
  </si>
  <si>
    <t>Service Corridor</t>
  </si>
  <si>
    <t>Monroe County Highway Department</t>
  </si>
  <si>
    <t>LRL-2022-00905</t>
  </si>
  <si>
    <t>2023-444-26-WLR-A</t>
  </si>
  <si>
    <t>LRL-2022-139-sjk</t>
  </si>
  <si>
    <t>2022-131-53-TMS-X</t>
  </si>
  <si>
    <t>Town of Chesterton</t>
  </si>
  <si>
    <t>2023-69-64-MTM-X</t>
  </si>
  <si>
    <t>LRL-2022-953-sam</t>
  </si>
  <si>
    <t>2022-1064-32-ERL-A</t>
  </si>
  <si>
    <t>Shelby County Higthway Department</t>
  </si>
  <si>
    <t>LRL-1994-1330-gjd</t>
  </si>
  <si>
    <t>IWIP 2023-303-73-WLR-A</t>
  </si>
  <si>
    <t>LRL-2022-118</t>
  </si>
  <si>
    <t>2021-168-27-JBT-A</t>
  </si>
  <si>
    <t xml:space="preserve">Grant </t>
  </si>
  <si>
    <t>DES 2001581</t>
  </si>
  <si>
    <t>Kiewit Power Constructors Co.</t>
  </si>
  <si>
    <t>LRL-2023-00195-jde</t>
  </si>
  <si>
    <t>2023-203-27-EJW-A</t>
  </si>
  <si>
    <t>Lat/Long start location of linear project</t>
  </si>
  <si>
    <t>LRL-2022-898-scm</t>
  </si>
  <si>
    <t>2022-1112-15-JBT-A</t>
  </si>
  <si>
    <t>39.277158,</t>
  </si>
  <si>
    <t>LRC-2023-0054</t>
  </si>
  <si>
    <t>2023-111-45-GCW-X</t>
  </si>
  <si>
    <t>LRL-2023-200-dds</t>
  </si>
  <si>
    <t>2023-190-15-JBT-A</t>
  </si>
  <si>
    <t>Dearborn, Ripley, Crawford</t>
  </si>
  <si>
    <t>Linear project with several points. DES No. 2000516</t>
  </si>
  <si>
    <t>IWIP 2023-460-35-JBT-A</t>
  </si>
  <si>
    <t>Vanderburgh County</t>
  </si>
  <si>
    <t>LRL-2022-1077-tmb</t>
  </si>
  <si>
    <t>2022-1362-82-JWR</t>
  </si>
  <si>
    <t xml:space="preserve">LRL-2023-00275-dsp </t>
  </si>
  <si>
    <t>2023-445-82-WLR-A</t>
  </si>
  <si>
    <t xml:space="preserve">LRL-2023-00493-DDC </t>
  </si>
  <si>
    <t xml:space="preserve">2023-613-85-JWR-X </t>
  </si>
  <si>
    <t>LRL-2016-00893-jde</t>
  </si>
  <si>
    <t>2023-509-6-MRP-A</t>
  </si>
  <si>
    <t>3 of 7</t>
  </si>
  <si>
    <t>LRE-2022-00522-157-N23</t>
  </si>
  <si>
    <t>2023-684-57-JWR-A</t>
  </si>
  <si>
    <t>DES No. 1900138</t>
  </si>
  <si>
    <t>Mississippi Parkway Partners</t>
  </si>
  <si>
    <t>LRC-2022-00250</t>
  </si>
  <si>
    <t>2022-662-45-MTM-A</t>
  </si>
  <si>
    <t>Gary Material Supply</t>
  </si>
  <si>
    <t>IWIP 2022-32-45-MTM-A</t>
  </si>
  <si>
    <t>3 NF</t>
  </si>
  <si>
    <t>Taylor University</t>
  </si>
  <si>
    <t>LRL-2013-00869-sjk</t>
  </si>
  <si>
    <t>2013-506-27-HAP-V</t>
  </si>
  <si>
    <t>Chill Land, LLC</t>
  </si>
  <si>
    <t>IWIP 2023-280-6-ERL-A</t>
  </si>
  <si>
    <t>Credit Refund to INDOT 1/31/2023</t>
  </si>
  <si>
    <t>Credit Refund to INDOT</t>
  </si>
  <si>
    <t>Corps verified no mitigation required. *Refund 1/31/24</t>
  </si>
  <si>
    <t>T.J. Cole</t>
  </si>
  <si>
    <t>LRL-2022-361-sam</t>
  </si>
  <si>
    <t>2022-777-32-ERL-A</t>
  </si>
  <si>
    <t>LRL-2022-936</t>
  </si>
  <si>
    <t>2022-1007-35-JBT-X</t>
  </si>
  <si>
    <t>1900242 and 1900241</t>
  </si>
  <si>
    <t>LRC-2022-818</t>
  </si>
  <si>
    <t>2022-1359-64-JBT-X</t>
  </si>
  <si>
    <t>Bastian Solutions LLC</t>
  </si>
  <si>
    <t>IWIP 2023-781-29-GCW-A</t>
  </si>
  <si>
    <t>LRL-2014-100-sam/Fourteeen Mile Creek Mitigation Bank</t>
  </si>
  <si>
    <t>Fourteen Mile Creek Mitigation Bank</t>
  </si>
  <si>
    <t xml:space="preserve">Credit fulfilled, purchased from Fourteen Mile Creek Mitigation Bank.  </t>
  </si>
  <si>
    <t>Mod 1 - LRL-2020-989-sam</t>
  </si>
  <si>
    <t>HC Farms</t>
  </si>
  <si>
    <t>Credits fulfilled and released - HC Farms First Release.</t>
  </si>
  <si>
    <t xml:space="preserve">Credits fulfilled and released - HC Farms First Release.  Class II Isolated Wetland Forested </t>
  </si>
  <si>
    <t>Credits fulfilled and released - HC Farms First Release.  Class I Isolated Wetland Forested</t>
  </si>
  <si>
    <t>Credits fulfilled and released - HC Farms First Release. Class I Isolated Wetland Non-Forested</t>
  </si>
  <si>
    <t>Credits fulfilled and released - HC Farms First Release. Class II Isolated Wetland Forested</t>
  </si>
  <si>
    <t>Credits fulfilled and released - HC Farms First Release. Corps mitigation requirement more than IDEM 401 WQC</t>
  </si>
  <si>
    <t>Credits fulfilled and released - HC Farms First Release.  Class I Non-Forested Isolated Wetland Impact</t>
  </si>
  <si>
    <t xml:space="preserve">Credits fulfilled and released - HC Farms First Release. Impact to upland prairie buffer of a mitigation site </t>
  </si>
  <si>
    <t>Credits fulfilled and released - HC Farms First Release. Class I Non-Forested Isolated Wetland Impact</t>
  </si>
  <si>
    <t>Credits fulfilled and released - HC Farms First Release.  Class II Forested Isolated Wetland Impact</t>
  </si>
  <si>
    <t>Mod 1 - LRL-2020-989-sam and Bank</t>
  </si>
  <si>
    <t>HC Farms and Candace Bank</t>
  </si>
  <si>
    <t>0.58 fulfilled from HC Farms initial release and 1.0 fulfilled from Candace Lee Fink Mitigation Bank Credit purchase.INDOT DES No. 1500143</t>
  </si>
  <si>
    <t>LRL-2014-100-sam/Candace Lee Fink Mitigtion Bank</t>
  </si>
  <si>
    <t>Candace Lee Fink Mitigation Bank</t>
  </si>
  <si>
    <t>Credit fulfilled, purchased from Candace Lee Fink Mitigation Bank.  Class II Non-Forested Isolated Wetland Impact</t>
  </si>
  <si>
    <t>Credit fulfilled, purchased from Candace Lee Fink Mitigation Bank.  Class II Forested Isolated Wetland Impact</t>
  </si>
  <si>
    <t>Credit fulfilled, purchased from Candace Lee Fink Mitigation Bank.Class I Non-Forested (PEM) Isolated Wetland Impact</t>
  </si>
  <si>
    <t xml:space="preserve">LRL-2014-100-sam/Openings Mitigation Bank </t>
  </si>
  <si>
    <t>11/3/2023 and 1/15/2024</t>
  </si>
  <si>
    <t>Openings Mitigation Bank</t>
  </si>
  <si>
    <t>Credit fulfilled, purchased from Openings Mitigation Bank, partial 1.05 credit on 11/3/2023 and final 0.93 credit on 1/15/2024</t>
  </si>
  <si>
    <t>1.05 credit purchased 11/3/2023 and 0.93 credit purchased on 1/15/2024 to fulfill the 1.98 credits</t>
  </si>
  <si>
    <t>Credit fulfilled, purchased from Openings Mitigation Bank.  Class II Forested Isolated Wetland Impact</t>
  </si>
  <si>
    <t>Credit fulfilled, purchased from Openings Mitigation Bank</t>
  </si>
  <si>
    <t xml:space="preserve">Credit fulfilled, purchased from Openings Mitigation Bank.  IDEM recorded additional PFO impacts due to converting 2.08 acres of forested wetlands to emergent. </t>
  </si>
  <si>
    <t>Credit fulfilled, purchased from Candace Lee Fink Mitigation Bank</t>
  </si>
  <si>
    <t>Credit fulfilled, purchased from Candace Lee Fink Mitigation Bank.  1.85 credit of the 1.95 credits were refunded to permittee on 1/25/2022, requiring only 0.1 credit to be fulfilled.Class I Non-Forested (PEM) Isolated Wetland Impact</t>
  </si>
  <si>
    <t>Credit fulfilled, purchased from Candace Lee Fink Mitigation BankClass II Forested Isolated Wetland Impact</t>
  </si>
  <si>
    <t>Credit fulfilled, purchased from Candace Lee Fink Mitigation Bank.  State Isolated Wetland General Permit for Class I Non-Forested wetland</t>
  </si>
  <si>
    <t>Credit fulfilled, purchased from Candace Lee Fink Mitigation Bank.  State Isolated Wetland General Permit for Class II Scrub-Shrub wetland</t>
  </si>
  <si>
    <t>Viking Built Homes, LLC</t>
  </si>
  <si>
    <t>LRC-2017-00132</t>
  </si>
  <si>
    <t>2021-622-64-MTM-A</t>
  </si>
  <si>
    <t>LRL-2008-00889-goc</t>
  </si>
  <si>
    <t xml:space="preserve">2008-404-87-JWR-A </t>
  </si>
  <si>
    <t>LRC-2021-107</t>
  </si>
  <si>
    <r>
      <t xml:space="preserve">1703005 </t>
    </r>
    <r>
      <rPr>
        <b/>
        <sz val="10"/>
        <color rgb="FFFF0000"/>
        <rFont val="Calibri"/>
        <family val="2"/>
      </rPr>
      <t>Was sold as Calumet-Dunes - needs to be corrected in INRF and determine either refund or credit with INDOT</t>
    </r>
  </si>
  <si>
    <r>
      <t xml:space="preserve">1703005 </t>
    </r>
    <r>
      <rPr>
        <b/>
        <sz val="10"/>
        <color rgb="FFFF0000"/>
        <rFont val="Calibri"/>
        <family val="2"/>
      </rPr>
      <t>Same credit price as Calumet-Dunes, so just need to fix in INRF record as with above</t>
    </r>
  </si>
  <si>
    <t>Required ILF credit purchased over two (2) payment instrallments - authorized by Corps and IDEM($50,000 paid in 2022, and 39,110 paid in 2023)</t>
  </si>
  <si>
    <t>BHI Senior Living</t>
  </si>
  <si>
    <t>LRL-2023-915-djd</t>
  </si>
  <si>
    <t>Van Rooy Properties</t>
  </si>
  <si>
    <t>Gershman Partners</t>
  </si>
  <si>
    <t>Heritage Estates, LLC</t>
  </si>
  <si>
    <t>LRL:2023-00969-sea</t>
  </si>
  <si>
    <t>LRL-2021-01807-DDC</t>
  </si>
  <si>
    <t>IWIP 2023-800-6-MPY-A</t>
  </si>
  <si>
    <t>2023-1098-90-GCW-X</t>
  </si>
  <si>
    <t>IWIP 2023-644-79-MPY-A</t>
  </si>
  <si>
    <t>IWIP 2023-430-49-WLR-A</t>
  </si>
  <si>
    <t>2023-865-40-JLB-A</t>
  </si>
  <si>
    <t>2022-784-29-EKB-A</t>
  </si>
  <si>
    <t>LRL-2022-1036-scm</t>
  </si>
  <si>
    <t>2022-1376-83-JBT-X</t>
  </si>
  <si>
    <t xml:space="preserve">Vermillion </t>
  </si>
  <si>
    <t>Universal Guaranty Company</t>
  </si>
  <si>
    <t>IWIP 2023-1175-20-SCF-A</t>
  </si>
  <si>
    <t>LRL-2012-00375-ajk</t>
  </si>
  <si>
    <t>2013-017-29-HAP-A</t>
  </si>
  <si>
    <t>LRC-2023-00478</t>
  </si>
  <si>
    <t>2023-990-45-GCW-A</t>
  </si>
  <si>
    <t xml:space="preserve"> Transportation</t>
  </si>
  <si>
    <t>LRL-2024-39-DJD</t>
  </si>
  <si>
    <t xml:space="preserve">2024-15-90-GCW-X </t>
  </si>
  <si>
    <t>Town of Brownsburg</t>
  </si>
  <si>
    <t>LRL-2023-00432-sjk</t>
  </si>
  <si>
    <t>2023-642-32-MPY-A</t>
  </si>
  <si>
    <t>IDNR-DFW</t>
  </si>
  <si>
    <t>LRE-2001-1440560-C23</t>
  </si>
  <si>
    <t>2023-399-44-EJW-A</t>
  </si>
  <si>
    <t>Forestar</t>
  </si>
  <si>
    <t>IWIP-2022-637-41</t>
  </si>
  <si>
    <t>Posey County Board of Commissioners</t>
  </si>
  <si>
    <t>LRL-2020-1106-A</t>
  </si>
  <si>
    <t>2022-989-65-TMS-X</t>
  </si>
  <si>
    <t>LRE-2023-00634-157-N23</t>
  </si>
  <si>
    <t>2023-1017-57-GCW-A</t>
  </si>
  <si>
    <t>Failed Mitigation at Brookshire Golf Course</t>
  </si>
  <si>
    <t>DES NO. 1800257</t>
  </si>
  <si>
    <t>DES NO 2002246</t>
  </si>
  <si>
    <t>INDOT DES NO 2002234</t>
  </si>
  <si>
    <t>DES NO: 1800187</t>
  </si>
  <si>
    <r>
      <t>Note 0.12 jurisdictional wetland credits and 296.3 stream credits were purchased under the original IDEM 401 WQC and Corps 404 permits and a credit sale letter was issued on April 6, 2021 when those credits were purchased.</t>
    </r>
    <r>
      <rPr>
        <b/>
        <u/>
        <sz val="10"/>
        <color theme="1"/>
        <rFont val="Calibri"/>
        <family val="2"/>
      </rPr>
      <t xml:space="preserve">   </t>
    </r>
  </si>
  <si>
    <t>Theineman Group</t>
  </si>
  <si>
    <t>Indianapolis Airport Authority</t>
  </si>
  <si>
    <t>LRL-2023-00651-amw</t>
  </si>
  <si>
    <t>2023-720-22-ERL-A</t>
  </si>
  <si>
    <t>LRL-2006-140-djd</t>
  </si>
  <si>
    <t>2006-44-50-EME-A</t>
  </si>
  <si>
    <t>LRL-2023-947-djd</t>
  </si>
  <si>
    <t>2023-1106-87-GCW-A</t>
  </si>
  <si>
    <t>LRL-2023-00743-jde</t>
  </si>
  <si>
    <t>2024-47-32-MPY-A</t>
  </si>
  <si>
    <t>Fulton</t>
  </si>
  <si>
    <t>DES NO 9800120 for failed mitigation</t>
  </si>
  <si>
    <t>INDOT DES No  2002063</t>
  </si>
  <si>
    <t>FW-32655-0</t>
  </si>
  <si>
    <t>2024-301-71-MPY-X</t>
  </si>
  <si>
    <t>LRE-2023-00679-171-N24</t>
  </si>
  <si>
    <t>IDOA</t>
  </si>
  <si>
    <t>IWIP 2024-144-34-MPY-A</t>
  </si>
  <si>
    <t>JWA Co. LTC</t>
  </si>
  <si>
    <t>2023-1167-90-GCW-A</t>
  </si>
  <si>
    <t>LRL-2023-00985-DDC</t>
  </si>
  <si>
    <t>2024-54-20-SCF-A</t>
  </si>
  <si>
    <t>LRE-2024-0053-120-SCG</t>
  </si>
  <si>
    <t>Elkhart County Highway Department</t>
  </si>
  <si>
    <t>IWIP 2023-564-49-GCW-A</t>
  </si>
  <si>
    <t>Indianapolis (86th St.) WW, LLC</t>
  </si>
  <si>
    <t>IWIP 2024-130-17-EJW-A</t>
  </si>
  <si>
    <t>Auburn Retial, LLC</t>
  </si>
  <si>
    <t>2024-232-90-GCW-X</t>
  </si>
  <si>
    <t>IWIP 2024-123-30-GCW-A</t>
  </si>
  <si>
    <t>2023-969-2-EJW-A</t>
  </si>
  <si>
    <t>LRE-2022-00180-102-N23</t>
  </si>
  <si>
    <t>IU Health</t>
  </si>
  <si>
    <t>Fountain</t>
  </si>
  <si>
    <t>2022-590-23-ERL</t>
  </si>
  <si>
    <t>LRL-2019-638</t>
  </si>
  <si>
    <t>Western Indiana Comm</t>
  </si>
  <si>
    <t>2023-1163-32-MPY-X</t>
  </si>
  <si>
    <t>LRL-2023-00978-sjk</t>
  </si>
  <si>
    <t>Pace Property Holding, LLC</t>
  </si>
  <si>
    <t>Origis Energy</t>
  </si>
  <si>
    <t>Laskey Properties</t>
  </si>
  <si>
    <t>LRL-2020-611-tmb</t>
  </si>
  <si>
    <t>2023-453-42-JWR-A</t>
  </si>
  <si>
    <t>IWIP 2024-121-45-GCW-A</t>
  </si>
  <si>
    <t>IWIP-2022-435-29</t>
  </si>
  <si>
    <t>LRL-2022-00973-sjk</t>
  </si>
  <si>
    <t>2024-233-3-JLB-A</t>
  </si>
  <si>
    <t>INDOT DES No. 1900465</t>
  </si>
  <si>
    <t>INDOT DES No. 2002248</t>
  </si>
  <si>
    <t>Potatoe Creek SP Lodge</t>
  </si>
  <si>
    <t>INDOT DES No. 2003098</t>
  </si>
  <si>
    <t>Love's Travel Stop</t>
  </si>
  <si>
    <t>LRC-2024-0076</t>
  </si>
  <si>
    <t>2024-155-45-MTM-A</t>
  </si>
  <si>
    <t>IWIP 2024-357-46-MTM-A</t>
  </si>
  <si>
    <t>Tippecanoe County Highway Department</t>
  </si>
  <si>
    <t>LRL-2020-175-sjk</t>
  </si>
  <si>
    <t>2020-218-79-ERL-A</t>
  </si>
  <si>
    <t>INDOT DES No. 1401279</t>
  </si>
  <si>
    <t>LRL-2022-77</t>
  </si>
  <si>
    <t>2023-1024-89-GCW-A</t>
  </si>
  <si>
    <t>INDOT DES No. 2002424</t>
  </si>
  <si>
    <t>Hendricks Regional Health</t>
  </si>
  <si>
    <t>Prairie Creek Wind, LLC</t>
  </si>
  <si>
    <t>Porter County Commissioner</t>
  </si>
  <si>
    <t>LRL-2022-00508-sjk</t>
  </si>
  <si>
    <t>LRC-2022-00523</t>
  </si>
  <si>
    <t>IWIP 2023-1024-89-GCW-A</t>
  </si>
  <si>
    <t>2024-413-2-GCW-X</t>
  </si>
  <si>
    <t>2020-229-45-MTM-A</t>
  </si>
  <si>
    <t>IWIP 2024-168-32-MPY-A</t>
  </si>
  <si>
    <t>2024-26-5-EJW-A</t>
  </si>
  <si>
    <t>2023-435-64-MTM-A</t>
  </si>
  <si>
    <t>Blackford</t>
  </si>
  <si>
    <t xml:space="preserve">3 FO </t>
  </si>
  <si>
    <t>DES No. 2002424</t>
  </si>
  <si>
    <t>INDOT DES No. 2002424 Revive I-70</t>
  </si>
  <si>
    <t>Mitigation for additional wetland impacts (See also 2020-228-45-MTM-A and invoice/credit sale letter 0314 5/2022)</t>
  </si>
  <si>
    <t>DES NO 1500419</t>
  </si>
  <si>
    <t>LRL-2024-00436-cte</t>
  </si>
  <si>
    <t>2024-528-68-LDC-X</t>
  </si>
  <si>
    <t>Thursday Pools, LLC</t>
  </si>
  <si>
    <t>2024-352-71-GCW-X</t>
  </si>
  <si>
    <t>IWIP 2023-5-30-EKB-A</t>
  </si>
  <si>
    <t>INDOT DES NO 2100761</t>
  </si>
  <si>
    <t>LRE-2023-00677-144-N23</t>
  </si>
  <si>
    <t>2023-1095-44-GCW-X</t>
  </si>
  <si>
    <t>DES NO 2002233</t>
  </si>
  <si>
    <t>Thompson Thrift</t>
  </si>
  <si>
    <t>Lennar Homes of Indiana, LLC</t>
  </si>
  <si>
    <t>Blackford County Surveyor's Office</t>
  </si>
  <si>
    <t>Venture One Acquisitions, LLC</t>
  </si>
  <si>
    <t>Archview Properties</t>
  </si>
  <si>
    <t>IWIP 2022-1199-29-EKB-A</t>
  </si>
  <si>
    <t>LRL-2017-00334-sjk</t>
  </si>
  <si>
    <t>2024-100-29-GCW-A</t>
  </si>
  <si>
    <t>IWIP 2024-100-29-GCW-A</t>
  </si>
  <si>
    <t>IWIP 2024-376-32-MPY-A</t>
  </si>
  <si>
    <t>LRL-2022-793-sam</t>
  </si>
  <si>
    <t>2023-388-5-EJW-A</t>
  </si>
  <si>
    <t>LRC-2023-00602</t>
  </si>
  <si>
    <t>2024-90-45-MTM-A</t>
  </si>
  <si>
    <t>IWIP 2024-294-30-EJW-A</t>
  </si>
  <si>
    <t>0.716 fulfilled from Candace Lee Fink Mitigation Bank purchase and 0.634 fulfilled from 2nd HC Farms credit release</t>
  </si>
  <si>
    <t>12/5/2023, 9/3/2024</t>
  </si>
  <si>
    <t>LRL-2014-100-sam/Candace Lee Fink Mitigation Bank, LRL-2020-989-sam/HC Farms</t>
  </si>
  <si>
    <t>Credits fulfilled and released - HC Farms second release.</t>
  </si>
  <si>
    <t>David Feltman</t>
  </si>
  <si>
    <t>LRE-2019-821-143-R24</t>
  </si>
  <si>
    <t>2024-353-43-MPY-A</t>
  </si>
  <si>
    <t>Credits fulfilled and released - HC Farms First Stream Release.  USACE did not require mitigation</t>
  </si>
  <si>
    <t>Credits fulfilled and released - HC Farms First (143/269)/Second (126/269) Stream Release.  USACE did not require mitigation</t>
  </si>
  <si>
    <t>Credits fulfilled and released - HC Farms Second Stream Release.  USACE did not require mitigation</t>
  </si>
  <si>
    <t>Apex Realty Group</t>
  </si>
  <si>
    <t>2023-15-2-WLR-X</t>
  </si>
  <si>
    <t>IWIP 2023-406-49-GCW-A</t>
  </si>
  <si>
    <t>LRE-2024-00305-102-N24</t>
  </si>
  <si>
    <t>2024-399-2-GCW-X</t>
  </si>
  <si>
    <t>LRE-2024-00305-102-N25</t>
  </si>
  <si>
    <t>LRC-2023-00564</t>
  </si>
  <si>
    <t>2023-991-45-GCW-A</t>
  </si>
  <si>
    <t>LRL-2023-104-dds</t>
  </si>
  <si>
    <t>2023-314-47-JBT-A</t>
  </si>
  <si>
    <t>LRC-2022-00477</t>
  </si>
  <si>
    <t>2022-760-45-MTM-A</t>
  </si>
  <si>
    <t>LRL-2023-683</t>
  </si>
  <si>
    <t>2024-561-49-GCW</t>
  </si>
  <si>
    <t>1800058, 1800059, 1900070, 2000548</t>
  </si>
  <si>
    <t>INDOT DES No. 2002209</t>
  </si>
  <si>
    <t>INDOT DES No 1900012 US 6 Bridge Project over Muck Pocket</t>
  </si>
  <si>
    <t>INDOT DES No 1900296 SR 58 Slide Correction</t>
  </si>
  <si>
    <t>INDOT DES No. 1400073 I-65 Safety and Efficiency</t>
  </si>
  <si>
    <t>LRL-2023-0150-jde</t>
  </si>
  <si>
    <t>2023-507-49-GCW-A</t>
  </si>
  <si>
    <t>LRL-2021-85-djd</t>
  </si>
  <si>
    <t>2022-448-72-JBT-A</t>
  </si>
  <si>
    <t>IWIP 2022-448-72-JBT-A</t>
  </si>
  <si>
    <t>Scott/Clark</t>
  </si>
  <si>
    <t>2NF</t>
  </si>
  <si>
    <t xml:space="preserve"> INDOT DES No. 1700135 - includes several SA's - I-65 project</t>
  </si>
  <si>
    <t>IWIP 2024-114-3-JLB-A</t>
  </si>
  <si>
    <t>3 FO, 3NF</t>
  </si>
  <si>
    <t>AMS 2024 - BTS - Kokomo, IN LLC</t>
  </si>
  <si>
    <t>IWIP 2024-718-34-ENH</t>
  </si>
  <si>
    <t>Pulte Homes of Indiana, LLC</t>
  </si>
  <si>
    <t>LRL-2014-1033-JLT</t>
  </si>
  <si>
    <t>2016-132-32-SKG-A</t>
  </si>
  <si>
    <t>401 Modification from previous 401 WQC</t>
  </si>
  <si>
    <t>Summer Street Partners, LLC</t>
  </si>
  <si>
    <t>LRL-2023-00986</t>
  </si>
  <si>
    <t>2024-485-70-GCW-A</t>
  </si>
  <si>
    <t>LRC-2022-00816</t>
  </si>
  <si>
    <t>2023-1133-64-MMR-A</t>
  </si>
  <si>
    <t>IWIP 2024-518-45-MTM-WQC</t>
  </si>
  <si>
    <t>INDOT DES No. 2002071 SR 140 over Big Blue River Bridge Replacement</t>
  </si>
  <si>
    <t>INDOT DES No 2002079 SR 249 over East Arm Little Calumet River in Porter County</t>
  </si>
  <si>
    <t>Wetland Credit Releases/Purchases</t>
  </si>
  <si>
    <t>Total to Date</t>
  </si>
  <si>
    <t>Total Credits Remaining (After Credit Releases/Bank Purchases)</t>
  </si>
  <si>
    <t>Stream Credit Releases/Purchases</t>
  </si>
  <si>
    <t>Fort Wayne Parks and Recreation</t>
  </si>
  <si>
    <t>LRE-2015-01011-102-N23</t>
  </si>
  <si>
    <t>2023-22-2-EJW-A</t>
  </si>
  <si>
    <t>Riverfront Project</t>
  </si>
  <si>
    <t>LRL-2023-00398</t>
  </si>
  <si>
    <t>2024-853-10-JLB-WQC</t>
  </si>
  <si>
    <t>Bank didn't have all the crdits needed to purchase, they purchased remainder +20% for temporal loss, 65 credits, through ILF</t>
  </si>
  <si>
    <t>Republic Development LLC</t>
  </si>
  <si>
    <t>LRL-2021-1063-SJK</t>
  </si>
  <si>
    <t>2024-508-32-MPY-A</t>
  </si>
  <si>
    <t>Clark Floyd Landfill, LLC</t>
  </si>
  <si>
    <t>Payment 4 of 7</t>
  </si>
  <si>
    <t>City of Indianapolis, DPW</t>
  </si>
  <si>
    <t>LRL-2023-00628-jde</t>
  </si>
  <si>
    <t>2023-1032-49-SCF-A</t>
  </si>
  <si>
    <t>LRL-2023-00882-sjk</t>
  </si>
  <si>
    <t>2024-871-29-ENH-WQC</t>
  </si>
  <si>
    <t>LRL-2024-00289-jde</t>
  </si>
  <si>
    <t>2024-655-29-ENH-WQC</t>
  </si>
  <si>
    <t>QuickTrip Corporation</t>
  </si>
  <si>
    <t>LRL-2024-431-SJK</t>
  </si>
  <si>
    <t>2024-735-32-MPY-WQC</t>
  </si>
  <si>
    <t>553C</t>
  </si>
  <si>
    <t>2024-846-49-LDC-IWIP</t>
  </si>
  <si>
    <t>Westfield-Washington Schools</t>
  </si>
  <si>
    <t>LRL-2024-00038-sjk</t>
  </si>
  <si>
    <t>2024-903-29-ENH-NWP</t>
  </si>
  <si>
    <t>LRL-2024-813</t>
  </si>
  <si>
    <t>2024-916-49-GCW-NWP</t>
  </si>
  <si>
    <t>INDOT DES No 1800035</t>
  </si>
  <si>
    <t>LRC-2023-00216</t>
  </si>
  <si>
    <t>2023-1044-64-GCW-X</t>
  </si>
  <si>
    <t>INDOT DES No 2001935</t>
  </si>
  <si>
    <t>Indiana DNR</t>
  </si>
  <si>
    <t>AWP</t>
  </si>
  <si>
    <t>Monroe County Highway Departmentt</t>
  </si>
  <si>
    <t>HC Farms Release #2/ Fall Creek Woods Release #1</t>
  </si>
  <si>
    <t>0.316/0.4 credits fulfilled by HC Farms second release. 0.084 credits fulfilled by Fall Creek Woods release #1.</t>
  </si>
  <si>
    <t>Fall Creek Woods Release #1</t>
  </si>
  <si>
    <t>Mod 1 - LRL-2020-989-sam/ LRL-2021-552-sam</t>
  </si>
  <si>
    <t>LRL-2021-552-sam</t>
  </si>
  <si>
    <t>Class I Non-Forested (PEM) wetland impacts. Credits fulfilled by Fall Creek Woods release #1</t>
  </si>
  <si>
    <t>Mod 1 - LRL-2020-989-sam/ LRL-2021-552-sam/</t>
  </si>
  <si>
    <t>2024-664-89-GCW-SRGP</t>
  </si>
  <si>
    <t>LRL-2023-942</t>
  </si>
  <si>
    <t>2024-664-89-GCW-WQC</t>
  </si>
  <si>
    <t>JR Promotions, LLC</t>
  </si>
  <si>
    <t>2024-938-48-EJW-SRGP</t>
  </si>
  <si>
    <t>Henke Development Group</t>
  </si>
  <si>
    <t>2018-728-6-JMK-A-IWIP</t>
  </si>
  <si>
    <t>LRL-2020-1021-dds</t>
  </si>
  <si>
    <t>2024-768-29-GCW-WQC</t>
  </si>
  <si>
    <t>2024-768-29-GCW-SRGP</t>
  </si>
  <si>
    <t>CIT Trucks, LLC</t>
  </si>
  <si>
    <t>LRC-2021-00738</t>
  </si>
  <si>
    <t>2023-143-64-MTM-A</t>
  </si>
  <si>
    <t>Town of Schererville</t>
  </si>
  <si>
    <t>LRC-2022-00228</t>
  </si>
  <si>
    <t>2024-533-45-MTM-WQC</t>
  </si>
  <si>
    <t>Madison</t>
  </si>
  <si>
    <t>INDOT DES No. 2000500  I-70 Centerville Rest Area</t>
  </si>
  <si>
    <t>Mitigation for additional impacts to aquatic resources.</t>
  </si>
  <si>
    <t>INDOT DES No. 1900096</t>
  </si>
  <si>
    <t>LRL-2004-1112-sam</t>
  </si>
  <si>
    <t>2009-063-35-EMP-A</t>
  </si>
  <si>
    <t>2024-366-2-GCW-A</t>
  </si>
  <si>
    <t>LRE-2023-00120-102</t>
  </si>
  <si>
    <t>INDOT DES No 2400092</t>
  </si>
  <si>
    <t>INDOT DES No 2001843</t>
  </si>
  <si>
    <t>Michigan City</t>
  </si>
  <si>
    <t>2024-420-45-MTM-IWIP</t>
  </si>
  <si>
    <t>IDEM</t>
  </si>
  <si>
    <t>2017-166-45-MTM-V</t>
  </si>
  <si>
    <t>2024-364-65-GCW-IWIP</t>
  </si>
  <si>
    <t>Platinum Properties Management Company, LLC</t>
  </si>
  <si>
    <t>LRL-2021-087-SJK</t>
  </si>
  <si>
    <t>2024-638-6-MPY-WQC</t>
  </si>
  <si>
    <t>2024-636-6-MPY-SRGP</t>
  </si>
  <si>
    <t>LRL-2023-00902-DDC</t>
  </si>
  <si>
    <t>2024-795-26-GCW-WQC</t>
  </si>
  <si>
    <t>IWIP-2022-182-30-JBT</t>
  </si>
  <si>
    <t>LRL-2021-00707-DDC</t>
  </si>
  <si>
    <t>2022-283-49-EKB-A</t>
  </si>
  <si>
    <t>LRL-2008-765</t>
  </si>
  <si>
    <t>2009-667-55-JPS-A</t>
  </si>
  <si>
    <t xml:space="preserve">Case No. 2017-24876-Q - IDEM purchasing with funds paid by violator </t>
  </si>
  <si>
    <t>INDOT DES No 2002343</t>
  </si>
  <si>
    <t>Union Woodlands (Caito Farms) Development</t>
  </si>
  <si>
    <t>INDOT DES No 2100263</t>
  </si>
  <si>
    <t xml:space="preserve"> DES 1702919 I 70 Widening </t>
  </si>
  <si>
    <t>INDOT failed mitigation DES No 0600731</t>
  </si>
  <si>
    <t>LRL-2021-746-sjk</t>
  </si>
  <si>
    <t>2022-597-32-ERL-A</t>
  </si>
  <si>
    <t>LRC-2024-00551</t>
  </si>
  <si>
    <t>2024-604-45-TLC-WQC</t>
  </si>
  <si>
    <t>LRL-2025-00056</t>
  </si>
  <si>
    <t>2024-893-2-EJW-WQC</t>
  </si>
  <si>
    <t>585C</t>
  </si>
  <si>
    <t>Peru Municipal Airport</t>
  </si>
  <si>
    <t>Warrick County Highway Dept</t>
  </si>
  <si>
    <t>White County Commissioners</t>
  </si>
  <si>
    <t>LRL-2023-00245-jde</t>
  </si>
  <si>
    <t>IWIP 2024-444-3-GCW-A</t>
  </si>
  <si>
    <t>LRL-2023-447-djd</t>
  </si>
  <si>
    <t>2023-983-82-GCW-A</t>
  </si>
  <si>
    <t>LRC-2022-00748</t>
  </si>
  <si>
    <t>2025-181-71-GCW-NWP</t>
  </si>
  <si>
    <t>LRC-2024-00644</t>
  </si>
  <si>
    <t>2024-928-45-GCW-NWP</t>
  </si>
  <si>
    <t>LRL-2022-623</t>
  </si>
  <si>
    <t>2022-905-87-TMS-A</t>
  </si>
  <si>
    <t>2024-934-91-MPY-SRGP</t>
  </si>
  <si>
    <t>2024-642-52-MMR-NWP</t>
  </si>
  <si>
    <t>2024-581-45-GCW-WQC</t>
  </si>
  <si>
    <t>Warrick, Vanderburgh, and Gibson</t>
  </si>
  <si>
    <t>White</t>
  </si>
  <si>
    <t>INDOT DES No. 2000505</t>
  </si>
  <si>
    <t>INDOT DES No 2000889</t>
  </si>
  <si>
    <t>INDOT DES No 2001932</t>
  </si>
  <si>
    <t>INDOT DES No 2100129</t>
  </si>
  <si>
    <t>596C</t>
  </si>
  <si>
    <t>ENTEK Lithium Separators LLC</t>
  </si>
  <si>
    <t>LRL-2023-00388</t>
  </si>
  <si>
    <t>2024-660-84-MMR-WQC</t>
  </si>
  <si>
    <t>Matt Lancia Signature Homes</t>
  </si>
  <si>
    <t>2025-132-2-EJW-IWIP</t>
  </si>
  <si>
    <t>Lennar Homes</t>
  </si>
  <si>
    <t>LRL-2023-00665-DDC</t>
  </si>
  <si>
    <t>2025-163-41-TLG-NWP</t>
  </si>
  <si>
    <t>LRL-2020-1045-sjk</t>
  </si>
  <si>
    <t>2021-150-49-ALF-A</t>
  </si>
  <si>
    <t>IWGP 2021-150-49-ALF-A</t>
  </si>
  <si>
    <t>Eli Lilly &amp; Co.</t>
  </si>
  <si>
    <t>2025-343-6-MPY-SRGP</t>
  </si>
  <si>
    <t>Liberty Landfill</t>
  </si>
  <si>
    <t>LRL-2021-1014-sjk</t>
  </si>
  <si>
    <t>2022-93-91-JWR-A</t>
  </si>
  <si>
    <t>Silverado Cook Properties, LLC</t>
  </si>
  <si>
    <t>LRE-2017-00314-102-N23</t>
  </si>
  <si>
    <t>2022-1258-2-EJW-A</t>
  </si>
  <si>
    <t>LRE-2023-00173-102-J23</t>
  </si>
  <si>
    <t>2024-1022-2-GCW-IWIP</t>
  </si>
  <si>
    <t>2024-1022-2-GCW-WQC</t>
  </si>
  <si>
    <t>LRL-2025-70</t>
  </si>
  <si>
    <t>2025-82-62-GCW-WQC</t>
  </si>
  <si>
    <t>LRL-2016-588-djd</t>
  </si>
  <si>
    <t>2016-323-63-SKG-A</t>
  </si>
  <si>
    <t>AEP Indiana Michigan Transmission Company, ,Inc.</t>
  </si>
  <si>
    <t>LRL-2022-1078-sjk</t>
  </si>
  <si>
    <t>2023-27-38-EJW-X</t>
  </si>
  <si>
    <t>LRL-2023-157-sjk</t>
  </si>
  <si>
    <t>2022-1256-38-EJW-X</t>
  </si>
  <si>
    <t>FW-31397-0</t>
  </si>
  <si>
    <t xml:space="preserve">Modified amounts IDEM revised to match Corps amounts as IDEM couldn't modify the amounts to reflect changed mitigation.  Verified w both Corps and IDEM.  </t>
  </si>
  <si>
    <t>INDOT DES No 1901890</t>
  </si>
  <si>
    <t>DES NO 2100167</t>
  </si>
  <si>
    <t>DES NO 0401031</t>
  </si>
  <si>
    <t>Class II Forested Wetland impacts. 0.466/0.58 credits fulfilled by Fall Creek Woods release #1. Remaining 0.114 credits fulfilled by Fall Creek Woods release #2.</t>
  </si>
  <si>
    <t>Fall Creek Woods Release #1/Fall Creek Woods Release #2</t>
  </si>
  <si>
    <t>2/6/2025, 5/9/2025</t>
  </si>
  <si>
    <t>Credits fulfilled by Fall Creek Woods Release #2</t>
  </si>
  <si>
    <t>Fall Creek Woods Release #2</t>
  </si>
  <si>
    <t>5/9/2025,</t>
  </si>
  <si>
    <t>0.03 Class I NF (PEM) impact; 0.07 Class II NF (PEM) impact - require 0.17 credit. Credits fulfilled by Fall Creek Woods Release #2.</t>
  </si>
  <si>
    <t>0.08 Class II NF (PSS) impact - require 0.2 credit.  Credits fulfilled by Fall Creek Woods Release #2.</t>
  </si>
  <si>
    <t>Class I Non-Forested (1 to 1 ratio). Credits fulfilled by Fall Creek Woods Release #2.</t>
  </si>
  <si>
    <t xml:space="preserve">Class III Forested (3 to 1 ratio). 0.476 credits fulfilled by Fall Creek Woods Release #2. 6.004/6.48 credits remaining to be fulfilled. </t>
  </si>
  <si>
    <t>9/3/2024, 2/6/2025, 5/9/2025</t>
  </si>
  <si>
    <t>HC Farms release #2/Fall Creek Woods release #1/Fall Creek Woods release #2</t>
  </si>
  <si>
    <t>289/4362 credits fulfilled by HC Farms release #2. 350/4073 credits fulfilled by Fall Creek Woods (FCW) release #1. 3723 credits remaining to fulfill.  350/3723 credits fulfilled by FCW release #2. 3373 credits remaining to be fulfilled. INDOT DES No.0500430</t>
  </si>
  <si>
    <t>2024-1012-41-TLG-IWIP</t>
  </si>
  <si>
    <t>Initiatlly recorded as being in Upper White SA. GPS points check put it in Whitewater. Confirmation with IDEM as Whitewater so it was changed.</t>
  </si>
  <si>
    <t>592C</t>
  </si>
  <si>
    <t>LRL-2024-618</t>
  </si>
  <si>
    <t>2024-669-10-GCW-WQC</t>
  </si>
  <si>
    <t>LRL-2024-766-djd</t>
  </si>
  <si>
    <t>2024-865-23-GCW-WQC</t>
  </si>
  <si>
    <t>LRE-2025-00123-157-N25</t>
  </si>
  <si>
    <t>2025-197-57-GCW-NWP</t>
  </si>
  <si>
    <t>LRL-2017-1021-dds</t>
  </si>
  <si>
    <t>City of Fort Wayne</t>
  </si>
  <si>
    <t>LRE-2023-00598-102-N24</t>
  </si>
  <si>
    <t>2024-57-2-EJW-A</t>
  </si>
  <si>
    <t>LRC-2024-00134</t>
  </si>
  <si>
    <t>2024-914-64-GCW-WQC</t>
  </si>
  <si>
    <t>Hancock County</t>
  </si>
  <si>
    <t>LRL-2024-00903-jde</t>
  </si>
  <si>
    <t>2025-27-30-LDC-WQC</t>
  </si>
  <si>
    <t>IWIP 2023-1154-6-MPY-A</t>
  </si>
  <si>
    <t>City of Greencastle</t>
  </si>
  <si>
    <t>LRL-2024-00034-cte</t>
  </si>
  <si>
    <t>2024-423-67-MMR-A</t>
  </si>
  <si>
    <t>IWIP 2024-424-67-MMR-A</t>
  </si>
  <si>
    <t>Zion Companies</t>
  </si>
  <si>
    <t>IWIP 2023-1038-2-EJW-A</t>
  </si>
  <si>
    <t>2025-149-82-TLK-WQC</t>
  </si>
  <si>
    <t>Trilogy Health Services, LLC</t>
  </si>
  <si>
    <t>2025-299-29-ENH-IWIP</t>
  </si>
  <si>
    <t>Duff Solar Project LLC</t>
  </si>
  <si>
    <t>LRL-2025-00385-sjk</t>
  </si>
  <si>
    <t>2025-399-19-TLK-NWP</t>
  </si>
  <si>
    <t>INDOT DES No 1900343</t>
  </si>
  <si>
    <t>INDOT DES No 1800118</t>
  </si>
  <si>
    <t>INDOT DES No 2100788</t>
  </si>
  <si>
    <t>DES NO 1400075</t>
  </si>
  <si>
    <t>INDOT DES No 2200175 - several  corrections needed to invoices due to mitigation changes &amp; miscommiunication</t>
  </si>
  <si>
    <t>Drainage project</t>
  </si>
  <si>
    <t>2025-256-45-MTM-IWIP</t>
  </si>
  <si>
    <t>CHI Acquisitions, L.P. c/o Crow Holdings Industrial</t>
  </si>
  <si>
    <t>201C2</t>
  </si>
  <si>
    <t>TWG Development</t>
  </si>
  <si>
    <t>IWIP 2020-966-29-ALF-A</t>
  </si>
  <si>
    <t>2025-430-49-LDC-IWIP</t>
  </si>
  <si>
    <t>LRL-2023-00388-AMW</t>
  </si>
  <si>
    <t>2025-346-49-LDC-IWIP</t>
  </si>
  <si>
    <t>Plainfield Innovation Park Building II, LLC</t>
  </si>
  <si>
    <t>2024-884-32-MPY-IWIP</t>
  </si>
  <si>
    <t>Hatchworks, LLC</t>
  </si>
  <si>
    <t>LRE-2024-00487-102-J24</t>
  </si>
  <si>
    <t>2025-77-2-EJW-WQCZ</t>
  </si>
  <si>
    <t>LRL-2020-01106-cds</t>
  </si>
  <si>
    <t>2025-283-65-MTM-NWP</t>
  </si>
  <si>
    <t xml:space="preserve">July </t>
  </si>
  <si>
    <t>LRL-2022-00676</t>
  </si>
  <si>
    <t>2022-1022-45-MTM-A</t>
  </si>
  <si>
    <t>2024-944-45-GCW-IWIP</t>
  </si>
  <si>
    <t>GTV Indianapolis, LLC</t>
  </si>
  <si>
    <t>LRL-2025-00176-sjk</t>
  </si>
  <si>
    <t>2025-203-49-LDC-WQC</t>
  </si>
  <si>
    <t>LRE-2025-00147-117-N25</t>
  </si>
  <si>
    <t>LRE-2025-00093-102-R25</t>
  </si>
  <si>
    <t>2025-242-17-GCW-WQC</t>
  </si>
  <si>
    <t>LRL-2025-173-djd</t>
  </si>
  <si>
    <t>2025-182-16--GCW-WQC</t>
  </si>
  <si>
    <t>2025-425-52-GCW-NWP</t>
  </si>
  <si>
    <t>LRL-2024-807-djd</t>
  </si>
  <si>
    <t>2025-262-27-GCW-WQC</t>
  </si>
  <si>
    <t>2025-262-27-GCW-SRGP</t>
  </si>
  <si>
    <t>LRL-2024-142-dds</t>
  </si>
  <si>
    <t>2025-437-16-GCW-NWP</t>
  </si>
  <si>
    <t>2025-172-2-EJW-WQC</t>
  </si>
  <si>
    <t>Decatur</t>
  </si>
  <si>
    <t>NF</t>
  </si>
  <si>
    <t>AEP - Zodiac Station Access Road</t>
  </si>
  <si>
    <t>INDOT DES 2100780</t>
  </si>
  <si>
    <t>INDOT DES 2001946</t>
  </si>
  <si>
    <t>INDOT DES 2100799</t>
  </si>
  <si>
    <t>INDOT DES No 2100273</t>
  </si>
  <si>
    <t>INDOT DES 2100256</t>
  </si>
  <si>
    <t>INDOT DES 1800156</t>
  </si>
  <si>
    <t>INDOT DES 18001911</t>
  </si>
  <si>
    <t>INDOT DES 18001912</t>
  </si>
  <si>
    <t>INDOT DES 18001913</t>
  </si>
  <si>
    <t>INDOT DES 1700022</t>
  </si>
  <si>
    <t>LRC-2022-00579</t>
  </si>
  <si>
    <t>2024-162-45-GCW-A</t>
  </si>
  <si>
    <t>INDOT DES 1900009</t>
  </si>
  <si>
    <t>Warrick County Commissioners</t>
  </si>
  <si>
    <t>LRL-2024-163</t>
  </si>
  <si>
    <t>2024-82-87-MMR-A</t>
  </si>
  <si>
    <t>2025-500-29-LDC-SRGP</t>
  </si>
  <si>
    <t>INDOT DES 1902795</t>
  </si>
  <si>
    <t>Impacts are in Upper White SA, IDEM permit OK's credit purchase in Lower White SA</t>
  </si>
  <si>
    <t>City of Columbus, Redevelopment Commission</t>
  </si>
  <si>
    <t>2023-449-03-ERL-A</t>
  </si>
  <si>
    <t>2024-593-45-GCW-NWP</t>
  </si>
  <si>
    <t>LRL-2024-635-djd</t>
  </si>
  <si>
    <t>2024-695-54-GCW-WQC</t>
  </si>
  <si>
    <t>LRL-2024-00353-DDC</t>
  </si>
  <si>
    <t>2024-379-3-GCW-X</t>
  </si>
  <si>
    <t>LRL-2024-838-djd</t>
  </si>
  <si>
    <t>2024-942-6-GCW-NWP</t>
  </si>
  <si>
    <t>2024-757-62-GCW-NWP</t>
  </si>
  <si>
    <t>Montgomery</t>
  </si>
  <si>
    <t>Columbus Riverfront Modification</t>
  </si>
  <si>
    <t>INDOT DES 2002298</t>
  </si>
  <si>
    <t>INDOT DES 1800075</t>
  </si>
  <si>
    <t>INDOT DES 2100568</t>
  </si>
  <si>
    <t>INDOT DES 2002271</t>
  </si>
  <si>
    <t>INDOT DES 2001796</t>
  </si>
  <si>
    <t>LRC-2022-00492</t>
  </si>
  <si>
    <t>2023-1025-64-GCW-A</t>
  </si>
  <si>
    <t>2025-464-64-MTM-IWIP</t>
  </si>
  <si>
    <t>LRL-2024-00430-102-N24</t>
  </si>
  <si>
    <t>2024-672-2-TLG-WQC</t>
  </si>
  <si>
    <t>Fort Wayne International Airport</t>
  </si>
  <si>
    <t>2025-552-2-EJW-IWIP</t>
  </si>
  <si>
    <t>INDOT DES 1701335</t>
  </si>
  <si>
    <t>INDOT DES 2100758</t>
  </si>
  <si>
    <t>LRL-2022-225-scm</t>
  </si>
  <si>
    <t>2022-194-47-JBT-X</t>
  </si>
  <si>
    <t>LRL-2025-434</t>
  </si>
  <si>
    <t>2025-511-74-GCW-WQC</t>
  </si>
  <si>
    <t>LRL-2024-00740-DDC</t>
  </si>
  <si>
    <t>2024-828-42-GCW-WQC</t>
  </si>
  <si>
    <t>INDOT DES 1800124</t>
  </si>
  <si>
    <t>INDOT DES 2100831</t>
  </si>
  <si>
    <t>INDOT DES No 2002050</t>
  </si>
  <si>
    <t>2025-556-2-EJW-IWIP</t>
  </si>
  <si>
    <t>Project Zodiac</t>
  </si>
  <si>
    <t>Elkhart County Commissioners</t>
  </si>
  <si>
    <t>LRE-2013-00774-120-N25</t>
  </si>
  <si>
    <t>2025-563-20-EJW-NWP</t>
  </si>
  <si>
    <t>LRL-2008-567</t>
  </si>
  <si>
    <t>2010-023-34-JPS-A</t>
  </si>
  <si>
    <t>Carrol</t>
  </si>
  <si>
    <t>LRL-2017-1020-MKD</t>
  </si>
  <si>
    <t>AEP Indiana Michigan Transmission Company, Inc.</t>
  </si>
  <si>
    <t>2025-571-17-EJW-WQC</t>
  </si>
  <si>
    <t>Waste Management of Indiana</t>
  </si>
  <si>
    <t>LRL-2004-1183-sam</t>
  </si>
  <si>
    <t>Cass</t>
  </si>
  <si>
    <t>LRL-2025-310</t>
  </si>
  <si>
    <t>2025-333-83-GCW-WQC</t>
  </si>
  <si>
    <t>Vermillion</t>
  </si>
  <si>
    <t>LRE-2025-00547-176-N25</t>
  </si>
  <si>
    <t>2025-871-76-GCW-NWP</t>
  </si>
  <si>
    <t>2006-89-09-EME-A</t>
  </si>
  <si>
    <t>INDOT DES 2001776</t>
  </si>
  <si>
    <t>Payment 5 of 7</t>
  </si>
  <si>
    <t>LRL-2020-00045-LCL</t>
  </si>
  <si>
    <t>2019-896-84-ERL-A</t>
  </si>
  <si>
    <t>Ash Pond 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</si>
</sst>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"/>
    <numFmt numFmtId="167" formatCode="0.000000"/>
    <numFmt numFmtId="168" formatCode="0.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color rgb="FFFF0000"/>
      <name val="Calibri"/>
      <family val="2"/>
    </font>
    <font>
      <b/>
      <u/>
      <sz val="10"/>
      <color rgb="FF000000"/>
      <name val="Calibri"/>
      <family val="2"/>
    </font>
    <font>
      <sz val="10"/>
      <color rgb="FF000000"/>
      <name val="Calibri"/>
      <family val="2"/>
    </font>
    <font>
      <u/>
      <sz val="10"/>
      <color theme="1"/>
      <name val="Calibri"/>
      <family val="2"/>
    </font>
    <font>
      <b/>
      <u/>
      <sz val="10"/>
      <color theme="1"/>
      <name val="Calibri"/>
      <family val="2"/>
    </font>
    <font>
      <i/>
      <sz val="10"/>
      <color theme="1"/>
      <name val="Calibri"/>
      <family val="2"/>
    </font>
    <font>
      <sz val="9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30">
    <xf numFmtId="0" fontId="0" fillId="0" borderId="0" xfId="0"/>
    <xf numFmtId="0" fontId="1" fillId="0" borderId="0" xfId="0" applyFont="1"/>
    <xf numFmtId="9" fontId="0" fillId="0" borderId="0" xfId="2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5" borderId="0" xfId="0" applyFill="1"/>
    <xf numFmtId="14" fontId="0" fillId="5" borderId="0" xfId="0" applyNumberFormat="1" applyFill="1"/>
    <xf numFmtId="44" fontId="0" fillId="0" borderId="0" xfId="0" applyNumberFormat="1"/>
    <xf numFmtId="43" fontId="0" fillId="0" borderId="0" xfId="0" applyNumberFormat="1"/>
    <xf numFmtId="2" fontId="0" fillId="0" borderId="1" xfId="0" applyNumberFormat="1" applyBorder="1"/>
    <xf numFmtId="43" fontId="0" fillId="0" borderId="1" xfId="3" applyFont="1" applyBorder="1"/>
    <xf numFmtId="0" fontId="1" fillId="5" borderId="1" xfId="0" applyFont="1" applyFill="1" applyBorder="1" applyAlignment="1">
      <alignment horizontal="center"/>
    </xf>
    <xf numFmtId="0" fontId="1" fillId="5" borderId="1" xfId="3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1" fontId="0" fillId="0" borderId="1" xfId="0" applyNumberFormat="1" applyBorder="1"/>
    <xf numFmtId="165" fontId="0" fillId="0" borderId="1" xfId="3" applyNumberFormat="1" applyFont="1" applyBorder="1"/>
    <xf numFmtId="2" fontId="0" fillId="0" borderId="0" xfId="0" applyNumberFormat="1"/>
    <xf numFmtId="2" fontId="0" fillId="0" borderId="1" xfId="0" applyNumberFormat="1" applyBorder="1" applyAlignment="1">
      <alignment horizontal="left"/>
    </xf>
    <xf numFmtId="166" fontId="0" fillId="0" borderId="1" xfId="0" applyNumberFormat="1" applyBorder="1"/>
    <xf numFmtId="166" fontId="0" fillId="0" borderId="2" xfId="0" applyNumberFormat="1" applyBorder="1"/>
    <xf numFmtId="0" fontId="0" fillId="0" borderId="0" xfId="0" applyAlignment="1">
      <alignment wrapText="1"/>
    </xf>
    <xf numFmtId="0" fontId="0" fillId="0" borderId="0" xfId="0" pivotButton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5" borderId="2" xfId="0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14" fontId="0" fillId="0" borderId="0" xfId="0" applyNumberFormat="1"/>
    <xf numFmtId="14" fontId="5" fillId="12" borderId="1" xfId="0" applyNumberFormat="1" applyFont="1" applyFill="1" applyBorder="1" applyAlignment="1">
      <alignment horizontal="left"/>
    </xf>
    <xf numFmtId="0" fontId="5" fillId="12" borderId="1" xfId="0" applyFont="1" applyFill="1" applyBorder="1" applyAlignment="1">
      <alignment horizontal="left"/>
    </xf>
    <xf numFmtId="44" fontId="5" fillId="12" borderId="1" xfId="1" applyFont="1" applyFill="1" applyBorder="1" applyAlignment="1">
      <alignment horizontal="left"/>
    </xf>
    <xf numFmtId="49" fontId="5" fillId="12" borderId="1" xfId="0" applyNumberFormat="1" applyFont="1" applyFill="1" applyBorder="1" applyAlignment="1">
      <alignment horizontal="left"/>
    </xf>
    <xf numFmtId="14" fontId="5" fillId="30" borderId="1" xfId="0" applyNumberFormat="1" applyFont="1" applyFill="1" applyBorder="1" applyAlignment="1">
      <alignment horizontal="left"/>
    </xf>
    <xf numFmtId="0" fontId="5" fillId="30" borderId="1" xfId="0" applyFont="1" applyFill="1" applyBorder="1" applyAlignment="1">
      <alignment horizontal="left"/>
    </xf>
    <xf numFmtId="44" fontId="5" fillId="30" borderId="1" xfId="1" applyFont="1" applyFill="1" applyBorder="1" applyAlignment="1">
      <alignment horizontal="left"/>
    </xf>
    <xf numFmtId="49" fontId="5" fillId="30" borderId="1" xfId="0" applyNumberFormat="1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44" fontId="5" fillId="0" borderId="1" xfId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14" fontId="5" fillId="5" borderId="1" xfId="0" applyNumberFormat="1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44" fontId="5" fillId="5" borderId="1" xfId="1" applyFont="1" applyFill="1" applyBorder="1" applyAlignment="1">
      <alignment horizontal="left"/>
    </xf>
    <xf numFmtId="49" fontId="5" fillId="5" borderId="1" xfId="0" applyNumberFormat="1" applyFont="1" applyFill="1" applyBorder="1" applyAlignment="1">
      <alignment horizontal="left"/>
    </xf>
    <xf numFmtId="14" fontId="5" fillId="22" borderId="1" xfId="0" applyNumberFormat="1" applyFont="1" applyFill="1" applyBorder="1" applyAlignment="1">
      <alignment horizontal="left"/>
    </xf>
    <xf numFmtId="0" fontId="5" fillId="22" borderId="1" xfId="0" applyFont="1" applyFill="1" applyBorder="1" applyAlignment="1">
      <alignment horizontal="left"/>
    </xf>
    <xf numFmtId="44" fontId="5" fillId="22" borderId="1" xfId="1" applyFont="1" applyFill="1" applyBorder="1" applyAlignment="1">
      <alignment horizontal="left"/>
    </xf>
    <xf numFmtId="49" fontId="5" fillId="22" borderId="1" xfId="0" applyNumberFormat="1" applyFont="1" applyFill="1" applyBorder="1" applyAlignment="1">
      <alignment horizontal="left"/>
    </xf>
    <xf numFmtId="14" fontId="5" fillId="35" borderId="1" xfId="0" applyNumberFormat="1" applyFont="1" applyFill="1" applyBorder="1" applyAlignment="1">
      <alignment horizontal="left"/>
    </xf>
    <xf numFmtId="0" fontId="5" fillId="35" borderId="1" xfId="0" applyFont="1" applyFill="1" applyBorder="1" applyAlignment="1">
      <alignment horizontal="left"/>
    </xf>
    <xf numFmtId="0" fontId="5" fillId="35" borderId="1" xfId="0" applyFont="1" applyFill="1" applyBorder="1" applyAlignment="1">
      <alignment horizontal="center"/>
    </xf>
    <xf numFmtId="164" fontId="5" fillId="35" borderId="1" xfId="1" applyNumberFormat="1" applyFont="1" applyFill="1" applyBorder="1" applyAlignment="1">
      <alignment horizontal="center"/>
    </xf>
    <xf numFmtId="1" fontId="5" fillId="35" borderId="1" xfId="1" applyNumberFormat="1" applyFont="1" applyFill="1" applyBorder="1" applyAlignment="1">
      <alignment horizontal="center"/>
    </xf>
    <xf numFmtId="0" fontId="5" fillId="35" borderId="1" xfId="0" applyFont="1" applyFill="1" applyBorder="1" applyAlignment="1">
      <alignment horizontal="center" wrapText="1"/>
    </xf>
    <xf numFmtId="44" fontId="5" fillId="35" borderId="1" xfId="1" applyFont="1" applyFill="1" applyBorder="1" applyAlignment="1">
      <alignment horizontal="left"/>
    </xf>
    <xf numFmtId="49" fontId="5" fillId="35" borderId="1" xfId="0" applyNumberFormat="1" applyFont="1" applyFill="1" applyBorder="1" applyAlignment="1">
      <alignment horizontal="left"/>
    </xf>
    <xf numFmtId="0" fontId="5" fillId="35" borderId="1" xfId="0" applyFont="1" applyFill="1" applyBorder="1" applyAlignment="1">
      <alignment horizontal="left" wrapText="1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/>
    </xf>
    <xf numFmtId="1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44" fontId="5" fillId="2" borderId="1" xfId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0" fontId="5" fillId="12" borderId="1" xfId="0" applyFont="1" applyFill="1" applyBorder="1" applyAlignment="1">
      <alignment horizontal="center" wrapText="1"/>
    </xf>
    <xf numFmtId="164" fontId="5" fillId="12" borderId="1" xfId="1" applyNumberFormat="1" applyFont="1" applyFill="1" applyBorder="1" applyAlignment="1">
      <alignment horizontal="center" wrapText="1"/>
    </xf>
    <xf numFmtId="0" fontId="5" fillId="1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5" borderId="1" xfId="0" applyFont="1" applyFill="1" applyBorder="1" applyAlignment="1">
      <alignment horizontal="center" wrapText="1"/>
    </xf>
    <xf numFmtId="164" fontId="5" fillId="5" borderId="1" xfId="1" applyNumberFormat="1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left" wrapText="1"/>
    </xf>
    <xf numFmtId="0" fontId="5" fillId="22" borderId="1" xfId="0" applyFont="1" applyFill="1" applyBorder="1" applyAlignment="1">
      <alignment horizontal="center" wrapText="1"/>
    </xf>
    <xf numFmtId="164" fontId="5" fillId="22" borderId="1" xfId="1" applyNumberFormat="1" applyFont="1" applyFill="1" applyBorder="1" applyAlignment="1">
      <alignment horizontal="center" wrapText="1"/>
    </xf>
    <xf numFmtId="0" fontId="5" fillId="22" borderId="1" xfId="0" applyFont="1" applyFill="1" applyBorder="1" applyAlignment="1">
      <alignment horizontal="left" wrapText="1"/>
    </xf>
    <xf numFmtId="14" fontId="5" fillId="28" borderId="1" xfId="0" applyNumberFormat="1" applyFont="1" applyFill="1" applyBorder="1" applyAlignment="1">
      <alignment horizontal="left"/>
    </xf>
    <xf numFmtId="0" fontId="5" fillId="28" borderId="1" xfId="0" applyFont="1" applyFill="1" applyBorder="1" applyAlignment="1">
      <alignment horizontal="left"/>
    </xf>
    <xf numFmtId="0" fontId="5" fillId="28" borderId="1" xfId="0" applyFont="1" applyFill="1" applyBorder="1" applyAlignment="1">
      <alignment horizontal="center"/>
    </xf>
    <xf numFmtId="164" fontId="5" fillId="28" borderId="1" xfId="1" applyNumberFormat="1" applyFont="1" applyFill="1" applyBorder="1" applyAlignment="1">
      <alignment horizontal="center"/>
    </xf>
    <xf numFmtId="1" fontId="5" fillId="28" borderId="1" xfId="1" applyNumberFormat="1" applyFont="1" applyFill="1" applyBorder="1" applyAlignment="1">
      <alignment horizontal="center"/>
    </xf>
    <xf numFmtId="0" fontId="5" fillId="28" borderId="1" xfId="0" applyFont="1" applyFill="1" applyBorder="1" applyAlignment="1">
      <alignment horizontal="center" wrapText="1"/>
    </xf>
    <xf numFmtId="0" fontId="5" fillId="28" borderId="1" xfId="0" applyFont="1" applyFill="1" applyBorder="1" applyAlignment="1">
      <alignment horizontal="left" wrapText="1"/>
    </xf>
    <xf numFmtId="44" fontId="5" fillId="28" borderId="1" xfId="1" applyFont="1" applyFill="1" applyBorder="1" applyAlignment="1">
      <alignment horizontal="left"/>
    </xf>
    <xf numFmtId="49" fontId="5" fillId="28" borderId="1" xfId="0" applyNumberFormat="1" applyFont="1" applyFill="1" applyBorder="1" applyAlignment="1">
      <alignment horizontal="left"/>
    </xf>
    <xf numFmtId="14" fontId="5" fillId="10" borderId="1" xfId="0" applyNumberFormat="1" applyFont="1" applyFill="1" applyBorder="1" applyAlignment="1">
      <alignment horizontal="left"/>
    </xf>
    <xf numFmtId="0" fontId="5" fillId="10" borderId="1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center"/>
    </xf>
    <xf numFmtId="164" fontId="5" fillId="10" borderId="1" xfId="1" applyNumberFormat="1" applyFont="1" applyFill="1" applyBorder="1" applyAlignment="1">
      <alignment horizontal="center"/>
    </xf>
    <xf numFmtId="1" fontId="5" fillId="10" borderId="1" xfId="1" applyNumberFormat="1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 wrapText="1"/>
    </xf>
    <xf numFmtId="0" fontId="5" fillId="10" borderId="1" xfId="0" applyFont="1" applyFill="1" applyBorder="1" applyAlignment="1">
      <alignment horizontal="left" wrapText="1"/>
    </xf>
    <xf numFmtId="44" fontId="5" fillId="10" borderId="1" xfId="1" applyFont="1" applyFill="1" applyBorder="1" applyAlignment="1">
      <alignment horizontal="left"/>
    </xf>
    <xf numFmtId="49" fontId="5" fillId="10" borderId="1" xfId="0" applyNumberFormat="1" applyFont="1" applyFill="1" applyBorder="1" applyAlignment="1">
      <alignment horizontal="left"/>
    </xf>
    <xf numFmtId="14" fontId="5" fillId="16" borderId="1" xfId="0" applyNumberFormat="1" applyFont="1" applyFill="1" applyBorder="1" applyAlignment="1">
      <alignment horizontal="left"/>
    </xf>
    <xf numFmtId="0" fontId="5" fillId="16" borderId="1" xfId="0" applyFont="1" applyFill="1" applyBorder="1" applyAlignment="1">
      <alignment horizontal="left"/>
    </xf>
    <xf numFmtId="0" fontId="5" fillId="16" borderId="1" xfId="0" applyFont="1" applyFill="1" applyBorder="1" applyAlignment="1">
      <alignment horizontal="center"/>
    </xf>
    <xf numFmtId="164" fontId="5" fillId="16" borderId="1" xfId="1" applyNumberFormat="1" applyFont="1" applyFill="1" applyBorder="1" applyAlignment="1">
      <alignment horizontal="center"/>
    </xf>
    <xf numFmtId="1" fontId="5" fillId="16" borderId="1" xfId="1" applyNumberFormat="1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 wrapText="1"/>
    </xf>
    <xf numFmtId="44" fontId="5" fillId="16" borderId="1" xfId="1" applyFont="1" applyFill="1" applyBorder="1" applyAlignment="1">
      <alignment horizontal="left"/>
    </xf>
    <xf numFmtId="49" fontId="5" fillId="16" borderId="1" xfId="0" applyNumberFormat="1" applyFont="1" applyFill="1" applyBorder="1" applyAlignment="1">
      <alignment horizontal="left"/>
    </xf>
    <xf numFmtId="0" fontId="5" fillId="0" borderId="0" xfId="0" applyFont="1"/>
    <xf numFmtId="0" fontId="5" fillId="16" borderId="1" xfId="0" applyFont="1" applyFill="1" applyBorder="1" applyAlignment="1">
      <alignment horizontal="left" wrapText="1"/>
    </xf>
    <xf numFmtId="44" fontId="5" fillId="16" borderId="1" xfId="0" applyNumberFormat="1" applyFont="1" applyFill="1" applyBorder="1" applyAlignment="1">
      <alignment horizontal="left"/>
    </xf>
    <xf numFmtId="0" fontId="6" fillId="16" borderId="1" xfId="0" applyFont="1" applyFill="1" applyBorder="1" applyAlignment="1">
      <alignment horizontal="left"/>
    </xf>
    <xf numFmtId="44" fontId="5" fillId="16" borderId="1" xfId="0" applyNumberFormat="1" applyFont="1" applyFill="1" applyBorder="1"/>
    <xf numFmtId="0" fontId="6" fillId="0" borderId="0" xfId="0" applyFont="1"/>
    <xf numFmtId="0" fontId="5" fillId="9" borderId="0" xfId="0" applyFont="1" applyFill="1"/>
    <xf numFmtId="0" fontId="5" fillId="4" borderId="1" xfId="0" applyFont="1" applyFill="1" applyBorder="1" applyAlignment="1">
      <alignment horizontal="left"/>
    </xf>
    <xf numFmtId="0" fontId="5" fillId="23" borderId="1" xfId="0" applyFont="1" applyFill="1" applyBorder="1" applyAlignment="1">
      <alignment horizontal="left"/>
    </xf>
    <xf numFmtId="0" fontId="5" fillId="18" borderId="1" xfId="0" applyFont="1" applyFill="1" applyBorder="1" applyAlignment="1">
      <alignment horizontal="left"/>
    </xf>
    <xf numFmtId="0" fontId="0" fillId="0" borderId="0" xfId="0" applyAlignment="1">
      <alignment horizontal="left" indent="2"/>
    </xf>
    <xf numFmtId="0" fontId="5" fillId="30" borderId="1" xfId="0" applyFont="1" applyFill="1" applyBorder="1" applyAlignment="1">
      <alignment horizontal="center" wrapText="1"/>
    </xf>
    <xf numFmtId="164" fontId="5" fillId="30" borderId="1" xfId="1" applyNumberFormat="1" applyFont="1" applyFill="1" applyBorder="1" applyAlignment="1">
      <alignment horizontal="center" wrapText="1"/>
    </xf>
    <xf numFmtId="0" fontId="5" fillId="30" borderId="1" xfId="0" applyFont="1" applyFill="1" applyBorder="1" applyAlignment="1">
      <alignment horizontal="center" vertical="top" wrapText="1"/>
    </xf>
    <xf numFmtId="0" fontId="5" fillId="16" borderId="0" xfId="0" applyFont="1" applyFill="1" applyAlignment="1">
      <alignment horizontal="center" wrapText="1"/>
    </xf>
    <xf numFmtId="0" fontId="5" fillId="30" borderId="1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center" wrapText="1"/>
    </xf>
    <xf numFmtId="164" fontId="8" fillId="2" borderId="3" xfId="1" applyNumberFormat="1" applyFont="1" applyFill="1" applyBorder="1" applyAlignment="1">
      <alignment horizontal="center" wrapText="1"/>
    </xf>
    <xf numFmtId="1" fontId="8" fillId="2" borderId="3" xfId="1" applyNumberFormat="1" applyFont="1" applyFill="1" applyBorder="1" applyAlignment="1">
      <alignment horizontal="center" wrapText="1"/>
    </xf>
    <xf numFmtId="44" fontId="8" fillId="2" borderId="3" xfId="1" applyFont="1" applyFill="1" applyBorder="1" applyAlignment="1">
      <alignment horizontal="left" wrapText="1"/>
    </xf>
    <xf numFmtId="49" fontId="8" fillId="2" borderId="3" xfId="0" applyNumberFormat="1" applyFont="1" applyFill="1" applyBorder="1" applyAlignment="1">
      <alignment horizontal="left" wrapText="1"/>
    </xf>
    <xf numFmtId="0" fontId="5" fillId="0" borderId="0" xfId="0" applyFont="1" applyAlignment="1">
      <alignment wrapText="1"/>
    </xf>
    <xf numFmtId="14" fontId="5" fillId="3" borderId="2" xfId="0" applyNumberFormat="1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164" fontId="5" fillId="3" borderId="2" xfId="1" applyNumberFormat="1" applyFont="1" applyFill="1" applyBorder="1" applyAlignment="1">
      <alignment horizontal="center"/>
    </xf>
    <xf numFmtId="1" fontId="5" fillId="3" borderId="2" xfId="1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44" fontId="5" fillId="3" borderId="2" xfId="1" applyFont="1" applyFill="1" applyBorder="1" applyAlignment="1">
      <alignment horizontal="left"/>
    </xf>
    <xf numFmtId="49" fontId="5" fillId="3" borderId="2" xfId="0" applyNumberFormat="1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3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1" fontId="5" fillId="3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44" fontId="5" fillId="3" borderId="1" xfId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14" fontId="5" fillId="4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1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44" fontId="5" fillId="4" borderId="1" xfId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left"/>
    </xf>
    <xf numFmtId="14" fontId="5" fillId="9" borderId="1" xfId="0" applyNumberFormat="1" applyFont="1" applyFill="1" applyBorder="1" applyAlignment="1">
      <alignment horizontal="left"/>
    </xf>
    <xf numFmtId="0" fontId="5" fillId="9" borderId="1" xfId="0" applyFont="1" applyFill="1" applyBorder="1" applyAlignment="1">
      <alignment horizontal="left"/>
    </xf>
    <xf numFmtId="0" fontId="5" fillId="9" borderId="1" xfId="0" applyFont="1" applyFill="1" applyBorder="1" applyAlignment="1">
      <alignment horizontal="center"/>
    </xf>
    <xf numFmtId="164" fontId="5" fillId="9" borderId="1" xfId="1" applyNumberFormat="1" applyFont="1" applyFill="1" applyBorder="1" applyAlignment="1">
      <alignment horizontal="center"/>
    </xf>
    <xf numFmtId="1" fontId="5" fillId="9" borderId="1" xfId="1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wrapText="1"/>
    </xf>
    <xf numFmtId="44" fontId="5" fillId="9" borderId="1" xfId="1" applyFont="1" applyFill="1" applyBorder="1" applyAlignment="1">
      <alignment horizontal="left"/>
    </xf>
    <xf numFmtId="49" fontId="5" fillId="9" borderId="1" xfId="0" applyNumberFormat="1" applyFont="1" applyFill="1" applyBorder="1" applyAlignment="1">
      <alignment horizontal="left"/>
    </xf>
    <xf numFmtId="14" fontId="5" fillId="14" borderId="1" xfId="0" applyNumberFormat="1" applyFont="1" applyFill="1" applyBorder="1" applyAlignment="1">
      <alignment horizontal="left"/>
    </xf>
    <xf numFmtId="0" fontId="5" fillId="14" borderId="1" xfId="0" applyFont="1" applyFill="1" applyBorder="1" applyAlignment="1">
      <alignment horizontal="left"/>
    </xf>
    <xf numFmtId="0" fontId="5" fillId="14" borderId="1" xfId="0" applyFont="1" applyFill="1" applyBorder="1" applyAlignment="1">
      <alignment horizontal="center"/>
    </xf>
    <xf numFmtId="164" fontId="5" fillId="14" borderId="1" xfId="1" applyNumberFormat="1" applyFont="1" applyFill="1" applyBorder="1" applyAlignment="1">
      <alignment horizontal="center"/>
    </xf>
    <xf numFmtId="1" fontId="5" fillId="14" borderId="1" xfId="1" applyNumberFormat="1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 wrapText="1"/>
    </xf>
    <xf numFmtId="44" fontId="5" fillId="14" borderId="1" xfId="1" applyFont="1" applyFill="1" applyBorder="1" applyAlignment="1">
      <alignment horizontal="left"/>
    </xf>
    <xf numFmtId="49" fontId="5" fillId="14" borderId="1" xfId="0" applyNumberFormat="1" applyFont="1" applyFill="1" applyBorder="1" applyAlignment="1">
      <alignment horizontal="left"/>
    </xf>
    <xf numFmtId="14" fontId="5" fillId="6" borderId="1" xfId="0" applyNumberFormat="1" applyFon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center"/>
    </xf>
    <xf numFmtId="164" fontId="5" fillId="6" borderId="1" xfId="1" applyNumberFormat="1" applyFont="1" applyFill="1" applyBorder="1" applyAlignment="1">
      <alignment horizontal="center"/>
    </xf>
    <xf numFmtId="1" fontId="5" fillId="6" borderId="1" xfId="1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44" fontId="5" fillId="6" borderId="1" xfId="1" applyFont="1" applyFill="1" applyBorder="1" applyAlignment="1">
      <alignment horizontal="left"/>
    </xf>
    <xf numFmtId="49" fontId="5" fillId="6" borderId="1" xfId="0" applyNumberFormat="1" applyFont="1" applyFill="1" applyBorder="1" applyAlignment="1">
      <alignment horizontal="left"/>
    </xf>
    <xf numFmtId="14" fontId="5" fillId="19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5" fillId="19" borderId="1" xfId="1" applyNumberFormat="1" applyFont="1" applyFill="1" applyBorder="1" applyAlignment="1">
      <alignment horizontal="center"/>
    </xf>
    <xf numFmtId="1" fontId="5" fillId="0" borderId="1" xfId="1" applyNumberFormat="1" applyFont="1" applyBorder="1" applyAlignment="1">
      <alignment horizontal="center"/>
    </xf>
    <xf numFmtId="44" fontId="5" fillId="0" borderId="1" xfId="1" applyFont="1" applyBorder="1" applyAlignment="1">
      <alignment horizontal="left"/>
    </xf>
    <xf numFmtId="0" fontId="5" fillId="22" borderId="1" xfId="0" applyFont="1" applyFill="1" applyBorder="1" applyAlignment="1">
      <alignment horizontal="center"/>
    </xf>
    <xf numFmtId="164" fontId="5" fillId="22" borderId="1" xfId="1" applyNumberFormat="1" applyFont="1" applyFill="1" applyBorder="1" applyAlignment="1">
      <alignment horizontal="center"/>
    </xf>
    <xf numFmtId="1" fontId="5" fillId="22" borderId="1" xfId="1" applyNumberFormat="1" applyFont="1" applyFill="1" applyBorder="1" applyAlignment="1">
      <alignment horizontal="center"/>
    </xf>
    <xf numFmtId="14" fontId="5" fillId="23" borderId="1" xfId="0" applyNumberFormat="1" applyFont="1" applyFill="1" applyBorder="1" applyAlignment="1">
      <alignment horizontal="left"/>
    </xf>
    <xf numFmtId="0" fontId="5" fillId="23" borderId="1" xfId="0" applyFont="1" applyFill="1" applyBorder="1" applyAlignment="1">
      <alignment horizontal="center"/>
    </xf>
    <xf numFmtId="164" fontId="5" fillId="23" borderId="1" xfId="1" applyNumberFormat="1" applyFont="1" applyFill="1" applyBorder="1" applyAlignment="1">
      <alignment horizontal="center"/>
    </xf>
    <xf numFmtId="1" fontId="5" fillId="23" borderId="1" xfId="1" applyNumberFormat="1" applyFont="1" applyFill="1" applyBorder="1" applyAlignment="1">
      <alignment horizontal="center"/>
    </xf>
    <xf numFmtId="0" fontId="5" fillId="23" borderId="1" xfId="0" applyFont="1" applyFill="1" applyBorder="1" applyAlignment="1">
      <alignment horizontal="center" wrapText="1"/>
    </xf>
    <xf numFmtId="44" fontId="5" fillId="23" borderId="1" xfId="1" applyFont="1" applyFill="1" applyBorder="1" applyAlignment="1">
      <alignment horizontal="left"/>
    </xf>
    <xf numFmtId="49" fontId="5" fillId="23" borderId="1" xfId="0" applyNumberFormat="1" applyFont="1" applyFill="1" applyBorder="1" applyAlignment="1">
      <alignment horizontal="left"/>
    </xf>
    <xf numFmtId="14" fontId="5" fillId="17" borderId="1" xfId="0" applyNumberFormat="1" applyFont="1" applyFill="1" applyBorder="1" applyAlignment="1">
      <alignment horizontal="left"/>
    </xf>
    <xf numFmtId="0" fontId="5" fillId="17" borderId="1" xfId="0" applyFont="1" applyFill="1" applyBorder="1" applyAlignment="1">
      <alignment horizontal="left"/>
    </xf>
    <xf numFmtId="0" fontId="5" fillId="17" borderId="1" xfId="0" applyFont="1" applyFill="1" applyBorder="1" applyAlignment="1">
      <alignment horizontal="center"/>
    </xf>
    <xf numFmtId="164" fontId="5" fillId="17" borderId="1" xfId="1" applyNumberFormat="1" applyFont="1" applyFill="1" applyBorder="1" applyAlignment="1">
      <alignment horizontal="center"/>
    </xf>
    <xf numFmtId="1" fontId="5" fillId="17" borderId="1" xfId="1" applyNumberFormat="1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 wrapText="1"/>
    </xf>
    <xf numFmtId="44" fontId="5" fillId="17" borderId="1" xfId="1" applyFont="1" applyFill="1" applyBorder="1" applyAlignment="1">
      <alignment horizontal="left"/>
    </xf>
    <xf numFmtId="49" fontId="5" fillId="17" borderId="1" xfId="0" applyNumberFormat="1" applyFont="1" applyFill="1" applyBorder="1" applyAlignment="1">
      <alignment horizontal="left"/>
    </xf>
    <xf numFmtId="14" fontId="5" fillId="26" borderId="1" xfId="0" applyNumberFormat="1" applyFont="1" applyFill="1" applyBorder="1" applyAlignment="1">
      <alignment horizontal="left"/>
    </xf>
    <xf numFmtId="0" fontId="5" fillId="26" borderId="1" xfId="0" applyFont="1" applyFill="1" applyBorder="1" applyAlignment="1">
      <alignment horizontal="left"/>
    </xf>
    <xf numFmtId="0" fontId="5" fillId="26" borderId="1" xfId="0" applyFont="1" applyFill="1" applyBorder="1" applyAlignment="1">
      <alignment horizontal="center"/>
    </xf>
    <xf numFmtId="164" fontId="5" fillId="26" borderId="1" xfId="1" applyNumberFormat="1" applyFont="1" applyFill="1" applyBorder="1" applyAlignment="1">
      <alignment horizontal="center"/>
    </xf>
    <xf numFmtId="1" fontId="5" fillId="26" borderId="1" xfId="1" applyNumberFormat="1" applyFont="1" applyFill="1" applyBorder="1" applyAlignment="1">
      <alignment horizontal="center"/>
    </xf>
    <xf numFmtId="0" fontId="5" fillId="26" borderId="1" xfId="0" applyFont="1" applyFill="1" applyBorder="1" applyAlignment="1">
      <alignment horizontal="center" wrapText="1"/>
    </xf>
    <xf numFmtId="44" fontId="5" fillId="26" borderId="1" xfId="1" applyFont="1" applyFill="1" applyBorder="1" applyAlignment="1">
      <alignment horizontal="left"/>
    </xf>
    <xf numFmtId="49" fontId="5" fillId="26" borderId="1" xfId="0" applyNumberFormat="1" applyFont="1" applyFill="1" applyBorder="1" applyAlignment="1">
      <alignment horizontal="left"/>
    </xf>
    <xf numFmtId="14" fontId="5" fillId="20" borderId="1" xfId="0" applyNumberFormat="1" applyFont="1" applyFill="1" applyBorder="1" applyAlignment="1">
      <alignment horizontal="left"/>
    </xf>
    <xf numFmtId="0" fontId="5" fillId="20" borderId="1" xfId="0" applyFont="1" applyFill="1" applyBorder="1" applyAlignment="1">
      <alignment horizontal="left"/>
    </xf>
    <xf numFmtId="0" fontId="5" fillId="20" borderId="1" xfId="0" applyFont="1" applyFill="1" applyBorder="1" applyAlignment="1">
      <alignment horizontal="center"/>
    </xf>
    <xf numFmtId="164" fontId="5" fillId="20" borderId="1" xfId="1" applyNumberFormat="1" applyFont="1" applyFill="1" applyBorder="1" applyAlignment="1">
      <alignment horizontal="center"/>
    </xf>
    <xf numFmtId="1" fontId="5" fillId="20" borderId="1" xfId="1" applyNumberFormat="1" applyFont="1" applyFill="1" applyBorder="1" applyAlignment="1">
      <alignment horizontal="center"/>
    </xf>
    <xf numFmtId="0" fontId="5" fillId="20" borderId="1" xfId="0" applyFont="1" applyFill="1" applyBorder="1" applyAlignment="1">
      <alignment horizontal="center" wrapText="1"/>
    </xf>
    <xf numFmtId="44" fontId="5" fillId="20" borderId="1" xfId="1" applyFont="1" applyFill="1" applyBorder="1" applyAlignment="1">
      <alignment horizontal="left"/>
    </xf>
    <xf numFmtId="49" fontId="5" fillId="20" borderId="1" xfId="0" applyNumberFormat="1" applyFont="1" applyFill="1" applyBorder="1" applyAlignment="1">
      <alignment horizontal="left"/>
    </xf>
    <xf numFmtId="164" fontId="5" fillId="0" borderId="1" xfId="1" applyNumberFormat="1" applyFont="1" applyFill="1" applyBorder="1" applyAlignment="1">
      <alignment horizontal="center"/>
    </xf>
    <xf numFmtId="1" fontId="5" fillId="0" borderId="1" xfId="1" applyNumberFormat="1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164" fontId="5" fillId="12" borderId="1" xfId="1" applyNumberFormat="1" applyFont="1" applyFill="1" applyBorder="1" applyAlignment="1">
      <alignment horizontal="center"/>
    </xf>
    <xf numFmtId="1" fontId="5" fillId="12" borderId="1" xfId="1" applyNumberFormat="1" applyFont="1" applyFill="1" applyBorder="1" applyAlignment="1">
      <alignment horizontal="center"/>
    </xf>
    <xf numFmtId="14" fontId="5" fillId="29" borderId="1" xfId="0" applyNumberFormat="1" applyFont="1" applyFill="1" applyBorder="1" applyAlignment="1">
      <alignment horizontal="left"/>
    </xf>
    <xf numFmtId="0" fontId="5" fillId="29" borderId="1" xfId="0" applyFont="1" applyFill="1" applyBorder="1" applyAlignment="1">
      <alignment horizontal="left"/>
    </xf>
    <xf numFmtId="0" fontId="5" fillId="29" borderId="1" xfId="0" applyFont="1" applyFill="1" applyBorder="1" applyAlignment="1">
      <alignment horizontal="center"/>
    </xf>
    <xf numFmtId="164" fontId="5" fillId="29" borderId="1" xfId="1" applyNumberFormat="1" applyFont="1" applyFill="1" applyBorder="1" applyAlignment="1">
      <alignment horizontal="center"/>
    </xf>
    <xf numFmtId="1" fontId="5" fillId="29" borderId="1" xfId="1" applyNumberFormat="1" applyFont="1" applyFill="1" applyBorder="1" applyAlignment="1">
      <alignment horizontal="center"/>
    </xf>
    <xf numFmtId="0" fontId="5" fillId="29" borderId="1" xfId="0" applyFont="1" applyFill="1" applyBorder="1" applyAlignment="1">
      <alignment horizontal="center" wrapText="1"/>
    </xf>
    <xf numFmtId="44" fontId="5" fillId="29" borderId="1" xfId="1" applyFont="1" applyFill="1" applyBorder="1" applyAlignment="1">
      <alignment horizontal="left"/>
    </xf>
    <xf numFmtId="49" fontId="5" fillId="29" borderId="1" xfId="0" applyNumberFormat="1" applyFont="1" applyFill="1" applyBorder="1" applyAlignment="1">
      <alignment horizontal="left"/>
    </xf>
    <xf numFmtId="14" fontId="5" fillId="20" borderId="1" xfId="0" applyNumberFormat="1" applyFont="1" applyFill="1" applyBorder="1" applyAlignment="1">
      <alignment horizontal="left" vertical="center"/>
    </xf>
    <xf numFmtId="0" fontId="5" fillId="20" borderId="1" xfId="0" applyFont="1" applyFill="1" applyBorder="1" applyAlignment="1">
      <alignment horizontal="left" vertical="center"/>
    </xf>
    <xf numFmtId="0" fontId="5" fillId="20" borderId="1" xfId="0" applyFont="1" applyFill="1" applyBorder="1" applyAlignment="1">
      <alignment horizontal="center" vertical="center"/>
    </xf>
    <xf numFmtId="164" fontId="5" fillId="20" borderId="1" xfId="1" applyNumberFormat="1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4" fontId="5" fillId="7" borderId="1" xfId="0" applyNumberFormat="1" applyFont="1" applyFill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164" fontId="5" fillId="7" borderId="1" xfId="1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/>
    </xf>
    <xf numFmtId="44" fontId="5" fillId="7" borderId="1" xfId="1" applyFont="1" applyFill="1" applyBorder="1" applyAlignment="1">
      <alignment horizontal="left"/>
    </xf>
    <xf numFmtId="49" fontId="5" fillId="7" borderId="1" xfId="0" applyNumberFormat="1" applyFont="1" applyFill="1" applyBorder="1" applyAlignment="1">
      <alignment horizontal="left"/>
    </xf>
    <xf numFmtId="0" fontId="5" fillId="22" borderId="1" xfId="0" applyFont="1" applyFill="1" applyBorder="1" applyAlignment="1">
      <alignment horizontal="center" vertical="center"/>
    </xf>
    <xf numFmtId="164" fontId="5" fillId="22" borderId="1" xfId="1" applyNumberFormat="1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wrapText="1"/>
    </xf>
    <xf numFmtId="0" fontId="5" fillId="19" borderId="1" xfId="0" applyFont="1" applyFill="1" applyBorder="1" applyAlignment="1">
      <alignment horizontal="left"/>
    </xf>
    <xf numFmtId="0" fontId="5" fillId="19" borderId="1" xfId="0" applyFont="1" applyFill="1" applyBorder="1" applyAlignment="1">
      <alignment horizontal="center" wrapText="1"/>
    </xf>
    <xf numFmtId="0" fontId="5" fillId="19" borderId="1" xfId="0" applyFont="1" applyFill="1" applyBorder="1" applyAlignment="1">
      <alignment horizontal="center"/>
    </xf>
    <xf numFmtId="164" fontId="5" fillId="19" borderId="1" xfId="1" applyNumberFormat="1" applyFont="1" applyFill="1" applyBorder="1" applyAlignment="1">
      <alignment horizontal="center" wrapText="1"/>
    </xf>
    <xf numFmtId="0" fontId="5" fillId="19" borderId="1" xfId="0" applyFont="1" applyFill="1" applyBorder="1" applyAlignment="1">
      <alignment horizontal="left" wrapText="1"/>
    </xf>
    <xf numFmtId="44" fontId="5" fillId="19" borderId="1" xfId="1" applyFont="1" applyFill="1" applyBorder="1" applyAlignment="1">
      <alignment horizontal="left"/>
    </xf>
    <xf numFmtId="49" fontId="5" fillId="19" borderId="1" xfId="0" applyNumberFormat="1" applyFont="1" applyFill="1" applyBorder="1" applyAlignment="1">
      <alignment horizontal="left"/>
    </xf>
    <xf numFmtId="14" fontId="5" fillId="33" borderId="1" xfId="0" applyNumberFormat="1" applyFont="1" applyFill="1" applyBorder="1" applyAlignment="1">
      <alignment horizontal="left"/>
    </xf>
    <xf numFmtId="0" fontId="5" fillId="33" borderId="1" xfId="0" applyFont="1" applyFill="1" applyBorder="1" applyAlignment="1">
      <alignment horizontal="left"/>
    </xf>
    <xf numFmtId="0" fontId="5" fillId="33" borderId="1" xfId="0" applyFont="1" applyFill="1" applyBorder="1" applyAlignment="1">
      <alignment horizontal="center" wrapText="1"/>
    </xf>
    <xf numFmtId="0" fontId="5" fillId="33" borderId="1" xfId="0" applyFont="1" applyFill="1" applyBorder="1" applyAlignment="1">
      <alignment horizontal="center"/>
    </xf>
    <xf numFmtId="164" fontId="5" fillId="33" borderId="1" xfId="1" applyNumberFormat="1" applyFont="1" applyFill="1" applyBorder="1" applyAlignment="1">
      <alignment horizontal="center" wrapText="1"/>
    </xf>
    <xf numFmtId="1" fontId="5" fillId="33" borderId="1" xfId="1" applyNumberFormat="1" applyFont="1" applyFill="1" applyBorder="1" applyAlignment="1">
      <alignment horizontal="center"/>
    </xf>
    <xf numFmtId="0" fontId="5" fillId="33" borderId="1" xfId="0" applyFont="1" applyFill="1" applyBorder="1" applyAlignment="1">
      <alignment horizontal="left" wrapText="1"/>
    </xf>
    <xf numFmtId="44" fontId="5" fillId="33" borderId="1" xfId="1" applyFont="1" applyFill="1" applyBorder="1" applyAlignment="1">
      <alignment horizontal="left"/>
    </xf>
    <xf numFmtId="49" fontId="5" fillId="33" borderId="1" xfId="0" applyNumberFormat="1" applyFont="1" applyFill="1" applyBorder="1" applyAlignment="1">
      <alignment horizontal="left"/>
    </xf>
    <xf numFmtId="164" fontId="5" fillId="28" borderId="1" xfId="1" applyNumberFormat="1" applyFont="1" applyFill="1" applyBorder="1" applyAlignment="1">
      <alignment horizontal="center" wrapText="1"/>
    </xf>
    <xf numFmtId="0" fontId="5" fillId="21" borderId="1" xfId="0" applyFont="1" applyFill="1" applyBorder="1" applyAlignment="1">
      <alignment horizontal="left" wrapText="1"/>
    </xf>
    <xf numFmtId="164" fontId="5" fillId="0" borderId="1" xfId="1" applyNumberFormat="1" applyFont="1" applyBorder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5" fillId="30" borderId="1" xfId="0" applyFont="1" applyFill="1" applyBorder="1" applyAlignment="1">
      <alignment horizontal="center"/>
    </xf>
    <xf numFmtId="164" fontId="5" fillId="30" borderId="1" xfId="1" applyNumberFormat="1" applyFont="1" applyFill="1" applyBorder="1" applyAlignment="1">
      <alignment horizontal="center"/>
    </xf>
    <xf numFmtId="1" fontId="5" fillId="30" borderId="1" xfId="1" applyNumberFormat="1" applyFont="1" applyFill="1" applyBorder="1" applyAlignment="1">
      <alignment horizontal="center"/>
    </xf>
    <xf numFmtId="14" fontId="5" fillId="13" borderId="1" xfId="0" applyNumberFormat="1" applyFont="1" applyFill="1" applyBorder="1" applyAlignment="1">
      <alignment horizontal="left"/>
    </xf>
    <xf numFmtId="0" fontId="5" fillId="13" borderId="1" xfId="0" applyFont="1" applyFill="1" applyBorder="1" applyAlignment="1">
      <alignment horizontal="left"/>
    </xf>
    <xf numFmtId="0" fontId="5" fillId="13" borderId="1" xfId="0" applyFont="1" applyFill="1" applyBorder="1" applyAlignment="1">
      <alignment horizontal="center"/>
    </xf>
    <xf numFmtId="164" fontId="5" fillId="13" borderId="1" xfId="1" applyNumberFormat="1" applyFont="1" applyFill="1" applyBorder="1" applyAlignment="1">
      <alignment horizontal="center"/>
    </xf>
    <xf numFmtId="1" fontId="5" fillId="13" borderId="1" xfId="1" applyNumberFormat="1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 wrapText="1"/>
    </xf>
    <xf numFmtId="44" fontId="5" fillId="13" borderId="1" xfId="1" applyFont="1" applyFill="1" applyBorder="1" applyAlignment="1">
      <alignment horizontal="left"/>
    </xf>
    <xf numFmtId="49" fontId="5" fillId="13" borderId="1" xfId="0" applyNumberFormat="1" applyFont="1" applyFill="1" applyBorder="1" applyAlignment="1">
      <alignment horizontal="left"/>
    </xf>
    <xf numFmtId="14" fontId="5" fillId="18" borderId="1" xfId="0" applyNumberFormat="1" applyFont="1" applyFill="1" applyBorder="1" applyAlignment="1">
      <alignment horizontal="left"/>
    </xf>
    <xf numFmtId="164" fontId="5" fillId="18" borderId="1" xfId="1" applyNumberFormat="1" applyFont="1" applyFill="1" applyBorder="1" applyAlignment="1">
      <alignment horizontal="center"/>
    </xf>
    <xf numFmtId="1" fontId="5" fillId="18" borderId="1" xfId="1" applyNumberFormat="1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 wrapText="1"/>
    </xf>
    <xf numFmtId="44" fontId="5" fillId="18" borderId="1" xfId="1" applyFont="1" applyFill="1" applyBorder="1" applyAlignment="1">
      <alignment horizontal="left"/>
    </xf>
    <xf numFmtId="49" fontId="5" fillId="18" borderId="1" xfId="0" applyNumberFormat="1" applyFont="1" applyFill="1" applyBorder="1" applyAlignment="1">
      <alignment horizontal="left"/>
    </xf>
    <xf numFmtId="14" fontId="5" fillId="8" borderId="1" xfId="0" applyNumberFormat="1" applyFont="1" applyFill="1" applyBorder="1" applyAlignment="1">
      <alignment horizontal="left"/>
    </xf>
    <xf numFmtId="0" fontId="5" fillId="8" borderId="1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center" wrapText="1"/>
    </xf>
    <xf numFmtId="164" fontId="5" fillId="8" borderId="1" xfId="1" applyNumberFormat="1" applyFont="1" applyFill="1" applyBorder="1" applyAlignment="1">
      <alignment horizontal="center" wrapText="1"/>
    </xf>
    <xf numFmtId="0" fontId="5" fillId="8" borderId="1" xfId="0" applyFont="1" applyFill="1" applyBorder="1" applyAlignment="1">
      <alignment horizontal="left" wrapText="1"/>
    </xf>
    <xf numFmtId="44" fontId="5" fillId="8" borderId="1" xfId="1" applyFont="1" applyFill="1" applyBorder="1" applyAlignment="1">
      <alignment horizontal="left"/>
    </xf>
    <xf numFmtId="49" fontId="5" fillId="8" borderId="1" xfId="0" applyNumberFormat="1" applyFont="1" applyFill="1" applyBorder="1" applyAlignment="1">
      <alignment horizontal="left"/>
    </xf>
    <xf numFmtId="0" fontId="6" fillId="14" borderId="1" xfId="0" applyFont="1" applyFill="1" applyBorder="1" applyAlignment="1">
      <alignment horizontal="left"/>
    </xf>
    <xf numFmtId="14" fontId="5" fillId="25" borderId="1" xfId="0" applyNumberFormat="1" applyFont="1" applyFill="1" applyBorder="1" applyAlignment="1">
      <alignment horizontal="left"/>
    </xf>
    <xf numFmtId="0" fontId="5" fillId="25" borderId="1" xfId="0" applyFont="1" applyFill="1" applyBorder="1" applyAlignment="1">
      <alignment horizontal="left"/>
    </xf>
    <xf numFmtId="0" fontId="5" fillId="25" borderId="1" xfId="0" applyFont="1" applyFill="1" applyBorder="1" applyAlignment="1">
      <alignment horizontal="center"/>
    </xf>
    <xf numFmtId="164" fontId="5" fillId="25" borderId="1" xfId="1" applyNumberFormat="1" applyFont="1" applyFill="1" applyBorder="1" applyAlignment="1">
      <alignment horizontal="center"/>
    </xf>
    <xf numFmtId="1" fontId="5" fillId="25" borderId="1" xfId="1" applyNumberFormat="1" applyFont="1" applyFill="1" applyBorder="1" applyAlignment="1">
      <alignment horizontal="center"/>
    </xf>
    <xf numFmtId="0" fontId="5" fillId="25" borderId="1" xfId="0" applyFont="1" applyFill="1" applyBorder="1" applyAlignment="1">
      <alignment horizontal="center" wrapText="1"/>
    </xf>
    <xf numFmtId="44" fontId="5" fillId="25" borderId="1" xfId="1" applyFont="1" applyFill="1" applyBorder="1" applyAlignment="1">
      <alignment horizontal="left"/>
    </xf>
    <xf numFmtId="49" fontId="5" fillId="25" borderId="1" xfId="0" applyNumberFormat="1" applyFont="1" applyFill="1" applyBorder="1" applyAlignment="1">
      <alignment horizontal="left"/>
    </xf>
    <xf numFmtId="0" fontId="5" fillId="20" borderId="1" xfId="0" applyFont="1" applyFill="1" applyBorder="1" applyAlignment="1">
      <alignment horizontal="left" wrapText="1"/>
    </xf>
    <xf numFmtId="164" fontId="5" fillId="0" borderId="1" xfId="1" applyNumberFormat="1" applyFont="1" applyBorder="1"/>
    <xf numFmtId="3" fontId="5" fillId="12" borderId="1" xfId="0" applyNumberFormat="1" applyFont="1" applyFill="1" applyBorder="1" applyAlignment="1">
      <alignment horizontal="center"/>
    </xf>
    <xf numFmtId="14" fontId="5" fillId="11" borderId="1" xfId="0" applyNumberFormat="1" applyFont="1" applyFill="1" applyBorder="1" applyAlignment="1">
      <alignment horizontal="left"/>
    </xf>
    <xf numFmtId="0" fontId="5" fillId="11" borderId="1" xfId="0" applyFont="1" applyFill="1" applyBorder="1" applyAlignment="1">
      <alignment horizontal="left"/>
    </xf>
    <xf numFmtId="0" fontId="5" fillId="11" borderId="1" xfId="0" applyFont="1" applyFill="1" applyBorder="1" applyAlignment="1">
      <alignment horizontal="center"/>
    </xf>
    <xf numFmtId="164" fontId="5" fillId="11" borderId="1" xfId="1" applyNumberFormat="1" applyFont="1" applyFill="1" applyBorder="1" applyAlignment="1">
      <alignment horizontal="center"/>
    </xf>
    <xf numFmtId="1" fontId="5" fillId="11" borderId="1" xfId="1" applyNumberFormat="1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 wrapText="1"/>
    </xf>
    <xf numFmtId="44" fontId="5" fillId="11" borderId="1" xfId="1" applyFont="1" applyFill="1" applyBorder="1" applyAlignment="1">
      <alignment horizontal="left"/>
    </xf>
    <xf numFmtId="49" fontId="5" fillId="11" borderId="1" xfId="0" applyNumberFormat="1" applyFont="1" applyFill="1" applyBorder="1" applyAlignment="1">
      <alignment horizontal="left"/>
    </xf>
    <xf numFmtId="0" fontId="5" fillId="19" borderId="0" xfId="0" applyFont="1" applyFill="1" applyAlignment="1">
      <alignment horizontal="center" wrapText="1"/>
    </xf>
    <xf numFmtId="0" fontId="5" fillId="11" borderId="1" xfId="0" applyFont="1" applyFill="1" applyBorder="1"/>
    <xf numFmtId="164" fontId="5" fillId="7" borderId="1" xfId="1" applyNumberFormat="1" applyFont="1" applyFill="1" applyBorder="1" applyAlignment="1">
      <alignment horizontal="center"/>
    </xf>
    <xf numFmtId="1" fontId="5" fillId="7" borderId="1" xfId="1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/>
    </xf>
    <xf numFmtId="164" fontId="5" fillId="5" borderId="1" xfId="1" applyNumberFormat="1" applyFont="1" applyFill="1" applyBorder="1"/>
    <xf numFmtId="0" fontId="5" fillId="22" borderId="1" xfId="0" applyFont="1" applyFill="1" applyBorder="1"/>
    <xf numFmtId="14" fontId="6" fillId="20" borderId="1" xfId="0" applyNumberFormat="1" applyFont="1" applyFill="1" applyBorder="1" applyAlignment="1">
      <alignment horizontal="left"/>
    </xf>
    <xf numFmtId="0" fontId="6" fillId="20" borderId="1" xfId="0" applyFont="1" applyFill="1" applyBorder="1" applyAlignment="1">
      <alignment horizontal="left"/>
    </xf>
    <xf numFmtId="0" fontId="6" fillId="20" borderId="1" xfId="0" applyFont="1" applyFill="1" applyBorder="1" applyAlignment="1">
      <alignment horizontal="center"/>
    </xf>
    <xf numFmtId="164" fontId="6" fillId="20" borderId="1" xfId="1" applyNumberFormat="1" applyFont="1" applyFill="1" applyBorder="1" applyAlignment="1">
      <alignment horizontal="center"/>
    </xf>
    <xf numFmtId="1" fontId="6" fillId="20" borderId="1" xfId="1" applyNumberFormat="1" applyFont="1" applyFill="1" applyBorder="1" applyAlignment="1">
      <alignment horizontal="center"/>
    </xf>
    <xf numFmtId="0" fontId="6" fillId="20" borderId="1" xfId="0" applyFont="1" applyFill="1" applyBorder="1" applyAlignment="1">
      <alignment horizontal="center" wrapText="1"/>
    </xf>
    <xf numFmtId="44" fontId="6" fillId="20" borderId="1" xfId="1" applyFont="1" applyFill="1" applyBorder="1" applyAlignment="1">
      <alignment horizontal="left"/>
    </xf>
    <xf numFmtId="49" fontId="6" fillId="20" borderId="1" xfId="0" applyNumberFormat="1" applyFont="1" applyFill="1" applyBorder="1" applyAlignment="1">
      <alignment horizontal="left"/>
    </xf>
    <xf numFmtId="0" fontId="5" fillId="8" borderId="1" xfId="0" applyFont="1" applyFill="1" applyBorder="1" applyAlignment="1">
      <alignment horizontal="center"/>
    </xf>
    <xf numFmtId="164" fontId="5" fillId="8" borderId="1" xfId="1" applyNumberFormat="1" applyFont="1" applyFill="1" applyBorder="1" applyAlignment="1">
      <alignment horizontal="center"/>
    </xf>
    <xf numFmtId="1" fontId="5" fillId="8" borderId="1" xfId="1" applyNumberFormat="1" applyFont="1" applyFill="1" applyBorder="1" applyAlignment="1">
      <alignment horizontal="center"/>
    </xf>
    <xf numFmtId="14" fontId="5" fillId="21" borderId="1" xfId="0" applyNumberFormat="1" applyFont="1" applyFill="1" applyBorder="1" applyAlignment="1">
      <alignment horizontal="left"/>
    </xf>
    <xf numFmtId="0" fontId="5" fillId="21" borderId="1" xfId="0" applyFont="1" applyFill="1" applyBorder="1" applyAlignment="1">
      <alignment horizontal="left"/>
    </xf>
    <xf numFmtId="0" fontId="5" fillId="21" borderId="1" xfId="0" applyFont="1" applyFill="1" applyBorder="1" applyAlignment="1">
      <alignment horizontal="center"/>
    </xf>
    <xf numFmtId="164" fontId="5" fillId="21" borderId="1" xfId="1" applyNumberFormat="1" applyFont="1" applyFill="1" applyBorder="1" applyAlignment="1">
      <alignment horizontal="center"/>
    </xf>
    <xf numFmtId="1" fontId="5" fillId="21" borderId="1" xfId="1" applyNumberFormat="1" applyFont="1" applyFill="1" applyBorder="1" applyAlignment="1">
      <alignment horizontal="center"/>
    </xf>
    <xf numFmtId="0" fontId="5" fillId="21" borderId="1" xfId="0" applyFont="1" applyFill="1" applyBorder="1" applyAlignment="1">
      <alignment horizontal="center" wrapText="1"/>
    </xf>
    <xf numFmtId="44" fontId="5" fillId="21" borderId="1" xfId="1" applyFont="1" applyFill="1" applyBorder="1" applyAlignment="1">
      <alignment horizontal="left"/>
    </xf>
    <xf numFmtId="49" fontId="5" fillId="21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164" fontId="5" fillId="5" borderId="1" xfId="1" applyNumberFormat="1" applyFont="1" applyFill="1" applyBorder="1" applyAlignment="1">
      <alignment horizontal="center"/>
    </xf>
    <xf numFmtId="1" fontId="5" fillId="5" borderId="1" xfId="1" applyNumberFormat="1" applyFont="1" applyFill="1" applyBorder="1" applyAlignment="1">
      <alignment horizontal="center"/>
    </xf>
    <xf numFmtId="164" fontId="5" fillId="13" borderId="1" xfId="1" applyNumberFormat="1" applyFont="1" applyFill="1" applyBorder="1"/>
    <xf numFmtId="0" fontId="5" fillId="13" borderId="1" xfId="0" applyFont="1" applyFill="1" applyBorder="1" applyAlignment="1">
      <alignment horizontal="left" wrapText="1"/>
    </xf>
    <xf numFmtId="164" fontId="5" fillId="11" borderId="1" xfId="1" applyNumberFormat="1" applyFont="1" applyFill="1" applyBorder="1" applyAlignment="1">
      <alignment horizontal="center" wrapText="1"/>
    </xf>
    <xf numFmtId="14" fontId="5" fillId="34" borderId="1" xfId="0" applyNumberFormat="1" applyFont="1" applyFill="1" applyBorder="1" applyAlignment="1">
      <alignment horizontal="left"/>
    </xf>
    <xf numFmtId="0" fontId="5" fillId="34" borderId="1" xfId="0" applyFont="1" applyFill="1" applyBorder="1" applyAlignment="1">
      <alignment horizontal="left"/>
    </xf>
    <xf numFmtId="0" fontId="5" fillId="34" borderId="1" xfId="0" applyFont="1" applyFill="1" applyBorder="1" applyAlignment="1">
      <alignment horizontal="center"/>
    </xf>
    <xf numFmtId="164" fontId="5" fillId="34" borderId="1" xfId="1" applyNumberFormat="1" applyFont="1" applyFill="1" applyBorder="1"/>
    <xf numFmtId="0" fontId="5" fillId="34" borderId="1" xfId="0" applyFont="1" applyFill="1" applyBorder="1" applyAlignment="1">
      <alignment horizontal="center" wrapText="1"/>
    </xf>
    <xf numFmtId="44" fontId="5" fillId="34" borderId="1" xfId="1" applyFont="1" applyFill="1" applyBorder="1" applyAlignment="1">
      <alignment horizontal="left"/>
    </xf>
    <xf numFmtId="49" fontId="5" fillId="34" borderId="1" xfId="0" applyNumberFormat="1" applyFont="1" applyFill="1" applyBorder="1" applyAlignment="1">
      <alignment horizontal="left"/>
    </xf>
    <xf numFmtId="0" fontId="5" fillId="34" borderId="1" xfId="0" applyFont="1" applyFill="1" applyBorder="1" applyAlignment="1">
      <alignment horizontal="left" wrapText="1"/>
    </xf>
    <xf numFmtId="0" fontId="5" fillId="18" borderId="1" xfId="0" applyFont="1" applyFill="1" applyBorder="1" applyAlignment="1">
      <alignment horizontal="left" wrapText="1"/>
    </xf>
    <xf numFmtId="17" fontId="5" fillId="18" borderId="1" xfId="0" applyNumberFormat="1" applyFont="1" applyFill="1" applyBorder="1" applyAlignment="1">
      <alignment horizontal="left"/>
    </xf>
    <xf numFmtId="44" fontId="5" fillId="11" borderId="1" xfId="0" applyNumberFormat="1" applyFont="1" applyFill="1" applyBorder="1" applyAlignment="1">
      <alignment horizontal="left"/>
    </xf>
    <xf numFmtId="14" fontId="5" fillId="24" borderId="1" xfId="0" applyNumberFormat="1" applyFont="1" applyFill="1" applyBorder="1" applyAlignment="1">
      <alignment horizontal="left"/>
    </xf>
    <xf numFmtId="0" fontId="5" fillId="24" borderId="1" xfId="0" applyFont="1" applyFill="1" applyBorder="1" applyAlignment="1">
      <alignment horizontal="left"/>
    </xf>
    <xf numFmtId="0" fontId="5" fillId="24" borderId="1" xfId="0" applyFont="1" applyFill="1" applyBorder="1" applyAlignment="1">
      <alignment horizontal="center"/>
    </xf>
    <xf numFmtId="164" fontId="5" fillId="24" borderId="1" xfId="1" applyNumberFormat="1" applyFont="1" applyFill="1" applyBorder="1" applyAlignment="1">
      <alignment horizontal="center"/>
    </xf>
    <xf numFmtId="1" fontId="5" fillId="24" borderId="1" xfId="1" applyNumberFormat="1" applyFont="1" applyFill="1" applyBorder="1" applyAlignment="1">
      <alignment horizontal="center"/>
    </xf>
    <xf numFmtId="0" fontId="5" fillId="24" borderId="1" xfId="0" applyFont="1" applyFill="1" applyBorder="1" applyAlignment="1">
      <alignment horizontal="center" wrapText="1"/>
    </xf>
    <xf numFmtId="44" fontId="5" fillId="24" borderId="1" xfId="1" applyFont="1" applyFill="1" applyBorder="1" applyAlignment="1">
      <alignment horizontal="left"/>
    </xf>
    <xf numFmtId="49" fontId="5" fillId="24" borderId="1" xfId="0" applyNumberFormat="1" applyFont="1" applyFill="1" applyBorder="1" applyAlignment="1">
      <alignment horizontal="left"/>
    </xf>
    <xf numFmtId="14" fontId="5" fillId="32" borderId="1" xfId="0" applyNumberFormat="1" applyFont="1" applyFill="1" applyBorder="1" applyAlignment="1">
      <alignment horizontal="left"/>
    </xf>
    <xf numFmtId="0" fontId="5" fillId="32" borderId="1" xfId="0" applyFont="1" applyFill="1" applyBorder="1" applyAlignment="1">
      <alignment horizontal="left"/>
    </xf>
    <xf numFmtId="0" fontId="5" fillId="32" borderId="1" xfId="0" applyFont="1" applyFill="1" applyBorder="1" applyAlignment="1">
      <alignment horizontal="center" vertical="center"/>
    </xf>
    <xf numFmtId="164" fontId="5" fillId="32" borderId="1" xfId="1" applyNumberFormat="1" applyFont="1" applyFill="1" applyBorder="1" applyAlignment="1">
      <alignment horizontal="center" vertical="center"/>
    </xf>
    <xf numFmtId="0" fontId="5" fillId="32" borderId="1" xfId="0" applyFont="1" applyFill="1" applyBorder="1" applyAlignment="1">
      <alignment horizontal="center" vertical="center" wrapText="1"/>
    </xf>
    <xf numFmtId="0" fontId="5" fillId="32" borderId="1" xfId="0" applyFont="1" applyFill="1" applyBorder="1" applyAlignment="1">
      <alignment horizontal="left" vertical="center"/>
    </xf>
    <xf numFmtId="0" fontId="5" fillId="32" borderId="1" xfId="0" applyFont="1" applyFill="1" applyBorder="1" applyAlignment="1">
      <alignment horizontal="left" vertical="center" wrapText="1"/>
    </xf>
    <xf numFmtId="44" fontId="5" fillId="32" borderId="1" xfId="1" applyFont="1" applyFill="1" applyBorder="1" applyAlignment="1">
      <alignment horizontal="left"/>
    </xf>
    <xf numFmtId="49" fontId="5" fillId="32" borderId="1" xfId="0" applyNumberFormat="1" applyFont="1" applyFill="1" applyBorder="1" applyAlignment="1">
      <alignment horizontal="left"/>
    </xf>
    <xf numFmtId="0" fontId="5" fillId="3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14" borderId="1" xfId="1" applyNumberFormat="1" applyFont="1" applyFill="1" applyBorder="1" applyAlignment="1">
      <alignment horizont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4" fontId="5" fillId="12" borderId="1" xfId="0" applyNumberFormat="1" applyFont="1" applyFill="1" applyBorder="1" applyAlignment="1">
      <alignment horizontal="center"/>
    </xf>
    <xf numFmtId="3" fontId="5" fillId="6" borderId="1" xfId="0" applyNumberFormat="1" applyFont="1" applyFill="1" applyBorder="1" applyAlignment="1">
      <alignment horizontal="center"/>
    </xf>
    <xf numFmtId="0" fontId="5" fillId="20" borderId="0" xfId="0" applyFont="1" applyFill="1"/>
    <xf numFmtId="0" fontId="5" fillId="31" borderId="0" xfId="0" applyFont="1" applyFill="1"/>
    <xf numFmtId="3" fontId="5" fillId="8" borderId="1" xfId="0" applyNumberFormat="1" applyFont="1" applyFill="1" applyBorder="1" applyAlignment="1">
      <alignment horizontal="center"/>
    </xf>
    <xf numFmtId="0" fontId="5" fillId="13" borderId="0" xfId="0" applyFont="1" applyFill="1"/>
    <xf numFmtId="0" fontId="5" fillId="4" borderId="0" xfId="0" applyFont="1" applyFill="1"/>
    <xf numFmtId="0" fontId="5" fillId="32" borderId="1" xfId="0" applyFont="1" applyFill="1" applyBorder="1" applyAlignment="1">
      <alignment horizontal="center"/>
    </xf>
    <xf numFmtId="0" fontId="5" fillId="6" borderId="0" xfId="0" applyFont="1" applyFill="1"/>
    <xf numFmtId="0" fontId="5" fillId="2" borderId="1" xfId="0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32" borderId="0" xfId="0" applyFont="1" applyFill="1"/>
    <xf numFmtId="0" fontId="5" fillId="7" borderId="0" xfId="0" applyFont="1" applyFill="1"/>
    <xf numFmtId="0" fontId="5" fillId="14" borderId="1" xfId="0" applyFont="1" applyFill="1" applyBorder="1" applyAlignment="1">
      <alignment horizontal="center" vertical="center"/>
    </xf>
    <xf numFmtId="164" fontId="5" fillId="14" borderId="1" xfId="1" applyNumberFormat="1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left" vertical="center"/>
    </xf>
    <xf numFmtId="0" fontId="5" fillId="14" borderId="1" xfId="0" applyFont="1" applyFill="1" applyBorder="1" applyAlignment="1">
      <alignment horizontal="left" vertical="center" wrapText="1"/>
    </xf>
    <xf numFmtId="0" fontId="5" fillId="2" borderId="0" xfId="0" applyFont="1" applyFill="1"/>
    <xf numFmtId="0" fontId="5" fillId="0" borderId="1" xfId="0" applyFont="1" applyBorder="1" applyAlignment="1">
      <alignment horizontal="left" vertical="center" wrapText="1"/>
    </xf>
    <xf numFmtId="0" fontId="5" fillId="14" borderId="0" xfId="0" applyFont="1" applyFill="1"/>
    <xf numFmtId="0" fontId="5" fillId="10" borderId="0" xfId="0" applyFont="1" applyFill="1" applyAlignment="1">
      <alignment vertical="center"/>
    </xf>
    <xf numFmtId="0" fontId="5" fillId="11" borderId="0" xfId="0" applyFont="1" applyFill="1"/>
    <xf numFmtId="0" fontId="5" fillId="22" borderId="0" xfId="0" applyFont="1" applyFill="1"/>
    <xf numFmtId="0" fontId="5" fillId="12" borderId="0" xfId="0" applyFont="1" applyFill="1" applyAlignment="1">
      <alignment horizontal="center" vertical="center"/>
    </xf>
    <xf numFmtId="0" fontId="5" fillId="10" borderId="0" xfId="0" applyFont="1" applyFill="1"/>
    <xf numFmtId="0" fontId="5" fillId="30" borderId="0" xfId="0" applyFont="1" applyFill="1"/>
    <xf numFmtId="164" fontId="5" fillId="9" borderId="1" xfId="1" applyNumberFormat="1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wrapText="1"/>
    </xf>
    <xf numFmtId="0" fontId="5" fillId="18" borderId="0" xfId="0" applyFont="1" applyFill="1"/>
    <xf numFmtId="0" fontId="5" fillId="19" borderId="0" xfId="0" applyFont="1" applyFill="1"/>
    <xf numFmtId="0" fontId="5" fillId="3" borderId="0" xfId="0" applyFont="1" applyFill="1"/>
    <xf numFmtId="3" fontId="5" fillId="18" borderId="1" xfId="0" applyNumberFormat="1" applyFont="1" applyFill="1" applyBorder="1" applyAlignment="1">
      <alignment horizontal="center"/>
    </xf>
    <xf numFmtId="0" fontId="5" fillId="12" borderId="0" xfId="0" applyFont="1" applyFill="1"/>
    <xf numFmtId="0" fontId="5" fillId="5" borderId="0" xfId="0" applyFont="1" applyFill="1"/>
    <xf numFmtId="0" fontId="5" fillId="13" borderId="1" xfId="0" applyFont="1" applyFill="1" applyBorder="1" applyAlignment="1">
      <alignment horizontal="center" vertical="center"/>
    </xf>
    <xf numFmtId="164" fontId="5" fillId="13" borderId="1" xfId="1" applyNumberFormat="1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left" vertical="center"/>
    </xf>
    <xf numFmtId="0" fontId="5" fillId="11" borderId="1" xfId="0" applyFont="1" applyFill="1" applyBorder="1" applyAlignment="1">
      <alignment horizontal="left" wrapText="1"/>
    </xf>
    <xf numFmtId="0" fontId="5" fillId="11" borderId="0" xfId="0" applyFont="1" applyFill="1" applyAlignment="1">
      <alignment horizontal="center" wrapText="1"/>
    </xf>
    <xf numFmtId="164" fontId="5" fillId="20" borderId="1" xfId="1" applyNumberFormat="1" applyFont="1" applyFill="1" applyBorder="1" applyAlignment="1">
      <alignment horizontal="center" wrapText="1"/>
    </xf>
    <xf numFmtId="0" fontId="5" fillId="32" borderId="1" xfId="0" applyFont="1" applyFill="1" applyBorder="1" applyAlignment="1">
      <alignment horizontal="left" wrapText="1"/>
    </xf>
    <xf numFmtId="0" fontId="5" fillId="33" borderId="0" xfId="0" applyFont="1" applyFill="1"/>
    <xf numFmtId="164" fontId="5" fillId="22" borderId="1" xfId="1" applyNumberFormat="1" applyFont="1" applyFill="1" applyBorder="1"/>
    <xf numFmtId="0" fontId="5" fillId="16" borderId="0" xfId="0" applyFont="1" applyFill="1"/>
    <xf numFmtId="0" fontId="5" fillId="4" borderId="0" xfId="0" applyFont="1" applyFill="1" applyAlignment="1">
      <alignment horizontal="left"/>
    </xf>
    <xf numFmtId="0" fontId="5" fillId="28" borderId="0" xfId="0" applyFont="1" applyFill="1"/>
    <xf numFmtId="0" fontId="5" fillId="3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15" borderId="0" xfId="0" applyFont="1" applyFill="1"/>
    <xf numFmtId="164" fontId="5" fillId="6" borderId="1" xfId="1" applyNumberFormat="1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left" wrapText="1"/>
    </xf>
    <xf numFmtId="14" fontId="5" fillId="27" borderId="1" xfId="0" applyNumberFormat="1" applyFont="1" applyFill="1" applyBorder="1" applyAlignment="1">
      <alignment horizontal="left"/>
    </xf>
    <xf numFmtId="0" fontId="5" fillId="27" borderId="1" xfId="0" applyFont="1" applyFill="1" applyBorder="1" applyAlignment="1">
      <alignment horizontal="left"/>
    </xf>
    <xf numFmtId="0" fontId="5" fillId="27" borderId="1" xfId="0" applyFont="1" applyFill="1" applyBorder="1" applyAlignment="1">
      <alignment horizontal="center" wrapText="1"/>
    </xf>
    <xf numFmtId="164" fontId="5" fillId="27" borderId="1" xfId="1" applyNumberFormat="1" applyFont="1" applyFill="1" applyBorder="1" applyAlignment="1">
      <alignment horizontal="center" wrapText="1"/>
    </xf>
    <xf numFmtId="0" fontId="5" fillId="27" borderId="1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wrapText="1"/>
    </xf>
    <xf numFmtId="44" fontId="5" fillId="27" borderId="1" xfId="1" applyFont="1" applyFill="1" applyBorder="1" applyAlignment="1">
      <alignment horizontal="left"/>
    </xf>
    <xf numFmtId="49" fontId="5" fillId="27" borderId="1" xfId="0" applyNumberFormat="1" applyFont="1" applyFill="1" applyBorder="1" applyAlignment="1">
      <alignment horizontal="left"/>
    </xf>
    <xf numFmtId="164" fontId="5" fillId="17" borderId="1" xfId="1" applyNumberFormat="1" applyFont="1" applyFill="1" applyBorder="1" applyAlignment="1">
      <alignment horizontal="center" wrapText="1"/>
    </xf>
    <xf numFmtId="0" fontId="5" fillId="17" borderId="1" xfId="0" applyFont="1" applyFill="1" applyBorder="1" applyAlignment="1">
      <alignment horizontal="left" wrapText="1"/>
    </xf>
    <xf numFmtId="164" fontId="5" fillId="4" borderId="1" xfId="1" applyNumberFormat="1" applyFont="1" applyFill="1" applyBorder="1" applyAlignment="1">
      <alignment horizontal="center" wrapText="1"/>
    </xf>
    <xf numFmtId="0" fontId="5" fillId="27" borderId="0" xfId="0" applyFont="1" applyFill="1"/>
    <xf numFmtId="0" fontId="5" fillId="22" borderId="0" xfId="0" applyFont="1" applyFill="1" applyAlignment="1">
      <alignment horizontal="center" wrapText="1"/>
    </xf>
    <xf numFmtId="0" fontId="5" fillId="27" borderId="1" xfId="0" applyFont="1" applyFill="1" applyBorder="1" applyAlignment="1">
      <alignment horizontal="center"/>
    </xf>
    <xf numFmtId="164" fontId="5" fillId="27" borderId="1" xfId="1" applyNumberFormat="1" applyFont="1" applyFill="1" applyBorder="1" applyAlignment="1">
      <alignment horizontal="center"/>
    </xf>
    <xf numFmtId="1" fontId="5" fillId="27" borderId="1" xfId="1" applyNumberFormat="1" applyFont="1" applyFill="1" applyBorder="1" applyAlignment="1">
      <alignment horizontal="center"/>
    </xf>
    <xf numFmtId="0" fontId="5" fillId="34" borderId="0" xfId="0" applyFont="1" applyFill="1"/>
    <xf numFmtId="14" fontId="5" fillId="31" borderId="1" xfId="0" applyNumberFormat="1" applyFont="1" applyFill="1" applyBorder="1" applyAlignment="1">
      <alignment horizontal="left"/>
    </xf>
    <xf numFmtId="0" fontId="5" fillId="31" borderId="1" xfId="0" applyFont="1" applyFill="1" applyBorder="1" applyAlignment="1">
      <alignment horizontal="left"/>
    </xf>
    <xf numFmtId="0" fontId="5" fillId="31" borderId="1" xfId="0" applyFont="1" applyFill="1" applyBorder="1" applyAlignment="1">
      <alignment horizontal="center"/>
    </xf>
    <xf numFmtId="164" fontId="5" fillId="31" borderId="1" xfId="1" applyNumberFormat="1" applyFont="1" applyFill="1" applyBorder="1" applyAlignment="1">
      <alignment horizontal="center"/>
    </xf>
    <xf numFmtId="0" fontId="5" fillId="31" borderId="1" xfId="0" applyFont="1" applyFill="1" applyBorder="1" applyAlignment="1">
      <alignment horizontal="center" wrapText="1"/>
    </xf>
    <xf numFmtId="44" fontId="5" fillId="31" borderId="1" xfId="1" applyFont="1" applyFill="1" applyBorder="1" applyAlignment="1">
      <alignment horizontal="left"/>
    </xf>
    <xf numFmtId="49" fontId="5" fillId="31" borderId="1" xfId="0" applyNumberFormat="1" applyFont="1" applyFill="1" applyBorder="1" applyAlignment="1">
      <alignment horizontal="left"/>
    </xf>
    <xf numFmtId="0" fontId="5" fillId="6" borderId="1" xfId="0" applyFont="1" applyFill="1" applyBorder="1" applyAlignment="1">
      <alignment horizontal="center" vertical="center"/>
    </xf>
    <xf numFmtId="164" fontId="5" fillId="6" borderId="1" xfId="1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/>
    </xf>
    <xf numFmtId="14" fontId="5" fillId="10" borderId="1" xfId="0" applyNumberFormat="1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center" vertical="center"/>
    </xf>
    <xf numFmtId="164" fontId="5" fillId="10" borderId="1" xfId="1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44" fontId="5" fillId="10" borderId="1" xfId="1" applyFont="1" applyFill="1" applyBorder="1" applyAlignment="1">
      <alignment horizontal="left" vertical="center"/>
    </xf>
    <xf numFmtId="49" fontId="5" fillId="10" borderId="1" xfId="0" applyNumberFormat="1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left" vertical="center" wrapText="1"/>
    </xf>
    <xf numFmtId="0" fontId="5" fillId="20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14" fontId="5" fillId="12" borderId="1" xfId="0" applyNumberFormat="1" applyFont="1" applyFill="1" applyBorder="1" applyAlignment="1">
      <alignment horizontal="left" vertical="center"/>
    </xf>
    <xf numFmtId="0" fontId="5" fillId="12" borderId="1" xfId="0" applyFont="1" applyFill="1" applyBorder="1" applyAlignment="1">
      <alignment horizontal="left" vertical="center"/>
    </xf>
    <xf numFmtId="0" fontId="5" fillId="12" borderId="1" xfId="0" applyFont="1" applyFill="1" applyBorder="1" applyAlignment="1">
      <alignment horizontal="center" vertical="center"/>
    </xf>
    <xf numFmtId="164" fontId="5" fillId="12" borderId="1" xfId="1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 wrapText="1"/>
    </xf>
    <xf numFmtId="44" fontId="5" fillId="12" borderId="1" xfId="1" applyFont="1" applyFill="1" applyBorder="1" applyAlignment="1">
      <alignment horizontal="left" vertical="center"/>
    </xf>
    <xf numFmtId="49" fontId="5" fillId="12" borderId="1" xfId="0" applyNumberFormat="1" applyFont="1" applyFill="1" applyBorder="1" applyAlignment="1">
      <alignment horizontal="left" vertical="center"/>
    </xf>
    <xf numFmtId="0" fontId="5" fillId="12" borderId="1" xfId="0" applyFont="1" applyFill="1" applyBorder="1" applyAlignment="1">
      <alignment horizontal="left" vertical="center" wrapText="1"/>
    </xf>
    <xf numFmtId="164" fontId="5" fillId="3" borderId="1" xfId="1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5" fillId="19" borderId="1" xfId="0" applyFont="1" applyFill="1" applyBorder="1" applyAlignment="1">
      <alignment horizontal="center" vertical="center" wrapText="1"/>
    </xf>
    <xf numFmtId="1" fontId="5" fillId="19" borderId="1" xfId="1" applyNumberFormat="1" applyFont="1" applyFill="1" applyBorder="1" applyAlignment="1">
      <alignment horizontal="center"/>
    </xf>
    <xf numFmtId="0" fontId="5" fillId="23" borderId="1" xfId="0" applyFont="1" applyFill="1" applyBorder="1" applyAlignment="1">
      <alignment horizontal="left" wrapText="1"/>
    </xf>
    <xf numFmtId="3" fontId="5" fillId="22" borderId="1" xfId="0" applyNumberFormat="1" applyFont="1" applyFill="1" applyBorder="1" applyAlignment="1">
      <alignment horizontal="center"/>
    </xf>
    <xf numFmtId="0" fontId="5" fillId="23" borderId="1" xfId="0" applyFont="1" applyFill="1" applyBorder="1" applyAlignment="1">
      <alignment horizontal="center" vertical="center" wrapText="1"/>
    </xf>
    <xf numFmtId="164" fontId="5" fillId="13" borderId="1" xfId="1" applyNumberFormat="1" applyFont="1" applyFill="1" applyBorder="1" applyAlignment="1">
      <alignment horizontal="center" wrapText="1"/>
    </xf>
    <xf numFmtId="164" fontId="5" fillId="2" borderId="1" xfId="1" applyNumberFormat="1" applyFont="1" applyFill="1" applyBorder="1" applyAlignment="1">
      <alignment horizontal="center" wrapText="1"/>
    </xf>
    <xf numFmtId="164" fontId="5" fillId="18" borderId="1" xfId="1" applyNumberFormat="1" applyFont="1" applyFill="1" applyBorder="1" applyAlignment="1">
      <alignment horizontal="center" wrapText="1"/>
    </xf>
    <xf numFmtId="44" fontId="5" fillId="14" borderId="1" xfId="0" applyNumberFormat="1" applyFont="1" applyFill="1" applyBorder="1" applyAlignment="1">
      <alignment horizontal="left"/>
    </xf>
    <xf numFmtId="14" fontId="6" fillId="11" borderId="1" xfId="0" applyNumberFormat="1" applyFont="1" applyFill="1" applyBorder="1" applyAlignment="1">
      <alignment horizontal="left"/>
    </xf>
    <xf numFmtId="0" fontId="6" fillId="11" borderId="1" xfId="0" applyFont="1" applyFill="1" applyBorder="1" applyAlignment="1">
      <alignment horizontal="left"/>
    </xf>
    <xf numFmtId="0" fontId="6" fillId="11" borderId="1" xfId="0" applyFont="1" applyFill="1" applyBorder="1" applyAlignment="1">
      <alignment horizontal="center"/>
    </xf>
    <xf numFmtId="164" fontId="6" fillId="11" borderId="1" xfId="1" applyNumberFormat="1" applyFont="1" applyFill="1" applyBorder="1" applyAlignment="1">
      <alignment horizontal="center"/>
    </xf>
    <xf numFmtId="1" fontId="6" fillId="11" borderId="1" xfId="1" applyNumberFormat="1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 wrapText="1"/>
    </xf>
    <xf numFmtId="44" fontId="6" fillId="11" borderId="1" xfId="1" applyFont="1" applyFill="1" applyBorder="1" applyAlignment="1">
      <alignment horizontal="left"/>
    </xf>
    <xf numFmtId="44" fontId="6" fillId="11" borderId="1" xfId="0" applyNumberFormat="1" applyFont="1" applyFill="1" applyBorder="1" applyAlignment="1">
      <alignment horizontal="left"/>
    </xf>
    <xf numFmtId="49" fontId="6" fillId="11" borderId="1" xfId="0" applyNumberFormat="1" applyFont="1" applyFill="1" applyBorder="1" applyAlignment="1">
      <alignment horizontal="left"/>
    </xf>
    <xf numFmtId="14" fontId="6" fillId="22" borderId="1" xfId="0" applyNumberFormat="1" applyFont="1" applyFill="1" applyBorder="1" applyAlignment="1">
      <alignment horizontal="left"/>
    </xf>
    <xf numFmtId="0" fontId="6" fillId="22" borderId="1" xfId="0" applyFont="1" applyFill="1" applyBorder="1" applyAlignment="1">
      <alignment horizontal="left"/>
    </xf>
    <xf numFmtId="0" fontId="6" fillId="22" borderId="1" xfId="0" applyFont="1" applyFill="1" applyBorder="1" applyAlignment="1">
      <alignment horizontal="center"/>
    </xf>
    <xf numFmtId="164" fontId="6" fillId="22" borderId="1" xfId="1" applyNumberFormat="1" applyFont="1" applyFill="1" applyBorder="1" applyAlignment="1">
      <alignment horizontal="center"/>
    </xf>
    <xf numFmtId="1" fontId="6" fillId="22" borderId="1" xfId="1" applyNumberFormat="1" applyFont="1" applyFill="1" applyBorder="1" applyAlignment="1">
      <alignment horizontal="center"/>
    </xf>
    <xf numFmtId="0" fontId="6" fillId="22" borderId="1" xfId="0" applyFont="1" applyFill="1" applyBorder="1" applyAlignment="1">
      <alignment horizontal="center" wrapText="1"/>
    </xf>
    <xf numFmtId="44" fontId="6" fillId="22" borderId="1" xfId="1" applyFont="1" applyFill="1" applyBorder="1" applyAlignment="1">
      <alignment horizontal="left"/>
    </xf>
    <xf numFmtId="49" fontId="6" fillId="22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11" borderId="1" xfId="0" applyFont="1" applyFill="1" applyBorder="1" applyAlignment="1">
      <alignment horizontal="center" vertical="center"/>
    </xf>
    <xf numFmtId="164" fontId="5" fillId="11" borderId="1" xfId="1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/>
    </xf>
    <xf numFmtId="0" fontId="5" fillId="11" borderId="1" xfId="0" applyFont="1" applyFill="1" applyBorder="1" applyAlignment="1">
      <alignment horizontal="left" vertical="center" wrapText="1"/>
    </xf>
    <xf numFmtId="0" fontId="10" fillId="18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wrapText="1"/>
    </xf>
    <xf numFmtId="164" fontId="5" fillId="12" borderId="1" xfId="1" applyNumberFormat="1" applyFont="1" applyFill="1" applyBorder="1"/>
    <xf numFmtId="164" fontId="5" fillId="30" borderId="1" xfId="1" applyNumberFormat="1" applyFont="1" applyFill="1" applyBorder="1"/>
    <xf numFmtId="0" fontId="5" fillId="23" borderId="0" xfId="0" applyFont="1" applyFill="1"/>
    <xf numFmtId="0" fontId="5" fillId="32" borderId="1" xfId="0" applyFont="1" applyFill="1" applyBorder="1" applyAlignment="1">
      <alignment horizontal="center" wrapText="1"/>
    </xf>
    <xf numFmtId="164" fontId="5" fillId="32" borderId="1" xfId="1" applyNumberFormat="1" applyFont="1" applyFill="1" applyBorder="1" applyAlignment="1">
      <alignment horizontal="center" wrapText="1"/>
    </xf>
    <xf numFmtId="164" fontId="5" fillId="23" borderId="1" xfId="1" applyNumberFormat="1" applyFont="1" applyFill="1" applyBorder="1" applyAlignment="1">
      <alignment horizontal="center" wrapText="1"/>
    </xf>
    <xf numFmtId="14" fontId="5" fillId="15" borderId="1" xfId="0" applyNumberFormat="1" applyFont="1" applyFill="1" applyBorder="1" applyAlignment="1">
      <alignment horizontal="left"/>
    </xf>
    <xf numFmtId="0" fontId="5" fillId="15" borderId="1" xfId="0" applyFont="1" applyFill="1" applyBorder="1" applyAlignment="1">
      <alignment horizontal="left"/>
    </xf>
    <xf numFmtId="0" fontId="5" fillId="15" borderId="1" xfId="0" applyFont="1" applyFill="1" applyBorder="1" applyAlignment="1">
      <alignment horizontal="center"/>
    </xf>
    <xf numFmtId="164" fontId="5" fillId="15" borderId="1" xfId="1" applyNumberFormat="1" applyFont="1" applyFill="1" applyBorder="1" applyAlignment="1">
      <alignment horizontal="center"/>
    </xf>
    <xf numFmtId="1" fontId="5" fillId="15" borderId="1" xfId="1" applyNumberFormat="1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 wrapText="1"/>
    </xf>
    <xf numFmtId="44" fontId="5" fillId="15" borderId="1" xfId="1" applyFont="1" applyFill="1" applyBorder="1" applyAlignment="1">
      <alignment horizontal="left"/>
    </xf>
    <xf numFmtId="49" fontId="5" fillId="15" borderId="1" xfId="0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1" fontId="5" fillId="0" borderId="0" xfId="1" applyNumberFormat="1" applyFont="1" applyAlignment="1">
      <alignment horizontal="center"/>
    </xf>
    <xf numFmtId="14" fontId="5" fillId="0" borderId="0" xfId="0" applyNumberFormat="1" applyFont="1" applyAlignment="1">
      <alignment horizontal="left"/>
    </xf>
    <xf numFmtId="44" fontId="5" fillId="0" borderId="0" xfId="1" applyFont="1" applyAlignment="1">
      <alignment horizontal="left"/>
    </xf>
    <xf numFmtId="49" fontId="5" fillId="0" borderId="0" xfId="0" applyNumberFormat="1" applyFont="1" applyAlignment="1">
      <alignment horizontal="left"/>
    </xf>
    <xf numFmtId="14" fontId="5" fillId="12" borderId="1" xfId="0" applyNumberFormat="1" applyFont="1" applyFill="1" applyBorder="1" applyAlignment="1">
      <alignment horizontal="left" vertical="center" wrapText="1"/>
    </xf>
    <xf numFmtId="14" fontId="5" fillId="22" borderId="1" xfId="0" applyNumberFormat="1" applyFont="1" applyFill="1" applyBorder="1" applyAlignment="1">
      <alignment horizontal="left" vertical="center" wrapText="1"/>
    </xf>
    <xf numFmtId="164" fontId="5" fillId="10" borderId="1" xfId="1" applyNumberFormat="1" applyFont="1" applyFill="1" applyBorder="1" applyAlignment="1">
      <alignment horizontal="center" wrapText="1"/>
    </xf>
    <xf numFmtId="14" fontId="5" fillId="9" borderId="1" xfId="0" applyNumberFormat="1" applyFont="1" applyFill="1" applyBorder="1" applyAlignment="1">
      <alignment horizontal="left" vertical="center" wrapText="1"/>
    </xf>
    <xf numFmtId="14" fontId="5" fillId="18" borderId="1" xfId="0" applyNumberFormat="1" applyFont="1" applyFill="1" applyBorder="1" applyAlignment="1">
      <alignment horizontal="left" vertical="center" wrapText="1"/>
    </xf>
    <xf numFmtId="0" fontId="5" fillId="18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left" vertical="center" wrapText="1"/>
    </xf>
    <xf numFmtId="14" fontId="5" fillId="20" borderId="1" xfId="0" applyNumberFormat="1" applyFont="1" applyFill="1" applyBorder="1" applyAlignment="1">
      <alignment horizontal="left" vertical="center" wrapText="1"/>
    </xf>
    <xf numFmtId="14" fontId="5" fillId="4" borderId="1" xfId="0" applyNumberFormat="1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center" wrapText="1"/>
    </xf>
    <xf numFmtId="14" fontId="5" fillId="4" borderId="2" xfId="0" applyNumberFormat="1" applyFont="1" applyFill="1" applyBorder="1" applyAlignment="1">
      <alignment horizontal="left"/>
    </xf>
    <xf numFmtId="0" fontId="5" fillId="28" borderId="6" xfId="0" applyFont="1" applyFill="1" applyBorder="1" applyAlignment="1">
      <alignment horizontal="center" wrapText="1"/>
    </xf>
    <xf numFmtId="0" fontId="5" fillId="28" borderId="6" xfId="0" applyFont="1" applyFill="1" applyBorder="1" applyAlignment="1">
      <alignment horizontal="center"/>
    </xf>
    <xf numFmtId="164" fontId="5" fillId="28" borderId="6" xfId="1" applyNumberFormat="1" applyFont="1" applyFill="1" applyBorder="1" applyAlignment="1">
      <alignment horizontal="center" wrapText="1"/>
    </xf>
    <xf numFmtId="0" fontId="5" fillId="12" borderId="6" xfId="0" applyFont="1" applyFill="1" applyBorder="1" applyAlignment="1">
      <alignment horizontal="center"/>
    </xf>
    <xf numFmtId="0" fontId="5" fillId="19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28" borderId="7" xfId="0" applyFont="1" applyFill="1" applyBorder="1" applyAlignment="1">
      <alignment horizontal="center" wrapText="1"/>
    </xf>
    <xf numFmtId="0" fontId="6" fillId="11" borderId="0" xfId="0" applyFont="1" applyFill="1" applyAlignment="1">
      <alignment horizontal="center"/>
    </xf>
    <xf numFmtId="0" fontId="5" fillId="25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5" fillId="16" borderId="4" xfId="0" applyFont="1" applyFill="1" applyBorder="1" applyAlignment="1">
      <alignment horizontal="center" wrapText="1"/>
    </xf>
    <xf numFmtId="0" fontId="5" fillId="12" borderId="0" xfId="0" applyFont="1" applyFill="1" applyAlignment="1">
      <alignment horizontal="center" wrapText="1"/>
    </xf>
    <xf numFmtId="0" fontId="5" fillId="25" borderId="0" xfId="0" applyFont="1" applyFill="1" applyAlignment="1">
      <alignment horizontal="center" wrapText="1"/>
    </xf>
    <xf numFmtId="0" fontId="5" fillId="16" borderId="6" xfId="0" applyFont="1" applyFill="1" applyBorder="1" applyAlignment="1">
      <alignment horizontal="left" wrapText="1"/>
    </xf>
    <xf numFmtId="0" fontId="5" fillId="12" borderId="0" xfId="0" applyFont="1" applyFill="1" applyAlignment="1">
      <alignment horizontal="left"/>
    </xf>
    <xf numFmtId="0" fontId="5" fillId="16" borderId="0" xfId="0" applyFont="1" applyFill="1" applyAlignment="1">
      <alignment horizontal="left"/>
    </xf>
    <xf numFmtId="49" fontId="5" fillId="4" borderId="0" xfId="0" applyNumberFormat="1" applyFont="1" applyFill="1" applyAlignment="1">
      <alignment horizontal="left"/>
    </xf>
    <xf numFmtId="0" fontId="5" fillId="14" borderId="0" xfId="0" applyFont="1" applyFill="1" applyAlignment="1">
      <alignment horizontal="left"/>
    </xf>
    <xf numFmtId="14" fontId="5" fillId="28" borderId="0" xfId="0" applyNumberFormat="1" applyFont="1" applyFill="1" applyAlignment="1">
      <alignment horizontal="left"/>
    </xf>
    <xf numFmtId="0" fontId="5" fillId="28" borderId="0" xfId="0" applyFont="1" applyFill="1" applyAlignment="1">
      <alignment horizontal="left"/>
    </xf>
    <xf numFmtId="0" fontId="5" fillId="23" borderId="2" xfId="0" applyFont="1" applyFill="1" applyBorder="1" applyAlignment="1">
      <alignment horizontal="left" wrapText="1"/>
    </xf>
    <xf numFmtId="0" fontId="5" fillId="23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164" fontId="5" fillId="23" borderId="2" xfId="1" applyNumberFormat="1" applyFont="1" applyFill="1" applyBorder="1" applyAlignment="1">
      <alignment horizontal="center" wrapText="1"/>
    </xf>
    <xf numFmtId="164" fontId="5" fillId="2" borderId="2" xfId="1" applyNumberFormat="1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/>
    </xf>
    <xf numFmtId="0" fontId="12" fillId="22" borderId="1" xfId="0" applyFont="1" applyFill="1" applyBorder="1" applyAlignment="1">
      <alignment horizontal="left"/>
    </xf>
    <xf numFmtId="164" fontId="5" fillId="15" borderId="1" xfId="1" applyNumberFormat="1" applyFont="1" applyFill="1" applyBorder="1" applyAlignment="1">
      <alignment horizontal="center" wrapText="1"/>
    </xf>
    <xf numFmtId="0" fontId="5" fillId="15" borderId="6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left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7" fontId="5" fillId="0" borderId="1" xfId="0" applyNumberFormat="1" applyFont="1" applyBorder="1" applyAlignment="1">
      <alignment horizontal="left"/>
    </xf>
    <xf numFmtId="167" fontId="5" fillId="4" borderId="1" xfId="0" applyNumberFormat="1" applyFont="1" applyFill="1" applyBorder="1" applyAlignment="1">
      <alignment horizontal="left"/>
    </xf>
    <xf numFmtId="167" fontId="5" fillId="30" borderId="1" xfId="0" applyNumberFormat="1" applyFont="1" applyFill="1" applyBorder="1" applyAlignment="1">
      <alignment horizontal="left"/>
    </xf>
    <xf numFmtId="167" fontId="5" fillId="5" borderId="1" xfId="0" applyNumberFormat="1" applyFont="1" applyFill="1" applyBorder="1" applyAlignment="1">
      <alignment horizontal="left"/>
    </xf>
    <xf numFmtId="0" fontId="13" fillId="7" borderId="1" xfId="0" applyFont="1" applyFill="1" applyBorder="1" applyAlignment="1">
      <alignment horizontal="left" wrapText="1"/>
    </xf>
    <xf numFmtId="0" fontId="4" fillId="7" borderId="1" xfId="0" applyFont="1" applyFill="1" applyBorder="1" applyAlignment="1">
      <alignment horizontal="left" wrapText="1"/>
    </xf>
    <xf numFmtId="0" fontId="4" fillId="7" borderId="1" xfId="0" applyFont="1" applyFill="1" applyBorder="1" applyAlignment="1">
      <alignment horizontal="center" wrapText="1"/>
    </xf>
    <xf numFmtId="164" fontId="4" fillId="7" borderId="1" xfId="1" applyNumberFormat="1" applyFont="1" applyFill="1" applyBorder="1" applyAlignment="1">
      <alignment horizontal="center" wrapText="1"/>
    </xf>
    <xf numFmtId="0" fontId="13" fillId="20" borderId="1" xfId="0" applyFont="1" applyFill="1" applyBorder="1" applyAlignment="1">
      <alignment horizontal="left" wrapText="1"/>
    </xf>
    <xf numFmtId="0" fontId="4" fillId="20" borderId="1" xfId="0" applyFont="1" applyFill="1" applyBorder="1" applyAlignment="1">
      <alignment horizontal="left" wrapText="1"/>
    </xf>
    <xf numFmtId="0" fontId="4" fillId="20" borderId="1" xfId="0" applyFont="1" applyFill="1" applyBorder="1" applyAlignment="1">
      <alignment horizontal="center" wrapText="1"/>
    </xf>
    <xf numFmtId="164" fontId="4" fillId="20" borderId="1" xfId="1" applyNumberFormat="1" applyFont="1" applyFill="1" applyBorder="1" applyAlignment="1">
      <alignment horizontal="center" wrapText="1"/>
    </xf>
    <xf numFmtId="0" fontId="13" fillId="14" borderId="1" xfId="0" applyFont="1" applyFill="1" applyBorder="1" applyAlignment="1">
      <alignment horizontal="left" wrapText="1"/>
    </xf>
    <xf numFmtId="0" fontId="4" fillId="14" borderId="1" xfId="0" applyFont="1" applyFill="1" applyBorder="1" applyAlignment="1">
      <alignment horizontal="left" wrapText="1"/>
    </xf>
    <xf numFmtId="0" fontId="4" fillId="14" borderId="1" xfId="0" applyFont="1" applyFill="1" applyBorder="1" applyAlignment="1">
      <alignment horizontal="center" wrapText="1"/>
    </xf>
    <xf numFmtId="164" fontId="4" fillId="14" borderId="1" xfId="1" applyNumberFormat="1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center" wrapText="1"/>
    </xf>
    <xf numFmtId="164" fontId="4" fillId="5" borderId="1" xfId="1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wrapText="1"/>
    </xf>
    <xf numFmtId="164" fontId="4" fillId="4" borderId="1" xfId="1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164" fontId="4" fillId="0" borderId="1" xfId="1" applyNumberFormat="1" applyFont="1" applyFill="1" applyBorder="1" applyAlignment="1">
      <alignment horizontal="center" wrapText="1"/>
    </xf>
    <xf numFmtId="0" fontId="13" fillId="13" borderId="1" xfId="0" applyFont="1" applyFill="1" applyBorder="1" applyAlignment="1">
      <alignment horizontal="left" wrapText="1"/>
    </xf>
    <xf numFmtId="0" fontId="4" fillId="13" borderId="1" xfId="0" applyFont="1" applyFill="1" applyBorder="1" applyAlignment="1">
      <alignment horizontal="left" wrapText="1"/>
    </xf>
    <xf numFmtId="0" fontId="4" fillId="13" borderId="1" xfId="0" applyFont="1" applyFill="1" applyBorder="1" applyAlignment="1">
      <alignment horizontal="center" wrapText="1"/>
    </xf>
    <xf numFmtId="164" fontId="4" fillId="13" borderId="1" xfId="1" applyNumberFormat="1" applyFont="1" applyFill="1" applyBorder="1" applyAlignment="1">
      <alignment horizontal="center" wrapText="1"/>
    </xf>
    <xf numFmtId="0" fontId="13" fillId="12" borderId="1" xfId="0" applyFont="1" applyFill="1" applyBorder="1" applyAlignment="1">
      <alignment horizontal="left" wrapText="1"/>
    </xf>
    <xf numFmtId="0" fontId="4" fillId="12" borderId="1" xfId="0" applyFont="1" applyFill="1" applyBorder="1" applyAlignment="1">
      <alignment horizontal="left" wrapText="1"/>
    </xf>
    <xf numFmtId="0" fontId="4" fillId="12" borderId="1" xfId="0" applyFont="1" applyFill="1" applyBorder="1" applyAlignment="1">
      <alignment horizontal="center" wrapText="1"/>
    </xf>
    <xf numFmtId="164" fontId="4" fillId="12" borderId="1" xfId="1" applyNumberFormat="1" applyFont="1" applyFill="1" applyBorder="1" applyAlignment="1">
      <alignment horizontal="center" wrapText="1"/>
    </xf>
    <xf numFmtId="0" fontId="13" fillId="22" borderId="1" xfId="0" applyFont="1" applyFill="1" applyBorder="1" applyAlignment="1">
      <alignment horizontal="left" wrapText="1"/>
    </xf>
    <xf numFmtId="0" fontId="4" fillId="22" borderId="1" xfId="0" applyFont="1" applyFill="1" applyBorder="1" applyAlignment="1">
      <alignment horizontal="left" wrapText="1"/>
    </xf>
    <xf numFmtId="0" fontId="4" fillId="22" borderId="1" xfId="0" applyFont="1" applyFill="1" applyBorder="1" applyAlignment="1">
      <alignment horizontal="center" wrapText="1"/>
    </xf>
    <xf numFmtId="164" fontId="4" fillId="22" borderId="1" xfId="1" applyNumberFormat="1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left" wrapText="1"/>
    </xf>
    <xf numFmtId="167" fontId="5" fillId="18" borderId="1" xfId="0" applyNumberFormat="1" applyFont="1" applyFill="1" applyBorder="1" applyAlignment="1">
      <alignment horizontal="left"/>
    </xf>
    <xf numFmtId="167" fontId="5" fillId="12" borderId="1" xfId="0" applyNumberFormat="1" applyFont="1" applyFill="1" applyBorder="1" applyAlignment="1">
      <alignment horizontal="left"/>
    </xf>
    <xf numFmtId="167" fontId="5" fillId="2" borderId="1" xfId="0" applyNumberFormat="1" applyFont="1" applyFill="1" applyBorder="1" applyAlignment="1">
      <alignment horizontal="left"/>
    </xf>
    <xf numFmtId="164" fontId="5" fillId="32" borderId="1" xfId="1" applyNumberFormat="1" applyFont="1" applyFill="1" applyBorder="1" applyAlignment="1">
      <alignment horizontal="center"/>
    </xf>
    <xf numFmtId="1" fontId="5" fillId="32" borderId="1" xfId="1" applyNumberFormat="1" applyFont="1" applyFill="1" applyBorder="1" applyAlignment="1">
      <alignment horizontal="center"/>
    </xf>
    <xf numFmtId="167" fontId="5" fillId="32" borderId="1" xfId="0" applyNumberFormat="1" applyFont="1" applyFill="1" applyBorder="1" applyAlignment="1">
      <alignment horizontal="left"/>
    </xf>
    <xf numFmtId="167" fontId="5" fillId="20" borderId="1" xfId="0" applyNumberFormat="1" applyFont="1" applyFill="1" applyBorder="1" applyAlignment="1">
      <alignment horizontal="left"/>
    </xf>
    <xf numFmtId="167" fontId="8" fillId="2" borderId="3" xfId="0" applyNumberFormat="1" applyFont="1" applyFill="1" applyBorder="1" applyAlignment="1">
      <alignment horizontal="left" wrapText="1"/>
    </xf>
    <xf numFmtId="167" fontId="5" fillId="3" borderId="2" xfId="0" applyNumberFormat="1" applyFont="1" applyFill="1" applyBorder="1" applyAlignment="1">
      <alignment horizontal="left"/>
    </xf>
    <xf numFmtId="167" fontId="5" fillId="3" borderId="1" xfId="0" applyNumberFormat="1" applyFont="1" applyFill="1" applyBorder="1" applyAlignment="1">
      <alignment horizontal="left"/>
    </xf>
    <xf numFmtId="167" fontId="5" fillId="16" borderId="1" xfId="0" applyNumberFormat="1" applyFont="1" applyFill="1" applyBorder="1" applyAlignment="1">
      <alignment horizontal="left"/>
    </xf>
    <xf numFmtId="167" fontId="5" fillId="6" borderId="1" xfId="0" applyNumberFormat="1" applyFont="1" applyFill="1" applyBorder="1" applyAlignment="1">
      <alignment horizontal="left"/>
    </xf>
    <xf numFmtId="167" fontId="5" fillId="8" borderId="1" xfId="0" applyNumberFormat="1" applyFont="1" applyFill="1" applyBorder="1" applyAlignment="1">
      <alignment horizontal="left"/>
    </xf>
    <xf numFmtId="167" fontId="5" fillId="7" borderId="1" xfId="0" applyNumberFormat="1" applyFont="1" applyFill="1" applyBorder="1" applyAlignment="1">
      <alignment horizontal="left"/>
    </xf>
    <xf numFmtId="167" fontId="5" fillId="10" borderId="1" xfId="0" applyNumberFormat="1" applyFont="1" applyFill="1" applyBorder="1" applyAlignment="1">
      <alignment horizontal="left"/>
    </xf>
    <xf numFmtId="167" fontId="5" fillId="16" borderId="1" xfId="0" applyNumberFormat="1" applyFont="1" applyFill="1" applyBorder="1" applyAlignment="1">
      <alignment horizontal="left" vertical="center" wrapText="1"/>
    </xf>
    <xf numFmtId="167" fontId="5" fillId="11" borderId="1" xfId="0" applyNumberFormat="1" applyFont="1" applyFill="1" applyBorder="1" applyAlignment="1">
      <alignment horizontal="left"/>
    </xf>
    <xf numFmtId="167" fontId="5" fillId="16" borderId="1" xfId="0" applyNumberFormat="1" applyFont="1" applyFill="1" applyBorder="1" applyAlignment="1">
      <alignment horizontal="left" wrapText="1"/>
    </xf>
    <xf numFmtId="167" fontId="5" fillId="15" borderId="1" xfId="0" applyNumberFormat="1" applyFont="1" applyFill="1" applyBorder="1" applyAlignment="1">
      <alignment horizontal="left" wrapText="1"/>
    </xf>
    <xf numFmtId="167" fontId="5" fillId="14" borderId="1" xfId="0" applyNumberFormat="1" applyFont="1" applyFill="1" applyBorder="1" applyAlignment="1">
      <alignment horizontal="left"/>
    </xf>
    <xf numFmtId="167" fontId="5" fillId="16" borderId="0" xfId="0" applyNumberFormat="1" applyFont="1" applyFill="1" applyAlignment="1">
      <alignment horizontal="left"/>
    </xf>
    <xf numFmtId="167" fontId="5" fillId="9" borderId="1" xfId="0" applyNumberFormat="1" applyFont="1" applyFill="1" applyBorder="1" applyAlignment="1">
      <alignment horizontal="left"/>
    </xf>
    <xf numFmtId="167" fontId="5" fillId="13" borderId="1" xfId="0" applyNumberFormat="1" applyFont="1" applyFill="1" applyBorder="1" applyAlignment="1">
      <alignment horizontal="left"/>
    </xf>
    <xf numFmtId="167" fontId="6" fillId="20" borderId="1" xfId="0" applyNumberFormat="1" applyFont="1" applyFill="1" applyBorder="1" applyAlignment="1">
      <alignment horizontal="left"/>
    </xf>
    <xf numFmtId="167" fontId="5" fillId="15" borderId="1" xfId="0" applyNumberFormat="1" applyFont="1" applyFill="1" applyBorder="1" applyAlignment="1">
      <alignment horizontal="left"/>
    </xf>
    <xf numFmtId="167" fontId="5" fillId="22" borderId="1" xfId="0" applyNumberFormat="1" applyFont="1" applyFill="1" applyBorder="1" applyAlignment="1">
      <alignment horizontal="left"/>
    </xf>
    <xf numFmtId="167" fontId="5" fillId="23" borderId="1" xfId="0" applyNumberFormat="1" applyFont="1" applyFill="1" applyBorder="1" applyAlignment="1">
      <alignment horizontal="left"/>
    </xf>
    <xf numFmtId="167" fontId="5" fillId="17" borderId="1" xfId="0" applyNumberFormat="1" applyFont="1" applyFill="1" applyBorder="1" applyAlignment="1">
      <alignment horizontal="left"/>
    </xf>
    <xf numFmtId="167" fontId="5" fillId="24" borderId="1" xfId="0" applyNumberFormat="1" applyFont="1" applyFill="1" applyBorder="1" applyAlignment="1">
      <alignment horizontal="left"/>
    </xf>
    <xf numFmtId="167" fontId="5" fillId="25" borderId="1" xfId="0" applyNumberFormat="1" applyFont="1" applyFill="1" applyBorder="1" applyAlignment="1">
      <alignment horizontal="left"/>
    </xf>
    <xf numFmtId="167" fontId="5" fillId="8" borderId="1" xfId="0" applyNumberFormat="1" applyFont="1" applyFill="1" applyBorder="1" applyAlignment="1">
      <alignment horizontal="left" wrapText="1"/>
    </xf>
    <xf numFmtId="167" fontId="5" fillId="26" borderId="1" xfId="0" applyNumberFormat="1" applyFont="1" applyFill="1" applyBorder="1" applyAlignment="1">
      <alignment horizontal="left"/>
    </xf>
    <xf numFmtId="167" fontId="5" fillId="27" borderId="1" xfId="0" applyNumberFormat="1" applyFont="1" applyFill="1" applyBorder="1" applyAlignment="1">
      <alignment horizontal="left"/>
    </xf>
    <xf numFmtId="167" fontId="5" fillId="28" borderId="1" xfId="0" applyNumberFormat="1" applyFont="1" applyFill="1" applyBorder="1" applyAlignment="1">
      <alignment horizontal="left"/>
    </xf>
    <xf numFmtId="167" fontId="5" fillId="21" borderId="1" xfId="0" applyNumberFormat="1" applyFont="1" applyFill="1" applyBorder="1" applyAlignment="1">
      <alignment horizontal="left"/>
    </xf>
    <xf numFmtId="167" fontId="5" fillId="29" borderId="1" xfId="0" applyNumberFormat="1" applyFont="1" applyFill="1" applyBorder="1" applyAlignment="1">
      <alignment horizontal="left"/>
    </xf>
    <xf numFmtId="167" fontId="5" fillId="11" borderId="0" xfId="0" applyNumberFormat="1" applyFont="1" applyFill="1" applyAlignment="1">
      <alignment horizontal="left"/>
    </xf>
    <xf numFmtId="167" fontId="5" fillId="20" borderId="1" xfId="0" applyNumberFormat="1" applyFont="1" applyFill="1" applyBorder="1" applyAlignment="1">
      <alignment horizontal="left" vertical="center" wrapText="1"/>
    </xf>
    <xf numFmtId="167" fontId="5" fillId="0" borderId="0" xfId="0" applyNumberFormat="1" applyFont="1" applyAlignment="1">
      <alignment horizontal="left"/>
    </xf>
    <xf numFmtId="167" fontId="5" fillId="20" borderId="1" xfId="0" applyNumberFormat="1" applyFont="1" applyFill="1" applyBorder="1" applyAlignment="1">
      <alignment horizontal="left" vertical="center"/>
    </xf>
    <xf numFmtId="167" fontId="5" fillId="31" borderId="1" xfId="0" applyNumberFormat="1" applyFont="1" applyFill="1" applyBorder="1" applyAlignment="1">
      <alignment horizontal="left"/>
    </xf>
    <xf numFmtId="167" fontId="5" fillId="13" borderId="1" xfId="0" applyNumberFormat="1" applyFont="1" applyFill="1" applyBorder="1" applyAlignment="1">
      <alignment horizontal="left" vertical="center" wrapText="1"/>
    </xf>
    <xf numFmtId="167" fontId="5" fillId="0" borderId="1" xfId="0" applyNumberFormat="1" applyFont="1" applyBorder="1" applyAlignment="1">
      <alignment horizontal="left" vertical="center" wrapText="1"/>
    </xf>
    <xf numFmtId="167" fontId="5" fillId="4" borderId="1" xfId="0" applyNumberFormat="1" applyFont="1" applyFill="1" applyBorder="1" applyAlignment="1">
      <alignment horizontal="left" vertical="center" wrapText="1"/>
    </xf>
    <xf numFmtId="167" fontId="5" fillId="32" borderId="1" xfId="0" applyNumberFormat="1" applyFont="1" applyFill="1" applyBorder="1" applyAlignment="1">
      <alignment horizontal="left" vertical="center" wrapText="1"/>
    </xf>
    <xf numFmtId="167" fontId="5" fillId="6" borderId="1" xfId="0" applyNumberFormat="1" applyFont="1" applyFill="1" applyBorder="1" applyAlignment="1">
      <alignment horizontal="left" vertical="center" wrapText="1"/>
    </xf>
    <xf numFmtId="167" fontId="5" fillId="7" borderId="1" xfId="0" applyNumberFormat="1" applyFont="1" applyFill="1" applyBorder="1" applyAlignment="1">
      <alignment horizontal="left" vertical="center" wrapText="1"/>
    </xf>
    <xf numFmtId="167" fontId="5" fillId="2" borderId="1" xfId="0" applyNumberFormat="1" applyFont="1" applyFill="1" applyBorder="1" applyAlignment="1">
      <alignment horizontal="left" vertical="center" wrapText="1"/>
    </xf>
    <xf numFmtId="167" fontId="5" fillId="14" borderId="1" xfId="0" applyNumberFormat="1" applyFont="1" applyFill="1" applyBorder="1" applyAlignment="1">
      <alignment horizontal="left" vertical="center" wrapText="1"/>
    </xf>
    <xf numFmtId="167" fontId="5" fillId="10" borderId="1" xfId="0" applyNumberFormat="1" applyFont="1" applyFill="1" applyBorder="1" applyAlignment="1">
      <alignment horizontal="left" vertical="center" wrapText="1"/>
    </xf>
    <xf numFmtId="167" fontId="5" fillId="6" borderId="0" xfId="0" applyNumberFormat="1" applyFont="1" applyFill="1" applyAlignment="1">
      <alignment horizontal="left" vertical="center" wrapText="1"/>
    </xf>
    <xf numFmtId="167" fontId="5" fillId="11" borderId="1" xfId="0" applyNumberFormat="1" applyFont="1" applyFill="1" applyBorder="1" applyAlignment="1">
      <alignment horizontal="left" vertical="center" wrapText="1"/>
    </xf>
    <xf numFmtId="167" fontId="5" fillId="0" borderId="1" xfId="0" applyNumberFormat="1" applyFont="1" applyBorder="1" applyAlignment="1">
      <alignment horizontal="left" wrapText="1"/>
    </xf>
    <xf numFmtId="167" fontId="5" fillId="12" borderId="1" xfId="0" applyNumberFormat="1" applyFont="1" applyFill="1" applyBorder="1" applyAlignment="1">
      <alignment horizontal="left" vertical="center" wrapText="1"/>
    </xf>
    <xf numFmtId="167" fontId="5" fillId="10" borderId="1" xfId="0" applyNumberFormat="1" applyFont="1" applyFill="1" applyBorder="1" applyAlignment="1">
      <alignment horizontal="left" wrapText="1"/>
    </xf>
    <xf numFmtId="167" fontId="5" fillId="9" borderId="1" xfId="0" applyNumberFormat="1" applyFont="1" applyFill="1" applyBorder="1" applyAlignment="1">
      <alignment horizontal="left" wrapText="1"/>
    </xf>
    <xf numFmtId="167" fontId="5" fillId="22" borderId="1" xfId="0" applyNumberFormat="1" applyFont="1" applyFill="1" applyBorder="1" applyAlignment="1">
      <alignment horizontal="left" wrapText="1"/>
    </xf>
    <xf numFmtId="167" fontId="5" fillId="30" borderId="1" xfId="0" applyNumberFormat="1" applyFont="1" applyFill="1" applyBorder="1" applyAlignment="1">
      <alignment horizontal="left" wrapText="1"/>
    </xf>
    <xf numFmtId="167" fontId="5" fillId="13" borderId="1" xfId="0" applyNumberFormat="1" applyFont="1" applyFill="1" applyBorder="1" applyAlignment="1">
      <alignment horizontal="left" wrapText="1"/>
    </xf>
    <xf numFmtId="167" fontId="5" fillId="20" borderId="1" xfId="0" applyNumberFormat="1" applyFont="1" applyFill="1" applyBorder="1" applyAlignment="1">
      <alignment horizontal="left" wrapText="1"/>
    </xf>
    <xf numFmtId="167" fontId="5" fillId="19" borderId="1" xfId="0" applyNumberFormat="1" applyFont="1" applyFill="1" applyBorder="1" applyAlignment="1">
      <alignment horizontal="left" wrapText="1"/>
    </xf>
    <xf numFmtId="167" fontId="5" fillId="14" borderId="1" xfId="0" applyNumberFormat="1" applyFont="1" applyFill="1" applyBorder="1" applyAlignment="1">
      <alignment horizontal="left" wrapText="1"/>
    </xf>
    <xf numFmtId="167" fontId="5" fillId="18" borderId="1" xfId="0" applyNumberFormat="1" applyFont="1" applyFill="1" applyBorder="1" applyAlignment="1">
      <alignment horizontal="left" wrapText="1"/>
    </xf>
    <xf numFmtId="167" fontId="5" fillId="3" borderId="1" xfId="0" applyNumberFormat="1" applyFont="1" applyFill="1" applyBorder="1" applyAlignment="1">
      <alignment horizontal="left" wrapText="1"/>
    </xf>
    <xf numFmtId="167" fontId="5" fillId="4" borderId="1" xfId="0" applyNumberFormat="1" applyFont="1" applyFill="1" applyBorder="1" applyAlignment="1">
      <alignment horizontal="left" wrapText="1"/>
    </xf>
    <xf numFmtId="167" fontId="5" fillId="12" borderId="1" xfId="0" applyNumberFormat="1" applyFont="1" applyFill="1" applyBorder="1" applyAlignment="1">
      <alignment horizontal="left" wrapText="1"/>
    </xf>
    <xf numFmtId="167" fontId="5" fillId="5" borderId="1" xfId="0" applyNumberFormat="1" applyFont="1" applyFill="1" applyBorder="1" applyAlignment="1">
      <alignment horizontal="left" wrapText="1"/>
    </xf>
    <xf numFmtId="167" fontId="5" fillId="11" borderId="1" xfId="0" applyNumberFormat="1" applyFont="1" applyFill="1" applyBorder="1" applyAlignment="1">
      <alignment horizontal="left" wrapText="1"/>
    </xf>
    <xf numFmtId="167" fontId="5" fillId="33" borderId="1" xfId="0" applyNumberFormat="1" applyFont="1" applyFill="1" applyBorder="1" applyAlignment="1">
      <alignment horizontal="left" wrapText="1"/>
    </xf>
    <xf numFmtId="167" fontId="5" fillId="28" borderId="1" xfId="0" applyNumberFormat="1" applyFont="1" applyFill="1" applyBorder="1" applyAlignment="1">
      <alignment horizontal="left" wrapText="1"/>
    </xf>
    <xf numFmtId="167" fontId="5" fillId="7" borderId="1" xfId="0" applyNumberFormat="1" applyFont="1" applyFill="1" applyBorder="1" applyAlignment="1">
      <alignment horizontal="left" wrapText="1"/>
    </xf>
    <xf numFmtId="167" fontId="5" fillId="34" borderId="1" xfId="0" applyNumberFormat="1" applyFont="1" applyFill="1" applyBorder="1" applyAlignment="1">
      <alignment horizontal="left"/>
    </xf>
    <xf numFmtId="167" fontId="5" fillId="2" borderId="1" xfId="0" applyNumberFormat="1" applyFont="1" applyFill="1" applyBorder="1" applyAlignment="1">
      <alignment horizontal="left" wrapText="1"/>
    </xf>
    <xf numFmtId="167" fontId="5" fillId="6" borderId="1" xfId="0" applyNumberFormat="1" applyFont="1" applyFill="1" applyBorder="1" applyAlignment="1">
      <alignment horizontal="left" wrapText="1"/>
    </xf>
    <xf numFmtId="167" fontId="5" fillId="32" borderId="1" xfId="0" applyNumberFormat="1" applyFont="1" applyFill="1" applyBorder="1" applyAlignment="1">
      <alignment horizontal="left" wrapText="1"/>
    </xf>
    <xf numFmtId="167" fontId="5" fillId="27" borderId="1" xfId="0" applyNumberFormat="1" applyFont="1" applyFill="1" applyBorder="1" applyAlignment="1">
      <alignment horizontal="left" wrapText="1"/>
    </xf>
    <xf numFmtId="167" fontId="5" fillId="17" borderId="1" xfId="0" applyNumberFormat="1" applyFont="1" applyFill="1" applyBorder="1" applyAlignment="1">
      <alignment horizontal="left" wrapText="1"/>
    </xf>
    <xf numFmtId="167" fontId="5" fillId="35" borderId="1" xfId="0" applyNumberFormat="1" applyFont="1" applyFill="1" applyBorder="1" applyAlignment="1">
      <alignment horizontal="left"/>
    </xf>
    <xf numFmtId="167" fontId="5" fillId="2" borderId="2" xfId="0" applyNumberFormat="1" applyFont="1" applyFill="1" applyBorder="1" applyAlignment="1">
      <alignment horizontal="left" wrapText="1"/>
    </xf>
    <xf numFmtId="167" fontId="5" fillId="23" borderId="1" xfId="0" applyNumberFormat="1" applyFont="1" applyFill="1" applyBorder="1" applyAlignment="1">
      <alignment horizontal="left" wrapText="1"/>
    </xf>
    <xf numFmtId="167" fontId="5" fillId="23" borderId="2" xfId="0" applyNumberFormat="1" applyFont="1" applyFill="1" applyBorder="1" applyAlignment="1">
      <alignment horizontal="left" wrapText="1"/>
    </xf>
    <xf numFmtId="167" fontId="4" fillId="22" borderId="1" xfId="0" applyNumberFormat="1" applyFont="1" applyFill="1" applyBorder="1" applyAlignment="1">
      <alignment horizontal="left" wrapText="1"/>
    </xf>
    <xf numFmtId="167" fontId="4" fillId="12" borderId="1" xfId="0" applyNumberFormat="1" applyFont="1" applyFill="1" applyBorder="1" applyAlignment="1">
      <alignment horizontal="left"/>
    </xf>
    <xf numFmtId="167" fontId="4" fillId="20" borderId="1" xfId="0" applyNumberFormat="1" applyFont="1" applyFill="1" applyBorder="1" applyAlignment="1">
      <alignment horizontal="left" wrapText="1"/>
    </xf>
    <xf numFmtId="167" fontId="4" fillId="13" borderId="1" xfId="0" applyNumberFormat="1" applyFont="1" applyFill="1" applyBorder="1" applyAlignment="1">
      <alignment horizontal="left" wrapText="1"/>
    </xf>
    <xf numFmtId="167" fontId="4" fillId="0" borderId="1" xfId="0" applyNumberFormat="1" applyFont="1" applyBorder="1" applyAlignment="1">
      <alignment horizontal="left" wrapText="1"/>
    </xf>
    <xf numFmtId="167" fontId="4" fillId="4" borderId="1" xfId="0" applyNumberFormat="1" applyFont="1" applyFill="1" applyBorder="1" applyAlignment="1">
      <alignment horizontal="left" wrapText="1"/>
    </xf>
    <xf numFmtId="167" fontId="4" fillId="2" borderId="1" xfId="0" applyNumberFormat="1" applyFont="1" applyFill="1" applyBorder="1" applyAlignment="1">
      <alignment horizontal="left" wrapText="1"/>
    </xf>
    <xf numFmtId="167" fontId="4" fillId="5" borderId="1" xfId="0" applyNumberFormat="1" applyFont="1" applyFill="1" applyBorder="1" applyAlignment="1">
      <alignment horizontal="left" wrapText="1"/>
    </xf>
    <xf numFmtId="167" fontId="4" fillId="14" borderId="1" xfId="0" applyNumberFormat="1" applyFont="1" applyFill="1" applyBorder="1" applyAlignment="1">
      <alignment horizontal="left" wrapText="1"/>
    </xf>
    <xf numFmtId="167" fontId="4" fillId="7" borderId="1" xfId="0" applyNumberFormat="1" applyFont="1" applyFill="1" applyBorder="1" applyAlignment="1">
      <alignment horizontal="left" wrapText="1"/>
    </xf>
    <xf numFmtId="168" fontId="8" fillId="2" borderId="3" xfId="0" applyNumberFormat="1" applyFont="1" applyFill="1" applyBorder="1" applyAlignment="1">
      <alignment horizontal="left" wrapText="1"/>
    </xf>
    <xf numFmtId="168" fontId="5" fillId="3" borderId="2" xfId="0" applyNumberFormat="1" applyFont="1" applyFill="1" applyBorder="1" applyAlignment="1">
      <alignment horizontal="left"/>
    </xf>
    <xf numFmtId="168" fontId="5" fillId="3" borderId="1" xfId="0" applyNumberFormat="1" applyFont="1" applyFill="1" applyBorder="1" applyAlignment="1">
      <alignment horizontal="left"/>
    </xf>
    <xf numFmtId="168" fontId="5" fillId="4" borderId="1" xfId="0" applyNumberFormat="1" applyFont="1" applyFill="1" applyBorder="1" applyAlignment="1">
      <alignment horizontal="left"/>
    </xf>
    <xf numFmtId="168" fontId="5" fillId="16" borderId="1" xfId="0" applyNumberFormat="1" applyFont="1" applyFill="1" applyBorder="1" applyAlignment="1">
      <alignment horizontal="left"/>
    </xf>
    <xf numFmtId="168" fontId="5" fillId="5" borderId="1" xfId="0" applyNumberFormat="1" applyFont="1" applyFill="1" applyBorder="1" applyAlignment="1">
      <alignment horizontal="left"/>
    </xf>
    <xf numFmtId="168" fontId="5" fillId="6" borderId="1" xfId="0" applyNumberFormat="1" applyFont="1" applyFill="1" applyBorder="1" applyAlignment="1">
      <alignment horizontal="left"/>
    </xf>
    <xf numFmtId="168" fontId="5" fillId="8" borderId="1" xfId="0" applyNumberFormat="1" applyFont="1" applyFill="1" applyBorder="1" applyAlignment="1">
      <alignment horizontal="left"/>
    </xf>
    <xf numFmtId="168" fontId="5" fillId="7" borderId="1" xfId="0" applyNumberFormat="1" applyFont="1" applyFill="1" applyBorder="1" applyAlignment="1">
      <alignment horizontal="left"/>
    </xf>
    <xf numFmtId="168" fontId="5" fillId="10" borderId="1" xfId="0" applyNumberFormat="1" applyFont="1" applyFill="1" applyBorder="1" applyAlignment="1">
      <alignment horizontal="left"/>
    </xf>
    <xf numFmtId="168" fontId="5" fillId="16" borderId="1" xfId="0" applyNumberFormat="1" applyFont="1" applyFill="1" applyBorder="1" applyAlignment="1">
      <alignment horizontal="left" vertical="center" wrapText="1"/>
    </xf>
    <xf numFmtId="168" fontId="5" fillId="11" borderId="1" xfId="0" applyNumberFormat="1" applyFont="1" applyFill="1" applyBorder="1" applyAlignment="1">
      <alignment horizontal="left"/>
    </xf>
    <xf numFmtId="168" fontId="5" fillId="16" borderId="4" xfId="0" applyNumberFormat="1" applyFont="1" applyFill="1" applyBorder="1" applyAlignment="1">
      <alignment horizontal="left" wrapText="1"/>
    </xf>
    <xf numFmtId="168" fontId="5" fillId="16" borderId="1" xfId="0" applyNumberFormat="1" applyFont="1" applyFill="1" applyBorder="1" applyAlignment="1">
      <alignment horizontal="left" wrapText="1"/>
    </xf>
    <xf numFmtId="168" fontId="5" fillId="15" borderId="1" xfId="0" applyNumberFormat="1" applyFont="1" applyFill="1" applyBorder="1" applyAlignment="1">
      <alignment horizontal="left" wrapText="1"/>
    </xf>
    <xf numFmtId="168" fontId="5" fillId="14" borderId="1" xfId="0" applyNumberFormat="1" applyFont="1" applyFill="1" applyBorder="1" applyAlignment="1">
      <alignment horizontal="left"/>
    </xf>
    <xf numFmtId="168" fontId="5" fillId="4" borderId="6" xfId="0" applyNumberFormat="1" applyFont="1" applyFill="1" applyBorder="1" applyAlignment="1">
      <alignment horizontal="left"/>
    </xf>
    <xf numFmtId="168" fontId="5" fillId="4" borderId="4" xfId="0" applyNumberFormat="1" applyFont="1" applyFill="1" applyBorder="1" applyAlignment="1">
      <alignment horizontal="left"/>
    </xf>
    <xf numFmtId="168" fontId="5" fillId="2" borderId="6" xfId="0" applyNumberFormat="1" applyFont="1" applyFill="1" applyBorder="1" applyAlignment="1">
      <alignment horizontal="left"/>
    </xf>
    <xf numFmtId="168" fontId="5" fillId="2" borderId="1" xfId="0" applyNumberFormat="1" applyFont="1" applyFill="1" applyBorder="1" applyAlignment="1">
      <alignment horizontal="left"/>
    </xf>
    <xf numFmtId="168" fontId="5" fillId="16" borderId="0" xfId="0" applyNumberFormat="1" applyFont="1" applyFill="1" applyAlignment="1">
      <alignment horizontal="left"/>
    </xf>
    <xf numFmtId="168" fontId="5" fillId="12" borderId="1" xfId="0" applyNumberFormat="1" applyFont="1" applyFill="1" applyBorder="1" applyAlignment="1">
      <alignment horizontal="left"/>
    </xf>
    <xf numFmtId="168" fontId="5" fillId="6" borderId="4" xfId="0" applyNumberFormat="1" applyFont="1" applyFill="1" applyBorder="1" applyAlignment="1">
      <alignment horizontal="left"/>
    </xf>
    <xf numFmtId="168" fontId="5" fillId="20" borderId="1" xfId="0" applyNumberFormat="1" applyFont="1" applyFill="1" applyBorder="1" applyAlignment="1">
      <alignment horizontal="left"/>
    </xf>
    <xf numFmtId="168" fontId="5" fillId="18" borderId="1" xfId="0" applyNumberFormat="1" applyFont="1" applyFill="1" applyBorder="1" applyAlignment="1">
      <alignment horizontal="left"/>
    </xf>
    <xf numFmtId="168" fontId="5" fillId="9" borderId="1" xfId="0" applyNumberFormat="1" applyFont="1" applyFill="1" applyBorder="1" applyAlignment="1">
      <alignment horizontal="left"/>
    </xf>
    <xf numFmtId="168" fontId="6" fillId="11" borderId="4" xfId="0" applyNumberFormat="1" applyFont="1" applyFill="1" applyBorder="1" applyAlignment="1">
      <alignment horizontal="left"/>
    </xf>
    <xf numFmtId="168" fontId="9" fillId="5" borderId="1" xfId="0" applyNumberFormat="1" applyFont="1" applyFill="1" applyBorder="1" applyAlignment="1">
      <alignment horizontal="left"/>
    </xf>
    <xf numFmtId="168" fontId="5" fillId="2" borderId="4" xfId="0" applyNumberFormat="1" applyFont="1" applyFill="1" applyBorder="1" applyAlignment="1">
      <alignment horizontal="left"/>
    </xf>
    <xf numFmtId="168" fontId="5" fillId="13" borderId="1" xfId="0" applyNumberFormat="1" applyFont="1" applyFill="1" applyBorder="1" applyAlignment="1">
      <alignment horizontal="left"/>
    </xf>
    <xf numFmtId="168" fontId="6" fillId="20" borderId="1" xfId="0" applyNumberFormat="1" applyFont="1" applyFill="1" applyBorder="1" applyAlignment="1">
      <alignment horizontal="left"/>
    </xf>
    <xf numFmtId="168" fontId="5" fillId="14" borderId="0" xfId="0" applyNumberFormat="1" applyFont="1" applyFill="1" applyAlignment="1">
      <alignment horizontal="left"/>
    </xf>
    <xf numFmtId="168" fontId="5" fillId="15" borderId="1" xfId="0" applyNumberFormat="1" applyFont="1" applyFill="1" applyBorder="1" applyAlignment="1">
      <alignment horizontal="left"/>
    </xf>
    <xf numFmtId="168" fontId="6" fillId="22" borderId="1" xfId="0" applyNumberFormat="1" applyFont="1" applyFill="1" applyBorder="1" applyAlignment="1">
      <alignment horizontal="left"/>
    </xf>
    <xf numFmtId="168" fontId="5" fillId="0" borderId="1" xfId="0" applyNumberFormat="1" applyFont="1" applyBorder="1" applyAlignment="1">
      <alignment horizontal="left"/>
    </xf>
    <xf numFmtId="168" fontId="5" fillId="22" borderId="1" xfId="0" applyNumberFormat="1" applyFont="1" applyFill="1" applyBorder="1" applyAlignment="1">
      <alignment horizontal="left"/>
    </xf>
    <xf numFmtId="168" fontId="5" fillId="23" borderId="1" xfId="0" applyNumberFormat="1" applyFont="1" applyFill="1" applyBorder="1" applyAlignment="1">
      <alignment horizontal="left"/>
    </xf>
    <xf numFmtId="168" fontId="5" fillId="20" borderId="0" xfId="0" applyNumberFormat="1" applyFont="1" applyFill="1" applyAlignment="1">
      <alignment horizontal="left"/>
    </xf>
    <xf numFmtId="168" fontId="5" fillId="17" borderId="1" xfId="0" applyNumberFormat="1" applyFont="1" applyFill="1" applyBorder="1" applyAlignment="1">
      <alignment horizontal="left"/>
    </xf>
    <xf numFmtId="168" fontId="5" fillId="24" borderId="1" xfId="0" applyNumberFormat="1" applyFont="1" applyFill="1" applyBorder="1" applyAlignment="1">
      <alignment horizontal="left"/>
    </xf>
    <xf numFmtId="168" fontId="5" fillId="25" borderId="1" xfId="0" applyNumberFormat="1" applyFont="1" applyFill="1" applyBorder="1" applyAlignment="1">
      <alignment horizontal="left"/>
    </xf>
    <xf numFmtId="168" fontId="5" fillId="8" borderId="1" xfId="0" applyNumberFormat="1" applyFont="1" applyFill="1" applyBorder="1" applyAlignment="1">
      <alignment horizontal="left" wrapText="1"/>
    </xf>
    <xf numFmtId="168" fontId="5" fillId="26" borderId="1" xfId="0" applyNumberFormat="1" applyFont="1" applyFill="1" applyBorder="1" applyAlignment="1">
      <alignment horizontal="left"/>
    </xf>
    <xf numFmtId="168" fontId="5" fillId="27" borderId="1" xfId="0" applyNumberFormat="1" applyFont="1" applyFill="1" applyBorder="1" applyAlignment="1">
      <alignment horizontal="left"/>
    </xf>
    <xf numFmtId="168" fontId="5" fillId="28" borderId="1" xfId="0" applyNumberFormat="1" applyFont="1" applyFill="1" applyBorder="1" applyAlignment="1">
      <alignment horizontal="left"/>
    </xf>
    <xf numFmtId="168" fontId="5" fillId="21" borderId="1" xfId="0" applyNumberFormat="1" applyFont="1" applyFill="1" applyBorder="1" applyAlignment="1">
      <alignment horizontal="left"/>
    </xf>
    <xf numFmtId="168" fontId="5" fillId="29" borderId="1" xfId="0" applyNumberFormat="1" applyFont="1" applyFill="1" applyBorder="1" applyAlignment="1">
      <alignment horizontal="left"/>
    </xf>
    <xf numFmtId="168" fontId="5" fillId="30" borderId="1" xfId="0" applyNumberFormat="1" applyFont="1" applyFill="1" applyBorder="1" applyAlignment="1">
      <alignment horizontal="left"/>
    </xf>
    <xf numFmtId="168" fontId="5" fillId="11" borderId="0" xfId="0" applyNumberFormat="1" applyFont="1" applyFill="1" applyAlignment="1">
      <alignment horizontal="left"/>
    </xf>
    <xf numFmtId="168" fontId="5" fillId="20" borderId="1" xfId="0" applyNumberFormat="1" applyFont="1" applyFill="1" applyBorder="1" applyAlignment="1">
      <alignment horizontal="left" vertical="center" wrapText="1"/>
    </xf>
    <xf numFmtId="168" fontId="5" fillId="0" borderId="0" xfId="0" applyNumberFormat="1" applyFont="1" applyAlignment="1">
      <alignment horizontal="left"/>
    </xf>
    <xf numFmtId="168" fontId="5" fillId="20" borderId="1" xfId="0" applyNumberFormat="1" applyFont="1" applyFill="1" applyBorder="1" applyAlignment="1">
      <alignment horizontal="left" vertical="center"/>
    </xf>
    <xf numFmtId="168" fontId="5" fillId="31" borderId="1" xfId="0" applyNumberFormat="1" applyFont="1" applyFill="1" applyBorder="1" applyAlignment="1">
      <alignment horizontal="left"/>
    </xf>
    <xf numFmtId="168" fontId="5" fillId="13" borderId="1" xfId="0" applyNumberFormat="1" applyFont="1" applyFill="1" applyBorder="1" applyAlignment="1">
      <alignment horizontal="left" vertical="center" wrapText="1"/>
    </xf>
    <xf numFmtId="168" fontId="5" fillId="0" borderId="1" xfId="0" applyNumberFormat="1" applyFont="1" applyBorder="1" applyAlignment="1">
      <alignment horizontal="left" vertical="center" wrapText="1"/>
    </xf>
    <xf numFmtId="168" fontId="5" fillId="4" borderId="1" xfId="0" applyNumberFormat="1" applyFont="1" applyFill="1" applyBorder="1" applyAlignment="1">
      <alignment horizontal="left" vertical="center" wrapText="1"/>
    </xf>
    <xf numFmtId="168" fontId="5" fillId="32" borderId="1" xfId="0" applyNumberFormat="1" applyFont="1" applyFill="1" applyBorder="1" applyAlignment="1">
      <alignment horizontal="left" vertical="center" wrapText="1"/>
    </xf>
    <xf numFmtId="168" fontId="5" fillId="6" borderId="1" xfId="0" applyNumberFormat="1" applyFont="1" applyFill="1" applyBorder="1" applyAlignment="1">
      <alignment horizontal="left" vertical="center" wrapText="1"/>
    </xf>
    <xf numFmtId="168" fontId="5" fillId="7" borderId="1" xfId="0" applyNumberFormat="1" applyFont="1" applyFill="1" applyBorder="1" applyAlignment="1">
      <alignment horizontal="left" vertical="center" wrapText="1"/>
    </xf>
    <xf numFmtId="168" fontId="5" fillId="2" borderId="1" xfId="0" applyNumberFormat="1" applyFont="1" applyFill="1" applyBorder="1" applyAlignment="1">
      <alignment horizontal="left" vertical="center" wrapText="1"/>
    </xf>
    <xf numFmtId="168" fontId="5" fillId="14" borderId="1" xfId="0" applyNumberFormat="1" applyFont="1" applyFill="1" applyBorder="1" applyAlignment="1">
      <alignment horizontal="left" vertical="center" wrapText="1"/>
    </xf>
    <xf numFmtId="168" fontId="5" fillId="10" borderId="1" xfId="0" applyNumberFormat="1" applyFont="1" applyFill="1" applyBorder="1" applyAlignment="1">
      <alignment horizontal="left" vertical="center" wrapText="1"/>
    </xf>
    <xf numFmtId="168" fontId="5" fillId="6" borderId="0" xfId="0" applyNumberFormat="1" applyFont="1" applyFill="1" applyAlignment="1">
      <alignment horizontal="left" vertical="center" wrapText="1"/>
    </xf>
    <xf numFmtId="168" fontId="5" fillId="11" borderId="1" xfId="0" applyNumberFormat="1" applyFont="1" applyFill="1" applyBorder="1" applyAlignment="1">
      <alignment horizontal="left" vertical="center" wrapText="1"/>
    </xf>
    <xf numFmtId="168" fontId="5" fillId="0" borderId="1" xfId="0" applyNumberFormat="1" applyFont="1" applyBorder="1" applyAlignment="1">
      <alignment horizontal="left" wrapText="1"/>
    </xf>
    <xf numFmtId="168" fontId="5" fillId="12" borderId="1" xfId="0" applyNumberFormat="1" applyFont="1" applyFill="1" applyBorder="1" applyAlignment="1">
      <alignment horizontal="left" vertical="center" wrapText="1"/>
    </xf>
    <xf numFmtId="168" fontId="5" fillId="10" borderId="1" xfId="0" applyNumberFormat="1" applyFont="1" applyFill="1" applyBorder="1" applyAlignment="1">
      <alignment horizontal="left" wrapText="1"/>
    </xf>
    <xf numFmtId="168" fontId="5" fillId="9" borderId="1" xfId="0" applyNumberFormat="1" applyFont="1" applyFill="1" applyBorder="1" applyAlignment="1">
      <alignment horizontal="left" wrapText="1"/>
    </xf>
    <xf numFmtId="168" fontId="5" fillId="22" borderId="1" xfId="0" applyNumberFormat="1" applyFont="1" applyFill="1" applyBorder="1" applyAlignment="1">
      <alignment horizontal="left" wrapText="1"/>
    </xf>
    <xf numFmtId="168" fontId="5" fillId="30" borderId="1" xfId="0" applyNumberFormat="1" applyFont="1" applyFill="1" applyBorder="1" applyAlignment="1">
      <alignment horizontal="left" wrapText="1"/>
    </xf>
    <xf numFmtId="168" fontId="5" fillId="13" borderId="1" xfId="0" applyNumberFormat="1" applyFont="1" applyFill="1" applyBorder="1" applyAlignment="1">
      <alignment horizontal="left" wrapText="1"/>
    </xf>
    <xf numFmtId="168" fontId="5" fillId="20" borderId="1" xfId="0" applyNumberFormat="1" applyFont="1" applyFill="1" applyBorder="1" applyAlignment="1">
      <alignment horizontal="left" wrapText="1"/>
    </xf>
    <xf numFmtId="168" fontId="5" fillId="19" borderId="1" xfId="0" applyNumberFormat="1" applyFont="1" applyFill="1" applyBorder="1" applyAlignment="1">
      <alignment horizontal="left" wrapText="1"/>
    </xf>
    <xf numFmtId="168" fontId="5" fillId="14" borderId="1" xfId="0" applyNumberFormat="1" applyFont="1" applyFill="1" applyBorder="1" applyAlignment="1">
      <alignment horizontal="left" wrapText="1"/>
    </xf>
    <xf numFmtId="168" fontId="5" fillId="18" borderId="1" xfId="0" applyNumberFormat="1" applyFont="1" applyFill="1" applyBorder="1" applyAlignment="1">
      <alignment horizontal="left" wrapText="1"/>
    </xf>
    <xf numFmtId="168" fontId="5" fillId="3" borderId="1" xfId="0" applyNumberFormat="1" applyFont="1" applyFill="1" applyBorder="1" applyAlignment="1">
      <alignment horizontal="left" wrapText="1"/>
    </xf>
    <xf numFmtId="168" fontId="5" fillId="4" borderId="1" xfId="0" applyNumberFormat="1" applyFont="1" applyFill="1" applyBorder="1" applyAlignment="1">
      <alignment horizontal="left" wrapText="1"/>
    </xf>
    <xf numFmtId="168" fontId="5" fillId="12" borderId="1" xfId="0" applyNumberFormat="1" applyFont="1" applyFill="1" applyBorder="1" applyAlignment="1">
      <alignment horizontal="left" wrapText="1"/>
    </xf>
    <xf numFmtId="168" fontId="5" fillId="5" borderId="1" xfId="0" applyNumberFormat="1" applyFont="1" applyFill="1" applyBorder="1" applyAlignment="1">
      <alignment horizontal="left" wrapText="1"/>
    </xf>
    <xf numFmtId="168" fontId="5" fillId="11" borderId="1" xfId="0" applyNumberFormat="1" applyFont="1" applyFill="1" applyBorder="1" applyAlignment="1">
      <alignment horizontal="left" wrapText="1"/>
    </xf>
    <xf numFmtId="168" fontId="5" fillId="33" borderId="1" xfId="0" applyNumberFormat="1" applyFont="1" applyFill="1" applyBorder="1" applyAlignment="1">
      <alignment horizontal="left" wrapText="1"/>
    </xf>
    <xf numFmtId="168" fontId="5" fillId="28" borderId="1" xfId="0" applyNumberFormat="1" applyFont="1" applyFill="1" applyBorder="1" applyAlignment="1">
      <alignment horizontal="left" wrapText="1"/>
    </xf>
    <xf numFmtId="168" fontId="5" fillId="19" borderId="1" xfId="0" applyNumberFormat="1" applyFont="1" applyFill="1" applyBorder="1" applyAlignment="1">
      <alignment horizontal="left" vertical="center"/>
    </xf>
    <xf numFmtId="168" fontId="5" fillId="3" borderId="0" xfId="0" applyNumberFormat="1" applyFont="1" applyFill="1" applyAlignment="1">
      <alignment horizontal="left"/>
    </xf>
    <xf numFmtId="168" fontId="5" fillId="7" borderId="1" xfId="0" applyNumberFormat="1" applyFont="1" applyFill="1" applyBorder="1" applyAlignment="1">
      <alignment horizontal="left" wrapText="1"/>
    </xf>
    <xf numFmtId="168" fontId="5" fillId="34" borderId="1" xfId="0" applyNumberFormat="1" applyFont="1" applyFill="1" applyBorder="1" applyAlignment="1">
      <alignment horizontal="left"/>
    </xf>
    <xf numFmtId="168" fontId="5" fillId="12" borderId="0" xfId="0" applyNumberFormat="1" applyFont="1" applyFill="1" applyAlignment="1">
      <alignment horizontal="left"/>
    </xf>
    <xf numFmtId="168" fontId="5" fillId="2" borderId="1" xfId="0" applyNumberFormat="1" applyFont="1" applyFill="1" applyBorder="1" applyAlignment="1">
      <alignment horizontal="left" wrapText="1"/>
    </xf>
    <xf numFmtId="168" fontId="9" fillId="22" borderId="1" xfId="0" applyNumberFormat="1" applyFont="1" applyFill="1" applyBorder="1" applyAlignment="1">
      <alignment horizontal="left"/>
    </xf>
    <xf numFmtId="168" fontId="9" fillId="20" borderId="1" xfId="0" applyNumberFormat="1" applyFont="1" applyFill="1" applyBorder="1" applyAlignment="1">
      <alignment horizontal="left"/>
    </xf>
    <xf numFmtId="168" fontId="9" fillId="11" borderId="1" xfId="0" applyNumberFormat="1" applyFont="1" applyFill="1" applyBorder="1" applyAlignment="1">
      <alignment horizontal="left"/>
    </xf>
    <xf numFmtId="168" fontId="9" fillId="2" borderId="1" xfId="0" applyNumberFormat="1" applyFont="1" applyFill="1" applyBorder="1" applyAlignment="1">
      <alignment horizontal="left"/>
    </xf>
    <xf numFmtId="168" fontId="9" fillId="23" borderId="1" xfId="0" applyNumberFormat="1" applyFont="1" applyFill="1" applyBorder="1" applyAlignment="1">
      <alignment horizontal="left"/>
    </xf>
    <xf numFmtId="168" fontId="9" fillId="10" borderId="1" xfId="0" applyNumberFormat="1" applyFont="1" applyFill="1" applyBorder="1" applyAlignment="1">
      <alignment horizontal="left"/>
    </xf>
    <xf numFmtId="168" fontId="5" fillId="6" borderId="1" xfId="0" applyNumberFormat="1" applyFont="1" applyFill="1" applyBorder="1" applyAlignment="1">
      <alignment horizontal="left" wrapText="1"/>
    </xf>
    <xf numFmtId="168" fontId="5" fillId="32" borderId="1" xfId="0" applyNumberFormat="1" applyFont="1" applyFill="1" applyBorder="1" applyAlignment="1">
      <alignment horizontal="left" wrapText="1"/>
    </xf>
    <xf numFmtId="168" fontId="5" fillId="27" borderId="1" xfId="0" applyNumberFormat="1" applyFont="1" applyFill="1" applyBorder="1" applyAlignment="1">
      <alignment horizontal="left" wrapText="1"/>
    </xf>
    <xf numFmtId="168" fontId="5" fillId="17" borderId="1" xfId="0" applyNumberFormat="1" applyFont="1" applyFill="1" applyBorder="1" applyAlignment="1">
      <alignment horizontal="left" wrapText="1"/>
    </xf>
    <xf numFmtId="168" fontId="5" fillId="35" borderId="1" xfId="0" applyNumberFormat="1" applyFont="1" applyFill="1" applyBorder="1" applyAlignment="1">
      <alignment horizontal="left"/>
    </xf>
    <xf numFmtId="168" fontId="5" fillId="2" borderId="2" xfId="0" applyNumberFormat="1" applyFont="1" applyFill="1" applyBorder="1" applyAlignment="1">
      <alignment horizontal="left" wrapText="1"/>
    </xf>
    <xf numFmtId="168" fontId="5" fillId="23" borderId="1" xfId="0" applyNumberFormat="1" applyFont="1" applyFill="1" applyBorder="1" applyAlignment="1">
      <alignment horizontal="left" wrapText="1"/>
    </xf>
    <xf numFmtId="168" fontId="5" fillId="23" borderId="2" xfId="0" applyNumberFormat="1" applyFont="1" applyFill="1" applyBorder="1" applyAlignment="1">
      <alignment horizontal="left" wrapText="1"/>
    </xf>
    <xf numFmtId="168" fontId="4" fillId="22" borderId="1" xfId="0" applyNumberFormat="1" applyFont="1" applyFill="1" applyBorder="1" applyAlignment="1">
      <alignment horizontal="left" wrapText="1"/>
    </xf>
    <xf numFmtId="168" fontId="4" fillId="12" borderId="1" xfId="0" applyNumberFormat="1" applyFont="1" applyFill="1" applyBorder="1" applyAlignment="1">
      <alignment horizontal="left"/>
    </xf>
    <xf numFmtId="168" fontId="4" fillId="20" borderId="1" xfId="0" applyNumberFormat="1" applyFont="1" applyFill="1" applyBorder="1" applyAlignment="1">
      <alignment horizontal="left" wrapText="1"/>
    </xf>
    <xf numFmtId="168" fontId="4" fillId="13" borderId="1" xfId="0" applyNumberFormat="1" applyFont="1" applyFill="1" applyBorder="1" applyAlignment="1">
      <alignment horizontal="left" wrapText="1"/>
    </xf>
    <xf numFmtId="168" fontId="4" fillId="0" borderId="1" xfId="0" applyNumberFormat="1" applyFont="1" applyBorder="1" applyAlignment="1">
      <alignment horizontal="left" wrapText="1"/>
    </xf>
    <xf numFmtId="168" fontId="4" fillId="4" borderId="1" xfId="0" applyNumberFormat="1" applyFont="1" applyFill="1" applyBorder="1" applyAlignment="1">
      <alignment horizontal="left" wrapText="1"/>
    </xf>
    <xf numFmtId="168" fontId="4" fillId="2" borderId="1" xfId="0" applyNumberFormat="1" applyFont="1" applyFill="1" applyBorder="1" applyAlignment="1">
      <alignment horizontal="left" wrapText="1"/>
    </xf>
    <xf numFmtId="168" fontId="4" fillId="5" borderId="1" xfId="0" applyNumberFormat="1" applyFont="1" applyFill="1" applyBorder="1" applyAlignment="1">
      <alignment horizontal="left" wrapText="1"/>
    </xf>
    <xf numFmtId="168" fontId="4" fillId="14" borderId="1" xfId="0" applyNumberFormat="1" applyFont="1" applyFill="1" applyBorder="1" applyAlignment="1">
      <alignment horizontal="left" wrapText="1"/>
    </xf>
    <xf numFmtId="168" fontId="4" fillId="7" borderId="1" xfId="0" applyNumberFormat="1" applyFont="1" applyFill="1" applyBorder="1" applyAlignment="1">
      <alignment horizontal="left" wrapText="1"/>
    </xf>
    <xf numFmtId="168" fontId="5" fillId="32" borderId="1" xfId="0" applyNumberFormat="1" applyFont="1" applyFill="1" applyBorder="1" applyAlignment="1">
      <alignment horizontal="left"/>
    </xf>
    <xf numFmtId="167" fontId="5" fillId="16" borderId="5" xfId="0" applyNumberFormat="1" applyFont="1" applyFill="1" applyBorder="1" applyAlignment="1">
      <alignment horizontal="left" wrapText="1"/>
    </xf>
    <xf numFmtId="167" fontId="5" fillId="4" borderId="7" xfId="0" applyNumberFormat="1" applyFont="1" applyFill="1" applyBorder="1" applyAlignment="1">
      <alignment horizontal="left"/>
    </xf>
    <xf numFmtId="167" fontId="5" fillId="4" borderId="5" xfId="0" applyNumberFormat="1" applyFont="1" applyFill="1" applyBorder="1" applyAlignment="1">
      <alignment horizontal="left"/>
    </xf>
    <xf numFmtId="167" fontId="5" fillId="2" borderId="7" xfId="0" applyNumberFormat="1" applyFont="1" applyFill="1" applyBorder="1" applyAlignment="1">
      <alignment horizontal="left"/>
    </xf>
    <xf numFmtId="167" fontId="5" fillId="11" borderId="8" xfId="0" applyNumberFormat="1" applyFont="1" applyFill="1" applyBorder="1" applyAlignment="1">
      <alignment horizontal="left"/>
    </xf>
    <xf numFmtId="167" fontId="5" fillId="6" borderId="5" xfId="0" applyNumberFormat="1" applyFont="1" applyFill="1" applyBorder="1" applyAlignment="1">
      <alignment horizontal="left"/>
    </xf>
    <xf numFmtId="167" fontId="5" fillId="16" borderId="8" xfId="0" applyNumberFormat="1" applyFont="1" applyFill="1" applyBorder="1" applyAlignment="1">
      <alignment horizontal="left"/>
    </xf>
    <xf numFmtId="167" fontId="6" fillId="11" borderId="1" xfId="0" applyNumberFormat="1" applyFont="1" applyFill="1" applyBorder="1" applyAlignment="1">
      <alignment horizontal="left"/>
    </xf>
    <xf numFmtId="167" fontId="5" fillId="2" borderId="5" xfId="0" applyNumberFormat="1" applyFont="1" applyFill="1" applyBorder="1" applyAlignment="1">
      <alignment horizontal="left"/>
    </xf>
    <xf numFmtId="167" fontId="5" fillId="13" borderId="8" xfId="0" applyNumberFormat="1" applyFont="1" applyFill="1" applyBorder="1" applyAlignment="1">
      <alignment horizontal="left"/>
    </xf>
    <xf numFmtId="167" fontId="5" fillId="6" borderId="8" xfId="0" applyNumberFormat="1" applyFont="1" applyFill="1" applyBorder="1" applyAlignment="1">
      <alignment horizontal="left"/>
    </xf>
    <xf numFmtId="167" fontId="6" fillId="22" borderId="8" xfId="0" applyNumberFormat="1" applyFont="1" applyFill="1" applyBorder="1" applyAlignment="1">
      <alignment horizontal="left"/>
    </xf>
    <xf numFmtId="167" fontId="5" fillId="10" borderId="8" xfId="0" applyNumberFormat="1" applyFont="1" applyFill="1" applyBorder="1" applyAlignment="1">
      <alignment horizontal="left"/>
    </xf>
    <xf numFmtId="167" fontId="5" fillId="12" borderId="8" xfId="0" applyNumberFormat="1" applyFont="1" applyFill="1" applyBorder="1" applyAlignment="1">
      <alignment horizontal="left"/>
    </xf>
    <xf numFmtId="167" fontId="5" fillId="0" borderId="8" xfId="0" applyNumberFormat="1" applyFont="1" applyBorder="1" applyAlignment="1">
      <alignment horizontal="left"/>
    </xf>
    <xf numFmtId="167" fontId="5" fillId="2" borderId="8" xfId="0" applyNumberFormat="1" applyFont="1" applyFill="1" applyBorder="1" applyAlignment="1">
      <alignment horizontal="left"/>
    </xf>
    <xf numFmtId="167" fontId="5" fillId="7" borderId="8" xfId="0" applyNumberFormat="1" applyFont="1" applyFill="1" applyBorder="1" applyAlignment="1">
      <alignment horizontal="left"/>
    </xf>
    <xf numFmtId="167" fontId="5" fillId="14" borderId="8" xfId="0" applyNumberFormat="1" applyFont="1" applyFill="1" applyBorder="1" applyAlignment="1">
      <alignment horizontal="left"/>
    </xf>
    <xf numFmtId="167" fontId="5" fillId="8" borderId="8" xfId="0" applyNumberFormat="1" applyFont="1" applyFill="1" applyBorder="1" applyAlignment="1">
      <alignment horizontal="left"/>
    </xf>
    <xf numFmtId="167" fontId="5" fillId="18" borderId="8" xfId="0" applyNumberFormat="1" applyFont="1" applyFill="1" applyBorder="1" applyAlignment="1">
      <alignment horizontal="left"/>
    </xf>
    <xf numFmtId="167" fontId="5" fillId="24" borderId="8" xfId="0" applyNumberFormat="1" applyFont="1" applyFill="1" applyBorder="1" applyAlignment="1">
      <alignment horizontal="left"/>
    </xf>
    <xf numFmtId="167" fontId="5" fillId="6" borderId="8" xfId="0" applyNumberFormat="1" applyFont="1" applyFill="1" applyBorder="1" applyAlignment="1">
      <alignment horizontal="left" vertical="center" wrapText="1"/>
    </xf>
    <xf numFmtId="167" fontId="5" fillId="0" borderId="8" xfId="0" applyNumberFormat="1" applyFont="1" applyBorder="1" applyAlignment="1">
      <alignment horizontal="left" vertical="center" wrapText="1"/>
    </xf>
    <xf numFmtId="167" fontId="5" fillId="14" borderId="8" xfId="0" applyNumberFormat="1" applyFont="1" applyFill="1" applyBorder="1" applyAlignment="1">
      <alignment horizontal="left" vertical="center" wrapText="1"/>
    </xf>
    <xf numFmtId="167" fontId="5" fillId="10" borderId="8" xfId="0" applyNumberFormat="1" applyFont="1" applyFill="1" applyBorder="1" applyAlignment="1">
      <alignment horizontal="left" vertical="center" wrapText="1"/>
    </xf>
    <xf numFmtId="167" fontId="5" fillId="11" borderId="8" xfId="0" applyNumberFormat="1" applyFont="1" applyFill="1" applyBorder="1" applyAlignment="1">
      <alignment horizontal="left" vertical="center" wrapText="1"/>
    </xf>
    <xf numFmtId="167" fontId="5" fillId="22" borderId="8" xfId="0" quotePrefix="1" applyNumberFormat="1" applyFont="1" applyFill="1" applyBorder="1" applyAlignment="1">
      <alignment horizontal="left"/>
    </xf>
    <xf numFmtId="167" fontId="5" fillId="22" borderId="1" xfId="0" quotePrefix="1" applyNumberFormat="1" applyFont="1" applyFill="1" applyBorder="1" applyAlignment="1">
      <alignment horizontal="left"/>
    </xf>
    <xf numFmtId="167" fontId="5" fillId="10" borderId="8" xfId="0" applyNumberFormat="1" applyFont="1" applyFill="1" applyBorder="1" applyAlignment="1">
      <alignment horizontal="left" wrapText="1"/>
    </xf>
    <xf numFmtId="167" fontId="5" fillId="0" borderId="8" xfId="0" applyNumberFormat="1" applyFont="1" applyBorder="1" applyAlignment="1">
      <alignment horizontal="left" wrapText="1"/>
    </xf>
    <xf numFmtId="167" fontId="5" fillId="13" borderId="8" xfId="0" applyNumberFormat="1" applyFont="1" applyFill="1" applyBorder="1" applyAlignment="1">
      <alignment horizontal="left" wrapText="1"/>
    </xf>
    <xf numFmtId="167" fontId="5" fillId="22" borderId="8" xfId="0" applyNumberFormat="1" applyFont="1" applyFill="1" applyBorder="1" applyAlignment="1">
      <alignment horizontal="left" wrapText="1"/>
    </xf>
    <xf numFmtId="167" fontId="5" fillId="33" borderId="8" xfId="0" applyNumberFormat="1" applyFont="1" applyFill="1" applyBorder="1" applyAlignment="1">
      <alignment horizontal="left" wrapText="1"/>
    </xf>
    <xf numFmtId="167" fontId="5" fillId="19" borderId="1" xfId="0" applyNumberFormat="1" applyFont="1" applyFill="1" applyBorder="1" applyAlignment="1">
      <alignment horizontal="left"/>
    </xf>
    <xf numFmtId="167" fontId="5" fillId="22" borderId="8" xfId="0" applyNumberFormat="1" applyFont="1" applyFill="1" applyBorder="1" applyAlignment="1">
      <alignment horizontal="left"/>
    </xf>
    <xf numFmtId="167" fontId="5" fillId="30" borderId="9" xfId="0" applyNumberFormat="1" applyFont="1" applyFill="1" applyBorder="1" applyAlignment="1">
      <alignment horizontal="left"/>
    </xf>
    <xf numFmtId="167" fontId="5" fillId="4" borderId="8" xfId="0" applyNumberFormat="1" applyFont="1" applyFill="1" applyBorder="1" applyAlignment="1">
      <alignment horizontal="left"/>
    </xf>
    <xf numFmtId="167" fontId="5" fillId="0" borderId="1" xfId="0" applyNumberFormat="1" applyFont="1" applyBorder="1" applyAlignment="1">
      <alignment horizontal="left" vertical="center"/>
    </xf>
    <xf numFmtId="167" fontId="5" fillId="22" borderId="1" xfId="0" applyNumberFormat="1" applyFont="1" applyFill="1" applyBorder="1" applyAlignment="1">
      <alignment horizontal="left" vertical="center" wrapText="1"/>
    </xf>
    <xf numFmtId="167" fontId="5" fillId="23" borderId="1" xfId="0" applyNumberFormat="1" applyFont="1" applyFill="1" applyBorder="1" applyAlignment="1">
      <alignment horizontal="left" vertical="center" wrapText="1"/>
    </xf>
    <xf numFmtId="167" fontId="5" fillId="6" borderId="8" xfId="0" applyNumberFormat="1" applyFont="1" applyFill="1" applyBorder="1" applyAlignment="1">
      <alignment horizontal="left" wrapText="1"/>
    </xf>
    <xf numFmtId="167" fontId="5" fillId="4" borderId="8" xfId="0" applyNumberFormat="1" applyFont="1" applyFill="1" applyBorder="1" applyAlignment="1">
      <alignment horizontal="left" wrapText="1"/>
    </xf>
    <xf numFmtId="0" fontId="13" fillId="10" borderId="1" xfId="0" applyFont="1" applyFill="1" applyBorder="1" applyAlignment="1">
      <alignment horizontal="center" wrapText="1"/>
    </xf>
    <xf numFmtId="0" fontId="13" fillId="12" borderId="1" xfId="0" applyFont="1" applyFill="1" applyBorder="1" applyAlignment="1">
      <alignment horizontal="center" wrapText="1"/>
    </xf>
    <xf numFmtId="14" fontId="5" fillId="30" borderId="1" xfId="0" applyNumberFormat="1" applyFont="1" applyFill="1" applyBorder="1" applyAlignment="1">
      <alignment horizontal="left" vertical="center" wrapText="1"/>
    </xf>
    <xf numFmtId="17" fontId="5" fillId="22" borderId="1" xfId="0" applyNumberFormat="1" applyFont="1" applyFill="1" applyBorder="1" applyAlignment="1">
      <alignment horizontal="left"/>
    </xf>
    <xf numFmtId="0" fontId="0" fillId="0" borderId="2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2" xfId="0" applyBorder="1"/>
    <xf numFmtId="0" fontId="0" fillId="0" borderId="10" xfId="0" applyBorder="1"/>
    <xf numFmtId="0" fontId="0" fillId="0" borderId="11" xfId="0" applyBorder="1"/>
    <xf numFmtId="0" fontId="13" fillId="20" borderId="1" xfId="0" applyFont="1" applyFill="1" applyBorder="1" applyAlignment="1">
      <alignment horizontal="center" wrapText="1"/>
    </xf>
    <xf numFmtId="0" fontId="0" fillId="0" borderId="18" xfId="0" applyBorder="1"/>
    <xf numFmtId="0" fontId="0" fillId="0" borderId="20" xfId="0" applyBorder="1"/>
    <xf numFmtId="165" fontId="0" fillId="0" borderId="13" xfId="3" applyNumberFormat="1" applyFont="1" applyBorder="1"/>
    <xf numFmtId="0" fontId="1" fillId="5" borderId="14" xfId="0" applyFont="1" applyFill="1" applyBorder="1" applyAlignment="1">
      <alignment horizontal="left" wrapText="1"/>
    </xf>
    <xf numFmtId="0" fontId="1" fillId="5" borderId="15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9" xfId="0" applyBorder="1" applyAlignment="1">
      <alignment horizontal="right"/>
    </xf>
    <xf numFmtId="0" fontId="1" fillId="5" borderId="16" xfId="0" applyFont="1" applyFill="1" applyBorder="1" applyAlignment="1">
      <alignment horizontal="center"/>
    </xf>
    <xf numFmtId="168" fontId="0" fillId="0" borderId="1" xfId="0" applyNumberFormat="1" applyBorder="1"/>
    <xf numFmtId="0" fontId="4" fillId="28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13" fillId="6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13" fillId="9" borderId="1" xfId="0" applyFont="1" applyFill="1" applyBorder="1" applyAlignment="1">
      <alignment horizontal="center" wrapText="1"/>
    </xf>
    <xf numFmtId="0" fontId="13" fillId="8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0" fontId="13" fillId="13" borderId="1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 wrapText="1"/>
    </xf>
    <xf numFmtId="0" fontId="13" fillId="18" borderId="1" xfId="0" applyFont="1" applyFill="1" applyBorder="1" applyAlignment="1">
      <alignment horizontal="center" wrapText="1"/>
    </xf>
    <xf numFmtId="0" fontId="4" fillId="18" borderId="1" xfId="0" applyFont="1" applyFill="1" applyBorder="1" applyAlignment="1">
      <alignment horizontal="center" wrapText="1"/>
    </xf>
    <xf numFmtId="0" fontId="13" fillId="14" borderId="1" xfId="0" applyFont="1" applyFill="1" applyBorder="1" applyAlignment="1">
      <alignment horizontal="center" wrapText="1"/>
    </xf>
    <xf numFmtId="0" fontId="4" fillId="14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wrapText="1"/>
    </xf>
    <xf numFmtId="0" fontId="13" fillId="22" borderId="1" xfId="0" applyFont="1" applyFill="1" applyBorder="1" applyAlignment="1">
      <alignment horizontal="center" wrapText="1"/>
    </xf>
    <xf numFmtId="0" fontId="13" fillId="30" borderId="1" xfId="0" applyFont="1" applyFill="1" applyBorder="1" applyAlignment="1">
      <alignment horizontal="center" wrapText="1"/>
    </xf>
    <xf numFmtId="0" fontId="4" fillId="30" borderId="1" xfId="0" applyFont="1" applyFill="1" applyBorder="1" applyAlignment="1">
      <alignment horizontal="center" wrapText="1"/>
    </xf>
    <xf numFmtId="0" fontId="1" fillId="5" borderId="21" xfId="0" applyFont="1" applyFill="1" applyBorder="1" applyAlignment="1">
      <alignment horizontal="center"/>
    </xf>
    <xf numFmtId="0" fontId="0" fillId="5" borderId="2" xfId="0" applyFill="1" applyBorder="1"/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54"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numFmt numFmtId="2" formatCode="0.00"/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numFmt numFmtId="166" formatCode="0.00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numFmt numFmtId="34" formatCode="_(&quot;$&quot;* #,##0.00_);_(&quot;$&quot;* \(#,##0.00\);_(&quot;$&quot;* &quot;-&quot;??_);_(@_)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6" tint="0.59999389629810485"/>
        </patternFill>
      </fill>
    </dxf>
    <dxf>
      <fill>
        <patternFill patternType="solid">
          <bgColor theme="6" tint="0.59999389629810485"/>
        </patternFill>
      </fill>
    </dxf>
    <dxf>
      <fill>
        <patternFill patternType="solid">
          <bgColor theme="6" tint="0.59999389629810485"/>
        </patternFill>
      </fill>
    </dxf>
    <dxf>
      <fill>
        <patternFill patternType="solid">
          <bgColor theme="6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pivotCacheDefinition" Target="pivotCache/pivotCacheDefinition4.xml"/><Relationship Id="rId5" Type="http://schemas.openxmlformats.org/officeDocument/2006/relationships/externalLink" Target="externalLinks/externalLink1.xml"/><Relationship Id="rId15" Type="http://schemas.microsoft.com/office/2017/10/relationships/person" Target="persons/person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Wetland Credit</a:t>
            </a:r>
            <a:r>
              <a:rPr lang="en-US" b="1" baseline="0">
                <a:solidFill>
                  <a:schemeClr val="tx1"/>
                </a:solidFill>
              </a:rPr>
              <a:t> Sales</a:t>
            </a:r>
            <a:endParaRPr lang="en-US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1"/>
          <c:order val="1"/>
          <c:tx>
            <c:strRef>
              <c:f>'Table A-Wetland Adv Credit Bal'!$C$37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cat>
            <c:strRef>
              <c:f>'Table A-Wetland Adv Credit Bal'!$A$38:$A$48</c:f>
              <c:strCache>
                <c:ptCount val="11"/>
                <c:pt idx="0">
                  <c:v>Calumet-Dunes</c:v>
                </c:pt>
                <c:pt idx="1">
                  <c:v>Kankakee</c:v>
                </c:pt>
                <c:pt idx="2">
                  <c:v>Lower White</c:v>
                </c:pt>
                <c:pt idx="3">
                  <c:v>Maumee</c:v>
                </c:pt>
                <c:pt idx="4">
                  <c:v>Middle Wabash</c:v>
                </c:pt>
                <c:pt idx="5">
                  <c:v>Ohio-Wabash Lowlands</c:v>
                </c:pt>
                <c:pt idx="6">
                  <c:v>St. Joseph River</c:v>
                </c:pt>
                <c:pt idx="7">
                  <c:v>Upper Ohio</c:v>
                </c:pt>
                <c:pt idx="8">
                  <c:v>Upper Wabash</c:v>
                </c:pt>
                <c:pt idx="9">
                  <c:v>Upper White</c:v>
                </c:pt>
                <c:pt idx="10">
                  <c:v>Whitewater-East Fork White</c:v>
                </c:pt>
              </c:strCache>
            </c:strRef>
          </c:cat>
          <c:val>
            <c:numRef>
              <c:f>'Table A-Wetland Adv Credit Bal'!$C$38:$C$48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4.2000000000000028</c:v>
                </c:pt>
                <c:pt idx="6">
                  <c:v>1.539999999999992</c:v>
                </c:pt>
                <c:pt idx="7">
                  <c:v>2.730000000000004</c:v>
                </c:pt>
                <c:pt idx="8">
                  <c:v>0.43000000000000682</c:v>
                </c:pt>
                <c:pt idx="9">
                  <c:v>0.62000000000000455</c:v>
                </c:pt>
                <c:pt idx="10">
                  <c:v>6.171999999999997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86-4545-BD08-97BE31DB3018}"/>
            </c:ext>
          </c:extLst>
        </c:ser>
        <c:ser>
          <c:idx val="2"/>
          <c:order val="2"/>
          <c:tx>
            <c:strRef>
              <c:f>'Table A-Wetland Adv Credit Bal'!$D$37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cat>
            <c:strRef>
              <c:f>'Table A-Wetland Adv Credit Bal'!$A$38:$A$48</c:f>
              <c:strCache>
                <c:ptCount val="11"/>
                <c:pt idx="0">
                  <c:v>Calumet-Dunes</c:v>
                </c:pt>
                <c:pt idx="1">
                  <c:v>Kankakee</c:v>
                </c:pt>
                <c:pt idx="2">
                  <c:v>Lower White</c:v>
                </c:pt>
                <c:pt idx="3">
                  <c:v>Maumee</c:v>
                </c:pt>
                <c:pt idx="4">
                  <c:v>Middle Wabash</c:v>
                </c:pt>
                <c:pt idx="5">
                  <c:v>Ohio-Wabash Lowlands</c:v>
                </c:pt>
                <c:pt idx="6">
                  <c:v>St. Joseph River</c:v>
                </c:pt>
                <c:pt idx="7">
                  <c:v>Upper Ohio</c:v>
                </c:pt>
                <c:pt idx="8">
                  <c:v>Upper Wabash</c:v>
                </c:pt>
                <c:pt idx="9">
                  <c:v>Upper White</c:v>
                </c:pt>
                <c:pt idx="10">
                  <c:v>Whitewater-East Fork White</c:v>
                </c:pt>
              </c:strCache>
            </c:strRef>
          </c:cat>
          <c:val>
            <c:numRef>
              <c:f>'Table A-Wetland Adv Credit Bal'!$D$38:$D$48</c:f>
              <c:numCache>
                <c:formatCode>0.00</c:formatCode>
                <c:ptCount val="11"/>
                <c:pt idx="0">
                  <c:v>7.1380000000000008</c:v>
                </c:pt>
                <c:pt idx="1">
                  <c:v>3.7800000000000002</c:v>
                </c:pt>
                <c:pt idx="2" formatCode="0">
                  <c:v>0</c:v>
                </c:pt>
                <c:pt idx="3" formatCode="0">
                  <c:v>0</c:v>
                </c:pt>
                <c:pt idx="4">
                  <c:v>4.04</c:v>
                </c:pt>
                <c:pt idx="5">
                  <c:v>3.0500000000000003</c:v>
                </c:pt>
                <c:pt idx="6">
                  <c:v>1.1850000000000001</c:v>
                </c:pt>
                <c:pt idx="7">
                  <c:v>14.764999999999999</c:v>
                </c:pt>
                <c:pt idx="8">
                  <c:v>0.14099999999999999</c:v>
                </c:pt>
                <c:pt idx="9">
                  <c:v>8.4679999999999982</c:v>
                </c:pt>
                <c:pt idx="10">
                  <c:v>8.8299999999999983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86-4545-BD08-97BE31DB3018}"/>
            </c:ext>
          </c:extLst>
        </c:ser>
        <c:ser>
          <c:idx val="3"/>
          <c:order val="3"/>
          <c:tx>
            <c:strRef>
              <c:f>'Table A-Wetland Adv Credit Bal'!$E$37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cat>
            <c:strRef>
              <c:f>'Table A-Wetland Adv Credit Bal'!$A$38:$A$48</c:f>
              <c:strCache>
                <c:ptCount val="11"/>
                <c:pt idx="0">
                  <c:v>Calumet-Dunes</c:v>
                </c:pt>
                <c:pt idx="1">
                  <c:v>Kankakee</c:v>
                </c:pt>
                <c:pt idx="2">
                  <c:v>Lower White</c:v>
                </c:pt>
                <c:pt idx="3">
                  <c:v>Maumee</c:v>
                </c:pt>
                <c:pt idx="4">
                  <c:v>Middle Wabash</c:v>
                </c:pt>
                <c:pt idx="5">
                  <c:v>Ohio-Wabash Lowlands</c:v>
                </c:pt>
                <c:pt idx="6">
                  <c:v>St. Joseph River</c:v>
                </c:pt>
                <c:pt idx="7">
                  <c:v>Upper Ohio</c:v>
                </c:pt>
                <c:pt idx="8">
                  <c:v>Upper Wabash</c:v>
                </c:pt>
                <c:pt idx="9">
                  <c:v>Upper White</c:v>
                </c:pt>
                <c:pt idx="10">
                  <c:v>Whitewater-East Fork White</c:v>
                </c:pt>
              </c:strCache>
            </c:strRef>
          </c:cat>
          <c:val>
            <c:numRef>
              <c:f>'Table A-Wetland Adv Credit Bal'!$E$38:$E$48</c:f>
              <c:numCache>
                <c:formatCode>0.00</c:formatCode>
                <c:ptCount val="11"/>
                <c:pt idx="0">
                  <c:v>11.127630000000002</c:v>
                </c:pt>
                <c:pt idx="1">
                  <c:v>1.006</c:v>
                </c:pt>
                <c:pt idx="2">
                  <c:v>1.7949999999999999</c:v>
                </c:pt>
                <c:pt idx="3">
                  <c:v>11.5985</c:v>
                </c:pt>
                <c:pt idx="4">
                  <c:v>0.39920000000000005</c:v>
                </c:pt>
                <c:pt idx="5">
                  <c:v>5.7440000000000007</c:v>
                </c:pt>
                <c:pt idx="6">
                  <c:v>3.1660000000000004</c:v>
                </c:pt>
                <c:pt idx="7">
                  <c:v>2.1150000000000002</c:v>
                </c:pt>
                <c:pt idx="8">
                  <c:v>2.12</c:v>
                </c:pt>
                <c:pt idx="9">
                  <c:v>28.843600000000006</c:v>
                </c:pt>
                <c:pt idx="10">
                  <c:v>9.5489999999999995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86-4545-BD08-97BE31DB3018}"/>
            </c:ext>
          </c:extLst>
        </c:ser>
        <c:ser>
          <c:idx val="4"/>
          <c:order val="4"/>
          <c:tx>
            <c:strRef>
              <c:f>'Table A-Wetland Adv Credit Bal'!$F$37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cat>
            <c:strRef>
              <c:f>'Table A-Wetland Adv Credit Bal'!$A$38:$A$48</c:f>
              <c:strCache>
                <c:ptCount val="11"/>
                <c:pt idx="0">
                  <c:v>Calumet-Dunes</c:v>
                </c:pt>
                <c:pt idx="1">
                  <c:v>Kankakee</c:v>
                </c:pt>
                <c:pt idx="2">
                  <c:v>Lower White</c:v>
                </c:pt>
                <c:pt idx="3">
                  <c:v>Maumee</c:v>
                </c:pt>
                <c:pt idx="4">
                  <c:v>Middle Wabash</c:v>
                </c:pt>
                <c:pt idx="5">
                  <c:v>Ohio-Wabash Lowlands</c:v>
                </c:pt>
                <c:pt idx="6">
                  <c:v>St. Joseph River</c:v>
                </c:pt>
                <c:pt idx="7">
                  <c:v>Upper Ohio</c:v>
                </c:pt>
                <c:pt idx="8">
                  <c:v>Upper Wabash</c:v>
                </c:pt>
                <c:pt idx="9">
                  <c:v>Upper White</c:v>
                </c:pt>
                <c:pt idx="10">
                  <c:v>Whitewater-East Fork White</c:v>
                </c:pt>
              </c:strCache>
            </c:strRef>
          </c:cat>
          <c:val>
            <c:numRef>
              <c:f>'Table A-Wetland Adv Credit Bal'!$F$38:$F$48</c:f>
              <c:numCache>
                <c:formatCode>0.00</c:formatCode>
                <c:ptCount val="11"/>
                <c:pt idx="0">
                  <c:v>21.469000000000001</c:v>
                </c:pt>
                <c:pt idx="1">
                  <c:v>1.8675999999999999</c:v>
                </c:pt>
                <c:pt idx="2">
                  <c:v>0.43</c:v>
                </c:pt>
                <c:pt idx="3">
                  <c:v>3.3079999999999998</c:v>
                </c:pt>
                <c:pt idx="4">
                  <c:v>0.46800000000000003</c:v>
                </c:pt>
                <c:pt idx="5">
                  <c:v>0.34750000000000003</c:v>
                </c:pt>
                <c:pt idx="6">
                  <c:v>9.645999999999999</c:v>
                </c:pt>
                <c:pt idx="7">
                  <c:v>5.851</c:v>
                </c:pt>
                <c:pt idx="8">
                  <c:v>6.4910999999999994</c:v>
                </c:pt>
                <c:pt idx="9">
                  <c:v>30.395</c:v>
                </c:pt>
                <c:pt idx="10">
                  <c:v>10.7807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86-4545-BD08-97BE31DB3018}"/>
            </c:ext>
          </c:extLst>
        </c:ser>
        <c:ser>
          <c:idx val="5"/>
          <c:order val="5"/>
          <c:tx>
            <c:strRef>
              <c:f>'Table A-Wetland Adv Credit Bal'!$G$37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cat>
            <c:strRef>
              <c:f>'Table A-Wetland Adv Credit Bal'!$A$38:$A$48</c:f>
              <c:strCache>
                <c:ptCount val="11"/>
                <c:pt idx="0">
                  <c:v>Calumet-Dunes</c:v>
                </c:pt>
                <c:pt idx="1">
                  <c:v>Kankakee</c:v>
                </c:pt>
                <c:pt idx="2">
                  <c:v>Lower White</c:v>
                </c:pt>
                <c:pt idx="3">
                  <c:v>Maumee</c:v>
                </c:pt>
                <c:pt idx="4">
                  <c:v>Middle Wabash</c:v>
                </c:pt>
                <c:pt idx="5">
                  <c:v>Ohio-Wabash Lowlands</c:v>
                </c:pt>
                <c:pt idx="6">
                  <c:v>St. Joseph River</c:v>
                </c:pt>
                <c:pt idx="7">
                  <c:v>Upper Ohio</c:v>
                </c:pt>
                <c:pt idx="8">
                  <c:v>Upper Wabash</c:v>
                </c:pt>
                <c:pt idx="9">
                  <c:v>Upper White</c:v>
                </c:pt>
                <c:pt idx="10">
                  <c:v>Whitewater-East Fork White</c:v>
                </c:pt>
              </c:strCache>
            </c:strRef>
          </c:cat>
          <c:val>
            <c:numRef>
              <c:f>'Table A-Wetland Adv Credit Bal'!$G$38:$G$48</c:f>
              <c:numCache>
                <c:formatCode>0.00</c:formatCode>
                <c:ptCount val="11"/>
                <c:pt idx="0">
                  <c:v>9.0794999999999995</c:v>
                </c:pt>
                <c:pt idx="1">
                  <c:v>3.1640000000000001</c:v>
                </c:pt>
                <c:pt idx="2">
                  <c:v>0.124</c:v>
                </c:pt>
                <c:pt idx="3">
                  <c:v>9.9420000000000002</c:v>
                </c:pt>
                <c:pt idx="4">
                  <c:v>2.4430000000000001</c:v>
                </c:pt>
                <c:pt idx="5">
                  <c:v>2.4500000000000002</c:v>
                </c:pt>
                <c:pt idx="6">
                  <c:v>0.51360000000000006</c:v>
                </c:pt>
                <c:pt idx="7">
                  <c:v>20.720000000000002</c:v>
                </c:pt>
                <c:pt idx="8">
                  <c:v>7.04</c:v>
                </c:pt>
                <c:pt idx="9">
                  <c:v>33.019999999999996</c:v>
                </c:pt>
                <c:pt idx="10">
                  <c:v>26.572000000000003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86-4545-BD08-97BE31DB3018}"/>
            </c:ext>
          </c:extLst>
        </c:ser>
        <c:ser>
          <c:idx val="8"/>
          <c:order val="6"/>
          <c:tx>
            <c:strRef>
              <c:f>'Table A-Wetland Adv Credit Bal'!$H$37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25400">
              <a:noFill/>
            </a:ln>
            <a:effectLst/>
            <a:sp3d/>
          </c:spPr>
          <c:val>
            <c:numRef>
              <c:f>'Table A-Wetland Adv Credit Bal'!$H$38:$H$48</c:f>
              <c:numCache>
                <c:formatCode>0.00</c:formatCode>
                <c:ptCount val="11"/>
                <c:pt idx="0">
                  <c:v>11.352379999999998</c:v>
                </c:pt>
                <c:pt idx="1">
                  <c:v>2.5919999999999996</c:v>
                </c:pt>
                <c:pt idx="2">
                  <c:v>6.5000000000000002E-2</c:v>
                </c:pt>
                <c:pt idx="3">
                  <c:v>4.7560000000000002</c:v>
                </c:pt>
                <c:pt idx="4">
                  <c:v>2.129</c:v>
                </c:pt>
                <c:pt idx="5">
                  <c:v>1.4990000000000001</c:v>
                </c:pt>
                <c:pt idx="6">
                  <c:v>0.98799999999999999</c:v>
                </c:pt>
                <c:pt idx="7">
                  <c:v>13.368</c:v>
                </c:pt>
                <c:pt idx="8">
                  <c:v>7.048</c:v>
                </c:pt>
                <c:pt idx="9">
                  <c:v>16.173599999999997</c:v>
                </c:pt>
                <c:pt idx="10">
                  <c:v>6.1459999999999999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D2-4533-AF78-4C628FE3D8C7}"/>
            </c:ext>
          </c:extLst>
        </c:ser>
        <c:ser>
          <c:idx val="9"/>
          <c:order val="7"/>
          <c:tx>
            <c:strRef>
              <c:f>'Table A-Wetland Adv Credit Bal'!$I$37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25400">
              <a:noFill/>
            </a:ln>
            <a:effectLst/>
            <a:sp3d/>
          </c:spPr>
          <c:val>
            <c:numRef>
              <c:f>'Table A-Wetland Adv Credit Bal'!$I$38:$I$48</c:f>
              <c:numCache>
                <c:formatCode>0.00</c:formatCode>
                <c:ptCount val="11"/>
                <c:pt idx="0">
                  <c:v>7.6970999999999998</c:v>
                </c:pt>
                <c:pt idx="1">
                  <c:v>0.436</c:v>
                </c:pt>
                <c:pt idx="2">
                  <c:v>0</c:v>
                </c:pt>
                <c:pt idx="3">
                  <c:v>3.51</c:v>
                </c:pt>
                <c:pt idx="4">
                  <c:v>1.6</c:v>
                </c:pt>
                <c:pt idx="5">
                  <c:v>0.02</c:v>
                </c:pt>
                <c:pt idx="6">
                  <c:v>7.6229999999999993</c:v>
                </c:pt>
                <c:pt idx="7">
                  <c:v>7.3599999999999999E-2</c:v>
                </c:pt>
                <c:pt idx="8">
                  <c:v>8.7639999999999993</c:v>
                </c:pt>
                <c:pt idx="9">
                  <c:v>48.552000000000014</c:v>
                </c:pt>
                <c:pt idx="10">
                  <c:v>16.160300000000003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D2-4533-AF78-4C628FE3D8C7}"/>
            </c:ext>
          </c:extLst>
        </c:ser>
        <c:ser>
          <c:idx val="7"/>
          <c:order val="8"/>
          <c:tx>
            <c:strRef>
              <c:f>'Table A-Wetland Adv Credit Bal'!$J$37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25400">
              <a:noFill/>
            </a:ln>
            <a:effectLst/>
            <a:sp3d/>
          </c:spPr>
          <c:val>
            <c:numRef>
              <c:f>'Table A-Wetland Adv Credit Bal'!$J$38:$J$48</c:f>
              <c:numCache>
                <c:formatCode>0.00</c:formatCode>
                <c:ptCount val="11"/>
                <c:pt idx="0">
                  <c:v>21.202839999999998</c:v>
                </c:pt>
                <c:pt idx="1">
                  <c:v>0</c:v>
                </c:pt>
                <c:pt idx="2">
                  <c:v>1.62</c:v>
                </c:pt>
                <c:pt idx="3">
                  <c:v>5.8579999999999997</c:v>
                </c:pt>
                <c:pt idx="4">
                  <c:v>2.0249999999999999</c:v>
                </c:pt>
                <c:pt idx="5">
                  <c:v>5.33</c:v>
                </c:pt>
                <c:pt idx="6">
                  <c:v>0.33600000000000002</c:v>
                </c:pt>
                <c:pt idx="7">
                  <c:v>2.6</c:v>
                </c:pt>
                <c:pt idx="8">
                  <c:v>13.4095</c:v>
                </c:pt>
                <c:pt idx="9">
                  <c:v>17.420999999999996</c:v>
                </c:pt>
                <c:pt idx="10">
                  <c:v>5.6429999999999998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87-4D25-9EF7-D4437F921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384560"/>
        <c:axId val="242537664"/>
        <c:axId val="24350164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'Table A-Wetland Adv Credit Bal'!$B$37</c15:sqref>
                        </c15:formulaRef>
                      </c:ext>
                    </c:extLst>
                    <c:strCache>
                      <c:ptCount val="1"/>
                      <c:pt idx="0">
                        <c:v>Starting Wetland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cat>
                  <c:strRef>
                    <c:extLst>
                      <c:ext uri="{02D57815-91ED-43cb-92C2-25804820EDAC}">
                        <c15:formulaRef>
                          <c15:sqref>'Table A-Wetland Adv Credit Bal'!$A$38:$A$48</c15:sqref>
                        </c15:formulaRef>
                      </c:ext>
                    </c:extLst>
                    <c:strCache>
                      <c:ptCount val="11"/>
                      <c:pt idx="0">
                        <c:v>Calumet-Dunes</c:v>
                      </c:pt>
                      <c:pt idx="1">
                        <c:v>Kankakee</c:v>
                      </c:pt>
                      <c:pt idx="2">
                        <c:v>Lower White</c:v>
                      </c:pt>
                      <c:pt idx="3">
                        <c:v>Maumee</c:v>
                      </c:pt>
                      <c:pt idx="4">
                        <c:v>Middle Wabash</c:v>
                      </c:pt>
                      <c:pt idx="5">
                        <c:v>Ohio-Wabash Lowlands</c:v>
                      </c:pt>
                      <c:pt idx="6">
                        <c:v>St. Joseph River</c:v>
                      </c:pt>
                      <c:pt idx="7">
                        <c:v>Upper Ohio</c:v>
                      </c:pt>
                      <c:pt idx="8">
                        <c:v>Upper Wabash</c:v>
                      </c:pt>
                      <c:pt idx="9">
                        <c:v>Upper White</c:v>
                      </c:pt>
                      <c:pt idx="10">
                        <c:v>Whitewater-East Fork White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'Table A-Wetland Adv Credit Bal'!$B$38:$B$48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90</c:v>
                      </c:pt>
                      <c:pt idx="1">
                        <c:v>90</c:v>
                      </c:pt>
                      <c:pt idx="2">
                        <c:v>90</c:v>
                      </c:pt>
                      <c:pt idx="3">
                        <c:v>90</c:v>
                      </c:pt>
                      <c:pt idx="4">
                        <c:v>90</c:v>
                      </c:pt>
                      <c:pt idx="5">
                        <c:v>115</c:v>
                      </c:pt>
                      <c:pt idx="6">
                        <c:v>90</c:v>
                      </c:pt>
                      <c:pt idx="7">
                        <c:v>90</c:v>
                      </c:pt>
                      <c:pt idx="8">
                        <c:v>90</c:v>
                      </c:pt>
                      <c:pt idx="9">
                        <c:v>162</c:v>
                      </c:pt>
                      <c:pt idx="10">
                        <c:v>90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FB86-4545-BD08-97BE31DB3018}"/>
                  </c:ext>
                </c:extLst>
              </c15:ser>
            </c15:filteredLineSeries>
            <c15:filteredLineSeries>
              <c15:ser>
                <c:idx val="6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'Table A-Wetland Adv Credit Bal'!$K$37</c15:sqref>
                        </c15:formulaRef>
                      </c:ext>
                    </c:extLst>
                    <c:strCache>
                      <c:ptCount val="1"/>
                      <c:pt idx="0">
                        <c:v>Total Credits Sold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'Table A-Wetland Adv Credit Bal'!$A$38:$A$48</c15:sqref>
                        </c15:formulaRef>
                      </c:ext>
                    </c:extLst>
                    <c:strCache>
                      <c:ptCount val="11"/>
                      <c:pt idx="0">
                        <c:v>Calumet-Dunes</c:v>
                      </c:pt>
                      <c:pt idx="1">
                        <c:v>Kankakee</c:v>
                      </c:pt>
                      <c:pt idx="2">
                        <c:v>Lower White</c:v>
                      </c:pt>
                      <c:pt idx="3">
                        <c:v>Maumee</c:v>
                      </c:pt>
                      <c:pt idx="4">
                        <c:v>Middle Wabash</c:v>
                      </c:pt>
                      <c:pt idx="5">
                        <c:v>Ohio-Wabash Lowlands</c:v>
                      </c:pt>
                      <c:pt idx="6">
                        <c:v>St. Joseph River</c:v>
                      </c:pt>
                      <c:pt idx="7">
                        <c:v>Upper Ohio</c:v>
                      </c:pt>
                      <c:pt idx="8">
                        <c:v>Upper Wabash</c:v>
                      </c:pt>
                      <c:pt idx="9">
                        <c:v>Upper White</c:v>
                      </c:pt>
                      <c:pt idx="10">
                        <c:v>Whitewater-East Fork White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'Table A-Wetland Adv Credit Bal'!$K$38:$K$48</c15:sqref>
                        </c15:formulaRef>
                      </c:ext>
                    </c:extLst>
                    <c:numCache>
                      <c:formatCode>0.00000</c:formatCode>
                      <c:ptCount val="11"/>
                      <c:pt idx="0">
                        <c:v>89.066450000000003</c:v>
                      </c:pt>
                      <c:pt idx="1">
                        <c:v>12.845600000000001</c:v>
                      </c:pt>
                      <c:pt idx="2">
                        <c:v>4.0340000000000007</c:v>
                      </c:pt>
                      <c:pt idx="3">
                        <c:v>38.972499999999997</c:v>
                      </c:pt>
                      <c:pt idx="4">
                        <c:v>13.104200000000001</c:v>
                      </c:pt>
                      <c:pt idx="5">
                        <c:v>22.640500000000003</c:v>
                      </c:pt>
                      <c:pt idx="6">
                        <c:v>24.997599999999991</c:v>
                      </c:pt>
                      <c:pt idx="7">
                        <c:v>62.222600000000014</c:v>
                      </c:pt>
                      <c:pt idx="8">
                        <c:v>45.443600000000011</c:v>
                      </c:pt>
                      <c:pt idx="9">
                        <c:v>183.4932</c:v>
                      </c:pt>
                      <c:pt idx="10">
                        <c:v>89.853000000000009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B86-4545-BD08-97BE31DB3018}"/>
                  </c:ext>
                </c:extLst>
              </c15:ser>
            </c15:filteredLineSeries>
          </c:ext>
        </c:extLst>
      </c:line3DChart>
      <c:catAx>
        <c:axId val="17638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537664"/>
        <c:crosses val="autoZero"/>
        <c:auto val="1"/>
        <c:lblAlgn val="ctr"/>
        <c:lblOffset val="100"/>
        <c:noMultiLvlLbl val="0"/>
      </c:catAx>
      <c:valAx>
        <c:axId val="24253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84560"/>
        <c:crosses val="autoZero"/>
        <c:crossBetween val="between"/>
      </c:valAx>
      <c:serAx>
        <c:axId val="24350164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53766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Stream Credit</a:t>
            </a:r>
            <a:r>
              <a:rPr lang="en-US" b="1" baseline="0">
                <a:solidFill>
                  <a:schemeClr val="tx1"/>
                </a:solidFill>
              </a:rPr>
              <a:t> Sales</a:t>
            </a:r>
            <a:endParaRPr lang="en-US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1"/>
          <c:order val="1"/>
          <c:tx>
            <c:strRef>
              <c:f>'Table B-Stream Adv Credit Bal'!$C$25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cat>
            <c:strRef>
              <c:f>'Table B-Stream Adv Credit Bal'!$A$26:$A$36</c:f>
              <c:strCache>
                <c:ptCount val="11"/>
                <c:pt idx="0">
                  <c:v>Calumet-Dunes</c:v>
                </c:pt>
                <c:pt idx="1">
                  <c:v>Kankakee</c:v>
                </c:pt>
                <c:pt idx="2">
                  <c:v>Lower White</c:v>
                </c:pt>
                <c:pt idx="3">
                  <c:v>Maumee</c:v>
                </c:pt>
                <c:pt idx="4">
                  <c:v>Middle Wabash</c:v>
                </c:pt>
                <c:pt idx="5">
                  <c:v>Ohio-Wabash Lowlands</c:v>
                </c:pt>
                <c:pt idx="6">
                  <c:v>St. Joseph River</c:v>
                </c:pt>
                <c:pt idx="7">
                  <c:v>Upper Ohio</c:v>
                </c:pt>
                <c:pt idx="8">
                  <c:v>Upper Wabash</c:v>
                </c:pt>
                <c:pt idx="9">
                  <c:v>Upper White</c:v>
                </c:pt>
                <c:pt idx="10">
                  <c:v>Whitewater-East Fork White</c:v>
                </c:pt>
              </c:strCache>
            </c:strRef>
          </c:cat>
          <c:val>
            <c:numRef>
              <c:f>'Table B-Stream Adv Credit Bal'!$C$26:$C$36</c:f>
              <c:numCache>
                <c:formatCode>_(* #,##0.00_);_(* \(#,##0.00\);_(* "-"??_);_(@_)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409</c:v>
                </c:pt>
                <c:pt idx="8">
                  <c:v>0</c:v>
                </c:pt>
                <c:pt idx="9">
                  <c:v>750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4E-4061-AFE5-582AA0F7A4B0}"/>
            </c:ext>
          </c:extLst>
        </c:ser>
        <c:ser>
          <c:idx val="2"/>
          <c:order val="2"/>
          <c:tx>
            <c:strRef>
              <c:f>'Table B-Stream Adv Credit Bal'!$D$25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cat>
            <c:strRef>
              <c:f>'Table B-Stream Adv Credit Bal'!$A$26:$A$36</c:f>
              <c:strCache>
                <c:ptCount val="11"/>
                <c:pt idx="0">
                  <c:v>Calumet-Dunes</c:v>
                </c:pt>
                <c:pt idx="1">
                  <c:v>Kankakee</c:v>
                </c:pt>
                <c:pt idx="2">
                  <c:v>Lower White</c:v>
                </c:pt>
                <c:pt idx="3">
                  <c:v>Maumee</c:v>
                </c:pt>
                <c:pt idx="4">
                  <c:v>Middle Wabash</c:v>
                </c:pt>
                <c:pt idx="5">
                  <c:v>Ohio-Wabash Lowlands</c:v>
                </c:pt>
                <c:pt idx="6">
                  <c:v>St. Joseph River</c:v>
                </c:pt>
                <c:pt idx="7">
                  <c:v>Upper Ohio</c:v>
                </c:pt>
                <c:pt idx="8">
                  <c:v>Upper Wabash</c:v>
                </c:pt>
                <c:pt idx="9">
                  <c:v>Upper White</c:v>
                </c:pt>
                <c:pt idx="10">
                  <c:v>Whitewater-East Fork White</c:v>
                </c:pt>
              </c:strCache>
            </c:strRef>
          </c:cat>
          <c:val>
            <c:numRef>
              <c:f>'Table B-Stream Adv Credit Bal'!$D$26:$D$36</c:f>
              <c:numCache>
                <c:formatCode>_(* #,##0.00_);_(* \(#,##0.00\);_(* "-"??_);_(@_)</c:formatCode>
                <c:ptCount val="11"/>
                <c:pt idx="0">
                  <c:v>0</c:v>
                </c:pt>
                <c:pt idx="1">
                  <c:v>385</c:v>
                </c:pt>
                <c:pt idx="2">
                  <c:v>249</c:v>
                </c:pt>
                <c:pt idx="3">
                  <c:v>0</c:v>
                </c:pt>
                <c:pt idx="4">
                  <c:v>771</c:v>
                </c:pt>
                <c:pt idx="5">
                  <c:v>373</c:v>
                </c:pt>
                <c:pt idx="6">
                  <c:v>0</c:v>
                </c:pt>
                <c:pt idx="7">
                  <c:v>2225</c:v>
                </c:pt>
                <c:pt idx="8">
                  <c:v>590</c:v>
                </c:pt>
                <c:pt idx="9">
                  <c:v>903</c:v>
                </c:pt>
                <c:pt idx="10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4E-4061-AFE5-582AA0F7A4B0}"/>
            </c:ext>
          </c:extLst>
        </c:ser>
        <c:ser>
          <c:idx val="3"/>
          <c:order val="3"/>
          <c:tx>
            <c:strRef>
              <c:f>'Table B-Stream Adv Credit Bal'!$E$25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cat>
            <c:strRef>
              <c:f>'Table B-Stream Adv Credit Bal'!$A$26:$A$36</c:f>
              <c:strCache>
                <c:ptCount val="11"/>
                <c:pt idx="0">
                  <c:v>Calumet-Dunes</c:v>
                </c:pt>
                <c:pt idx="1">
                  <c:v>Kankakee</c:v>
                </c:pt>
                <c:pt idx="2">
                  <c:v>Lower White</c:v>
                </c:pt>
                <c:pt idx="3">
                  <c:v>Maumee</c:v>
                </c:pt>
                <c:pt idx="4">
                  <c:v>Middle Wabash</c:v>
                </c:pt>
                <c:pt idx="5">
                  <c:v>Ohio-Wabash Lowlands</c:v>
                </c:pt>
                <c:pt idx="6">
                  <c:v>St. Joseph River</c:v>
                </c:pt>
                <c:pt idx="7">
                  <c:v>Upper Ohio</c:v>
                </c:pt>
                <c:pt idx="8">
                  <c:v>Upper Wabash</c:v>
                </c:pt>
                <c:pt idx="9">
                  <c:v>Upper White</c:v>
                </c:pt>
                <c:pt idx="10">
                  <c:v>Whitewater-East Fork White</c:v>
                </c:pt>
              </c:strCache>
            </c:strRef>
          </c:cat>
          <c:val>
            <c:numRef>
              <c:f>'Table B-Stream Adv Credit Bal'!$E$26:$E$36</c:f>
              <c:numCache>
                <c:formatCode>_(* #,##0.00_);_(* \(#,##0.00\);_(* "-"??_);_(@_)</c:formatCode>
                <c:ptCount val="11"/>
                <c:pt idx="0">
                  <c:v>8</c:v>
                </c:pt>
                <c:pt idx="1">
                  <c:v>97</c:v>
                </c:pt>
                <c:pt idx="2">
                  <c:v>5826</c:v>
                </c:pt>
                <c:pt idx="3">
                  <c:v>740</c:v>
                </c:pt>
                <c:pt idx="4">
                  <c:v>438.3</c:v>
                </c:pt>
                <c:pt idx="5">
                  <c:v>1607.6</c:v>
                </c:pt>
                <c:pt idx="6">
                  <c:v>941</c:v>
                </c:pt>
                <c:pt idx="7">
                  <c:v>1222</c:v>
                </c:pt>
                <c:pt idx="8">
                  <c:v>3038</c:v>
                </c:pt>
                <c:pt idx="9">
                  <c:v>23786.25</c:v>
                </c:pt>
                <c:pt idx="10">
                  <c:v>1239.5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4E-4061-AFE5-582AA0F7A4B0}"/>
            </c:ext>
          </c:extLst>
        </c:ser>
        <c:ser>
          <c:idx val="4"/>
          <c:order val="4"/>
          <c:tx>
            <c:strRef>
              <c:f>'Table B-Stream Adv Credit Bal'!$F$25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cat>
            <c:strRef>
              <c:f>'Table B-Stream Adv Credit Bal'!$A$26:$A$36</c:f>
              <c:strCache>
                <c:ptCount val="11"/>
                <c:pt idx="0">
                  <c:v>Calumet-Dunes</c:v>
                </c:pt>
                <c:pt idx="1">
                  <c:v>Kankakee</c:v>
                </c:pt>
                <c:pt idx="2">
                  <c:v>Lower White</c:v>
                </c:pt>
                <c:pt idx="3">
                  <c:v>Maumee</c:v>
                </c:pt>
                <c:pt idx="4">
                  <c:v>Middle Wabash</c:v>
                </c:pt>
                <c:pt idx="5">
                  <c:v>Ohio-Wabash Lowlands</c:v>
                </c:pt>
                <c:pt idx="6">
                  <c:v>St. Joseph River</c:v>
                </c:pt>
                <c:pt idx="7">
                  <c:v>Upper Ohio</c:v>
                </c:pt>
                <c:pt idx="8">
                  <c:v>Upper Wabash</c:v>
                </c:pt>
                <c:pt idx="9">
                  <c:v>Upper White</c:v>
                </c:pt>
                <c:pt idx="10">
                  <c:v>Whitewater-East Fork White</c:v>
                </c:pt>
              </c:strCache>
            </c:strRef>
          </c:cat>
          <c:val>
            <c:numRef>
              <c:f>'Table B-Stream Adv Credit Bal'!$F$26:$F$36</c:f>
              <c:numCache>
                <c:formatCode>_(* #,##0.00_);_(* \(#,##0.00\);_(* "-"??_);_(@_)</c:formatCode>
                <c:ptCount val="11"/>
                <c:pt idx="0">
                  <c:v>470</c:v>
                </c:pt>
                <c:pt idx="1">
                  <c:v>549</c:v>
                </c:pt>
                <c:pt idx="2">
                  <c:v>1987.5</c:v>
                </c:pt>
                <c:pt idx="3">
                  <c:v>0</c:v>
                </c:pt>
                <c:pt idx="4">
                  <c:v>360</c:v>
                </c:pt>
                <c:pt idx="5">
                  <c:v>0</c:v>
                </c:pt>
                <c:pt idx="6">
                  <c:v>176</c:v>
                </c:pt>
                <c:pt idx="7">
                  <c:v>4803.6000000000004</c:v>
                </c:pt>
                <c:pt idx="8">
                  <c:v>414.4</c:v>
                </c:pt>
                <c:pt idx="9">
                  <c:v>2154</c:v>
                </c:pt>
                <c:pt idx="10">
                  <c:v>3330.3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4E-4061-AFE5-582AA0F7A4B0}"/>
            </c:ext>
          </c:extLst>
        </c:ser>
        <c:ser>
          <c:idx val="5"/>
          <c:order val="5"/>
          <c:tx>
            <c:strRef>
              <c:f>'Table B-Stream Adv Credit Bal'!$G$25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cat>
            <c:strRef>
              <c:f>'Table B-Stream Adv Credit Bal'!$A$26:$A$36</c:f>
              <c:strCache>
                <c:ptCount val="11"/>
                <c:pt idx="0">
                  <c:v>Calumet-Dunes</c:v>
                </c:pt>
                <c:pt idx="1">
                  <c:v>Kankakee</c:v>
                </c:pt>
                <c:pt idx="2">
                  <c:v>Lower White</c:v>
                </c:pt>
                <c:pt idx="3">
                  <c:v>Maumee</c:v>
                </c:pt>
                <c:pt idx="4">
                  <c:v>Middle Wabash</c:v>
                </c:pt>
                <c:pt idx="5">
                  <c:v>Ohio-Wabash Lowlands</c:v>
                </c:pt>
                <c:pt idx="6">
                  <c:v>St. Joseph River</c:v>
                </c:pt>
                <c:pt idx="7">
                  <c:v>Upper Ohio</c:v>
                </c:pt>
                <c:pt idx="8">
                  <c:v>Upper Wabash</c:v>
                </c:pt>
                <c:pt idx="9">
                  <c:v>Upper White</c:v>
                </c:pt>
                <c:pt idx="10">
                  <c:v>Whitewater-East Fork White</c:v>
                </c:pt>
              </c:strCache>
            </c:strRef>
          </c:cat>
          <c:val>
            <c:numRef>
              <c:f>'Table B-Stream Adv Credit Bal'!$G$26:$G$36</c:f>
              <c:numCache>
                <c:formatCode>_(* #,##0.00_);_(* \(#,##0.00\);_(* "-"??_);_(@_)</c:formatCode>
                <c:ptCount val="11"/>
                <c:pt idx="0">
                  <c:v>511</c:v>
                </c:pt>
                <c:pt idx="1">
                  <c:v>226.5</c:v>
                </c:pt>
                <c:pt idx="2">
                  <c:v>0</c:v>
                </c:pt>
                <c:pt idx="3">
                  <c:v>37.549999999999997</c:v>
                </c:pt>
                <c:pt idx="4">
                  <c:v>360.5</c:v>
                </c:pt>
                <c:pt idx="5">
                  <c:v>1039</c:v>
                </c:pt>
                <c:pt idx="6">
                  <c:v>91.27</c:v>
                </c:pt>
                <c:pt idx="7">
                  <c:v>7080.4</c:v>
                </c:pt>
                <c:pt idx="8">
                  <c:v>365</c:v>
                </c:pt>
                <c:pt idx="9">
                  <c:v>17224.599999999999</c:v>
                </c:pt>
                <c:pt idx="10">
                  <c:v>4502.08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4E-4061-AFE5-582AA0F7A4B0}"/>
            </c:ext>
          </c:extLst>
        </c:ser>
        <c:ser>
          <c:idx val="8"/>
          <c:order val="6"/>
          <c:tx>
            <c:strRef>
              <c:f>'Table B-Stream Adv Credit Bal'!$H$25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25400">
              <a:noFill/>
            </a:ln>
            <a:effectLst/>
            <a:sp3d/>
          </c:spPr>
          <c:val>
            <c:numRef>
              <c:f>'Table B-Stream Adv Credit Bal'!$H$26:$H$36</c:f>
              <c:numCache>
                <c:formatCode>_(* #,##0.00_);_(* \(#,##0.00\);_(* "-"??_);_(@_)</c:formatCode>
                <c:ptCount val="11"/>
                <c:pt idx="0">
                  <c:v>140.80000000000001</c:v>
                </c:pt>
                <c:pt idx="1">
                  <c:v>456.6</c:v>
                </c:pt>
                <c:pt idx="2">
                  <c:v>361</c:v>
                </c:pt>
                <c:pt idx="3">
                  <c:v>359.5</c:v>
                </c:pt>
                <c:pt idx="4">
                  <c:v>1015</c:v>
                </c:pt>
                <c:pt idx="5">
                  <c:v>1722.5</c:v>
                </c:pt>
                <c:pt idx="6">
                  <c:v>362.5</c:v>
                </c:pt>
                <c:pt idx="7">
                  <c:v>1357</c:v>
                </c:pt>
                <c:pt idx="8">
                  <c:v>1699.4</c:v>
                </c:pt>
                <c:pt idx="9">
                  <c:v>2397.5</c:v>
                </c:pt>
                <c:pt idx="10">
                  <c:v>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67-4D3A-83A6-9D1894A58E63}"/>
            </c:ext>
          </c:extLst>
        </c:ser>
        <c:ser>
          <c:idx val="9"/>
          <c:order val="7"/>
          <c:tx>
            <c:strRef>
              <c:f>'Table B-Stream Adv Credit Bal'!$I$25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25400">
              <a:noFill/>
            </a:ln>
            <a:effectLst/>
            <a:sp3d/>
          </c:spPr>
          <c:val>
            <c:numRef>
              <c:f>'Table B-Stream Adv Credit Bal'!$I$26:$I$36</c:f>
              <c:numCache>
                <c:formatCode>_(* #,##0.00_);_(* \(#,##0.00\);_(* "-"??_);_(@_)</c:formatCode>
                <c:ptCount val="11"/>
                <c:pt idx="0">
                  <c:v>409</c:v>
                </c:pt>
                <c:pt idx="1">
                  <c:v>633.4</c:v>
                </c:pt>
                <c:pt idx="2">
                  <c:v>1505.9</c:v>
                </c:pt>
                <c:pt idx="3">
                  <c:v>80.5</c:v>
                </c:pt>
                <c:pt idx="4">
                  <c:v>206</c:v>
                </c:pt>
                <c:pt idx="5">
                  <c:v>449</c:v>
                </c:pt>
                <c:pt idx="6">
                  <c:v>375</c:v>
                </c:pt>
                <c:pt idx="7">
                  <c:v>792.9</c:v>
                </c:pt>
                <c:pt idx="8">
                  <c:v>785.27</c:v>
                </c:pt>
                <c:pt idx="9">
                  <c:v>2363.5</c:v>
                </c:pt>
                <c:pt idx="10">
                  <c:v>3803.5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67-4D3A-83A6-9D1894A58E63}"/>
            </c:ext>
          </c:extLst>
        </c:ser>
        <c:ser>
          <c:idx val="7"/>
          <c:order val="8"/>
          <c:tx>
            <c:strRef>
              <c:f>'Table B-Stream Adv Credit Bal'!$J$25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25400">
              <a:noFill/>
            </a:ln>
            <a:effectLst/>
            <a:sp3d/>
          </c:spPr>
          <c:val>
            <c:numRef>
              <c:f>'Table B-Stream Adv Credit Bal'!$J$26:$J$36</c:f>
              <c:numCache>
                <c:formatCode>_(* #,##0.00_);_(* \(#,##0.00\);_(* "-"??_);_(@_)</c:formatCode>
                <c:ptCount val="11"/>
                <c:pt idx="0">
                  <c:v>1060</c:v>
                </c:pt>
                <c:pt idx="1">
                  <c:v>0</c:v>
                </c:pt>
                <c:pt idx="2">
                  <c:v>790</c:v>
                </c:pt>
                <c:pt idx="3">
                  <c:v>1751.2</c:v>
                </c:pt>
                <c:pt idx="4">
                  <c:v>683</c:v>
                </c:pt>
                <c:pt idx="5">
                  <c:v>2201.4</c:v>
                </c:pt>
                <c:pt idx="6">
                  <c:v>154</c:v>
                </c:pt>
                <c:pt idx="7">
                  <c:v>759</c:v>
                </c:pt>
                <c:pt idx="8">
                  <c:v>3393.36</c:v>
                </c:pt>
                <c:pt idx="9">
                  <c:v>8312.5</c:v>
                </c:pt>
                <c:pt idx="10">
                  <c:v>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1-4C20-9483-26F586CCC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538056"/>
        <c:axId val="242537272"/>
        <c:axId val="24373735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'Table B-Stream Adv Credit Bal'!$B$25</c15:sqref>
                        </c15:formulaRef>
                      </c:ext>
                    </c:extLst>
                    <c:strCache>
                      <c:ptCount val="1"/>
                      <c:pt idx="0">
                        <c:v>Starting Stream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cat>
                  <c:strRef>
                    <c:extLst>
                      <c:ext uri="{02D57815-91ED-43cb-92C2-25804820EDAC}">
                        <c15:formulaRef>
                          <c15:sqref>'Table B-Stream Adv Credit Bal'!$A$26:$A$36</c15:sqref>
                        </c15:formulaRef>
                      </c:ext>
                    </c:extLst>
                    <c:strCache>
                      <c:ptCount val="11"/>
                      <c:pt idx="0">
                        <c:v>Calumet-Dunes</c:v>
                      </c:pt>
                      <c:pt idx="1">
                        <c:v>Kankakee</c:v>
                      </c:pt>
                      <c:pt idx="2">
                        <c:v>Lower White</c:v>
                      </c:pt>
                      <c:pt idx="3">
                        <c:v>Maumee</c:v>
                      </c:pt>
                      <c:pt idx="4">
                        <c:v>Middle Wabash</c:v>
                      </c:pt>
                      <c:pt idx="5">
                        <c:v>Ohio-Wabash Lowlands</c:v>
                      </c:pt>
                      <c:pt idx="6">
                        <c:v>St. Joseph River</c:v>
                      </c:pt>
                      <c:pt idx="7">
                        <c:v>Upper Ohio</c:v>
                      </c:pt>
                      <c:pt idx="8">
                        <c:v>Upper Wabash</c:v>
                      </c:pt>
                      <c:pt idx="9">
                        <c:v>Upper White</c:v>
                      </c:pt>
                      <c:pt idx="10">
                        <c:v>Whitewater-East Fork White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'Table B-Stream Adv Credit Bal'!$B$26:$B$36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1"/>
                      <c:pt idx="0">
                        <c:v>45000</c:v>
                      </c:pt>
                      <c:pt idx="1">
                        <c:v>45000</c:v>
                      </c:pt>
                      <c:pt idx="2">
                        <c:v>45000</c:v>
                      </c:pt>
                      <c:pt idx="3">
                        <c:v>45000</c:v>
                      </c:pt>
                      <c:pt idx="4">
                        <c:v>45000</c:v>
                      </c:pt>
                      <c:pt idx="5">
                        <c:v>50000</c:v>
                      </c:pt>
                      <c:pt idx="6">
                        <c:v>45000</c:v>
                      </c:pt>
                      <c:pt idx="7">
                        <c:v>45000</c:v>
                      </c:pt>
                      <c:pt idx="8">
                        <c:v>45000</c:v>
                      </c:pt>
                      <c:pt idx="9">
                        <c:v>81000</c:v>
                      </c:pt>
                      <c:pt idx="10">
                        <c:v>45000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434E-4061-AFE5-582AA0F7A4B0}"/>
                  </c:ext>
                </c:extLst>
              </c15:ser>
            </c15:filteredLineSeries>
            <c15:filteredLineSeries>
              <c15:ser>
                <c:idx val="6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'Table B-Stream Adv Credit Bal'!$K$25</c15:sqref>
                        </c15:formulaRef>
                      </c:ext>
                    </c:extLst>
                    <c:strCache>
                      <c:ptCount val="1"/>
                      <c:pt idx="0">
                        <c:v>Total Credits Sold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'Table B-Stream Adv Credit Bal'!$A$26:$A$36</c15:sqref>
                        </c15:formulaRef>
                      </c:ext>
                    </c:extLst>
                    <c:strCache>
                      <c:ptCount val="11"/>
                      <c:pt idx="0">
                        <c:v>Calumet-Dunes</c:v>
                      </c:pt>
                      <c:pt idx="1">
                        <c:v>Kankakee</c:v>
                      </c:pt>
                      <c:pt idx="2">
                        <c:v>Lower White</c:v>
                      </c:pt>
                      <c:pt idx="3">
                        <c:v>Maumee</c:v>
                      </c:pt>
                      <c:pt idx="4">
                        <c:v>Middle Wabash</c:v>
                      </c:pt>
                      <c:pt idx="5">
                        <c:v>Ohio-Wabash Lowlands</c:v>
                      </c:pt>
                      <c:pt idx="6">
                        <c:v>St. Joseph River</c:v>
                      </c:pt>
                      <c:pt idx="7">
                        <c:v>Upper Ohio</c:v>
                      </c:pt>
                      <c:pt idx="8">
                        <c:v>Upper Wabash</c:v>
                      </c:pt>
                      <c:pt idx="9">
                        <c:v>Upper White</c:v>
                      </c:pt>
                      <c:pt idx="10">
                        <c:v>Whitewater-East Fork White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'Table B-Stream Adv Credit Bal'!$K$26:$K$36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1"/>
                      <c:pt idx="0">
                        <c:v>2598.8000000000002</c:v>
                      </c:pt>
                      <c:pt idx="1">
                        <c:v>2347.5</c:v>
                      </c:pt>
                      <c:pt idx="2">
                        <c:v>10719.4</c:v>
                      </c:pt>
                      <c:pt idx="3">
                        <c:v>2968.75</c:v>
                      </c:pt>
                      <c:pt idx="4">
                        <c:v>3833.8</c:v>
                      </c:pt>
                      <c:pt idx="5">
                        <c:v>7392.5</c:v>
                      </c:pt>
                      <c:pt idx="6">
                        <c:v>2099.77</c:v>
                      </c:pt>
                      <c:pt idx="7">
                        <c:v>18648.900000000001</c:v>
                      </c:pt>
                      <c:pt idx="8">
                        <c:v>10285.43</c:v>
                      </c:pt>
                      <c:pt idx="9">
                        <c:v>57891.35</c:v>
                      </c:pt>
                      <c:pt idx="10">
                        <c:v>19553.38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34E-4061-AFE5-582AA0F7A4B0}"/>
                  </c:ext>
                </c:extLst>
              </c15:ser>
            </c15:filteredLineSeries>
          </c:ext>
        </c:extLst>
      </c:line3DChart>
      <c:catAx>
        <c:axId val="242538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537272"/>
        <c:crosses val="autoZero"/>
        <c:auto val="1"/>
        <c:lblAlgn val="ctr"/>
        <c:lblOffset val="100"/>
        <c:noMultiLvlLbl val="0"/>
      </c:catAx>
      <c:valAx>
        <c:axId val="242537272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538056"/>
        <c:crosses val="autoZero"/>
        <c:crossBetween val="between"/>
      </c:valAx>
      <c:serAx>
        <c:axId val="24373735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53727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51</xdr:row>
      <xdr:rowOff>1</xdr:rowOff>
    </xdr:from>
    <xdr:to>
      <xdr:col>16</xdr:col>
      <xdr:colOff>9525</xdr:colOff>
      <xdr:row>76</xdr:row>
      <xdr:rowOff>180975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762003</xdr:colOff>
      <xdr:row>39</xdr:row>
      <xdr:rowOff>186691</xdr:rowOff>
    </xdr:from>
    <xdr:to>
      <xdr:col>15</xdr:col>
      <xdr:colOff>19049</xdr:colOff>
      <xdr:row>65</xdr:row>
      <xdr:rowOff>38101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IN%20LIEU%20FEE\Reporting\Master%20Ledger%20Backup%20-%20Coordinator%20Only%20Access\IN%20SWMP_Ledger_AnnualReportTables_MASTER-BROKEN.xlsx" TargetMode="External"/><Relationship Id="rId1" Type="http://schemas.openxmlformats.org/officeDocument/2006/relationships/externalLinkPath" Target="file:///I:\IN%20LIEU%20FEE\Reporting\Master%20Ledger%20Backup%20-%20Coordinator%20Only%20Access\IN%20SWMP_Ledger_AnnualReportTables_MASTER-BROKE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IN%20LIEU%20FEE\Reporting\Monthly%20Ledgers\IN%20SWMP_2024_Monthly%20Ledger%20Reports\IN%20SWMP_Ledger_April2024.xlsx" TargetMode="External"/><Relationship Id="rId1" Type="http://schemas.openxmlformats.org/officeDocument/2006/relationships/externalLinkPath" Target="file:///I:\IN%20LIEU%20FEE\Reporting\Monthly%20Ledgers\IN%20SWMP_2024_Monthly%20Ledger%20Reports\IN%20SWMP_Ledger_April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IN%20LIEU%20FEE\Reporting\IN%20SWMP_Ledger_AnnualReportTables_MASTER.xlsx" TargetMode="External"/><Relationship Id="rId1" Type="http://schemas.openxmlformats.org/officeDocument/2006/relationships/externalLinkPath" Target="file:///I:\IN%20LIEU%20FEE\Reporting\IN%20SWMP_Ledger_AnnualReportTables_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edger"/>
      <sheetName val="Data"/>
      <sheetName val="Table A-Wetland Adv Credit Bal"/>
      <sheetName val="Table B-Stream Adv Credit Bal"/>
      <sheetName val="Table C-Receipts &amp; Funds"/>
      <sheetName val="Table D - Released Stream "/>
      <sheetName val="Table E - Released Wetland"/>
      <sheetName val="INDOT"/>
    </sheetNames>
    <sheetDataSet>
      <sheetData sheetId="0"/>
      <sheetData sheetId="1">
        <row r="53">
          <cell r="B53">
            <v>0.15</v>
          </cell>
        </row>
        <row r="54">
          <cell r="B54">
            <v>0.7</v>
          </cell>
        </row>
        <row r="55">
          <cell r="B55">
            <v>0.15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edger"/>
      <sheetName val="Data"/>
      <sheetName val="Table A-Wetland Adv Credit Bal"/>
      <sheetName val="Table B-Stream Adv Credit Bal"/>
      <sheetName val="Table C-Receipts &amp; Funds"/>
      <sheetName val="INDOT"/>
    </sheetNames>
    <sheetDataSet>
      <sheetData sheetId="0"/>
      <sheetData sheetId="1">
        <row r="53">
          <cell r="B53">
            <v>0.15</v>
          </cell>
        </row>
        <row r="54">
          <cell r="B54">
            <v>0.7</v>
          </cell>
        </row>
        <row r="55">
          <cell r="B55">
            <v>0.15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edger"/>
      <sheetName val="Data"/>
      <sheetName val="Table A-Wetland Adv Credit Bal"/>
      <sheetName val="Table B-Stream Adv Credit Bal"/>
      <sheetName val="Table C-Receipts &amp; Funds"/>
      <sheetName val="INDOT"/>
    </sheetNames>
    <sheetDataSet>
      <sheetData sheetId="0"/>
      <sheetData sheetId="1">
        <row r="53">
          <cell r="B53">
            <v>0.15</v>
          </cell>
        </row>
        <row r="54">
          <cell r="B54">
            <v>0.7</v>
          </cell>
        </row>
        <row r="55">
          <cell r="B55">
            <v>0.15</v>
          </cell>
        </row>
      </sheetData>
      <sheetData sheetId="2">
        <row r="38">
          <cell r="M38">
            <v>8.0535500000000013</v>
          </cell>
        </row>
      </sheetData>
      <sheetData sheetId="3">
        <row r="26">
          <cell r="M26">
            <v>42401.2</v>
          </cell>
        </row>
      </sheetData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iddle, Lynn" id="{294FB816-5F92-43DE-A2C7-91112091A931}" userId="Riddle, Lynn" providerId="Non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ylor, Austin" refreshedDate="46022.552857754628" createdVersion="7" refreshedVersion="8" minRefreshableVersion="3" recordCount="1642" xr:uid="{2EEF302D-85AB-4A38-BF87-D0BE43630DE8}">
  <cacheSource type="worksheet">
    <worksheetSource ref="A1:AH1645" sheet="INSWMP Ledger"/>
  </cacheSource>
  <cacheFields count="34">
    <cacheField name="Date" numFmtId="0">
      <sharedItems containsNonDate="0" containsDate="1" containsString="0" containsBlank="1" minDate="2018-05-03T00:00:00" maxDate="2026-01-01T00:00:00"/>
    </cacheField>
    <cacheField name="Month" numFmtId="0">
      <sharedItems containsBlank="1"/>
    </cacheField>
    <cacheField name="Calendar Year" numFmtId="0">
      <sharedItems containsString="0" containsBlank="1" containsNumber="1" containsInteger="1" minValue="2018" maxValue="2025"/>
    </cacheField>
    <cacheField name="Service Area" numFmtId="0">
      <sharedItems containsBlank="1" count="15">
        <s v="Calumet-Dunes"/>
        <s v="Kankakee"/>
        <s v="Lower White"/>
        <s v="Maumee"/>
        <s v="Middle Wabash"/>
        <s v="Ohio-Wabash Lowlands"/>
        <s v="St. Joseph River"/>
        <s v="Upper Ohio"/>
        <s v="Upper Wabash"/>
        <s v="Upper White"/>
        <s v="Whitewater-East Fork White"/>
        <m/>
        <s v="Ohio-Wabash" u="1"/>
        <s v="St. Joseph" u="1"/>
        <s v="Whitewater EF" u="1"/>
      </sharedItems>
    </cacheField>
    <cacheField name="Credits" numFmtId="0">
      <sharedItems containsString="0" containsBlank="1" containsNumber="1" minValue="-5602" maxValue="60000"/>
    </cacheField>
    <cacheField name="Credit Class" numFmtId="0">
      <sharedItems containsBlank="1" count="3">
        <s v="Wetland"/>
        <s v="Stream"/>
        <m/>
      </sharedItems>
    </cacheField>
    <cacheField name="In-Lieu Fee" numFmtId="164">
      <sharedItems containsString="0" containsBlank="1" containsNumber="1" minValue="-125800" maxValue="2520900"/>
    </cacheField>
    <cacheField name="NRF Invoice Number" numFmtId="0">
      <sharedItems containsBlank="1" containsMixedTypes="1" containsNumber="1" containsInteger="1" minValue="1" maxValue="659"/>
    </cacheField>
    <cacheField name="Jurisdiction" numFmtId="0">
      <sharedItems containsBlank="1" count="6">
        <m/>
        <s v="Federal"/>
        <s v="State Isolated"/>
        <s v="Federal " u="1"/>
        <s v="Isolated" u="1"/>
        <s v="State" u="1"/>
      </sharedItems>
    </cacheField>
    <cacheField name="Resource Type" numFmtId="0">
      <sharedItems containsBlank="1"/>
    </cacheField>
    <cacheField name="Impact Quantity" numFmtId="0">
      <sharedItems containsBlank="1" containsMixedTypes="1" containsNumber="1" minValue="0" maxValue="9404.7000000000007"/>
    </cacheField>
    <cacheField name="Applicant" numFmtId="0">
      <sharedItems containsBlank="1"/>
    </cacheField>
    <cacheField name="DA Permit" numFmtId="0">
      <sharedItems containsBlank="1"/>
    </cacheField>
    <cacheField name="IDEM Permit" numFmtId="0">
      <sharedItems containsBlank="1"/>
    </cacheField>
    <cacheField name="DNR Permit #" numFmtId="0">
      <sharedItems containsBlank="1"/>
    </cacheField>
    <cacheField name="County" numFmtId="0">
      <sharedItems containsBlank="1"/>
    </cacheField>
    <cacheField name="Latitude" numFmtId="0">
      <sharedItems containsBlank="1" containsMixedTypes="1" containsNumber="1" minValue="-87.417884000000001" maxValue="41.721879000000001"/>
    </cacheField>
    <cacheField name="Longitude" numFmtId="0">
      <sharedItems containsBlank="1" containsMixedTypes="1" containsNumber="1" minValue="-87.925535999999994" maxValue="87.042424098139605"/>
    </cacheField>
    <cacheField name="Impact Category" numFmtId="0">
      <sharedItems containsBlank="1"/>
    </cacheField>
    <cacheField name="IN SWMP Instrument Mod." numFmtId="0">
      <sharedItems containsBlank="1"/>
    </cacheField>
    <cacheField name="Fulfilled" numFmtId="0">
      <sharedItems containsBlank="1"/>
    </cacheField>
    <cacheField name="Date Fulfilled" numFmtId="0">
      <sharedItems containsDate="1" containsBlank="1" containsMixedTypes="1" minDate="2023-01-31T00:00:00" maxDate="2025-05-10T00:00:00"/>
    </cacheField>
    <cacheField name="Admin Fund" numFmtId="44">
      <sharedItems containsString="0" containsBlank="1" containsNumber="1" minValue="-9225" maxValue="378135"/>
    </cacheField>
    <cacheField name="SA Fund" numFmtId="44">
      <sharedItems containsString="0" containsBlank="1" containsNumber="1" minValue="-103600" maxValue="1764630"/>
    </cacheField>
    <cacheField name="Reserve Fund" numFmtId="44">
      <sharedItems containsString="0" containsBlank="1" containsNumber="1" minValue="-22200" maxValue="378135"/>
    </cacheField>
    <cacheField name="Corps District of Iso" numFmtId="0">
      <sharedItems containsBlank="1"/>
    </cacheField>
    <cacheField name="Juris Type" numFmtId="0">
      <sharedItems containsBlank="1"/>
    </cacheField>
    <cacheField name="Iso Type" numFmtId="0">
      <sharedItems containsBlank="1"/>
    </cacheField>
    <cacheField name="Transaction Type" numFmtId="0">
      <sharedItems containsNonDate="0" containsString="0" containsBlank="1"/>
    </cacheField>
    <cacheField name="ILF Restoration Project" numFmtId="0">
      <sharedItems containsBlank="1"/>
    </cacheField>
    <cacheField name="PeopleSoft ID #" numFmtId="0">
      <sharedItems containsNonDate="0" containsString="0" containsBlank="1"/>
    </cacheField>
    <cacheField name="Allocation" numFmtId="0">
      <sharedItems containsNonDate="0" containsString="0" containsBlank="1"/>
    </cacheField>
    <cacheField name="HUC" numFmtId="0">
      <sharedItems containsNonDate="0" containsString="0" containsBlank="1"/>
    </cacheField>
    <cacheField name="Comments" numFmtId="0">
      <sharedItems containsBlank="1" containsMixedTypes="1" containsNumber="1" containsInteger="1" minValue="1600539" maxValue="1900357"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ylor, Austin" refreshedDate="46022.552857986113" createdVersion="7" refreshedVersion="8" minRefreshableVersion="3" recordCount="2113" xr:uid="{31DB218C-7BA3-4D59-9669-CAD62405B57B}">
  <cacheSource type="worksheet">
    <worksheetSource ref="A1:AH9065" sheet="INSWMP Ledger"/>
  </cacheSource>
  <cacheFields count="34">
    <cacheField name="Date" numFmtId="0">
      <sharedItems containsNonDate="0" containsDate="1" containsString="0" containsBlank="1" minDate="2018-05-03T00:00:00" maxDate="2026-01-01T00:00:00"/>
    </cacheField>
    <cacheField name="Month" numFmtId="0">
      <sharedItems containsBlank="1"/>
    </cacheField>
    <cacheField name="Calendar Year" numFmtId="0">
      <sharedItems containsString="0" containsBlank="1" containsNumber="1" containsInteger="1" minValue="2018" maxValue="2025"/>
    </cacheField>
    <cacheField name="Service Area" numFmtId="0">
      <sharedItems containsBlank="1" count="15">
        <s v="Calumet-Dunes"/>
        <s v="Kankakee"/>
        <s v="Lower White"/>
        <s v="Maumee"/>
        <s v="Middle Wabash"/>
        <s v="Ohio-Wabash Lowlands"/>
        <s v="St. Joseph River"/>
        <s v="Upper Ohio"/>
        <s v="Upper Wabash"/>
        <s v="Upper White"/>
        <s v="Whitewater-East Fork White"/>
        <m/>
        <s v="Ohio-Wabash" u="1"/>
        <s v="St. Joseph" u="1"/>
        <s v="Whitewater EF" u="1"/>
      </sharedItems>
    </cacheField>
    <cacheField name="Credits" numFmtId="0">
      <sharedItems containsString="0" containsBlank="1" containsNumber="1" minValue="-5602" maxValue="60000"/>
    </cacheField>
    <cacheField name="Credit Class" numFmtId="0">
      <sharedItems containsBlank="1" count="3">
        <s v="Wetland"/>
        <s v="Stream"/>
        <m/>
      </sharedItems>
    </cacheField>
    <cacheField name="In-Lieu Fee" numFmtId="164">
      <sharedItems containsString="0" containsBlank="1" containsNumber="1" minValue="-125800" maxValue="2520900"/>
    </cacheField>
    <cacheField name="NRF Invoice Number" numFmtId="0">
      <sharedItems containsBlank="1" containsMixedTypes="1" containsNumber="1" containsInteger="1" minValue="1" maxValue="659"/>
    </cacheField>
    <cacheField name="Jurisdiction" numFmtId="0">
      <sharedItems containsBlank="1"/>
    </cacheField>
    <cacheField name="Resource Type" numFmtId="0">
      <sharedItems containsBlank="1" count="8">
        <m/>
        <s v="Eph"/>
        <s v="Int"/>
        <s v="PEM"/>
        <s v="PFO"/>
        <s v="PSS"/>
        <s v="Per"/>
        <s v="EPA" u="1"/>
      </sharedItems>
    </cacheField>
    <cacheField name="Impact Quantity" numFmtId="0">
      <sharedItems containsBlank="1" containsMixedTypes="1" containsNumber="1" minValue="0" maxValue="9404.7000000000007"/>
    </cacheField>
    <cacheField name="Applicant" numFmtId="0">
      <sharedItems containsBlank="1"/>
    </cacheField>
    <cacheField name="DA Permit" numFmtId="0">
      <sharedItems containsBlank="1"/>
    </cacheField>
    <cacheField name="IDEM Permit" numFmtId="0">
      <sharedItems containsBlank="1"/>
    </cacheField>
    <cacheField name="DNR Permit #" numFmtId="0">
      <sharedItems containsBlank="1"/>
    </cacheField>
    <cacheField name="County" numFmtId="0">
      <sharedItems containsBlank="1"/>
    </cacheField>
    <cacheField name="Latitude" numFmtId="0">
      <sharedItems containsBlank="1" containsMixedTypes="1" containsNumber="1" minValue="-87.417884000000001" maxValue="41.721879000000001"/>
    </cacheField>
    <cacheField name="Longitude" numFmtId="0">
      <sharedItems containsBlank="1" containsMixedTypes="1" containsNumber="1" minValue="-87.925535999999994" maxValue="87.042424098139605"/>
    </cacheField>
    <cacheField name="Impact Category" numFmtId="0">
      <sharedItems containsBlank="1"/>
    </cacheField>
    <cacheField name="IN SWMP Instrument Mod." numFmtId="0">
      <sharedItems containsBlank="1"/>
    </cacheField>
    <cacheField name="Fulfilled" numFmtId="0">
      <sharedItems containsBlank="1"/>
    </cacheField>
    <cacheField name="Date Fulfilled" numFmtId="0">
      <sharedItems containsDate="1" containsBlank="1" containsMixedTypes="1" minDate="2023-01-31T00:00:00" maxDate="2025-05-10T00:00:00"/>
    </cacheField>
    <cacheField name="Admin Fund" numFmtId="44">
      <sharedItems containsString="0" containsBlank="1" containsNumber="1" minValue="-9225" maxValue="378135"/>
    </cacheField>
    <cacheField name="SA Fund" numFmtId="44">
      <sharedItems containsString="0" containsBlank="1" containsNumber="1" minValue="-103600" maxValue="1764630"/>
    </cacheField>
    <cacheField name="Reserve Fund" numFmtId="44">
      <sharedItems containsString="0" containsBlank="1" containsNumber="1" minValue="-22200" maxValue="378135"/>
    </cacheField>
    <cacheField name="Corps District of Iso" numFmtId="0">
      <sharedItems containsBlank="1"/>
    </cacheField>
    <cacheField name="Juris Type" numFmtId="0">
      <sharedItems containsBlank="1"/>
    </cacheField>
    <cacheField name="Iso Type" numFmtId="0">
      <sharedItems containsBlank="1"/>
    </cacheField>
    <cacheField name="Transaction Type" numFmtId="0">
      <sharedItems containsNonDate="0" containsString="0" containsBlank="1"/>
    </cacheField>
    <cacheField name="ILF Restoration Project" numFmtId="0">
      <sharedItems containsBlank="1"/>
    </cacheField>
    <cacheField name="PeopleSoft ID #" numFmtId="0">
      <sharedItems containsNonDate="0" containsString="0" containsBlank="1"/>
    </cacheField>
    <cacheField name="Allocation" numFmtId="0">
      <sharedItems containsNonDate="0" containsString="0" containsBlank="1"/>
    </cacheField>
    <cacheField name="HUC" numFmtId="0">
      <sharedItems containsNonDate="0" containsString="0" containsBlank="1"/>
    </cacheField>
    <cacheField name="Comments" numFmtId="0">
      <sharedItems containsBlank="1" containsMixedTypes="1" containsNumber="1" containsInteger="1" minValue="1600539" maxValue="1900357"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ylor, Austin" refreshedDate="46022.55285821759" createdVersion="7" refreshedVersion="8" minRefreshableVersion="3" recordCount="1491" xr:uid="{932A4961-9C0E-4F27-9691-ECD70C6C6645}">
  <cacheSource type="worksheet">
    <worksheetSource ref="A1:AH1494" sheet="INSWMP Ledger"/>
  </cacheSource>
  <cacheFields count="34">
    <cacheField name="Date" numFmtId="0">
      <sharedItems containsNonDate="0" containsDate="1" containsString="0" containsBlank="1" minDate="2018-05-03T00:00:00" maxDate="2026-01-01T00:00:00"/>
    </cacheField>
    <cacheField name="Month" numFmtId="0">
      <sharedItems containsBlank="1"/>
    </cacheField>
    <cacheField name="Calendar Year" numFmtId="0">
      <sharedItems containsString="0" containsBlank="1" containsNumber="1" containsInteger="1" minValue="202" maxValue="2025" count="10">
        <n v="2018"/>
        <m/>
        <n v="2019"/>
        <n v="2020"/>
        <n v="2021"/>
        <n v="2022"/>
        <n v="2023"/>
        <n v="2024"/>
        <n v="2025"/>
        <n v="202" u="1"/>
      </sharedItems>
    </cacheField>
    <cacheField name="Service Area" numFmtId="0">
      <sharedItems containsBlank="1" count="16">
        <s v="Calumet-Dunes"/>
        <s v="Kankakee"/>
        <s v="Lower White"/>
        <s v="Maumee"/>
        <s v="Middle Wabash"/>
        <s v="Ohio-Wabash Lowlands"/>
        <s v="St. Joseph River"/>
        <s v="Upper Ohio"/>
        <s v="Upper Wabash"/>
        <s v="Upper White"/>
        <s v="Whitewater-East Fork White"/>
        <m/>
        <s v="Ohio-Wabash" u="1"/>
        <s v="St. Joseph" u="1"/>
        <s v="Whitewater EF" u="1"/>
        <s v="St. Joseph " u="1"/>
      </sharedItems>
    </cacheField>
    <cacheField name="Credits" numFmtId="0">
      <sharedItems containsString="0" containsBlank="1" containsNumber="1" minValue="-5602" maxValue="60000"/>
    </cacheField>
    <cacheField name="Credit Class" numFmtId="0">
      <sharedItems containsBlank="1" count="3">
        <s v="Wetland"/>
        <s v="Stream"/>
        <m/>
      </sharedItems>
    </cacheField>
    <cacheField name="In-Lieu Fee" numFmtId="164">
      <sharedItems containsString="0" containsBlank="1" containsNumber="1" minValue="-125800" maxValue="2520900"/>
    </cacheField>
    <cacheField name="NRF Invoice Number" numFmtId="0">
      <sharedItems containsBlank="1" containsMixedTypes="1" containsNumber="1" containsInteger="1" minValue="1" maxValue="659"/>
    </cacheField>
    <cacheField name="Jurisdiction" numFmtId="0">
      <sharedItems containsBlank="1"/>
    </cacheField>
    <cacheField name="Resource Type" numFmtId="0">
      <sharedItems containsBlank="1"/>
    </cacheField>
    <cacheField name="Impact Quantity" numFmtId="0">
      <sharedItems containsBlank="1" containsMixedTypes="1" containsNumber="1" minValue="0" maxValue="9404.7000000000007"/>
    </cacheField>
    <cacheField name="Applicant" numFmtId="0">
      <sharedItems containsBlank="1"/>
    </cacheField>
    <cacheField name="DA Permit" numFmtId="0">
      <sharedItems containsBlank="1"/>
    </cacheField>
    <cacheField name="IDEM Permit" numFmtId="0">
      <sharedItems containsBlank="1"/>
    </cacheField>
    <cacheField name="DNR Permit #" numFmtId="0">
      <sharedItems containsBlank="1"/>
    </cacheField>
    <cacheField name="County" numFmtId="0">
      <sharedItems containsBlank="1"/>
    </cacheField>
    <cacheField name="Latitude" numFmtId="0">
      <sharedItems containsBlank="1" containsMixedTypes="1" containsNumber="1" minValue="-87.417884000000001" maxValue="41.721879000000001"/>
    </cacheField>
    <cacheField name="Longitude" numFmtId="0">
      <sharedItems containsBlank="1" containsMixedTypes="1" containsNumber="1" minValue="-87.925535999999994" maxValue="87.042424098139605"/>
    </cacheField>
    <cacheField name="Impact Category" numFmtId="0">
      <sharedItems containsBlank="1"/>
    </cacheField>
    <cacheField name="IN SWMP Instrument Mod." numFmtId="0">
      <sharedItems containsBlank="1"/>
    </cacheField>
    <cacheField name="Fulfilled" numFmtId="0">
      <sharedItems containsBlank="1"/>
    </cacheField>
    <cacheField name="Date Fulfilled" numFmtId="0">
      <sharedItems containsDate="1" containsBlank="1" containsMixedTypes="1" minDate="2023-01-31T00:00:00" maxDate="2025-05-10T00:00:00"/>
    </cacheField>
    <cacheField name="Admin Fund" numFmtId="44">
      <sharedItems containsString="0" containsBlank="1" containsNumber="1" minValue="-9225" maxValue="378135"/>
    </cacheField>
    <cacheField name="SA Fund" numFmtId="44">
      <sharedItems containsString="0" containsBlank="1" containsNumber="1" minValue="-103600" maxValue="1764630"/>
    </cacheField>
    <cacheField name="Reserve Fund" numFmtId="44">
      <sharedItems containsString="0" containsBlank="1" containsNumber="1" minValue="-22200" maxValue="378135"/>
    </cacheField>
    <cacheField name="Corps District of Iso" numFmtId="0">
      <sharedItems containsBlank="1"/>
    </cacheField>
    <cacheField name="Juris Type" numFmtId="0">
      <sharedItems containsBlank="1"/>
    </cacheField>
    <cacheField name="Iso Type" numFmtId="0">
      <sharedItems containsBlank="1"/>
    </cacheField>
    <cacheField name="Transaction Type" numFmtId="0">
      <sharedItems containsNonDate="0" containsString="0" containsBlank="1"/>
    </cacheField>
    <cacheField name="ILF Restoration Project" numFmtId="0">
      <sharedItems containsBlank="1"/>
    </cacheField>
    <cacheField name="PeopleSoft ID #" numFmtId="0">
      <sharedItems containsNonDate="0" containsString="0" containsBlank="1"/>
    </cacheField>
    <cacheField name="Allocation" numFmtId="0">
      <sharedItems containsNonDate="0" containsString="0" containsBlank="1"/>
    </cacheField>
    <cacheField name="HUC" numFmtId="0">
      <sharedItems containsNonDate="0" containsString="0" containsBlank="1"/>
    </cacheField>
    <cacheField name="Comments" numFmtId="0">
      <sharedItems containsBlank="1" containsMixedTypes="1" containsNumber="1" containsInteger="1" minValue="1600539" maxValue="1900357"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ylor, Austin" refreshedDate="46022.552858564814" createdVersion="5" refreshedVersion="8" minRefreshableVersion="3" recordCount="2113" xr:uid="{00000000-000A-0000-FFFF-FFFF04000000}">
  <cacheSource type="worksheet">
    <worksheetSource ref="A1:AH1048576" sheet="INSWMP Ledger"/>
  </cacheSource>
  <cacheFields count="34">
    <cacheField name="Date" numFmtId="0">
      <sharedItems containsNonDate="0" containsDate="1" containsString="0" containsBlank="1" minDate="2002-01-04T00:00:00" maxDate="2026-01-01T00:00:00" count="358">
        <d v="2018-05-03T00:00:00"/>
        <d v="2018-09-24T00:00:00"/>
        <d v="2018-09-26T00:00:00"/>
        <d v="2018-10-04T00:00:00"/>
        <d v="2018-10-11T00:00:00"/>
        <d v="2018-10-15T00:00:00"/>
        <d v="2018-10-17T00:00:00"/>
        <d v="2018-10-22T00:00:00"/>
        <d v="2018-11-02T00:00:00"/>
        <d v="2018-11-05T00:00:00"/>
        <d v="2018-11-16T00:00:00"/>
        <d v="2018-12-04T00:00:00"/>
        <m/>
        <d v="2019-01-04T00:00:00"/>
        <d v="2019-01-15T00:00:00"/>
        <d v="2019-01-31T00:00:00"/>
        <d v="2019-02-05T00:00:00"/>
        <d v="2019-02-21T00:00:00"/>
        <d v="2019-03-12T00:00:00"/>
        <d v="2019-03-15T00:00:00"/>
        <d v="2019-03-19T00:00:00"/>
        <d v="2019-03-25T00:00:00"/>
        <d v="2019-04-10T00:00:00"/>
        <d v="2019-04-15T00:00:00"/>
        <d v="2019-04-25T00:00:00"/>
        <d v="2019-05-06T00:00:00"/>
        <d v="2019-05-13T00:00:00"/>
        <d v="2019-05-21T00:00:00"/>
        <d v="2019-06-27T00:00:00"/>
        <d v="2019-07-01T00:00:00"/>
        <d v="2019-08-22T00:00:00"/>
        <d v="2019-09-04T00:00:00"/>
        <d v="2019-09-16T00:00:00"/>
        <d v="2019-09-18T00:00:00"/>
        <d v="2019-09-26T00:00:00"/>
        <d v="2019-10-02T00:00:00"/>
        <d v="2019-10-15T00:00:00"/>
        <d v="2019-10-22T00:00:00"/>
        <d v="2019-10-23T00:00:00"/>
        <d v="2019-12-13T00:00:00"/>
        <d v="2020-01-02T00:00:00"/>
        <d v="2020-01-03T00:00:00"/>
        <d v="2020-01-06T00:00:00"/>
        <d v="2020-01-07T00:00:00"/>
        <d v="2020-01-08T00:00:00"/>
        <d v="2020-01-14T00:00:00"/>
        <d v="2020-01-30T00:00:00"/>
        <d v="2020-02-05T00:00:00"/>
        <d v="2020-02-19T00:00:00"/>
        <d v="2020-02-27T00:00:00"/>
        <d v="2020-03-03T00:00:00"/>
        <d v="2020-03-04T00:00:00"/>
        <d v="2020-03-05T00:00:00"/>
        <d v="2020-03-18T00:00:00"/>
        <d v="2020-03-24T00:00:00"/>
        <d v="2020-03-25T00:00:00"/>
        <d v="2020-03-31T00:00:00"/>
        <d v="2020-04-01T00:00:00"/>
        <d v="2020-04-15T00:00:00"/>
        <d v="2020-04-17T00:00:00"/>
        <d v="2020-04-21T00:00:00"/>
        <d v="2020-04-22T00:00:00"/>
        <d v="2020-04-28T00:00:00"/>
        <d v="2020-04-30T00:00:00"/>
        <d v="2020-05-04T00:00:00"/>
        <d v="2020-05-05T00:00:00"/>
        <d v="2020-05-08T00:00:00"/>
        <d v="2020-06-01T00:00:00"/>
        <d v="2020-06-09T00:00:00"/>
        <d v="2020-06-17T00:00:00"/>
        <d v="2020-06-22T00:00:00"/>
        <d v="2020-06-24T00:00:00"/>
        <d v="2020-06-26T00:00:00"/>
        <d v="2020-07-09T00:00:00"/>
        <d v="2020-07-16T00:00:00"/>
        <d v="2020-07-20T00:00:00"/>
        <d v="2020-07-21T00:00:00"/>
        <d v="2020-07-22T00:00:00"/>
        <d v="2020-08-04T00:00:00"/>
        <d v="2020-08-11T00:00:00"/>
        <d v="2020-08-19T00:00:00"/>
        <d v="2020-08-20T00:00:00"/>
        <d v="2020-08-28T00:00:00"/>
        <d v="2020-08-31T00:00:00"/>
        <d v="2020-09-08T00:00:00"/>
        <d v="2020-09-15T00:00:00"/>
        <d v="2020-09-17T00:00:00"/>
        <d v="2020-09-18T00:00:00"/>
        <d v="2020-09-30T00:00:00"/>
        <d v="2020-10-13T00:00:00"/>
        <d v="2020-10-14T00:00:00"/>
        <d v="2020-10-15T00:00:00"/>
        <d v="2020-10-22T00:00:00"/>
        <d v="2020-11-10T00:00:00"/>
        <d v="2020-11-13T00:00:00"/>
        <d v="2020-11-17T00:00:00"/>
        <d v="2020-11-24T00:00:00"/>
        <d v="2020-11-30T00:00:00"/>
        <d v="2020-12-02T00:00:00"/>
        <d v="2020-12-04T00:00:00"/>
        <d v="2020-12-07T00:00:00"/>
        <d v="2020-12-21T00:00:00"/>
        <d v="2020-12-29T00:00:00"/>
        <d v="2021-01-04T00:00:00"/>
        <d v="2021-01-14T00:00:00"/>
        <d v="2021-01-25T00:00:00"/>
        <d v="2021-01-26T00:00:00"/>
        <d v="2021-01-28T00:00:00"/>
        <d v="2021-02-02T00:00:00"/>
        <d v="2021-02-08T00:00:00"/>
        <d v="2021-02-16T00:00:00"/>
        <d v="2021-02-22T00:00:00"/>
        <d v="2021-03-08T00:00:00"/>
        <d v="2021-03-15T00:00:00"/>
        <d v="2021-03-17T00:00:00"/>
        <d v="2021-03-22T00:00:00"/>
        <d v="2021-03-30T00:00:00"/>
        <d v="2021-04-05T00:00:00"/>
        <d v="2021-04-07T00:00:00"/>
        <d v="2021-04-15T00:00:00"/>
        <d v="2021-04-20T00:00:00"/>
        <d v="2021-05-03T00:00:00"/>
        <d v="2021-05-04T00:00:00"/>
        <d v="2021-05-05T00:00:00"/>
        <d v="2021-05-27T00:00:00"/>
        <d v="2021-06-03T00:00:00"/>
        <d v="2021-06-10T00:00:00"/>
        <d v="2021-06-16T00:00:00"/>
        <d v="2021-06-21T00:00:00"/>
        <d v="2021-06-29T00:00:00"/>
        <d v="2021-07-01T00:00:00"/>
        <d v="2021-07-08T00:00:00"/>
        <d v="2021-07-19T00:00:00"/>
        <d v="2021-07-21T00:00:00"/>
        <d v="2021-07-27T00:00:00"/>
        <d v="2021-08-07T00:00:00"/>
        <d v="2021-08-10T00:00:00"/>
        <d v="2021-08-24T00:00:00"/>
        <d v="2021-09-07T00:00:00"/>
        <d v="2021-09-15T00:00:00"/>
        <d v="2021-09-23T00:00:00"/>
        <d v="2021-09-27T00:00:00"/>
        <d v="2021-09-30T00:00:00"/>
        <d v="2021-10-06T00:00:00"/>
        <d v="2021-10-18T00:00:00"/>
        <d v="2021-10-19T00:00:00"/>
        <d v="2021-10-22T00:00:00"/>
        <d v="2021-10-25T00:00:00"/>
        <d v="2021-11-17T00:00:00"/>
        <d v="2021-11-30T00:00:00"/>
        <d v="2021-12-07T00:00:00"/>
        <d v="2021-12-15T00:00:00"/>
        <d v="2021-12-28T00:00:00"/>
        <d v="2022-01-04T00:00:00"/>
        <d v="2022-01-05T00:00:00"/>
        <d v="2022-01-12T00:00:00"/>
        <d v="2022-01-18T00:00:00"/>
        <d v="2022-01-24T00:00:00"/>
        <d v="2022-01-25T00:00:00"/>
        <d v="2022-01-26T00:00:00"/>
        <d v="2022-02-08T00:00:00"/>
        <d v="2022-02-09T00:00:00"/>
        <d v="2022-02-10T00:00:00"/>
        <d v="2022-02-25T00:00:00"/>
        <d v="2022-03-09T00:00:00"/>
        <d v="2022-03-16T00:00:00"/>
        <d v="2022-03-17T00:00:00"/>
        <d v="2022-03-24T00:00:00"/>
        <d v="2022-03-29T00:00:00"/>
        <d v="2022-03-31T00:00:00"/>
        <d v="2022-04-06T00:00:00"/>
        <d v="2022-04-12T00:00:00"/>
        <d v="2022-04-27T00:00:00"/>
        <d v="2022-05-16T00:00:00"/>
        <d v="2022-05-18T00:00:00"/>
        <d v="2022-06-06T00:00:00"/>
        <d v="2022-06-13T00:00:00"/>
        <d v="2022-06-23T00:00:00"/>
        <d v="2022-07-01T00:00:00"/>
        <d v="2022-07-21T00:00:00"/>
        <d v="2022-07-25T00:00:00"/>
        <d v="2022-08-04T00:00:00"/>
        <d v="2022-08-09T00:00:00"/>
        <d v="2022-08-17T00:00:00"/>
        <d v="2022-08-18T00:00:00"/>
        <d v="2022-08-22T00:00:00"/>
        <d v="2022-08-26T00:00:00"/>
        <d v="2022-08-31T00:00:00"/>
        <d v="2022-09-06T00:00:00"/>
        <d v="2022-09-15T00:00:00"/>
        <d v="2022-09-20T00:00:00"/>
        <d v="2022-09-22T00:00:00"/>
        <d v="2022-09-26T00:00:00"/>
        <d v="2022-09-27T00:00:00"/>
        <d v="2022-10-06T00:00:00"/>
        <d v="2022-10-26T00:00:00"/>
        <d v="2022-11-09T00:00:00"/>
        <d v="2022-11-21T00:00:00"/>
        <d v="2022-12-06T00:00:00"/>
        <d v="2022-12-15T00:00:00"/>
        <d v="2022-12-19T00:00:00"/>
        <d v="2022-12-27T00:00:00"/>
        <d v="2022-12-30T00:00:00"/>
        <d v="2023-01-23T00:00:00"/>
        <d v="2023-01-30T00:00:00"/>
        <d v="2023-02-02T00:00:00"/>
        <d v="2023-02-07T00:00:00"/>
        <d v="2023-02-09T00:00:00"/>
        <d v="2023-02-16T00:00:00"/>
        <d v="2023-02-20T00:00:00"/>
        <d v="2023-02-27T00:00:00"/>
        <d v="2023-03-13T00:00:00"/>
        <d v="2023-03-14T00:00:00"/>
        <d v="2023-03-23T00:00:00"/>
        <d v="2023-03-27T00:00:00"/>
        <d v="2023-04-18T00:00:00"/>
        <d v="2023-04-24T00:00:00"/>
        <d v="2023-04-25T00:00:00"/>
        <d v="2023-04-26T00:00:00"/>
        <d v="2023-04-27T00:00:00"/>
        <d v="2023-05-15T00:00:00"/>
        <d v="2023-05-23T00:00:00"/>
        <d v="2023-06-13T00:00:00"/>
        <d v="2023-06-14T00:00:00"/>
        <d v="2023-06-15T00:00:00"/>
        <d v="2023-06-16T00:00:00"/>
        <d v="2023-06-27T00:00:00"/>
        <d v="2023-07-17T00:00:00"/>
        <d v="2023-07-25T00:00:00"/>
        <d v="2023-08-08T00:00:00"/>
        <d v="2023-08-15T00:00:00"/>
        <d v="2023-08-21T00:00:00"/>
        <d v="2023-08-25T00:00:00"/>
        <d v="2023-08-28T00:00:00"/>
        <d v="2023-09-06T00:00:00"/>
        <d v="2023-10-24T00:00:00"/>
        <d v="2023-10-25T00:00:00"/>
        <d v="2023-11-01T00:00:00"/>
        <d v="2023-11-07T00:00:00"/>
        <d v="2023-11-08T00:00:00"/>
        <d v="2023-11-09T00:00:00"/>
        <d v="2023-11-13T00:00:00"/>
        <d v="2023-11-30T00:00:00"/>
        <d v="2023-12-04T00:00:00"/>
        <d v="2023-12-15T00:00:00"/>
        <d v="2023-12-21T00:00:00"/>
        <d v="2023-12-22T00:00:00"/>
        <d v="2024-01-12T00:00:00"/>
        <d v="2024-01-26T00:00:00"/>
        <d v="2024-01-31T00:00:00"/>
        <d v="2024-02-05T00:00:00"/>
        <d v="2024-02-07T00:00:00"/>
        <d v="2024-02-16T00:00:00"/>
        <d v="2024-02-20T00:00:00"/>
        <d v="2024-02-23T00:00:00"/>
        <d v="2024-03-07T00:00:00"/>
        <d v="2024-03-11T00:00:00"/>
        <d v="2024-03-12T00:00:00"/>
        <d v="2024-03-14T00:00:00"/>
        <d v="2024-03-18T00:00:00"/>
        <d v="2024-03-20T00:00:00"/>
        <d v="2024-03-21T00:00:00"/>
        <d v="2024-03-25T00:00:00"/>
        <d v="2024-03-26T00:00:00"/>
        <d v="2024-04-05T00:00:00"/>
        <d v="2024-04-12T00:00:00"/>
        <d v="2024-04-30T00:00:00"/>
        <d v="2024-05-08T00:00:00"/>
        <d v="2024-05-21T00:00:00"/>
        <d v="2024-05-22T00:00:00"/>
        <d v="2024-05-28T00:00:00"/>
        <d v="2024-05-29T00:00:00"/>
        <d v="2024-06-05T00:00:00"/>
        <d v="2024-06-24T00:00:00"/>
        <d v="2024-07-17T00:00:00"/>
        <d v="2024-08-07T00:00:00"/>
        <d v="2024-08-13T00:00:00"/>
        <d v="2024-08-14T00:00:00"/>
        <d v="2024-08-23T00:00:00"/>
        <d v="2024-09-03T00:00:00"/>
        <d v="2024-09-04T00:00:00"/>
        <d v="2024-09-12T00:00:00"/>
        <d v="2024-09-18T00:00:00"/>
        <d v="2024-09-26T00:00:00"/>
        <d v="2024-10-04T00:00:00"/>
        <d v="2024-10-10T00:00:00"/>
        <d v="2024-10-31T00:00:00"/>
        <d v="2024-11-07T00:00:00"/>
        <d v="2024-11-14T00:00:00"/>
        <d v="2024-11-15T00:00:00"/>
        <d v="2024-11-19T00:00:00"/>
        <d v="2024-11-22T00:00:00"/>
        <d v="2024-12-09T00:00:00"/>
        <d v="2024-12-18T00:00:00"/>
        <d v="2025-01-02T00:00:00"/>
        <d v="2025-01-03T00:00:00"/>
        <d v="2025-01-08T00:00:00"/>
        <d v="2025-01-09T00:00:00"/>
        <d v="2025-01-14T00:00:00"/>
        <d v="2025-01-15T00:00:00"/>
        <d v="2025-01-28T00:00:00"/>
        <d v="2025-01-30T00:00:00"/>
        <d v="2025-02-06T00:00:00"/>
        <d v="2025-02-11T00:00:00"/>
        <d v="2025-02-21T00:00:00"/>
        <d v="2025-02-24T00:00:00"/>
        <d v="2025-02-28T00:00:00"/>
        <d v="2025-03-12T00:00:00"/>
        <d v="2025-03-14T00:00:00"/>
        <d v="2025-03-18T00:00:00"/>
        <d v="2025-03-27T00:00:00"/>
        <d v="2025-03-28T00:00:00"/>
        <d v="2025-03-31T00:00:00"/>
        <d v="2025-04-08T00:00:00"/>
        <d v="2025-04-09T00:00:00"/>
        <d v="2025-05-01T00:00:00"/>
        <d v="2025-05-02T00:00:00"/>
        <d v="2025-05-05T00:00:00"/>
        <d v="2025-05-07T00:00:00"/>
        <d v="2025-05-13T00:00:00"/>
        <d v="2025-05-14T00:00:00"/>
        <d v="2025-05-21T00:00:00"/>
        <d v="2025-05-27T00:00:00"/>
        <d v="2025-06-04T00:00:00"/>
        <d v="2025-06-10T00:00:00"/>
        <d v="2025-06-17T00:00:00"/>
        <d v="2025-06-18T00:00:00"/>
        <d v="2025-06-25T00:00:00"/>
        <d v="2025-06-30T00:00:00"/>
        <d v="2025-07-07T00:00:00"/>
        <d v="2025-07-14T00:00:00"/>
        <d v="2025-07-25T00:00:00"/>
        <d v="2025-08-01T00:00:00"/>
        <d v="2025-08-26T00:00:00"/>
        <d v="2025-08-27T00:00:00"/>
        <d v="2025-08-29T00:00:00"/>
        <d v="2025-09-02T00:00:00"/>
        <d v="2025-09-18T00:00:00"/>
        <d v="2025-09-24T00:00:00"/>
        <d v="2025-10-07T00:00:00"/>
        <d v="2025-10-15T00:00:00"/>
        <d v="2025-10-21T00:00:00"/>
        <d v="2025-10-27T00:00:00"/>
        <d v="2025-11-04T00:00:00"/>
        <d v="2025-11-18T00:00:00"/>
        <d v="2025-12-17T00:00:00"/>
        <d v="2025-12-29T00:00:00"/>
        <d v="2025-12-31T00:00:00"/>
        <d v="2024-12-15T00:00:00" u="1"/>
        <d v="2023-03-30T00:00:00" u="1"/>
        <d v="2023-04-06T00:00:00" u="1"/>
        <d v="2023-11-23T00:00:00" u="1"/>
        <d v="2022-08-08T00:00:00" u="1"/>
        <d v="2018-09-25T00:00:00" u="1"/>
        <d v="2022-12-02T00:00:00" u="1"/>
        <d v="2002-01-04T00:00:00" u="1"/>
        <d v="2021-01-18T00:00:00" u="1"/>
        <d v="2023-12-30T00:00:00" u="1"/>
      </sharedItems>
    </cacheField>
    <cacheField name="Month" numFmtId="0">
      <sharedItems containsBlank="1"/>
    </cacheField>
    <cacheField name="Calendar Year" numFmtId="0">
      <sharedItems containsString="0" containsBlank="1" containsNumber="1" containsInteger="1" minValue="2018" maxValue="2025"/>
    </cacheField>
    <cacheField name="Service Area" numFmtId="0">
      <sharedItems containsBlank="1" count="16">
        <s v="Calumet-Dunes"/>
        <s v="Kankakee"/>
        <s v="Lower White"/>
        <s v="Maumee"/>
        <s v="Middle Wabash"/>
        <s v="Ohio-Wabash Lowlands"/>
        <s v="St. Joseph River"/>
        <s v="Upper Ohio"/>
        <s v="Upper Wabash"/>
        <s v="Upper White"/>
        <s v="Whitewater-East Fork White"/>
        <m/>
        <s v="Ohio-Wabash" u="1"/>
        <s v="St. Joseph" u="1"/>
        <s v="Whitewater EF" u="1"/>
        <s v="St. Joseph " u="1"/>
      </sharedItems>
    </cacheField>
    <cacheField name="Credits" numFmtId="0">
      <sharedItems containsString="0" containsBlank="1" containsNumber="1" minValue="-5602" maxValue="60000"/>
    </cacheField>
    <cacheField name="Credit Class" numFmtId="0">
      <sharedItems containsBlank="1" count="3">
        <s v="Wetland"/>
        <s v="Stream"/>
        <m/>
      </sharedItems>
    </cacheField>
    <cacheField name="In-Lieu Fee" numFmtId="164">
      <sharedItems containsString="0" containsBlank="1" containsNumber="1" minValue="-125800" maxValue="2520900"/>
    </cacheField>
    <cacheField name="NRF Invoice Number" numFmtId="0">
      <sharedItems containsBlank="1" containsMixedTypes="1" containsNumber="1" containsInteger="1" minValue="1" maxValue="659"/>
    </cacheField>
    <cacheField name="Jurisdiction" numFmtId="0">
      <sharedItems containsBlank="1"/>
    </cacheField>
    <cacheField name="Resource Type" numFmtId="0">
      <sharedItems containsBlank="1"/>
    </cacheField>
    <cacheField name="Impact Quantity" numFmtId="0">
      <sharedItems containsBlank="1" containsMixedTypes="1" containsNumber="1" minValue="0" maxValue="9404.7000000000007"/>
    </cacheField>
    <cacheField name="Applicant" numFmtId="0">
      <sharedItems containsBlank="1"/>
    </cacheField>
    <cacheField name="DA Permit" numFmtId="0">
      <sharedItems containsBlank="1"/>
    </cacheField>
    <cacheField name="IDEM Permit" numFmtId="0">
      <sharedItems containsBlank="1"/>
    </cacheField>
    <cacheField name="DNR Permit #" numFmtId="0">
      <sharedItems containsBlank="1"/>
    </cacheField>
    <cacheField name="County" numFmtId="0">
      <sharedItems containsBlank="1"/>
    </cacheField>
    <cacheField name="Latitude" numFmtId="0">
      <sharedItems containsBlank="1" containsMixedTypes="1" containsNumber="1" minValue="-87.417884000000001" maxValue="41.721879000000001"/>
    </cacheField>
    <cacheField name="Longitude" numFmtId="0">
      <sharedItems containsBlank="1" containsMixedTypes="1" containsNumber="1" minValue="-87.925535999999994" maxValue="87.042424098139605"/>
    </cacheField>
    <cacheField name="Impact Category" numFmtId="0">
      <sharedItems containsBlank="1"/>
    </cacheField>
    <cacheField name="IN SWMP Instrument Mod." numFmtId="0">
      <sharedItems containsBlank="1"/>
    </cacheField>
    <cacheField name="Fulfilled" numFmtId="0">
      <sharedItems containsBlank="1"/>
    </cacheField>
    <cacheField name="Date Fulfilled" numFmtId="0">
      <sharedItems containsDate="1" containsBlank="1" containsMixedTypes="1" minDate="2023-01-31T00:00:00" maxDate="2025-05-10T00:00:00"/>
    </cacheField>
    <cacheField name="Admin Fund" numFmtId="44">
      <sharedItems containsString="0" containsBlank="1" containsNumber="1" minValue="-9225" maxValue="378135"/>
    </cacheField>
    <cacheField name="SA Fund" numFmtId="44">
      <sharedItems containsString="0" containsBlank="1" containsNumber="1" minValue="-103600" maxValue="1764630"/>
    </cacheField>
    <cacheField name="Reserve Fund" numFmtId="44">
      <sharedItems containsString="0" containsBlank="1" containsNumber="1" minValue="-22200" maxValue="378135"/>
    </cacheField>
    <cacheField name="Corps District of Iso" numFmtId="0">
      <sharedItems containsBlank="1"/>
    </cacheField>
    <cacheField name="Juris Type" numFmtId="0">
      <sharedItems containsBlank="1"/>
    </cacheField>
    <cacheField name="Iso Type" numFmtId="0">
      <sharedItems containsBlank="1"/>
    </cacheField>
    <cacheField name="Transaction Type" numFmtId="0">
      <sharedItems containsNonDate="0" containsString="0" containsBlank="1"/>
    </cacheField>
    <cacheField name="ILF Restoration Project" numFmtId="0">
      <sharedItems containsBlank="1"/>
    </cacheField>
    <cacheField name="PeopleSoft ID #" numFmtId="0">
      <sharedItems containsNonDate="0" containsString="0" containsBlank="1"/>
    </cacheField>
    <cacheField name="Allocation" numFmtId="0">
      <sharedItems containsNonDate="0" containsString="0" containsBlank="1"/>
    </cacheField>
    <cacheField name="HUC" numFmtId="0">
      <sharedItems containsNonDate="0" containsString="0" containsBlank="1"/>
    </cacheField>
    <cacheField name="Comments" numFmtId="0">
      <sharedItems containsBlank="1" containsMixedTypes="1" containsNumber="1" containsInteger="1" minValue="1600539" maxValue="1900357"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2">
  <r>
    <d v="2018-05-03T00:00:00"/>
    <s v="May"/>
    <n v="2018"/>
    <x v="0"/>
    <n v="90"/>
    <x v="0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0"/>
    <n v="45000"/>
    <x v="1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1"/>
    <n v="90"/>
    <x v="0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1"/>
    <n v="45000"/>
    <x v="1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2"/>
    <n v="90"/>
    <x v="0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2"/>
    <n v="45000"/>
    <x v="1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3"/>
    <n v="90"/>
    <x v="0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3"/>
    <n v="45000"/>
    <x v="1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4"/>
    <n v="90"/>
    <x v="0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4"/>
    <n v="45000"/>
    <x v="1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5"/>
    <n v="115"/>
    <x v="0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5"/>
    <n v="50000"/>
    <x v="1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6"/>
    <n v="90"/>
    <x v="0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6"/>
    <n v="45000"/>
    <x v="1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7"/>
    <n v="90"/>
    <x v="0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7"/>
    <n v="45000"/>
    <x v="1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8"/>
    <n v="90"/>
    <x v="0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8"/>
    <n v="45000"/>
    <x v="1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9"/>
    <n v="120"/>
    <x v="0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9"/>
    <n v="60000"/>
    <x v="1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9"/>
    <n v="42"/>
    <x v="0"/>
    <m/>
    <m/>
    <x v="0"/>
    <m/>
    <m/>
    <m/>
    <m/>
    <m/>
    <m/>
    <m/>
    <m/>
    <m/>
    <m/>
    <m/>
    <m/>
    <m/>
    <n v="0"/>
    <n v="0"/>
    <n v="0"/>
    <m/>
    <m/>
    <m/>
    <m/>
    <m/>
    <m/>
    <m/>
    <m/>
    <s v="Additional Credit Release approved in 8/8/22 Corps letter"/>
  </r>
  <r>
    <d v="2018-05-03T00:00:00"/>
    <s v="May"/>
    <n v="2018"/>
    <x v="9"/>
    <n v="21000"/>
    <x v="1"/>
    <m/>
    <m/>
    <x v="0"/>
    <m/>
    <m/>
    <m/>
    <m/>
    <m/>
    <m/>
    <m/>
    <m/>
    <m/>
    <m/>
    <m/>
    <m/>
    <m/>
    <n v="0"/>
    <n v="0"/>
    <n v="0"/>
    <m/>
    <m/>
    <m/>
    <m/>
    <m/>
    <m/>
    <m/>
    <m/>
    <s v="Additional Credit Release approved in 8/8/22 Corps letter"/>
  </r>
  <r>
    <d v="2018-05-03T00:00:00"/>
    <s v="May"/>
    <n v="2018"/>
    <x v="10"/>
    <n v="90"/>
    <x v="0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10"/>
    <n v="45000"/>
    <x v="1"/>
    <m/>
    <m/>
    <x v="0"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9-24T00:00:00"/>
    <s v="September"/>
    <n v="2018"/>
    <x v="7"/>
    <n v="-11"/>
    <x v="1"/>
    <n v="4400"/>
    <n v="2"/>
    <x v="1"/>
    <s v="Eph"/>
    <n v="11"/>
    <s v="Vectren Corp. (now Center Point Energy)"/>
    <s v="LRL-2017-570"/>
    <s v="2018-065-10-ALF-A"/>
    <m/>
    <s v="Clark"/>
    <n v="38.380290000000002"/>
    <n v="-85.744731000000002"/>
    <s v="Energy Production"/>
    <m/>
    <s v="No"/>
    <m/>
    <n v="660"/>
    <n v="3080"/>
    <n v="660"/>
    <m/>
    <m/>
    <m/>
    <m/>
    <m/>
    <m/>
    <m/>
    <m/>
    <s v="*Note:  IDEM required 4LF more than USACE"/>
  </r>
  <r>
    <d v="2018-09-24T00:00:00"/>
    <s v="September"/>
    <n v="2018"/>
    <x v="7"/>
    <n v="-398"/>
    <x v="1"/>
    <n v="159200"/>
    <n v="2"/>
    <x v="1"/>
    <s v="Int"/>
    <n v="332"/>
    <s v="Vectren Corp. (now Center Point Energy)"/>
    <s v="LRL-2017-570"/>
    <s v="2018-065-10-ALF-A"/>
    <m/>
    <s v="Clark"/>
    <n v="38.380290000000002"/>
    <n v="-85.744731000000002"/>
    <s v="Energy Production"/>
    <m/>
    <s v="No"/>
    <m/>
    <n v="23880"/>
    <n v="111440"/>
    <n v="23880"/>
    <m/>
    <m/>
    <m/>
    <m/>
    <m/>
    <m/>
    <m/>
    <m/>
    <m/>
  </r>
  <r>
    <d v="2018-09-24T00:00:00"/>
    <s v="September"/>
    <n v="2018"/>
    <x v="7"/>
    <n v="-1.8"/>
    <x v="0"/>
    <n v="144000"/>
    <n v="2"/>
    <x v="1"/>
    <s v="PEM"/>
    <n v="0.74"/>
    <s v="Vectren Corp. (now Center Point Energy)"/>
    <s v="LRL-2017-570"/>
    <s v="2018-065-10-ALF-A"/>
    <m/>
    <s v="Clark"/>
    <n v="38.380290000000002"/>
    <n v="-85.744731000000002"/>
    <s v="Energy"/>
    <s v="LRL-2014-100-sam/Fourteeen Mile Creek Mitigation Bank"/>
    <s v="Yes"/>
    <d v="2024-01-22T00:00:00"/>
    <n v="21600"/>
    <n v="100800"/>
    <n v="21600"/>
    <m/>
    <m/>
    <m/>
    <m/>
    <s v="Fourteen Mile Creek Mitigation Bank"/>
    <m/>
    <m/>
    <m/>
    <s v="Credit fulfilled, purchased from Fourteen Mile Creek Mitigation Bank.  "/>
  </r>
  <r>
    <d v="2018-09-24T00:00:00"/>
    <s v="September"/>
    <n v="2018"/>
    <x v="7"/>
    <n v="-0.2"/>
    <x v="0"/>
    <n v="16000"/>
    <n v="2"/>
    <x v="1"/>
    <s v="PFO"/>
    <n v="0.05"/>
    <s v="Vectren Corp. (now Center Point Energy)"/>
    <s v="LRL-2017-570"/>
    <s v="2018-065-10-ALF-A"/>
    <m/>
    <s v="Clark"/>
    <n v="38.380290000000002"/>
    <n v="-85.744731000000002"/>
    <s v="Energy"/>
    <s v="LRL-2014-100-sam/Fourteeen Mile Creek Mitigation Bank"/>
    <s v="Yes"/>
    <d v="2024-01-22T00:00:00"/>
    <n v="2400"/>
    <n v="11200"/>
    <n v="2400"/>
    <m/>
    <m/>
    <m/>
    <m/>
    <s v="Fourteen Mile Creek Mitigation Bank"/>
    <m/>
    <m/>
    <m/>
    <s v="Credit fulfilled, purchased from Fourteen Mile Creek Mitigation Bank.  "/>
  </r>
  <r>
    <d v="2018-09-26T00:00:00"/>
    <s v="September"/>
    <n v="2018"/>
    <x v="5"/>
    <n v="-4.2"/>
    <x v="0"/>
    <n v="336000"/>
    <n v="1"/>
    <x v="1"/>
    <s v="PFO"/>
    <n v="0.88"/>
    <s v="Evansville Water and Sewer Utility"/>
    <s v="LRL-2018-390"/>
    <s v="2018-264-82-ADF-A"/>
    <m/>
    <s v="Vanderburgh"/>
    <n v="37.956099999999999"/>
    <n v="-87.5702"/>
    <s v="Development"/>
    <m/>
    <s v="No"/>
    <m/>
    <n v="50400"/>
    <n v="235199.99999999997"/>
    <n v="50400"/>
    <m/>
    <m/>
    <m/>
    <m/>
    <m/>
    <m/>
    <m/>
    <m/>
    <m/>
  </r>
  <r>
    <d v="2018-10-04T00:00:00"/>
    <s v="October"/>
    <n v="2018"/>
    <x v="10"/>
    <n v="-3.05"/>
    <x v="0"/>
    <n v="244000"/>
    <n v="3"/>
    <x v="2"/>
    <s v="PEM"/>
    <n v="2.028"/>
    <s v="GLA Properties II, LLC"/>
    <s v="N/A"/>
    <s v="IWGP 2018-586-41-TMS-A"/>
    <m/>
    <s v="Johnson"/>
    <n v="39.597969999999997"/>
    <n v="-86.059100000000001"/>
    <s v="Development"/>
    <m/>
    <s v="No"/>
    <m/>
    <n v="36600"/>
    <n v="170800"/>
    <n v="36600"/>
    <m/>
    <m/>
    <m/>
    <m/>
    <m/>
    <m/>
    <m/>
    <m/>
    <s v="Class 1 Isolated Wetland Non-Forested"/>
  </r>
  <r>
    <d v="2018-10-11T00:00:00"/>
    <s v="October"/>
    <n v="2018"/>
    <x v="8"/>
    <n v="-4.2999999999999997E-2"/>
    <x v="0"/>
    <n v="3440"/>
    <n v="6"/>
    <x v="1"/>
    <s v="PEM"/>
    <n v="2E-3"/>
    <s v="AEP"/>
    <s v="LRL-2018-415-sjk"/>
    <s v="2018-414-35-HAP-A"/>
    <m/>
    <s v="Huntington, Grant"/>
    <n v="40.523240000000001"/>
    <n v="-85.587199999999996"/>
    <s v="Transportation"/>
    <m/>
    <s v="No"/>
    <m/>
    <n v="516"/>
    <n v="2408"/>
    <n v="516"/>
    <m/>
    <m/>
    <m/>
    <m/>
    <m/>
    <m/>
    <m/>
    <m/>
    <s v="Coordinates are midpoint of linear project"/>
  </r>
  <r>
    <d v="2018-10-11T00:00:00"/>
    <s v="October"/>
    <n v="2018"/>
    <x v="8"/>
    <n v="-0.38700000000000001"/>
    <x v="0"/>
    <n v="30960"/>
    <n v="6"/>
    <x v="1"/>
    <s v="PFO"/>
    <n v="0.129"/>
    <s v="AEP"/>
    <s v="LRL-2018-415-sjk"/>
    <s v="2018-414-35-HAP-A"/>
    <m/>
    <s v="Huntington, Grant"/>
    <n v="40.523240000000001"/>
    <n v="-85.587199999999996"/>
    <s v="Transportation"/>
    <m/>
    <s v="No"/>
    <m/>
    <n v="4644"/>
    <n v="21672"/>
    <n v="4644"/>
    <m/>
    <m/>
    <m/>
    <m/>
    <m/>
    <m/>
    <m/>
    <m/>
    <s v="Coordinates are midpoint of linear project"/>
  </r>
  <r>
    <d v="2018-10-15T00:00:00"/>
    <s v="October"/>
    <n v="2018"/>
    <x v="10"/>
    <n v="-0.8"/>
    <x v="0"/>
    <n v="64000"/>
    <n v="8"/>
    <x v="1"/>
    <s v="PEM"/>
    <n v="0.32"/>
    <s v="POET Design and Construction"/>
    <s v="LRL-2018-310-scm"/>
    <s v="2018-397-73-ALF-A"/>
    <m/>
    <s v="Shelby"/>
    <n v="39.568686"/>
    <n v="-85.821329000000006"/>
    <s v="Energy Production"/>
    <m/>
    <s v="No"/>
    <m/>
    <n v="9600"/>
    <n v="44800"/>
    <n v="9600"/>
    <m/>
    <m/>
    <m/>
    <m/>
    <m/>
    <m/>
    <m/>
    <m/>
    <m/>
  </r>
  <r>
    <d v="2018-10-17T00:00:00"/>
    <s v="October"/>
    <n v="2018"/>
    <x v="6"/>
    <n v="-0.187"/>
    <x v="0"/>
    <n v="22440"/>
    <n v="9"/>
    <x v="1"/>
    <s v="PEM"/>
    <n v="3.0000000000000001E-3"/>
    <s v="AEP"/>
    <s v="LRE-2017-01163-157"/>
    <s v="2017-415-57-HAP-A"/>
    <m/>
    <s v="Noble"/>
    <n v="41.381950000000003"/>
    <n v="-85.438940000000002"/>
    <s v="Transportation"/>
    <m/>
    <s v="No"/>
    <m/>
    <n v="3366"/>
    <n v="15707.999999999998"/>
    <n v="3366"/>
    <m/>
    <m/>
    <m/>
    <m/>
    <m/>
    <m/>
    <m/>
    <m/>
    <s v="Coordinates are midpoint of linear project"/>
  </r>
  <r>
    <d v="2018-10-17T00:00:00"/>
    <s v="October"/>
    <n v="2018"/>
    <x v="6"/>
    <n v="-1.353"/>
    <x v="0"/>
    <n v="162360"/>
    <n v="9"/>
    <x v="1"/>
    <s v="PFO"/>
    <n v="0.45100000000000001"/>
    <s v="AEP"/>
    <s v="LRE-2017-01163-157"/>
    <s v="2017-415-57-HAP-A"/>
    <m/>
    <s v="Noble"/>
    <n v="41.381950000000003"/>
    <n v="-85.438940000000002"/>
    <s v="Transportation"/>
    <m/>
    <s v="No"/>
    <m/>
    <n v="24354"/>
    <n v="113652"/>
    <n v="24354"/>
    <m/>
    <m/>
    <m/>
    <m/>
    <m/>
    <m/>
    <m/>
    <m/>
    <s v="Coordinates are midpoint of linear project"/>
  </r>
  <r>
    <d v="2018-10-22T00:00:00"/>
    <s v="October"/>
    <n v="2018"/>
    <x v="9"/>
    <n v="-348"/>
    <x v="1"/>
    <n v="156600"/>
    <n v="5"/>
    <x v="1"/>
    <s v="Eph"/>
    <n v="290"/>
    <s v="Town of Whitestown"/>
    <s v="LRL-2017-299-sjk"/>
    <s v="2017-244-06-JMK-A"/>
    <m/>
    <s v="Boone"/>
    <n v="39.946444"/>
    <n v="-86.358879999999999"/>
    <s v="Transportation"/>
    <s v="Mod 1 - LRL-2020-989-sam"/>
    <s v="Yes"/>
    <d v="2023-07-10T00:00:00"/>
    <n v="23490"/>
    <n v="109620"/>
    <n v="23490"/>
    <m/>
    <m/>
    <m/>
    <m/>
    <s v="HC Farms"/>
    <m/>
    <m/>
    <m/>
    <s v="Credits fulfilled and released - HC Farms First Release."/>
  </r>
  <r>
    <d v="2018-10-22T00:00:00"/>
    <s v="October"/>
    <n v="2018"/>
    <x v="9"/>
    <n v="-252"/>
    <x v="1"/>
    <n v="113400"/>
    <n v="5"/>
    <x v="1"/>
    <s v="Int"/>
    <n v="210"/>
    <s v="Town of Whitestown"/>
    <s v="LRL-2017-299-sjk"/>
    <s v="2017-244-06-JMK-A"/>
    <m/>
    <s v="Boone"/>
    <n v="39.946444"/>
    <n v="-86.358879999999999"/>
    <s v="Transportation"/>
    <s v="Mod 1 - LRL-2020-989-sam"/>
    <s v="Yes"/>
    <d v="2023-07-10T00:00:00"/>
    <n v="17010"/>
    <n v="79380"/>
    <n v="17010"/>
    <m/>
    <m/>
    <m/>
    <m/>
    <s v="HC Farms"/>
    <m/>
    <m/>
    <m/>
    <s v="Credits fulfilled and released - HC Farms First Release."/>
  </r>
  <r>
    <d v="2018-11-02T00:00:00"/>
    <s v="November"/>
    <n v="2018"/>
    <x v="10"/>
    <n v="-2.004"/>
    <x v="0"/>
    <n v="160320"/>
    <n v="11"/>
    <x v="1"/>
    <s v="PEM"/>
    <n v="0.83499999999999996"/>
    <s v="Arbor Investments, LLC"/>
    <s v="LRL-2017-1149-MKD"/>
    <s v="2018-498-03-TMS-A"/>
    <m/>
    <s v="Bartholomew"/>
    <n v="39.237496"/>
    <n v="-85.94932"/>
    <s v="Development"/>
    <m/>
    <s v="No"/>
    <m/>
    <n v="24048"/>
    <n v="112224"/>
    <n v="24048"/>
    <m/>
    <m/>
    <m/>
    <m/>
    <m/>
    <m/>
    <m/>
    <m/>
    <m/>
  </r>
  <r>
    <d v="2018-11-02T00:00:00"/>
    <s v="November"/>
    <n v="2018"/>
    <x v="10"/>
    <n v="-0.318"/>
    <x v="0"/>
    <n v="25440"/>
    <n v="11"/>
    <x v="1"/>
    <s v="PSS"/>
    <n v="0.106"/>
    <s v="Arbor Investments, LLC"/>
    <s v="LRL-2017-1149-MKD"/>
    <s v="2018-498-03-TMS-A"/>
    <m/>
    <s v="Bartholomew"/>
    <n v="39.237496"/>
    <n v="-85.94932"/>
    <s v="Development"/>
    <m/>
    <s v="No"/>
    <m/>
    <n v="3816"/>
    <n v="17808"/>
    <n v="3816"/>
    <m/>
    <m/>
    <m/>
    <m/>
    <m/>
    <m/>
    <m/>
    <m/>
    <m/>
  </r>
  <r>
    <d v="2018-11-05T00:00:00"/>
    <s v="November"/>
    <n v="2018"/>
    <x v="9"/>
    <n v="-0.3"/>
    <x v="0"/>
    <n v="24000"/>
    <n v="13"/>
    <x v="2"/>
    <s v="PFO"/>
    <n v="0.15"/>
    <s v="Park 70 Partners, LP"/>
    <s v="N/A"/>
    <s v="IWIP 2011-191-30-AMM-A"/>
    <m/>
    <s v="Hancock"/>
    <n v="39.831159999999997"/>
    <n v="-85.911339999999996"/>
    <s v="Development"/>
    <s v="Mod 1 - LRL-2020-989-sam"/>
    <s v="Yes"/>
    <d v="2023-07-10T00:00:00"/>
    <n v="3600"/>
    <n v="16800"/>
    <n v="3600"/>
    <m/>
    <m/>
    <m/>
    <m/>
    <s v="HC Farms"/>
    <m/>
    <m/>
    <m/>
    <s v="Credits fulfilled and released - HC Farms First Release.  Class II Isolated Wetland Forested "/>
  </r>
  <r>
    <d v="2018-11-16T00:00:00"/>
    <s v="November"/>
    <n v="2018"/>
    <x v="7"/>
    <n v="-0.5"/>
    <x v="0"/>
    <n v="40000"/>
    <n v="10"/>
    <x v="1"/>
    <s v="PEM"/>
    <n v="0.2"/>
    <s v="TBD, LLC"/>
    <s v="LRL-2014-00480"/>
    <s v="2014-267-AMM-V"/>
    <m/>
    <s v="Floyd"/>
    <n v="38.397410000000001"/>
    <n v="-85.814109999999999"/>
    <s v="Development"/>
    <s v="LRL-2014-100-sam/Fourteeen Mile Creek Mitigation Bank"/>
    <s v="Yes"/>
    <d v="2024-01-22T00:00:00"/>
    <n v="6000"/>
    <n v="28000"/>
    <n v="6000"/>
    <m/>
    <m/>
    <m/>
    <m/>
    <s v="Fourteen Mile Creek Mitigation Bank"/>
    <m/>
    <m/>
    <m/>
    <s v="Credit fulfilled, purchased from Fourteen Mile Creek Mitigation Bank.  "/>
  </r>
  <r>
    <d v="2018-11-16T00:00:00"/>
    <s v="November"/>
    <n v="2018"/>
    <x v="7"/>
    <n v="-0.22"/>
    <x v="0"/>
    <n v="17600"/>
    <n v="4"/>
    <x v="1"/>
    <s v="PEM"/>
    <n v="0.183"/>
    <s v="River Ridge Development Authority"/>
    <s v="LRL-2016-1167-MKD"/>
    <s v="2017-107-10-JBT-A"/>
    <m/>
    <s v="Clark"/>
    <n v="38.365259999999999"/>
    <n v="-85.677660000000003"/>
    <s v="Development"/>
    <s v="LRL-2014-100-sam/Fourteeen Mile Creek Mitigation Bank"/>
    <s v="Yes"/>
    <d v="2024-01-22T00:00:00"/>
    <n v="2640"/>
    <n v="12320"/>
    <n v="2640"/>
    <m/>
    <m/>
    <m/>
    <m/>
    <s v="Fourteen Mile Creek Mitigation Bank"/>
    <m/>
    <m/>
    <m/>
    <s v="Credit fulfilled, purchased from Fourteen Mile Creek Mitigation Bank.  "/>
  </r>
  <r>
    <d v="2018-11-16T00:00:00"/>
    <s v="November"/>
    <n v="2018"/>
    <x v="7"/>
    <n v="-0.01"/>
    <x v="0"/>
    <n v="800"/>
    <n v="4"/>
    <x v="2"/>
    <s v="PEM"/>
    <n v="8.7999999999999995E-2"/>
    <s v="River Ridge Development Authority"/>
    <s v="N/A"/>
    <s v="IWIP 2017-107-JBT-A"/>
    <m/>
    <s v="Clark"/>
    <n v="38.365259999999999"/>
    <n v="-85.677660000000003"/>
    <s v="Development"/>
    <s v="LRL-2014-100-sam/Fourteeen Mile Creek Mitigation Bank"/>
    <s v="Yes"/>
    <d v="2024-01-22T00:00:00"/>
    <n v="120"/>
    <n v="560"/>
    <n v="120"/>
    <m/>
    <m/>
    <m/>
    <m/>
    <s v="Fourteen Mile Creek Mitigation Bank"/>
    <m/>
    <m/>
    <m/>
    <s v="Credit fulfilled, purchased from Fourteen Mile Creek Mitigation Bank.  "/>
  </r>
  <r>
    <d v="2018-12-04T00:00:00"/>
    <s v="December"/>
    <n v="2018"/>
    <x v="9"/>
    <n v="-0.03"/>
    <x v="0"/>
    <n v="2400"/>
    <n v="12"/>
    <x v="2"/>
    <s v="PFO"/>
    <n v="2.5000000000000001E-2"/>
    <s v="City of Fishers"/>
    <s v="N/A"/>
    <s v="IWGP 2018-588-29-JBT-A"/>
    <m/>
    <s v="Hamilton"/>
    <n v="40"/>
    <n v="-86.004000000000005"/>
    <s v="Transportation"/>
    <s v="Mod 1 - LRL-2020-989-sam"/>
    <s v="Yes"/>
    <d v="2023-07-10T00:00:00"/>
    <n v="360"/>
    <n v="1680"/>
    <n v="360"/>
    <m/>
    <m/>
    <m/>
    <m/>
    <s v="HC Farms"/>
    <m/>
    <m/>
    <m/>
    <s v="Credits fulfilled and released - HC Farms First Release.  Class I Isolated Wetland Forested"/>
  </r>
  <r>
    <d v="2018-12-04T00:00:00"/>
    <s v="December"/>
    <n v="2018"/>
    <x v="9"/>
    <n v="-0.04"/>
    <x v="0"/>
    <n v="3200"/>
    <n v="17"/>
    <x v="2"/>
    <s v="PEM"/>
    <n v="0.02"/>
    <s v="Fischer Development Company"/>
    <s v="N/A"/>
    <s v="IWGP 2018-718-29-ALF-A"/>
    <m/>
    <s v="Hamilton"/>
    <n v="40.039718000000001"/>
    <n v="-86.102137999999997"/>
    <s v="Development"/>
    <s v="Mod 1 - LRL-2020-989-sam"/>
    <s v="Yes"/>
    <d v="2023-07-10T00:00:00"/>
    <n v="480"/>
    <n v="2240"/>
    <n v="480"/>
    <m/>
    <m/>
    <m/>
    <m/>
    <s v="HC Farms"/>
    <m/>
    <m/>
    <m/>
    <s v="Credits fulfilled and released - HC Farms First Release. Class I Isolated Wetland Non-Forested"/>
  </r>
  <r>
    <d v="2018-12-04T00:00:00"/>
    <s v="December"/>
    <n v="2018"/>
    <x v="9"/>
    <n v="-0.25"/>
    <x v="0"/>
    <n v="20000"/>
    <n v="17"/>
    <x v="2"/>
    <s v="PFO"/>
    <n v="8.3699999999999997E-2"/>
    <s v="Fischer Development Company"/>
    <s v="N/A"/>
    <s v="IWGP 2018-718-29-ALF-A"/>
    <m/>
    <s v="Hamilton"/>
    <n v="40.039718000000001"/>
    <n v="-86.102137999999997"/>
    <s v="Development"/>
    <s v="Mod 1 - LRL-2020-989-sam"/>
    <s v="Yes"/>
    <d v="2023-07-10T00:00:00"/>
    <n v="3000"/>
    <n v="14000"/>
    <n v="3000"/>
    <m/>
    <m/>
    <m/>
    <m/>
    <s v="HC Farms"/>
    <m/>
    <m/>
    <m/>
    <s v="Credits fulfilled and released - HC Farms First Release. Class II Isolated Wetland Forested"/>
  </r>
  <r>
    <d v="2018-12-04T00:00:00"/>
    <s v="December"/>
    <n v="2018"/>
    <x v="9"/>
    <n v="-150"/>
    <x v="1"/>
    <n v="67500"/>
    <n v="7"/>
    <x v="1"/>
    <s v="Per"/>
    <n v="450"/>
    <s v="City of Lawrence"/>
    <s v="LRL-2017-31-sam"/>
    <s v="2016-410-49-JBT-V"/>
    <m/>
    <s v="Marion"/>
    <n v="39.8504"/>
    <n v="-86.022000000000006"/>
    <s v="Development"/>
    <s v="Mod 1 - LRL-2020-989-sam"/>
    <s v="Yes"/>
    <d v="2023-07-10T00:00:00"/>
    <n v="10125"/>
    <n v="47250"/>
    <n v="10125"/>
    <m/>
    <m/>
    <m/>
    <m/>
    <s v="HC Farms"/>
    <m/>
    <m/>
    <m/>
    <s v="Credits fulfilled and released - HC Farms First Release."/>
  </r>
  <r>
    <m/>
    <m/>
    <m/>
    <x v="11"/>
    <m/>
    <x v="2"/>
    <m/>
    <m/>
    <x v="0"/>
    <m/>
    <m/>
    <m/>
    <m/>
    <m/>
    <m/>
    <m/>
    <m/>
    <m/>
    <m/>
    <m/>
    <m/>
    <m/>
    <m/>
    <m/>
    <m/>
    <m/>
    <m/>
    <m/>
    <m/>
    <m/>
    <m/>
    <m/>
    <m/>
    <m/>
  </r>
  <r>
    <d v="2019-01-04T00:00:00"/>
    <s v="January "/>
    <n v="2019"/>
    <x v="10"/>
    <n v="-0.96"/>
    <x v="0"/>
    <n v="76800"/>
    <n v="18"/>
    <x v="1"/>
    <s v="PEM"/>
    <n v="0.4"/>
    <s v="Becknell Services, LLC"/>
    <s v="LRL-2017-898-sam"/>
    <s v="2018-464-41-TMS-A"/>
    <m/>
    <s v="Johnson"/>
    <n v="39.619799999999998"/>
    <n v="-86.062299999999993"/>
    <s v="Development"/>
    <m/>
    <s v="No"/>
    <m/>
    <n v="11520"/>
    <n v="53760"/>
    <n v="11520"/>
    <m/>
    <m/>
    <m/>
    <m/>
    <m/>
    <m/>
    <m/>
    <m/>
    <m/>
  </r>
  <r>
    <d v="2019-01-04T00:00:00"/>
    <s v="January "/>
    <n v="2019"/>
    <x v="10"/>
    <n v="-0.36"/>
    <x v="0"/>
    <n v="28800"/>
    <n v="15"/>
    <x v="1"/>
    <s v="PEM"/>
    <n v="0.18"/>
    <s v="Louisville &amp; Indiana Railroad Company"/>
    <s v="LRL-2018-382"/>
    <s v="2018-182-72-ALF-A"/>
    <m/>
    <s v="Scott"/>
    <n v="38.648809"/>
    <n v="-85.771114999999995"/>
    <s v="Transportation"/>
    <m/>
    <s v="No"/>
    <m/>
    <n v="4320"/>
    <n v="20160"/>
    <n v="4320"/>
    <m/>
    <m/>
    <m/>
    <m/>
    <m/>
    <m/>
    <m/>
    <m/>
    <s v="*Note:  USACE required 0.4 Emergent Credits"/>
  </r>
  <r>
    <d v="2019-01-04T00:00:00"/>
    <s v="January "/>
    <n v="2019"/>
    <x v="10"/>
    <n v="-1.2"/>
    <x v="0"/>
    <n v="96000"/>
    <n v="15"/>
    <x v="1"/>
    <s v="PFO"/>
    <n v="0.3"/>
    <s v="Louisville &amp; Indiana Railroad Company"/>
    <s v="LRL-2018-382"/>
    <s v="2018-182-72-ALF-A"/>
    <m/>
    <s v="Scott"/>
    <n v="38.648809"/>
    <n v="-85.771114999999995"/>
    <s v="Transportation"/>
    <m/>
    <s v="No"/>
    <m/>
    <n v="14400"/>
    <n v="67200"/>
    <n v="14400"/>
    <m/>
    <m/>
    <m/>
    <m/>
    <m/>
    <m/>
    <m/>
    <m/>
    <m/>
  </r>
  <r>
    <d v="2019-01-15T00:00:00"/>
    <s v="January "/>
    <n v="2019"/>
    <x v="8"/>
    <n v="-590"/>
    <x v="1"/>
    <n v="236000"/>
    <n v="19"/>
    <x v="1"/>
    <s v="Int"/>
    <n v="984"/>
    <s v="20/20 Custom Molded Plastics"/>
    <s v="LRL-2018-803-lcl"/>
    <s v="2018-652-90-ADF-A"/>
    <m/>
    <s v="Wells"/>
    <n v="40.731900000000003"/>
    <n v="-85.194299999999998"/>
    <s v="Development"/>
    <m/>
    <s v="No"/>
    <m/>
    <n v="35400"/>
    <n v="165200"/>
    <n v="35400"/>
    <m/>
    <m/>
    <m/>
    <m/>
    <m/>
    <m/>
    <m/>
    <m/>
    <s v="Corps mitigation requirement more than IDEM 401 WQC"/>
  </r>
  <r>
    <d v="2019-01-31T00:00:00"/>
    <s v="January "/>
    <n v="2019"/>
    <x v="9"/>
    <n v="-1.34"/>
    <x v="0"/>
    <n v="107200"/>
    <n v="21"/>
    <x v="1"/>
    <s v="PEM"/>
    <n v="0.56000000000000005"/>
    <s v="Vaughn Wamsley"/>
    <s v="LRL-2018-753-htm"/>
    <s v="2018-504-32-JMK-A"/>
    <m/>
    <s v="Hendricks"/>
    <n v="39.709899999999998"/>
    <n v="-86.334699999999998"/>
    <s v="Development"/>
    <s v="Mod 1 - LRL-2020-989-sam"/>
    <s v="Yes"/>
    <d v="2023-07-10T00:00:00"/>
    <n v="16080"/>
    <n v="75040"/>
    <n v="16080"/>
    <m/>
    <m/>
    <m/>
    <m/>
    <s v="HC Farms"/>
    <m/>
    <m/>
    <m/>
    <s v="Credits fulfilled and released - HC Farms First Release. Corps mitigation requirement more than IDEM 401 WQC"/>
  </r>
  <r>
    <d v="2019-02-05T00:00:00"/>
    <s v="February"/>
    <n v="2019"/>
    <x v="1"/>
    <n v="-0.78"/>
    <x v="0"/>
    <n v="74100"/>
    <n v="14"/>
    <x v="1"/>
    <s v="PFO"/>
    <n v="0.19400000000000001"/>
    <s v="INDOT"/>
    <s v="LRE-2000-700010-R10"/>
    <s v="2010-206-46-JWR-A"/>
    <m/>
    <s v="LaPorte"/>
    <n v="41.448847000000001"/>
    <n v="-86.624937000000003"/>
    <s v="Transportation"/>
    <m/>
    <s v="No"/>
    <m/>
    <n v="11115"/>
    <n v="51870"/>
    <n v="11115"/>
    <m/>
    <m/>
    <m/>
    <m/>
    <m/>
    <m/>
    <m/>
    <m/>
    <s v="INDOT DES . 1382409"/>
  </r>
  <r>
    <d v="2019-02-21T00:00:00"/>
    <s v="February"/>
    <n v="2019"/>
    <x v="5"/>
    <n v="-373"/>
    <x v="1"/>
    <n v="149200"/>
    <n v="16"/>
    <x v="1"/>
    <s v="Per"/>
    <n v="1248"/>
    <s v="Vanderburgh County Engineer"/>
    <s v="LRL-2018-52-djd"/>
    <s v="2017-881-82-JWR-A"/>
    <m/>
    <s v="Vanderburgh"/>
    <n v="38.088090000000001"/>
    <n v="-87.490740000000002"/>
    <s v="Transportation"/>
    <m/>
    <s v="No"/>
    <m/>
    <n v="22380"/>
    <n v="104440"/>
    <n v="22380"/>
    <m/>
    <m/>
    <m/>
    <m/>
    <m/>
    <m/>
    <m/>
    <m/>
    <s v="Section 401 Mod. No 404 Mitigation due to single and complete.  LPA DES No. 1400549"/>
  </r>
  <r>
    <d v="2019-02-21T00:00:00"/>
    <s v="February"/>
    <n v="2019"/>
    <x v="5"/>
    <n v="-0.39"/>
    <x v="0"/>
    <n v="31200"/>
    <n v="16"/>
    <x v="1"/>
    <s v="PEM"/>
    <n v="0.19700000000000001"/>
    <s v="Vanderburgh County Engineer"/>
    <s v="LRL-2018-52-djd"/>
    <s v="2017-881-82-JWR-A"/>
    <m/>
    <s v="Vanderburgh"/>
    <n v="38.088090000000001"/>
    <n v="-87.490740000000002"/>
    <s v="Transportation"/>
    <m/>
    <s v="No"/>
    <m/>
    <n v="4680"/>
    <n v="21840"/>
    <n v="4680"/>
    <m/>
    <m/>
    <m/>
    <m/>
    <m/>
    <m/>
    <m/>
    <m/>
    <s v="Section 401 Mod. No 404 Mitigation due to single and complete.   LPA DES No. 1400549"/>
  </r>
  <r>
    <d v="2019-03-12T00:00:00"/>
    <s v="March"/>
    <n v="2019"/>
    <x v="7"/>
    <n v="-6.5000000000000002E-2"/>
    <x v="0"/>
    <n v="5200"/>
    <n v="27"/>
    <x v="2"/>
    <s v="PFO"/>
    <n v="0.02"/>
    <s v="RBL Properties, LLC"/>
    <s v="N/A"/>
    <s v="IWGP 2018-528-15-15-TMS-V"/>
    <m/>
    <s v="Dearborn"/>
    <m/>
    <m/>
    <s v="Development"/>
    <s v="LRL-2014-100-sam/Fourteeen Mile Creek Mitigation Bank"/>
    <s v="Yes"/>
    <d v="2024-01-22T00:00:00"/>
    <n v="780"/>
    <n v="3639.9999999999995"/>
    <n v="780"/>
    <m/>
    <m/>
    <m/>
    <m/>
    <s v="Fourteen Mile Creek Mitigation Bank"/>
    <m/>
    <m/>
    <m/>
    <s v="Credit fulfilled, purchased from Fourteen Mile Creek Mitigation Bank.  "/>
  </r>
  <r>
    <d v="2019-03-15T00:00:00"/>
    <s v="March"/>
    <n v="2019"/>
    <x v="5"/>
    <n v="-0.56000000000000005"/>
    <x v="0"/>
    <n v="44800"/>
    <n v="22"/>
    <x v="1"/>
    <s v="PEM"/>
    <n v="0.28000000000000003"/>
    <s v="Evansville Water &amp; Sewer Utility"/>
    <s v="LRL-2018-546-tmb"/>
    <s v="2018-651-82-ADF"/>
    <m/>
    <s v="Vanderburgh"/>
    <n v="37.967419999999997"/>
    <n v="-87.618340000000003"/>
    <s v="Development"/>
    <m/>
    <s v="No"/>
    <m/>
    <n v="6720"/>
    <n v="31359.999999999996"/>
    <n v="6720"/>
    <m/>
    <m/>
    <m/>
    <m/>
    <m/>
    <m/>
    <m/>
    <m/>
    <s v="*Note:  USACE required 0.67 Emergent Credits"/>
  </r>
  <r>
    <d v="2019-03-15T00:00:00"/>
    <s v="March"/>
    <n v="2019"/>
    <x v="5"/>
    <n v="-2.08"/>
    <x v="0"/>
    <n v="166400"/>
    <n v="22"/>
    <x v="1"/>
    <s v="PFO"/>
    <n v="0.52"/>
    <s v="Evansville Water &amp; Sewer Utility"/>
    <s v="LRL-2018-546-tmb"/>
    <s v="2018-651-82-ADF"/>
    <m/>
    <s v="Vanderburgh"/>
    <n v="37.967419999999997"/>
    <n v="-87.618340000000003"/>
    <s v="Development"/>
    <m/>
    <s v="No"/>
    <m/>
    <n v="24960"/>
    <n v="116479.99999999999"/>
    <n v="24960"/>
    <m/>
    <m/>
    <m/>
    <m/>
    <m/>
    <m/>
    <m/>
    <m/>
    <m/>
  </r>
  <r>
    <d v="2019-03-19T00:00:00"/>
    <s v="March"/>
    <n v="2019"/>
    <x v="4"/>
    <n v="-100"/>
    <x v="1"/>
    <n v="40000"/>
    <n v="23"/>
    <x v="1"/>
    <s v="Eph"/>
    <n v="293"/>
    <s v="Tallgrass Energy, Inc"/>
    <s v="LRL-2018-922-sjk"/>
    <s v="2018-818-32-JMK-A"/>
    <m/>
    <s v="Hendricks"/>
    <n v="39.713005000000003"/>
    <n v="-86.566770000000005"/>
    <s v="Energy Production"/>
    <m/>
    <s v="No"/>
    <m/>
    <n v="6000"/>
    <n v="28000"/>
    <n v="6000"/>
    <m/>
    <m/>
    <m/>
    <m/>
    <m/>
    <m/>
    <m/>
    <m/>
    <m/>
  </r>
  <r>
    <d v="2019-03-19T00:00:00"/>
    <s v="March"/>
    <n v="2019"/>
    <x v="10"/>
    <n v="-0.44"/>
    <x v="0"/>
    <n v="35200"/>
    <n v="20"/>
    <x v="1"/>
    <s v="PEM"/>
    <n v="0.23799999999999999"/>
    <s v="INDOT"/>
    <s v="LRL-2018-697-djd"/>
    <s v="2018-496-72-JBT-A"/>
    <m/>
    <s v="Scott"/>
    <n v="38.76343"/>
    <n v="-85.829970000000003"/>
    <s v="Transportation"/>
    <m/>
    <s v="No"/>
    <m/>
    <n v="5280"/>
    <n v="24640"/>
    <n v="5280"/>
    <m/>
    <m/>
    <m/>
    <m/>
    <m/>
    <m/>
    <m/>
    <m/>
    <s v="(DES NO. 1500530)  Note: The emergent impacts includes 0.037 open water req by IDEM"/>
  </r>
  <r>
    <d v="2019-03-19T00:00:00"/>
    <s v="March"/>
    <n v="2019"/>
    <x v="10"/>
    <n v="-0.45"/>
    <x v="0"/>
    <n v="36000"/>
    <n v="20"/>
    <x v="1"/>
    <s v="PSS"/>
    <n v="0.45"/>
    <s v="INDOT"/>
    <s v="LRL-2018-697-djd"/>
    <s v="2018-496-72-JBT-A"/>
    <m/>
    <s v="Scott"/>
    <n v="38.76343"/>
    <n v="-85.829970000000003"/>
    <s v="Transportation"/>
    <m/>
    <s v="No"/>
    <m/>
    <n v="5400"/>
    <n v="25200"/>
    <n v="5400"/>
    <m/>
    <m/>
    <m/>
    <m/>
    <m/>
    <m/>
    <m/>
    <m/>
    <s v="(DES NO. 1500530)"/>
  </r>
  <r>
    <d v="2019-03-25T00:00:00"/>
    <s v="March"/>
    <n v="2019"/>
    <x v="0"/>
    <n v="-2.88"/>
    <x v="0"/>
    <n v="273600"/>
    <n v="32"/>
    <x v="1"/>
    <s v="PFO"/>
    <n v="0.72"/>
    <s v="Woodcreek TriQuad Drive LLC"/>
    <s v="LRC-2018-852"/>
    <s v="2018-874-46-MTM-A"/>
    <m/>
    <s v="LaPorte"/>
    <n v="41.696399999999997"/>
    <n v="-86.842100000000002"/>
    <s v="Development"/>
    <m/>
    <s v="No"/>
    <m/>
    <n v="41040"/>
    <n v="191520"/>
    <n v="41040"/>
    <m/>
    <m/>
    <m/>
    <m/>
    <m/>
    <m/>
    <m/>
    <m/>
    <m/>
  </r>
  <r>
    <d v="2019-03-25T00:00:00"/>
    <s v="March"/>
    <n v="2019"/>
    <x v="9"/>
    <n v="-0.19"/>
    <x v="0"/>
    <n v="15200"/>
    <n v="25"/>
    <x v="2"/>
    <s v="PEM"/>
    <n v="0.19"/>
    <s v="Edgeworth Laskey Properties, LLC"/>
    <s v="N/A"/>
    <s v="IWGP 2018-897-29-ALF-A"/>
    <m/>
    <s v="Hamilton"/>
    <n v="39.941353999999997"/>
    <n v="-86.024953999999994"/>
    <s v="Development"/>
    <s v="Mod 1 - LRL-2020-989-sam"/>
    <s v="Yes"/>
    <d v="2023-07-10T00:00:00"/>
    <n v="2280"/>
    <n v="10640"/>
    <n v="2280"/>
    <m/>
    <m/>
    <m/>
    <m/>
    <s v="HC Farms"/>
    <m/>
    <m/>
    <m/>
    <s v="Credits fulfilled and released - HC Farms First Release.  Class I Non-Forested Isolated Wetland Impact"/>
  </r>
  <r>
    <d v="2019-04-10T00:00:00"/>
    <s v="April"/>
    <n v="2019"/>
    <x v="9"/>
    <n v="-0.83"/>
    <x v="0"/>
    <n v="66400"/>
    <n v="29"/>
    <x v="1"/>
    <s v="PEM"/>
    <n v="0.55000000000000004"/>
    <s v="The Peterson Company"/>
    <s v="LRL-2002-439-sam"/>
    <s v="2002-603-30-AJP-A"/>
    <m/>
    <s v="Hancock"/>
    <n v="39.830199999999998"/>
    <n v="-85.928700000000006"/>
    <s v="Development"/>
    <s v="Mod 1 - LRL-2020-989-sam"/>
    <s v="Yes"/>
    <d v="2023-07-10T00:00:00"/>
    <n v="9960"/>
    <n v="46480"/>
    <n v="9960"/>
    <m/>
    <m/>
    <m/>
    <m/>
    <s v="HC Farms"/>
    <m/>
    <m/>
    <m/>
    <s v="Credits fulfilled and released - HC Farms First Release. Impact to upland prairie buffer of a mitigation site "/>
  </r>
  <r>
    <d v="2019-04-15T00:00:00"/>
    <s v="April"/>
    <n v="2019"/>
    <x v="0"/>
    <n v="-0.19600000000000001"/>
    <x v="0"/>
    <n v="18620"/>
    <n v="34"/>
    <x v="1"/>
    <s v="PFO"/>
    <n v="0.19600000000000001"/>
    <s v="Northern Indiana Public Service Company"/>
    <s v="LRC-2019-041"/>
    <s v="2019-013-46-MTM-A"/>
    <m/>
    <s v="LaPorte"/>
    <n v="41.664400000000001"/>
    <n v="-86.893900000000002"/>
    <s v="Energy Production"/>
    <m/>
    <s v="No"/>
    <m/>
    <n v="2793"/>
    <n v="13034"/>
    <n v="2793"/>
    <m/>
    <m/>
    <m/>
    <m/>
    <m/>
    <m/>
    <m/>
    <m/>
    <m/>
  </r>
  <r>
    <d v="2019-04-15T00:00:00"/>
    <s v="April"/>
    <n v="2019"/>
    <x v="4"/>
    <n v="-1.8"/>
    <x v="0"/>
    <n v="144000"/>
    <n v="24"/>
    <x v="1"/>
    <s v="PFO"/>
    <n v="0.45"/>
    <s v="Ford Sawmills, Inc."/>
    <s v="LRL-2018-353-sam"/>
    <s v="2015-334-42-DDC-V"/>
    <m/>
    <s v="Knox"/>
    <n v="38.698700000000002"/>
    <n v="-87.505099999999999"/>
    <s v="Development"/>
    <m/>
    <s v="No"/>
    <m/>
    <n v="21600"/>
    <n v="100800"/>
    <n v="21600"/>
    <m/>
    <m/>
    <m/>
    <m/>
    <m/>
    <m/>
    <m/>
    <m/>
    <s v="ATF impacts "/>
  </r>
  <r>
    <d v="2019-04-25T00:00:00"/>
    <s v="April"/>
    <n v="2019"/>
    <x v="4"/>
    <n v="-0.88"/>
    <x v="0"/>
    <n v="70400"/>
    <n v="35"/>
    <x v="1"/>
    <s v="PFO"/>
    <n v="0.22"/>
    <s v="The Indiana Rail Road Co."/>
    <s v="LRL-2018-527-htm"/>
    <s v="2019-060-84-jmk"/>
    <m/>
    <s v="Vigo"/>
    <n v="39.430500000000002"/>
    <n v="-87.39"/>
    <s v="Transportation"/>
    <m/>
    <s v="No"/>
    <m/>
    <n v="10560"/>
    <n v="49280"/>
    <n v="10560"/>
    <m/>
    <m/>
    <m/>
    <m/>
    <m/>
    <m/>
    <m/>
    <m/>
    <m/>
  </r>
  <r>
    <d v="2019-05-06T00:00:00"/>
    <s v="May"/>
    <n v="2019"/>
    <x v="7"/>
    <n v="-2.1"/>
    <x v="0"/>
    <n v="168000"/>
    <n v="33"/>
    <x v="1"/>
    <s v="PFO"/>
    <n v="0.51400000000000001"/>
    <s v="INDOT"/>
    <s v="LRL-2017-430-djd"/>
    <s v="2017-272-10-skg"/>
    <m/>
    <s v="Clark"/>
    <n v="38.343494"/>
    <n v="-85.664545000000004"/>
    <s v="Transportation"/>
    <s v="LRL-2014-100-sam/Fourteeen Mile Creek Mitigation Bank"/>
    <s v="Yes"/>
    <d v="2024-01-22T00:00:00"/>
    <n v="25200"/>
    <n v="117599.99999999999"/>
    <n v="25200"/>
    <m/>
    <m/>
    <m/>
    <m/>
    <s v="Fourteen Mile Creek Mitigation Bank"/>
    <m/>
    <m/>
    <m/>
    <s v="Credit fulfilled, purchased from Fourteen Mile Creek Mitigation Bank.  "/>
  </r>
  <r>
    <d v="2019-05-06T00:00:00"/>
    <s v="May"/>
    <n v="2019"/>
    <x v="7"/>
    <n v="-449"/>
    <x v="1"/>
    <n v="179600"/>
    <n v="33"/>
    <x v="1"/>
    <s v="Int"/>
    <n v="374"/>
    <s v="INDOT"/>
    <s v="LRL-2017-430-djd"/>
    <s v="2017-272-10-skg"/>
    <m/>
    <s v="Clark"/>
    <n v="38.343494"/>
    <n v="-85.664545000000004"/>
    <s v="Transportation"/>
    <m/>
    <s v="No"/>
    <m/>
    <n v="26940"/>
    <n v="125719.99999999999"/>
    <n v="26940"/>
    <m/>
    <m/>
    <m/>
    <m/>
    <m/>
    <m/>
    <m/>
    <m/>
    <s v="(DES No. 13820657) *Note: IDEM 401 WQC documented stream impacts 382 LF Ephemeral and 85 LF Intermittent (467 LF Cumulative)"/>
  </r>
  <r>
    <d v="2019-05-13T00:00:00"/>
    <s v="May"/>
    <n v="2019"/>
    <x v="1"/>
    <n v="-310"/>
    <x v="1"/>
    <n v="155000"/>
    <n v="26"/>
    <x v="1"/>
    <s v="Per"/>
    <n v="310"/>
    <s v="INDOT"/>
    <s v="LRE-2008-00236-175-R10"/>
    <s v="2009-039-75-JPS-A"/>
    <m/>
    <s v="Starke"/>
    <n v="41.411769"/>
    <n v="-86.488748999999999"/>
    <s v="Transportation"/>
    <m/>
    <s v="No"/>
    <m/>
    <n v="23250"/>
    <n v="108500"/>
    <n v="23250"/>
    <m/>
    <m/>
    <m/>
    <m/>
    <m/>
    <m/>
    <m/>
    <m/>
    <s v="INDOT DES No. 1382408 (Historical DES No. 0711018)"/>
  </r>
  <r>
    <d v="2019-05-13T00:00:00"/>
    <s v="May"/>
    <n v="2019"/>
    <x v="1"/>
    <n v="-3"/>
    <x v="0"/>
    <n v="285000"/>
    <n v="26"/>
    <x v="1"/>
    <s v="PFO"/>
    <n v="0.75"/>
    <s v="INDOT"/>
    <s v="LRE-2008-00236-175-R10"/>
    <s v="2009-039-75-JPS-A"/>
    <m/>
    <s v="Starke"/>
    <n v="41.411769"/>
    <n v="-86.488748999999999"/>
    <s v="Transportation"/>
    <m/>
    <s v="No"/>
    <m/>
    <n v="42750"/>
    <n v="199500"/>
    <n v="42750"/>
    <m/>
    <m/>
    <m/>
    <m/>
    <m/>
    <m/>
    <m/>
    <m/>
    <s v="INDOT DES No. 1382408 (Historical DES No. 0711018)"/>
  </r>
  <r>
    <d v="2019-05-13T00:00:00"/>
    <s v="May"/>
    <n v="2019"/>
    <x v="4"/>
    <n v="-219"/>
    <x v="1"/>
    <n v="87600"/>
    <n v="30"/>
    <x v="1"/>
    <s v="Eph"/>
    <n v="219"/>
    <s v="Vectren (Indiana Gas Co., Inc.)"/>
    <s v="LRL-2016-1228"/>
    <s v="2016-732-32-SKG-A"/>
    <m/>
    <s v="Hendricks"/>
    <s v="not provided"/>
    <s v="not provided"/>
    <s v="Transportation"/>
    <m/>
    <s v="No"/>
    <m/>
    <n v="13140"/>
    <n v="61319.999999999993"/>
    <n v="13140"/>
    <m/>
    <m/>
    <m/>
    <m/>
    <m/>
    <m/>
    <m/>
    <m/>
    <s v="USACE did not require mitigation"/>
  </r>
  <r>
    <d v="2019-05-13T00:00:00"/>
    <s v="May"/>
    <n v="2019"/>
    <x v="4"/>
    <n v="-452"/>
    <x v="1"/>
    <n v="180800"/>
    <n v="30"/>
    <x v="1"/>
    <s v="Per"/>
    <n v="452"/>
    <s v="Vectren (Indiana Gas Co., Inc.)"/>
    <s v="LRL-2016-1228"/>
    <s v="2016-732-32-SKG-A"/>
    <m/>
    <s v="Hendricks"/>
    <s v="not provided"/>
    <s v="not provided"/>
    <s v="Transportation"/>
    <m/>
    <s v="No"/>
    <m/>
    <n v="27120"/>
    <n v="126559.99999999999"/>
    <n v="27120"/>
    <m/>
    <m/>
    <m/>
    <m/>
    <m/>
    <m/>
    <m/>
    <m/>
    <s v="USACE did not require mitigation"/>
  </r>
  <r>
    <d v="2019-05-13T00:00:00"/>
    <s v="May"/>
    <n v="2019"/>
    <x v="7"/>
    <n v="-1615"/>
    <x v="1"/>
    <n v="646000"/>
    <n v="28"/>
    <x v="1"/>
    <s v="Eph"/>
    <n v="1345.5"/>
    <s v="INDOT"/>
    <s v="LRL-2015-638-sjk"/>
    <s v="2016-145-10-JWR-A"/>
    <m/>
    <s v="Clark"/>
    <n v="38.435600000000001"/>
    <n v="-85.763999999999996"/>
    <s v="Transportation"/>
    <m/>
    <s v="No"/>
    <m/>
    <n v="96900"/>
    <n v="452200"/>
    <n v="96900"/>
    <m/>
    <m/>
    <m/>
    <m/>
    <m/>
    <m/>
    <m/>
    <m/>
    <s v="INDOT DES No. 1400597"/>
  </r>
  <r>
    <d v="2019-05-13T00:00:00"/>
    <s v="May"/>
    <n v="2019"/>
    <x v="7"/>
    <n v="-111"/>
    <x v="1"/>
    <n v="44400"/>
    <n v="28"/>
    <x v="1"/>
    <s v="Per"/>
    <n v="92.5"/>
    <s v="INDOT"/>
    <s v="LRL-2015-638-sjk"/>
    <s v="2016-145-10-JWR-A"/>
    <m/>
    <s v="Clark"/>
    <n v="38.435600000000001"/>
    <n v="-85.763999999999996"/>
    <s v="Transportation"/>
    <m/>
    <s v="No"/>
    <m/>
    <n v="6660"/>
    <n v="31079.999999999996"/>
    <n v="6660"/>
    <m/>
    <m/>
    <m/>
    <m/>
    <m/>
    <m/>
    <m/>
    <m/>
    <s v="INDOT DES No. 1400597"/>
  </r>
  <r>
    <d v="2019-05-13T00:00:00"/>
    <s v="May"/>
    <n v="2019"/>
    <x v="7"/>
    <n v="-0.66900000000000004"/>
    <x v="0"/>
    <n v="53520"/>
    <n v="28"/>
    <x v="1"/>
    <s v="PEM"/>
    <n v="0.29599999999999999"/>
    <s v="INDOT"/>
    <s v="LRL-2015-638-sjk"/>
    <s v="2016-145-10-JWR-A"/>
    <m/>
    <s v="Clark"/>
    <n v="38.435600000000001"/>
    <n v="-85.763999999999996"/>
    <s v="Transportation"/>
    <s v="LRL-2014-100-sam/Fourteeen Mile Creek Mitigation Bank"/>
    <s v="Yes"/>
    <d v="2024-01-22T00:00:00"/>
    <n v="8028"/>
    <n v="37464"/>
    <n v="8028"/>
    <m/>
    <m/>
    <m/>
    <m/>
    <s v="Fourteen Mile Creek Mitigation Bank"/>
    <m/>
    <m/>
    <m/>
    <s v="Credit fulfilled, purchased from Fourteen Mile Creek Mitigation Bank.  "/>
  </r>
  <r>
    <d v="2019-05-13T00:00:00"/>
    <s v="May"/>
    <n v="2019"/>
    <x v="7"/>
    <n v="-0.23100000000000001"/>
    <x v="0"/>
    <n v="18480"/>
    <n v="28"/>
    <x v="1"/>
    <s v="PFO"/>
    <n v="0.14799999999999999"/>
    <s v="INDOT"/>
    <s v="LRL-2015-638-sjk"/>
    <s v="2016-145-10-JWR-A"/>
    <m/>
    <s v="Clark"/>
    <n v="38.435600000000001"/>
    <n v="-85.763999999999996"/>
    <s v="Transportation"/>
    <s v="LRL-2014-100-sam/Fourteeen Mile Creek Mitigation Bank"/>
    <s v="Yes"/>
    <d v="2024-01-22T00:00:00"/>
    <n v="2772"/>
    <n v="12936"/>
    <n v="2772"/>
    <m/>
    <m/>
    <m/>
    <m/>
    <s v="Fourteen Mile Creek Mitigation Bank"/>
    <m/>
    <m/>
    <m/>
    <s v="Credit fulfilled, purchased from Fourteen Mile Creek Mitigation Bank.  "/>
  </r>
  <r>
    <d v="2019-05-13T00:00:00"/>
    <s v="May"/>
    <n v="2019"/>
    <x v="9"/>
    <n v="-197"/>
    <x v="1"/>
    <n v="88650"/>
    <n v="30"/>
    <x v="1"/>
    <s v="Eph"/>
    <n v="197"/>
    <s v="Vectren (Indiana Gas Co., Inc.)"/>
    <s v="LRL-2016-1228"/>
    <s v="2016-732-32-SKG-A"/>
    <m/>
    <s v="Hendricks"/>
    <s v="not provided"/>
    <s v="not provided"/>
    <s v="Transportation"/>
    <s v="Mod 1 - LRL-2020-989-sam"/>
    <s v="Yes"/>
    <d v="2023-07-10T00:00:00"/>
    <n v="13297.5"/>
    <n v="62054.999999999993"/>
    <n v="13297.5"/>
    <m/>
    <m/>
    <m/>
    <m/>
    <s v="HC Farms"/>
    <m/>
    <m/>
    <m/>
    <s v="Credits fulfilled and released - HC Farms First Stream Release.  USACE did not require mitigation"/>
  </r>
  <r>
    <d v="2019-05-13T00:00:00"/>
    <s v="May"/>
    <n v="2019"/>
    <x v="9"/>
    <n v="-269"/>
    <x v="1"/>
    <n v="121050"/>
    <n v="30"/>
    <x v="1"/>
    <s v="Int"/>
    <n v="269"/>
    <s v="Vectren (Indiana Gas Co., Inc.)"/>
    <s v="LRL-2016-1228"/>
    <s v="2016-732-32-SKG-A"/>
    <m/>
    <s v="Hendricks"/>
    <s v="not provided"/>
    <s v="not provided"/>
    <s v="Transportation"/>
    <s v="Mod 1 - LRL-2020-989-sam"/>
    <s v="Yes"/>
    <d v="2024-09-03T00:00:00"/>
    <n v="18157.5"/>
    <n v="84735"/>
    <n v="18157.5"/>
    <m/>
    <m/>
    <m/>
    <m/>
    <m/>
    <m/>
    <m/>
    <m/>
    <s v="Credits fulfilled and released - HC Farms First (143/269)/Second (126/269) Stream Release.  USACE did not require mitigation"/>
  </r>
  <r>
    <d v="2019-05-13T00:00:00"/>
    <s v="May"/>
    <n v="2019"/>
    <x v="9"/>
    <n v="-437"/>
    <x v="1"/>
    <n v="196650"/>
    <n v="30"/>
    <x v="1"/>
    <s v="Per"/>
    <n v="437"/>
    <s v="Vectren (Indiana Gas Co., Inc.)"/>
    <s v="LRL-2016-1228"/>
    <s v="2016-732-32-SKG-A"/>
    <m/>
    <s v="Hendricks"/>
    <s v="not provided"/>
    <s v="not provided"/>
    <s v="Transportation"/>
    <s v="Mod 1 - LRL-2020-989-sam"/>
    <s v="Yes"/>
    <d v="2024-09-03T00:00:00"/>
    <n v="29497.5"/>
    <n v="137655"/>
    <n v="29497.5"/>
    <m/>
    <m/>
    <m/>
    <m/>
    <m/>
    <m/>
    <m/>
    <m/>
    <s v="Credits fulfilled and released - HC Farms Second Stream Release.  USACE did not require mitigation"/>
  </r>
  <r>
    <d v="2019-05-13T00:00:00"/>
    <s v="May"/>
    <n v="2019"/>
    <x v="9"/>
    <n v="-0.06"/>
    <x v="0"/>
    <n v="4800"/>
    <n v="36"/>
    <x v="2"/>
    <s v="PEM"/>
    <n v="0.06"/>
    <s v="Drees Homes"/>
    <s v="N/A"/>
    <s v="IWGP 2019-189-32-JMK-A"/>
    <m/>
    <s v="Hendricks"/>
    <n v="39.77534"/>
    <n v="-86.360380000000006"/>
    <s v="Development"/>
    <s v="Mod 1 - LRL-2020-989-sam"/>
    <s v="Yes"/>
    <d v="2023-07-10T00:00:00"/>
    <n v="720"/>
    <n v="3360"/>
    <n v="720"/>
    <m/>
    <m/>
    <m/>
    <m/>
    <s v="HC Farms"/>
    <m/>
    <m/>
    <m/>
    <s v="Credits fulfilled and released - HC Farms First Release. Class I Non-Forested Isolated Wetland Impact"/>
  </r>
  <r>
    <d v="2019-05-21T00:00:00"/>
    <s v="May"/>
    <n v="2019"/>
    <x v="0"/>
    <n v="-2"/>
    <x v="0"/>
    <n v="190000"/>
    <n v="31"/>
    <x v="1"/>
    <s v="PEM"/>
    <s v="*"/>
    <s v="Wisconsin Central Ltd."/>
    <s v="LRC-2010-803-IN"/>
    <s v="2012-409-45-MTM-A"/>
    <m/>
    <s v="Lake"/>
    <s v="not provided"/>
    <s v="not provided"/>
    <s v="Transportation"/>
    <m/>
    <s v="No"/>
    <m/>
    <n v="28500"/>
    <n v="133000"/>
    <n v="28500"/>
    <m/>
    <m/>
    <m/>
    <m/>
    <m/>
    <m/>
    <m/>
    <m/>
    <s v="*404 &amp; 401 were modified due to failed mitigation site to deliver designed credit; information on impacts are in the permits"/>
  </r>
  <r>
    <d v="2019-05-21T00:00:00"/>
    <s v="May"/>
    <n v="2019"/>
    <x v="9"/>
    <n v="-0.47"/>
    <x v="0"/>
    <n v="37600"/>
    <n v="38"/>
    <x v="2"/>
    <s v="PEM"/>
    <n v="0.47"/>
    <s v="Burns Development, Inc."/>
    <s v="N/A"/>
    <s v="IWGP 2019-234-18-ALF-A"/>
    <m/>
    <s v="Delaware"/>
    <n v="40.220768"/>
    <n v="-85.443589000000003"/>
    <s v="Development"/>
    <s v="Mod 1 - LRL-2020-989-sam"/>
    <s v="Yes"/>
    <d v="2023-07-10T00:00:00"/>
    <n v="5640"/>
    <n v="26320"/>
    <n v="5640"/>
    <m/>
    <m/>
    <m/>
    <m/>
    <s v="HC Farms"/>
    <m/>
    <m/>
    <m/>
    <s v="Credits fulfilled and released - HC Farms First Release.  Class I Non-Forested Isolated Wetland Impact"/>
  </r>
  <r>
    <d v="2019-06-27T00:00:00"/>
    <s v="June "/>
    <n v="2019"/>
    <x v="2"/>
    <n v="-249"/>
    <x v="1"/>
    <n v="99600"/>
    <n v="39"/>
    <x v="1"/>
    <s v="Per"/>
    <n v="249"/>
    <s v="Monroe County Highway Engineering"/>
    <s v="LRL-2017-69-lcl"/>
    <s v="2017-095-53-JWR-A"/>
    <m/>
    <s v="Monroe"/>
    <s v="not provided"/>
    <s v="not provided"/>
    <s v="Transportation"/>
    <m/>
    <s v="No"/>
    <m/>
    <n v="14940"/>
    <n v="69720"/>
    <n v="14940"/>
    <m/>
    <m/>
    <m/>
    <m/>
    <m/>
    <m/>
    <m/>
    <m/>
    <s v="*Note:  Mitigation only required for Section 401.  Section 404 impacts not required due to single and complete nature."/>
  </r>
  <r>
    <d v="2019-07-01T00:00:00"/>
    <s v="July"/>
    <n v="2019"/>
    <x v="9"/>
    <n v="-0.04"/>
    <x v="0"/>
    <n v="3200"/>
    <n v="42"/>
    <x v="2"/>
    <s v="PEM"/>
    <n v="0.04"/>
    <s v="KD Investment Group, LLC"/>
    <s v="N/A"/>
    <s v="IWGP 031-29-ALF-A"/>
    <m/>
    <s v="Hamilton"/>
    <s v="not provided"/>
    <s v="not provided"/>
    <s v="Development"/>
    <s v="Mod 1 - LRL-2020-989-sam"/>
    <s v="Yes"/>
    <d v="2023-07-10T00:00:00"/>
    <n v="480"/>
    <n v="2240"/>
    <n v="480"/>
    <m/>
    <m/>
    <m/>
    <m/>
    <s v="HC Farms"/>
    <m/>
    <m/>
    <m/>
    <s v="Credits fulfilled and released - HC Farms First Release.  Class I Non-Forested Isolated Wetland Impact"/>
  </r>
  <r>
    <d v="2019-07-01T00:00:00"/>
    <s v="July"/>
    <n v="2019"/>
    <x v="10"/>
    <n v="-3.04"/>
    <x v="0"/>
    <n v="243200"/>
    <n v="40"/>
    <x v="1"/>
    <s v="PFO"/>
    <n v="0.76"/>
    <s v="City of Greenfield"/>
    <s v="LRL-2017-1184-sam"/>
    <s v="2019-144-30-ALF-A"/>
    <m/>
    <s v="Hancock"/>
    <n v="39.825400000000002"/>
    <n v="-85.781899999999993"/>
    <s v="Development"/>
    <m/>
    <s v="No"/>
    <m/>
    <n v="36480"/>
    <n v="170240"/>
    <n v="36480"/>
    <m/>
    <m/>
    <m/>
    <m/>
    <m/>
    <m/>
    <m/>
    <m/>
    <s v="*Note:  The 401 WQC indicates that 146 linear feet of perennial stream impacts but no stream mitigation required."/>
  </r>
  <r>
    <d v="2019-08-22T00:00:00"/>
    <s v="August"/>
    <n v="2019"/>
    <x v="1"/>
    <n v="-75"/>
    <x v="1"/>
    <n v="37500"/>
    <n v="51"/>
    <x v="1"/>
    <s v="Per"/>
    <n v="75"/>
    <s v="Speedway LLC"/>
    <s v="LRE-2017-00547-137-R19"/>
    <s v="2019-153-37-MTM-A "/>
    <m/>
    <s v="Jasper"/>
    <n v="41.145899999999997"/>
    <n v="-87.257599999999996"/>
    <s v="Development"/>
    <m/>
    <s v="No"/>
    <m/>
    <n v="5625"/>
    <n v="26250"/>
    <n v="5625"/>
    <m/>
    <m/>
    <m/>
    <m/>
    <m/>
    <m/>
    <m/>
    <m/>
    <s v="USACE did not require ILF mitigation"/>
  </r>
  <r>
    <d v="2019-08-22T00:00:00"/>
    <s v="August"/>
    <n v="2019"/>
    <x v="8"/>
    <n v="-0.14099999999999999"/>
    <x v="0"/>
    <n v="11280"/>
    <n v="45"/>
    <x v="1"/>
    <s v="PSS"/>
    <n v="4.7E-2"/>
    <s v="RCI Development LLC"/>
    <s v="LRE-2014-007700-102-R19"/>
    <s v="2019-161-02-WRH-A"/>
    <m/>
    <s v="Allen"/>
    <n v="40.9495"/>
    <n v="-85.309299999999993"/>
    <s v="Development"/>
    <m/>
    <s v="No"/>
    <m/>
    <n v="1692"/>
    <n v="7895.9999999999991"/>
    <n v="1692"/>
    <m/>
    <m/>
    <m/>
    <m/>
    <m/>
    <m/>
    <m/>
    <m/>
    <m/>
  </r>
  <r>
    <d v="2019-08-22T00:00:00"/>
    <s v="August"/>
    <n v="2019"/>
    <x v="9"/>
    <n v="-0.01"/>
    <x v="0"/>
    <n v="800"/>
    <n v="49"/>
    <x v="2"/>
    <s v="PFO"/>
    <n v="3.0000000000000001E-3"/>
    <s v="Langston Development"/>
    <s v="N/A"/>
    <s v="IWGP 2018-775-29-ALF-A"/>
    <m/>
    <s v="Hamilton"/>
    <n v="40.056927000000002"/>
    <n v="-86.101277999999994"/>
    <s v="Development"/>
    <s v="Mod 1 - LRL-2020-989-sam"/>
    <s v="Yes"/>
    <d v="2023-07-10T00:00:00"/>
    <n v="120"/>
    <n v="560"/>
    <n v="120"/>
    <m/>
    <m/>
    <m/>
    <m/>
    <s v="HC Farms"/>
    <m/>
    <m/>
    <m/>
    <s v="Credits fulfilled and released - HC Farms First Release.  Class II Forested Isolated Wetland Impact"/>
  </r>
  <r>
    <d v="2019-08-22T00:00:00"/>
    <s v="August"/>
    <n v="2019"/>
    <x v="9"/>
    <n v="-0.88"/>
    <x v="0"/>
    <n v="70400"/>
    <n v="50"/>
    <x v="1"/>
    <s v="PFO"/>
    <n v="0.22"/>
    <s v="Olthof Homes"/>
    <s v="LRL-2018-49-sjk"/>
    <s v="2019-275-29-ALF-A"/>
    <m/>
    <s v="Hamilton"/>
    <n v="40.068300000000001"/>
    <n v="-86.104799999999997"/>
    <s v="Development"/>
    <s v="Mod 1 - LRL-2020-989-sam"/>
    <s v="Yes"/>
    <d v="2023-07-10T00:00:00"/>
    <n v="10560"/>
    <n v="49280"/>
    <n v="10560"/>
    <m/>
    <m/>
    <m/>
    <m/>
    <s v="HC Farms"/>
    <m/>
    <m/>
    <m/>
    <s v="Credits fulfilled and released - HC Farms First Release."/>
  </r>
  <r>
    <d v="2019-09-04T00:00:00"/>
    <s v="September"/>
    <n v="2019"/>
    <x v="7"/>
    <n v="-50"/>
    <x v="1"/>
    <n v="20000"/>
    <n v="46"/>
    <x v="1"/>
    <s v="Int"/>
    <n v="25"/>
    <s v="Indiana Gas Co, Inc."/>
    <s v="LRL-2019-388-MKD"/>
    <s v="2019-294-10-TMS-A"/>
    <m/>
    <s v="Clark"/>
    <n v="38.326115000000001"/>
    <n v="-85.740533999999997"/>
    <s v="Transportation"/>
    <m/>
    <s v="No"/>
    <m/>
    <n v="3000"/>
    <n v="14000"/>
    <n v="3000"/>
    <m/>
    <m/>
    <m/>
    <m/>
    <m/>
    <m/>
    <m/>
    <m/>
    <m/>
  </r>
  <r>
    <d v="2019-09-04T00:00:00"/>
    <s v="September"/>
    <n v="2019"/>
    <x v="7"/>
    <n v="-0.05"/>
    <x v="0"/>
    <n v="4000"/>
    <n v="46"/>
    <x v="1"/>
    <s v="PEM"/>
    <n v="2.5999999999999999E-2"/>
    <s v="Indiana Gas Co, Inc."/>
    <s v="LRL-2019-388-MKD"/>
    <s v="2019-294-10-TMS-A"/>
    <m/>
    <s v="Clark"/>
    <n v="38.321562"/>
    <n v="-85.748953999999998"/>
    <s v="Transportation"/>
    <s v="LRL-2014-100-sam/Fourteeen Mile Creek Mitigation Bank"/>
    <s v="Yes"/>
    <d v="2024-01-22T00:00:00"/>
    <n v="600"/>
    <n v="2800"/>
    <n v="600"/>
    <m/>
    <m/>
    <m/>
    <m/>
    <s v="Fourteen Mile Creek Mitigation Bank"/>
    <m/>
    <m/>
    <m/>
    <s v="Credit fulfilled, purchased from Fourteen Mile Creek Mitigation Bank.  "/>
  </r>
  <r>
    <d v="2019-09-04T00:00:00"/>
    <s v="September"/>
    <n v="2019"/>
    <x v="7"/>
    <n v="-0.44"/>
    <x v="0"/>
    <n v="35200"/>
    <n v="46"/>
    <x v="1"/>
    <s v="PFO"/>
    <n v="0.111"/>
    <s v="Indiana Gas Co, Inc."/>
    <s v="LRL-2019-388-MKD"/>
    <s v="2019-294-10-TMS-A"/>
    <m/>
    <s v="Clark"/>
    <n v="38.321562"/>
    <n v="-85.748953999999998"/>
    <s v="Transportation"/>
    <s v="LRL-2014-100-sam/Fourteeen Mile Creek Mitigation Bank"/>
    <s v="Yes"/>
    <d v="2024-01-22T00:00:00"/>
    <n v="5280"/>
    <n v="24640"/>
    <n v="5280"/>
    <m/>
    <m/>
    <m/>
    <m/>
    <s v="Fourteen Mile Creek Mitigation Bank"/>
    <m/>
    <m/>
    <m/>
    <s v="Credit fulfilled, purchased from Fourteen Mile Creek Mitigation Bank.  "/>
  </r>
  <r>
    <d v="2019-09-16T00:00:00"/>
    <s v="September"/>
    <n v="2019"/>
    <x v="6"/>
    <n v="-1.1850000000000001"/>
    <x v="0"/>
    <n v="142200"/>
    <n v="52"/>
    <x v="1"/>
    <s v="PFO"/>
    <n v="0.40100000000000002"/>
    <s v="AEP I&amp;M Transco"/>
    <s v="LRE-2017-01162-100-N19"/>
    <s v="2019-251-20-JWR-A"/>
    <m/>
    <s v="Elkhart"/>
    <n v="41.538167000000001"/>
    <n v="-85.780034999999998"/>
    <s v="Transportation"/>
    <m/>
    <s v="No"/>
    <m/>
    <n v="21330"/>
    <n v="99540"/>
    <n v="21330"/>
    <m/>
    <m/>
    <m/>
    <m/>
    <m/>
    <m/>
    <m/>
    <m/>
    <s v="USACE did not require ILF mitigation. Lat/Long beginning point of linear project.  End point Lat 41.603708, Long -85.993569"/>
  </r>
  <r>
    <d v="2019-09-18T00:00:00"/>
    <s v="September"/>
    <n v="2019"/>
    <x v="4"/>
    <n v="-0.74"/>
    <x v="0"/>
    <n v="59200"/>
    <n v="43"/>
    <x v="1"/>
    <s v="PEM"/>
    <n v="0.308"/>
    <s v="INDOT"/>
    <s v="LRL-2015-489-sjk"/>
    <s v="2015-294-79-JWR-A"/>
    <m/>
    <s v="Tippecanoe"/>
    <n v="40.4514"/>
    <n v="-86.893600000000006"/>
    <s v="Transportation"/>
    <m/>
    <s v="No"/>
    <m/>
    <n v="8880"/>
    <n v="41440"/>
    <n v="8880"/>
    <m/>
    <m/>
    <m/>
    <m/>
    <m/>
    <m/>
    <m/>
    <m/>
    <s v="INDOT DES No. 0400774"/>
  </r>
  <r>
    <d v="2019-09-18T00:00:00"/>
    <s v="September"/>
    <n v="2019"/>
    <x v="4"/>
    <n v="-0.62"/>
    <x v="0"/>
    <n v="49600"/>
    <n v="43"/>
    <x v="1"/>
    <s v="PFO"/>
    <n v="0.17299999999999999"/>
    <s v="INDOT"/>
    <s v="LRL-2015-489-sjk"/>
    <s v="2015-294-79-JWR-A"/>
    <m/>
    <s v="Tippecanoe"/>
    <n v="40.4514"/>
    <n v="-86.893600000000006"/>
    <s v="Transportation"/>
    <m/>
    <s v="No"/>
    <m/>
    <n v="7440"/>
    <n v="34720"/>
    <n v="7440"/>
    <m/>
    <m/>
    <m/>
    <m/>
    <m/>
    <m/>
    <m/>
    <m/>
    <s v="INDOT DES No. 0400774"/>
  </r>
  <r>
    <d v="2019-09-18T00:00:00"/>
    <s v="September"/>
    <n v="2019"/>
    <x v="5"/>
    <n v="-0.02"/>
    <x v="0"/>
    <n v="1600"/>
    <n v="47"/>
    <x v="1"/>
    <s v="PEM"/>
    <n v="0.01"/>
    <s v="INDOT"/>
    <s v="LRL-2019-205-sam"/>
    <s v="2019-110-62-JBT-A"/>
    <m/>
    <s v="Perry"/>
    <n v="38.207332000000001"/>
    <n v="-86.780664000000002"/>
    <s v="Transportation"/>
    <m/>
    <s v="No"/>
    <m/>
    <n v="240"/>
    <n v="1120"/>
    <n v="240"/>
    <m/>
    <m/>
    <m/>
    <m/>
    <m/>
    <m/>
    <m/>
    <m/>
    <s v="INDOT DES No. 1702301"/>
  </r>
  <r>
    <d v="2019-09-26T00:00:00"/>
    <s v="September"/>
    <n v="2019"/>
    <x v="9"/>
    <n v="-0.15"/>
    <x v="0"/>
    <n v="12000"/>
    <n v="55"/>
    <x v="2"/>
    <s v="PEM"/>
    <n v="0.15"/>
    <s v="Plainfield Community School Corporation"/>
    <s v="N/A"/>
    <s v="IWGP 2019-560-32-JMK-A"/>
    <m/>
    <s v="Hendricks"/>
    <n v="39.669618"/>
    <n v="-86.420428000000001"/>
    <s v="Development"/>
    <s v="Mod 1 - LRL-2020-989-sam"/>
    <s v="Yes"/>
    <d v="2023-07-10T00:00:00"/>
    <n v="1800"/>
    <n v="8400"/>
    <n v="1800"/>
    <m/>
    <m/>
    <m/>
    <m/>
    <s v="HC Farms"/>
    <m/>
    <m/>
    <m/>
    <s v="Credits fulfilled and released - HC Farms First Release.  Class I Non-Forested Isolated Wetland Impact"/>
  </r>
  <r>
    <d v="2019-09-26T00:00:00"/>
    <s v="September"/>
    <n v="2019"/>
    <x v="9"/>
    <n v="-1.58"/>
    <x v="0"/>
    <n v="126400"/>
    <n v="37"/>
    <x v="1"/>
    <s v="PEM"/>
    <n v="0.79"/>
    <s v="INDOT"/>
    <s v="LRL-2017-461-scm"/>
    <s v="2019-072-32-JBT-A"/>
    <m/>
    <s v="Hendricks"/>
    <n v="39.613258000000002"/>
    <n v="-86.480226000000002"/>
    <s v="Transportation"/>
    <s v="Mod 1 - LRL-2020-989-sam and Bank"/>
    <s v="Yes"/>
    <d v="2023-12-05T00:00:00"/>
    <n v="18960"/>
    <n v="88480"/>
    <n v="18960"/>
    <m/>
    <m/>
    <m/>
    <m/>
    <s v="HC Farms and Candace Bank"/>
    <m/>
    <m/>
    <m/>
    <s v="0.58 fulfilled from HC Farms initial release and 1.0 fulfilled from Candace Lee Fink Mitigation Bank Credit purchase.INDOT DES No. 1500143"/>
  </r>
  <r>
    <d v="2019-10-02T00:00:00"/>
    <s v="October"/>
    <n v="2019"/>
    <x v="9"/>
    <n v="-0.29399999999999998"/>
    <x v="0"/>
    <n v="23520"/>
    <n v="53"/>
    <x v="2"/>
    <s v="PEM"/>
    <n v="0.14699999999999999"/>
    <s v="Duke Energy"/>
    <s v="N/A"/>
    <s v="IWIP 2019-026-29-ALF-A"/>
    <m/>
    <s v="Hamilton "/>
    <n v="40.101590000000002"/>
    <n v="-85.975290000000001"/>
    <s v="Energy Production"/>
    <s v="LRL-2014-100-sam/Candace Lee Fink Mitigtion Bank"/>
    <s v="Yes"/>
    <d v="2023-12-05T00:00:00"/>
    <n v="3528"/>
    <n v="16464"/>
    <n v="3528"/>
    <m/>
    <m/>
    <m/>
    <m/>
    <s v="Candace Lee Fink Mitigation Bank"/>
    <m/>
    <m/>
    <m/>
    <s v="Credit fulfilled, purchased from Candace Lee Fink Mitigation Bank.  Class II Non-Forested Isolated Wetland Impact"/>
  </r>
  <r>
    <d v="2019-10-02T00:00:00"/>
    <s v="October"/>
    <n v="2019"/>
    <x v="9"/>
    <n v="-0.85"/>
    <x v="0"/>
    <n v="68000"/>
    <n v="53"/>
    <x v="2"/>
    <s v="PFO"/>
    <n v="0.34"/>
    <s v="Duke Energy"/>
    <s v="N/A"/>
    <s v="IWIP 2019-026-29-ALF-A"/>
    <m/>
    <s v="Hamilton "/>
    <n v="40.101590000000002"/>
    <n v="-85.975290000000001"/>
    <s v="Energy Production"/>
    <s v="LRL-2014-100-sam/Candace Lee Fink Mitigtion Bank"/>
    <s v="Yes"/>
    <d v="2023-12-05T00:00:00"/>
    <n v="10200"/>
    <n v="47600"/>
    <n v="10200"/>
    <m/>
    <m/>
    <m/>
    <m/>
    <s v="Candace Lee Fink Mitigation Bank"/>
    <m/>
    <m/>
    <m/>
    <s v="Credit fulfilled, purchased from Candace Lee Fink Mitigation Bank.  Class II Forested Isolated Wetland Impact"/>
  </r>
  <r>
    <d v="2019-10-15T00:00:00"/>
    <s v="October"/>
    <n v="2019"/>
    <x v="0"/>
    <n v="-2.4E-2"/>
    <x v="0"/>
    <n v="2280"/>
    <n v="44"/>
    <x v="1"/>
    <s v="PEM"/>
    <n v="1.2E-2"/>
    <s v="AEP"/>
    <s v="LRC-2015-411"/>
    <s v="2019-137-46-MTM-A"/>
    <m/>
    <s v="LaPorte"/>
    <n v="41.721879000000001"/>
    <n v="-86.756603999999996"/>
    <s v="Energy Production"/>
    <m/>
    <s v="No"/>
    <m/>
    <n v="342"/>
    <n v="1596"/>
    <n v="342"/>
    <m/>
    <m/>
    <m/>
    <m/>
    <m/>
    <m/>
    <m/>
    <m/>
    <m/>
  </r>
  <r>
    <d v="2019-10-15T00:00:00"/>
    <s v="October"/>
    <n v="2019"/>
    <x v="0"/>
    <n v="-3.0000000000000001E-3"/>
    <x v="0"/>
    <n v="285"/>
    <n v="44"/>
    <x v="1"/>
    <s v="PSS"/>
    <n v="1E-3"/>
    <s v="AEP"/>
    <s v="LRC-2015-411"/>
    <s v="2019-137-46-MTM-A"/>
    <m/>
    <s v="LaPorte"/>
    <n v="41.721879000000001"/>
    <n v="-86.756603999999996"/>
    <s v="Energy Production"/>
    <m/>
    <s v="No"/>
    <m/>
    <n v="42.75"/>
    <n v="199.5"/>
    <n v="42.75"/>
    <m/>
    <m/>
    <m/>
    <m/>
    <m/>
    <m/>
    <m/>
    <m/>
    <m/>
  </r>
  <r>
    <d v="2019-10-15T00:00:00"/>
    <s v="October"/>
    <n v="2019"/>
    <x v="0"/>
    <n v="-0.52500000000000002"/>
    <x v="0"/>
    <n v="49875"/>
    <n v="44"/>
    <x v="1"/>
    <s v="PFO"/>
    <n v="0.17499999999999999"/>
    <s v="AEP"/>
    <s v="LRC-2015-411"/>
    <s v="2019-137-46-MTM-A"/>
    <m/>
    <s v="LaPorte"/>
    <n v="41.721879000000001"/>
    <n v="-86.756603999999996"/>
    <s v="Energy Production"/>
    <m/>
    <s v="No"/>
    <m/>
    <n v="7481.25"/>
    <n v="34912.5"/>
    <n v="7481.25"/>
    <m/>
    <m/>
    <m/>
    <m/>
    <m/>
    <m/>
    <m/>
    <m/>
    <m/>
  </r>
  <r>
    <d v="2019-10-22T00:00:00"/>
    <s v="October"/>
    <n v="2019"/>
    <x v="0"/>
    <n v="-1.51"/>
    <x v="0"/>
    <n v="143450"/>
    <n v="57"/>
    <x v="1"/>
    <s v="PFO"/>
    <n v="0.33779999999999999"/>
    <s v="AEP"/>
    <s v="LRC-2019-255"/>
    <s v="`2019-200-46-MTM-A"/>
    <m/>
    <s v="LaPorte"/>
    <s v="41. 719149"/>
    <n v="-86.756743999999998"/>
    <s v="Energy Production"/>
    <m/>
    <s v="No"/>
    <m/>
    <n v="21517.5"/>
    <n v="100415"/>
    <n v="21517.5"/>
    <m/>
    <m/>
    <m/>
    <m/>
    <m/>
    <m/>
    <m/>
    <m/>
    <s v="401 WQC also included impacts to 0.0051 acres of PEM"/>
  </r>
  <r>
    <d v="2019-10-22T00:00:00"/>
    <s v="October"/>
    <n v="2019"/>
    <x v="9"/>
    <n v="-1.774"/>
    <x v="0"/>
    <n v="141920"/>
    <n v="56"/>
    <x v="2"/>
    <s v="PEM"/>
    <n v="1.774"/>
    <s v="City of Greenwood"/>
    <s v="N/A"/>
    <s v="IWIP 2019-658-41-TMS-A"/>
    <m/>
    <s v="Johnson"/>
    <n v="39.635689999999997"/>
    <n v="-86.065020000000004"/>
    <s v="Development"/>
    <s v="LRL-2014-100-sam/Candace Lee Fink Mitigtion Bank"/>
    <s v="Yes"/>
    <d v="2023-12-05T00:00:00"/>
    <n v="21288"/>
    <n v="99344"/>
    <n v="21288"/>
    <m/>
    <m/>
    <m/>
    <m/>
    <s v="Candace Lee Fink Mitigation Bank"/>
    <m/>
    <m/>
    <m/>
    <s v="Credit fulfilled, purchased from Candace Lee Fink Mitigation Bank.Class I Non-Forested (PEM) Isolated Wetland Impact"/>
  </r>
  <r>
    <d v="2019-10-23T00:00:00"/>
    <s v="October"/>
    <n v="2019"/>
    <x v="10"/>
    <n v="-1279"/>
    <x v="1"/>
    <n v="511600"/>
    <n v="48"/>
    <x v="1"/>
    <s v="Int"/>
    <n v="1066"/>
    <s v="INDOT"/>
    <s v="LRL-2015-749-sjk"/>
    <s v="2017-110-72-SKG-A"/>
    <m/>
    <s v="Scott"/>
    <n v="38.740200000000002"/>
    <n v="-85.753"/>
    <s v="Transportation"/>
    <m/>
    <s v="No"/>
    <m/>
    <n v="76740"/>
    <n v="358120"/>
    <n v="76740"/>
    <m/>
    <m/>
    <m/>
    <m/>
    <m/>
    <m/>
    <m/>
    <m/>
    <m/>
  </r>
  <r>
    <d v="2019-10-23T00:00:00"/>
    <s v="October"/>
    <n v="2019"/>
    <x v="10"/>
    <n v="-356"/>
    <x v="1"/>
    <n v="142400"/>
    <n v="48"/>
    <x v="1"/>
    <s v="Per"/>
    <n v="297"/>
    <s v="INDOT"/>
    <s v="LRL-2015-749-sjk"/>
    <s v="2017-110-72-SKG-A"/>
    <m/>
    <s v="Scott"/>
    <n v="38.740200000000002"/>
    <n v="-85.753"/>
    <s v="Transportation"/>
    <m/>
    <s v="No"/>
    <m/>
    <n v="21360"/>
    <n v="99680"/>
    <n v="21360"/>
    <m/>
    <m/>
    <m/>
    <m/>
    <m/>
    <m/>
    <m/>
    <m/>
    <m/>
  </r>
  <r>
    <d v="2019-10-23T00:00:00"/>
    <s v="October"/>
    <n v="2019"/>
    <x v="10"/>
    <n v="-1.69"/>
    <x v="0"/>
    <n v="135200"/>
    <n v="48"/>
    <x v="1"/>
    <s v="PEM"/>
    <n v="0.70699999999999996"/>
    <s v="INDOT"/>
    <s v="LRL-2015-749-sjk"/>
    <s v="2017-110-72-SKG-A"/>
    <m/>
    <s v="Scott"/>
    <n v="38.740200000000002"/>
    <n v="-85.753"/>
    <s v="Transportation"/>
    <m/>
    <s v="No"/>
    <m/>
    <n v="20280"/>
    <n v="94640"/>
    <n v="20280"/>
    <m/>
    <m/>
    <m/>
    <m/>
    <m/>
    <m/>
    <m/>
    <m/>
    <m/>
  </r>
  <r>
    <d v="2019-10-23T00:00:00"/>
    <s v="October"/>
    <n v="2019"/>
    <x v="10"/>
    <n v="-0.69"/>
    <x v="0"/>
    <n v="55200"/>
    <n v="48"/>
    <x v="1"/>
    <s v="PFO"/>
    <n v="0.16300000000000001"/>
    <s v="INDOT"/>
    <s v="LRL-2015-749-sjk"/>
    <s v="2017-110-72-SKG-A"/>
    <m/>
    <s v="Scott"/>
    <n v="38.740200000000002"/>
    <n v="-85.753"/>
    <s v="Transportation"/>
    <m/>
    <s v="No"/>
    <m/>
    <n v="8280"/>
    <n v="38640"/>
    <n v="8280"/>
    <m/>
    <m/>
    <m/>
    <m/>
    <m/>
    <m/>
    <m/>
    <m/>
    <m/>
  </r>
  <r>
    <d v="2019-12-13T00:00:00"/>
    <s v="December"/>
    <n v="2019"/>
    <x v="7"/>
    <n v="-8.5299999999999994"/>
    <x v="0"/>
    <n v="682400"/>
    <n v="58"/>
    <x v="1"/>
    <s v="PEM"/>
    <n v="5.83"/>
    <s v="INDOT"/>
    <s v="LRL-1999-1520-djd"/>
    <s v="1999-300-10-MBF-A"/>
    <m/>
    <s v="Clark"/>
    <n v="38.291400000000003"/>
    <n v="-85.758399999999995"/>
    <s v="Transportation"/>
    <s v="LRL-2014-100-sam/Fourteeen Mile Creek Mitigation Bank"/>
    <s v="Yes"/>
    <d v="2024-01-22T00:00:00"/>
    <n v="102360"/>
    <n v="477679.99999999994"/>
    <n v="102360"/>
    <m/>
    <m/>
    <m/>
    <m/>
    <s v="Fourteen Mile Creek Mitigation Bank"/>
    <m/>
    <m/>
    <m/>
    <s v="Credit fulfilled, purchased from Fourteen Mile Creek Mitigation Bank.  "/>
  </r>
  <r>
    <d v="2019-12-13T00:00:00"/>
    <s v="December"/>
    <n v="2019"/>
    <x v="7"/>
    <n v="-2.68"/>
    <x v="0"/>
    <n v="214400"/>
    <n v="58"/>
    <x v="1"/>
    <s v="PFO"/>
    <n v="2.02"/>
    <s v="INDOT"/>
    <s v="LRL-1999-1520-djd"/>
    <s v="1999-300-10-MBF-A"/>
    <m/>
    <s v="Clark"/>
    <n v="38.291400000000003"/>
    <n v="-85.758399999999995"/>
    <s v="Transportation"/>
    <s v="LRL-2014-100-sam/Fourteeen Mile Creek Mitigation Bank"/>
    <s v="Yes"/>
    <d v="2024-01-22T00:00:00"/>
    <n v="32160"/>
    <n v="150080"/>
    <n v="32160"/>
    <m/>
    <m/>
    <m/>
    <m/>
    <s v="Fourteen Mile Creek Mitigation Bank"/>
    <m/>
    <m/>
    <m/>
    <s v="Credit fulfilled, purchased from Fourteen Mile Creek Mitigation Bank.  "/>
  </r>
  <r>
    <m/>
    <m/>
    <m/>
    <x v="11"/>
    <m/>
    <x v="2"/>
    <m/>
    <m/>
    <x v="0"/>
    <m/>
    <m/>
    <m/>
    <m/>
    <m/>
    <m/>
    <m/>
    <m/>
    <m/>
    <m/>
    <m/>
    <m/>
    <m/>
    <m/>
    <m/>
    <m/>
    <m/>
    <m/>
    <m/>
    <m/>
    <m/>
    <m/>
    <m/>
    <m/>
    <m/>
  </r>
  <r>
    <d v="2020-01-02T00:00:00"/>
    <s v="January "/>
    <n v="2020"/>
    <x v="3"/>
    <n v="-0.28000000000000003"/>
    <x v="0"/>
    <n v="22400"/>
    <n v="65"/>
    <x v="1"/>
    <s v="PFO"/>
    <n v="7.0000000000000007E-2"/>
    <s v="Sabert Corporation"/>
    <s v="LRE-2019-00221-102"/>
    <s v="2019-446-02-WRH-A"/>
    <m/>
    <s v="Allen"/>
    <n v="41.040500999999999"/>
    <n v="-85.186507000000006"/>
    <s v="Development"/>
    <s v="LRL-2014-100-sam/Openings Mitigation Bank "/>
    <s v="Yes"/>
    <s v="11/3/2023 and 1/15/2024"/>
    <n v="3360"/>
    <n v="15680"/>
    <n v="3360"/>
    <m/>
    <m/>
    <m/>
    <m/>
    <s v="Openings Mitigation Bank"/>
    <m/>
    <m/>
    <m/>
    <s v="Credit fulfilled, purchased from Openings Mitigation Bank, partial 1.05 credit on 11/3/2023 and final 0.93 credit on 1/15/2024"/>
  </r>
  <r>
    <d v="2020-01-02T00:00:00"/>
    <s v="January "/>
    <n v="2020"/>
    <x v="3"/>
    <n v="-1.98"/>
    <x v="0"/>
    <n v="158400"/>
    <n v="65"/>
    <x v="1"/>
    <s v="PSS"/>
    <n v="0.66"/>
    <s v="Sabert Corporation"/>
    <s v="LRE-2019-00221-102"/>
    <s v="2019-446-02-WRH-A"/>
    <m/>
    <s v="Allen"/>
    <n v="41.040500999999999"/>
    <n v="-85.186507000000006"/>
    <s v="Development"/>
    <s v="LRL-2014-100-sam/Openings Mitigation Bank "/>
    <s v="Yes"/>
    <d v="2024-01-15T00:00:00"/>
    <n v="23760"/>
    <n v="110880"/>
    <n v="23760"/>
    <m/>
    <m/>
    <m/>
    <m/>
    <s v="Openings Mitigation Bank"/>
    <m/>
    <m/>
    <m/>
    <s v="1.05 credit purchased 11/3/2023 and 0.93 credit purchased on 1/15/2024 to fulfill the 1.98 credits"/>
  </r>
  <r>
    <d v="2020-01-02T00:00:00"/>
    <s v="January "/>
    <n v="2020"/>
    <x v="3"/>
    <n v="-0.94"/>
    <x v="0"/>
    <n v="75200"/>
    <n v="65"/>
    <x v="2"/>
    <s v="PFO"/>
    <n v="0.3"/>
    <s v="Sabert Corporation"/>
    <s v="N/A"/>
    <s v="IWIP 2019-446-02-WRH-A"/>
    <m/>
    <s v="Allen"/>
    <n v="41.040500999999999"/>
    <n v="-85.186507000000006"/>
    <s v="Development"/>
    <s v="LRL-2014-100-sam/Openings Mitigation Bank "/>
    <s v="Yes"/>
    <d v="2023-11-03T00:00:00"/>
    <n v="11280"/>
    <n v="52640"/>
    <n v="11280"/>
    <m/>
    <m/>
    <m/>
    <m/>
    <s v="Openings Mitigation Bank"/>
    <m/>
    <m/>
    <m/>
    <s v="Credit fulfilled, purchased from Openings Mitigation Bank.  Class II Forested Isolated Wetland Impact"/>
  </r>
  <r>
    <d v="2020-01-03T00:00:00"/>
    <s v="January "/>
    <n v="2020"/>
    <x v="9"/>
    <n v="-4362"/>
    <x v="1"/>
    <n v="1962900"/>
    <n v="54"/>
    <x v="1"/>
    <s v="Eph"/>
    <n v="3636"/>
    <s v="INDOT "/>
    <s v="LRL-2016-481-dds"/>
    <s v="2019-089-49-JWR-A"/>
    <m/>
    <s v="Morgan &amp; Marion"/>
    <n v="39.697620000000001"/>
    <n v="-86.182540000000003"/>
    <s v="Transportation"/>
    <s v="Mod 1 - LRL-2020-989-sam/ LRL-2021-552-sam/"/>
    <s v="No"/>
    <s v="9/3/2024, 2/6/2025, 5/9/2025"/>
    <n v="294435"/>
    <n v="1374030"/>
    <n v="294435"/>
    <m/>
    <m/>
    <m/>
    <m/>
    <s v="HC Farms release #2/Fall Creek Woods release #1/Fall Creek Woods release #2"/>
    <m/>
    <m/>
    <m/>
    <s v="289/4362 credits fulfilled by HC Farms release #2. 350/4073 credits fulfilled by Fall Creek Woods (FCW) release #1. 3723 credits remaining to fulfill.  350/3723 credits fulfilled by FCW release #2. 3373 credits remaining to be fulfilled. INDOT DES No.0500430"/>
  </r>
  <r>
    <d v="2020-01-03T00:00:00"/>
    <s v="January "/>
    <n v="2020"/>
    <x v="9"/>
    <n v="-5028"/>
    <x v="1"/>
    <n v="2262600"/>
    <n v="54"/>
    <x v="1"/>
    <s v="Int"/>
    <n v="2085"/>
    <s v="INDOT "/>
    <s v="LRL-2016-481-dds"/>
    <s v="2019-089-49-JWR-A"/>
    <m/>
    <s v="Morgan &amp; Marion"/>
    <n v="39.697620000000001"/>
    <n v="-86.182540000000003"/>
    <s v="Transportation"/>
    <m/>
    <s v="No"/>
    <m/>
    <n v="339390"/>
    <n v="1583820"/>
    <n v="339390"/>
    <m/>
    <m/>
    <m/>
    <m/>
    <m/>
    <m/>
    <m/>
    <m/>
    <s v="Corps IP and RGP.  IDEM required more mitigation.  INDOT DES No. 0500430"/>
  </r>
  <r>
    <d v="2020-01-03T00:00:00"/>
    <s v="January "/>
    <n v="2020"/>
    <x v="9"/>
    <n v="-2688"/>
    <x v="1"/>
    <n v="1209600"/>
    <n v="54"/>
    <x v="1"/>
    <s v="Per"/>
    <n v="2240"/>
    <s v="INDOT "/>
    <s v="LRL-2016-481-dds"/>
    <s v="2019-089-49-JWR-A"/>
    <m/>
    <s v="Morgan &amp; Marion"/>
    <n v="39.697620000000001"/>
    <n v="-86.182540000000003"/>
    <s v="Transportation"/>
    <m/>
    <s v="No"/>
    <m/>
    <n v="181440"/>
    <n v="846720"/>
    <n v="181440"/>
    <m/>
    <m/>
    <m/>
    <m/>
    <m/>
    <m/>
    <m/>
    <m/>
    <s v="Corps IP and RGP.  IDEM required more mitigation.  INDOT DES No. 0500430"/>
  </r>
  <r>
    <d v="2020-01-06T00:00:00"/>
    <s v="January "/>
    <n v="2020"/>
    <x v="7"/>
    <n v="-1080"/>
    <x v="1"/>
    <n v="432000"/>
    <n v="67"/>
    <x v="1"/>
    <s v="Int"/>
    <n v="900"/>
    <s v="Iron Street Partners, LLC"/>
    <s v="LRL-2019-222-anr"/>
    <s v="2019-184-10-TMS-V"/>
    <m/>
    <s v="Clark"/>
    <n v="38.345939000000001"/>
    <n v="-85.696188000000006"/>
    <s v="Development"/>
    <m/>
    <s v="No"/>
    <m/>
    <n v="64800"/>
    <n v="302400"/>
    <n v="64800"/>
    <m/>
    <m/>
    <m/>
    <m/>
    <m/>
    <m/>
    <m/>
    <m/>
    <m/>
  </r>
  <r>
    <d v="2020-01-06T00:00:00"/>
    <s v="January "/>
    <n v="2020"/>
    <x v="10"/>
    <n v="-0.46"/>
    <x v="0"/>
    <n v="36800"/>
    <n v="61"/>
    <x v="1"/>
    <s v="PEM"/>
    <n v="0.19"/>
    <s v="INDOT "/>
    <s v="LRL-2018-1010-djd"/>
    <s v="2019-566-36-JBT-A"/>
    <m/>
    <s v="Jackson"/>
    <n v="38.957999999999998"/>
    <n v="-85.858999999999995"/>
    <s v="Transportation"/>
    <m/>
    <s v="No"/>
    <m/>
    <n v="5520"/>
    <n v="25760"/>
    <n v="5520"/>
    <m/>
    <m/>
    <m/>
    <m/>
    <m/>
    <m/>
    <m/>
    <m/>
    <s v="INDOT DES No. 1400090"/>
  </r>
  <r>
    <d v="2020-01-06T00:00:00"/>
    <s v="January "/>
    <n v="2020"/>
    <x v="10"/>
    <n v="-452"/>
    <x v="1"/>
    <n v="180800"/>
    <n v="61"/>
    <x v="1"/>
    <s v="Eph"/>
    <n v="377"/>
    <s v="INDOT "/>
    <s v="LRL-2018-1010-djd"/>
    <s v="2019-566-36-JBT-A"/>
    <m/>
    <s v="Jackson"/>
    <n v="38.957999999999998"/>
    <n v="-85.858999999999995"/>
    <s v="Transportation"/>
    <m/>
    <s v="No"/>
    <m/>
    <n v="27120"/>
    <n v="126559.99999999999"/>
    <n v="27120"/>
    <m/>
    <m/>
    <m/>
    <m/>
    <m/>
    <m/>
    <m/>
    <m/>
    <s v="INDOT DES No. 1400090"/>
  </r>
  <r>
    <d v="2020-01-06T00:00:00"/>
    <s v="January "/>
    <n v="2020"/>
    <x v="10"/>
    <n v="-30"/>
    <x v="1"/>
    <n v="12000"/>
    <n v="61"/>
    <x v="1"/>
    <s v="Int"/>
    <n v="25"/>
    <s v="INDOT "/>
    <s v="LRL-2018-1010-djd"/>
    <s v="2019-566-36-JBT-A"/>
    <m/>
    <s v="Jackson"/>
    <n v="38.957999999999998"/>
    <n v="-85.858999999999995"/>
    <s v="Transportation"/>
    <m/>
    <s v="No"/>
    <m/>
    <n v="1800"/>
    <n v="8400"/>
    <n v="1800"/>
    <m/>
    <m/>
    <m/>
    <m/>
    <m/>
    <m/>
    <m/>
    <m/>
    <s v="INDOT DES No. 1400090"/>
  </r>
  <r>
    <d v="2020-01-07T00:00:00"/>
    <s v="January "/>
    <n v="2020"/>
    <x v="3"/>
    <n v="-0.64"/>
    <x v="0"/>
    <n v="51200"/>
    <n v="69"/>
    <x v="1"/>
    <s v="PEM"/>
    <n v="0.18"/>
    <s v="DeKalb County Airport Authority"/>
    <s v="LRE-1989-1170052-R17"/>
    <s v="2017-397-17-HAP-A"/>
    <m/>
    <s v="DeKalb"/>
    <n v="41.301699999999997"/>
    <n v="-85.07"/>
    <s v="Transportation"/>
    <s v="LRL-2014-100-sam/Openings Mitigation Bank "/>
    <s v="Yes"/>
    <d v="2023-11-03T00:00:00"/>
    <n v="7680"/>
    <n v="35840"/>
    <n v="7680"/>
    <m/>
    <m/>
    <m/>
    <m/>
    <s v="Openings Mitigation Bank"/>
    <m/>
    <m/>
    <m/>
    <s v="Credit fulfilled, purchased from Openings Mitigation Bank"/>
  </r>
  <r>
    <d v="2020-01-07T00:00:00"/>
    <s v="January "/>
    <n v="2020"/>
    <x v="3"/>
    <n v="-6.37"/>
    <x v="0"/>
    <n v="509600"/>
    <n v="69"/>
    <x v="1"/>
    <s v="PFO"/>
    <n v="0.02"/>
    <s v="DeKalb County Airport Authority"/>
    <s v="LRE-1989-1170052-R17"/>
    <s v="2017-397-17-HAP-A"/>
    <m/>
    <s v="DeKalb"/>
    <n v="41.301699999999997"/>
    <n v="-85.07"/>
    <s v="Transportation"/>
    <s v="LRL-2014-100-sam/Openings Mitigation Bank "/>
    <s v="Yes"/>
    <d v="2023-11-03T00:00:00"/>
    <n v="76440"/>
    <n v="356720"/>
    <n v="76440"/>
    <m/>
    <m/>
    <m/>
    <m/>
    <s v="Openings Mitigation Bank"/>
    <m/>
    <m/>
    <m/>
    <s v="Credit fulfilled, purchased from Openings Mitigation Bank.  IDEM recorded additional PFO impacts due to converting 2.08 acres of forested wetlands to emergent. "/>
  </r>
  <r>
    <d v="2020-01-08T00:00:00"/>
    <s v="January "/>
    <n v="2020"/>
    <x v="2"/>
    <n v="-245"/>
    <x v="1"/>
    <n v="98000"/>
    <n v="64"/>
    <x v="1"/>
    <s v="Int"/>
    <n v="245"/>
    <s v="TBH, LLC"/>
    <s v="Not Applicable"/>
    <s v="2019-567-60-TMS-A"/>
    <m/>
    <s v="Owen"/>
    <n v="39.291739999999997"/>
    <n v="-86.755350000000007"/>
    <s v="Development"/>
    <m/>
    <s v="No"/>
    <m/>
    <n v="14700"/>
    <n v="68600"/>
    <n v="14700"/>
    <m/>
    <m/>
    <m/>
    <m/>
    <m/>
    <m/>
    <m/>
    <m/>
    <s v="No USACE number due to minimal impacts (&lt;300 LF) and no notification"/>
  </r>
  <r>
    <d v="2020-01-14T00:00:00"/>
    <s v="January "/>
    <n v="2020"/>
    <x v="5"/>
    <n v="-342.6"/>
    <x v="1"/>
    <n v="137040"/>
    <n v="62"/>
    <x v="1"/>
    <s v="Eph"/>
    <n v="382.1"/>
    <s v="INDOT "/>
    <s v="LRL-2019-698-scm"/>
    <s v="2019-625-87-JBT-A"/>
    <m/>
    <s v="Warrick"/>
    <n v="38.039839999999998"/>
    <n v="-87.244799999999998"/>
    <s v="Transportation"/>
    <m/>
    <s v="No"/>
    <m/>
    <n v="20556"/>
    <n v="95928"/>
    <n v="20556"/>
    <m/>
    <m/>
    <m/>
    <m/>
    <m/>
    <m/>
    <m/>
    <m/>
    <s v="INDOT DES No. 1500052"/>
  </r>
  <r>
    <d v="2020-01-30T00:00:00"/>
    <s v="January "/>
    <n v="2020"/>
    <x v="0"/>
    <n v="-0.43"/>
    <x v="0"/>
    <n v="40850"/>
    <n v="41"/>
    <x v="1"/>
    <s v="PEM"/>
    <n v="0.23"/>
    <s v="Providence Real Estate Development"/>
    <s v="LRC-2018-305"/>
    <s v="2018-554-45-MTM-A"/>
    <m/>
    <s v="Lake"/>
    <n v="41.46067"/>
    <n v="-87.405949000000007"/>
    <s v="Development"/>
    <m/>
    <s v="No"/>
    <m/>
    <n v="6127.5"/>
    <n v="28595"/>
    <n v="6127.5"/>
    <m/>
    <m/>
    <m/>
    <m/>
    <m/>
    <m/>
    <m/>
    <m/>
    <s v="Funds received by INRF August 2019; INRF receipt sent to DNR in January 2020 due to oversight. "/>
  </r>
  <r>
    <d v="2020-02-05T00:00:00"/>
    <s v="February"/>
    <n v="2020"/>
    <x v="3"/>
    <n v="-740"/>
    <x v="1"/>
    <n v="333000"/>
    <n v="71"/>
    <x v="1"/>
    <s v="Per"/>
    <n v="996"/>
    <s v="City of Fort Wayne - Parks and Recreation"/>
    <s v="LRE-2015-01011-102"/>
    <s v="2017-201-02-HAP-A"/>
    <m/>
    <s v="Allen"/>
    <n v="41.082869000000002"/>
    <n v="-85.149878000000001"/>
    <s v="Development"/>
    <m/>
    <s v="No"/>
    <m/>
    <n v="49950"/>
    <n v="233099.99999999997"/>
    <n v="49950"/>
    <m/>
    <m/>
    <m/>
    <m/>
    <m/>
    <m/>
    <m/>
    <m/>
    <m/>
  </r>
  <r>
    <d v="2020-02-05T00:00:00"/>
    <s v="February"/>
    <n v="2020"/>
    <x v="3"/>
    <n v="-1.1085"/>
    <x v="0"/>
    <n v="88680"/>
    <n v="71"/>
    <x v="1"/>
    <s v="PFO"/>
    <n v="0.26"/>
    <s v="City of Fort Wayne - Parks and Recreation"/>
    <s v="LRE-2015-01011-102"/>
    <s v="2017-201-02-HAP-A"/>
    <m/>
    <s v="Allen"/>
    <n v="41.082869000000002"/>
    <n v="-85.149878000000001"/>
    <s v="Development"/>
    <m/>
    <s v="No"/>
    <m/>
    <n v="13302"/>
    <n v="62075.999999999993"/>
    <n v="13302"/>
    <m/>
    <m/>
    <m/>
    <m/>
    <m/>
    <m/>
    <m/>
    <m/>
    <m/>
  </r>
  <r>
    <d v="2020-02-05T00:00:00"/>
    <s v="February"/>
    <n v="2020"/>
    <x v="8"/>
    <n v="-174"/>
    <x v="1"/>
    <n v="69600"/>
    <n v="75"/>
    <x v="1"/>
    <s v="Per"/>
    <n v="174"/>
    <s v="Kelley Auto Real Estate, LLC &amp; Menards, Inc."/>
    <s v="LRE-2018-00428-102-R18"/>
    <s v="2018-627-02-MTM-A"/>
    <m/>
    <s v="Allen"/>
    <n v="41.078288999999998"/>
    <n v="-85.225233000000003"/>
    <s v="Development"/>
    <m/>
    <s v="No"/>
    <m/>
    <n v="10440"/>
    <n v="48720"/>
    <n v="10440"/>
    <m/>
    <m/>
    <m/>
    <m/>
    <m/>
    <m/>
    <m/>
    <m/>
    <s v="Corps RGP did not require mitigation - IDEM 401 WQC required mitigation"/>
  </r>
  <r>
    <d v="2020-02-19T00:00:00"/>
    <s v="February"/>
    <n v="2020"/>
    <x v="0"/>
    <n v="-0.74099999999999999"/>
    <x v="0"/>
    <n v="70395"/>
    <n v="76"/>
    <x v="1"/>
    <s v="PEM"/>
    <n v="0.49399999999999999"/>
    <s v="City of Crown Point"/>
    <s v="LRC-2019-948"/>
    <s v="2019-793-45-MTM-A"/>
    <m/>
    <s v="Lake"/>
    <n v="41.420119999999997"/>
    <n v="-87.31165"/>
    <s v="Transportation"/>
    <m/>
    <s v="No"/>
    <m/>
    <n v="10559.25"/>
    <n v="49276.5"/>
    <n v="10559.25"/>
    <m/>
    <m/>
    <m/>
    <m/>
    <m/>
    <m/>
    <m/>
    <m/>
    <m/>
  </r>
  <r>
    <d v="2020-02-19T00:00:00"/>
    <s v="February"/>
    <n v="2020"/>
    <x v="9"/>
    <n v="-0.504"/>
    <x v="0"/>
    <n v="40320"/>
    <n v="80"/>
    <x v="1"/>
    <s v="PEM"/>
    <n v="0.21"/>
    <s v="Raindrop, LLC"/>
    <s v="LRL-2018-107-LCL"/>
    <s v="2019-079-32-JMK-A"/>
    <m/>
    <s v="Hendricks"/>
    <n v="39.624200000000002"/>
    <n v="-86.468299999999999"/>
    <s v="Development"/>
    <s v="LRL-2014-100-sam/Candace Lee Fink Mitigtion Bank"/>
    <s v="Yes"/>
    <d v="2023-12-05T00:00:00"/>
    <n v="6048"/>
    <n v="28224"/>
    <n v="6048"/>
    <m/>
    <m/>
    <m/>
    <m/>
    <s v="Candace Lee Fink Mitigation Bank"/>
    <m/>
    <m/>
    <m/>
    <s v="Credit fulfilled, purchased from Candace Lee Fink Mitigation Bank"/>
  </r>
  <r>
    <d v="2020-02-19T00:00:00"/>
    <s v="February"/>
    <n v="2020"/>
    <x v="9"/>
    <n v="-0.11"/>
    <x v="0"/>
    <n v="8800"/>
    <n v="80"/>
    <x v="1"/>
    <s v="PSS"/>
    <n v="0.03"/>
    <s v="Raindrop, LLC"/>
    <s v="LRL-2018-107-LCL"/>
    <s v="2019-079-32-JMK-A"/>
    <m/>
    <s v="Hendricks"/>
    <n v="39.624200000000002"/>
    <n v="-86.468299999999999"/>
    <s v="Development"/>
    <s v="LRL-2014-100-sam/Candace Lee Fink Mitigtion Bank"/>
    <s v="Yes"/>
    <d v="2023-12-05T00:00:00"/>
    <n v="1320"/>
    <n v="6160"/>
    <n v="1320"/>
    <m/>
    <m/>
    <m/>
    <m/>
    <s v="Candace Lee Fink Mitigation Bank"/>
    <m/>
    <m/>
    <m/>
    <s v="Credit fulfilled, purchased from Candace Lee Fink Mitigation Bank"/>
  </r>
  <r>
    <d v="2020-02-19T00:00:00"/>
    <s v="February"/>
    <n v="2020"/>
    <x v="9"/>
    <n v="-1.042"/>
    <x v="0"/>
    <n v="83360"/>
    <n v="80"/>
    <x v="1"/>
    <s v="PFO"/>
    <n v="0.28999999999999998"/>
    <s v="Raindrop, LLC"/>
    <s v="LRL-2018-107-LCL"/>
    <s v="2019-079-32-JMK-A"/>
    <m/>
    <s v="Hendricks"/>
    <n v="39.624200000000002"/>
    <n v="-86.468299999999999"/>
    <s v="Development"/>
    <s v="LRL-2014-100-sam/Candace Lee Fink Mitigtion Bank"/>
    <s v="Yes"/>
    <d v="2023-12-05T00:00:00"/>
    <n v="12504"/>
    <n v="58351.999999999993"/>
    <n v="12504"/>
    <m/>
    <m/>
    <m/>
    <m/>
    <s v="Candace Lee Fink Mitigation Bank"/>
    <m/>
    <m/>
    <m/>
    <s v="Credit fulfilled, purchased from Candace Lee Fink Mitigation Bank"/>
  </r>
  <r>
    <d v="2020-02-19T00:00:00"/>
    <s v="February"/>
    <n v="2020"/>
    <x v="9"/>
    <n v="-1.95"/>
    <x v="0"/>
    <n v="156000"/>
    <n v="80"/>
    <x v="2"/>
    <s v="PEM"/>
    <n v="1.95"/>
    <s v="Raindrop, LLC"/>
    <s v="N/A"/>
    <s v="IWIP 2019-079-32-JMK-A "/>
    <m/>
    <s v="Hendricks"/>
    <n v="39.624200000000002"/>
    <n v="-86.468299999999999"/>
    <s v="Development"/>
    <s v="LRL-2014-100-sam/Candace Lee Fink Mitigtion Bank"/>
    <s v="Yes"/>
    <d v="2023-12-05T00:00:00"/>
    <n v="23400"/>
    <n v="109200"/>
    <n v="23400"/>
    <m/>
    <m/>
    <m/>
    <m/>
    <s v="Candace Lee Fink Mitigation Bank"/>
    <m/>
    <m/>
    <m/>
    <s v="Credit fulfilled, purchased from Candace Lee Fink Mitigation Bank.  1.85 credit of the 1.95 credits were refunded to permittee on 1/25/2022, requiring only 0.1 credit to be fulfilled.Class I Non-Forested (PEM) Isolated Wetland Impact"/>
  </r>
  <r>
    <d v="2020-02-19T00:00:00"/>
    <s v="February"/>
    <n v="2020"/>
    <x v="9"/>
    <n v="-0.65"/>
    <x v="0"/>
    <n v="52000"/>
    <n v="80"/>
    <x v="2"/>
    <s v="PFO"/>
    <n v="0.26"/>
    <s v="Raindrop, LLC"/>
    <s v="N/A"/>
    <s v="IWIP 2019-079-32-JMK-A "/>
    <m/>
    <s v="Hendricks"/>
    <n v="39.624200000000002"/>
    <n v="-86.468299999999999"/>
    <s v="Development"/>
    <s v="LRL-2014-100-sam/Candace Lee Fink Mitigtion Bank"/>
    <s v="Yes"/>
    <d v="2023-12-05T00:00:00"/>
    <n v="7800"/>
    <n v="36400"/>
    <n v="7800"/>
    <m/>
    <m/>
    <m/>
    <m/>
    <s v="Candace Lee Fink Mitigation Bank"/>
    <m/>
    <m/>
    <m/>
    <s v="Credit fulfilled, purchased from Candace Lee Fink Mitigation BankClass II Forested Isolated Wetland Impact"/>
  </r>
  <r>
    <d v="2020-02-19T00:00:00"/>
    <s v="February"/>
    <n v="2020"/>
    <x v="9"/>
    <n v="-300"/>
    <x v="1"/>
    <n v="135000"/>
    <n v="74"/>
    <x v="1"/>
    <s v="Int"/>
    <n v="333.3"/>
    <s v="Town of Zionsville"/>
    <s v="LRL-2019-585-sam"/>
    <s v="2019-600-06-ALF-A"/>
    <m/>
    <s v="Boone"/>
    <n v="39.939478000000001"/>
    <n v="-86.259861000000001"/>
    <s v="Transportation"/>
    <m/>
    <s v="No"/>
    <m/>
    <n v="20250"/>
    <n v="94500"/>
    <n v="20250"/>
    <m/>
    <m/>
    <m/>
    <m/>
    <m/>
    <m/>
    <m/>
    <m/>
    <s v="Corps issued Indiana RGP No. 1 requiring to meet IDEM conditions in which required the ILF stream mitigation credits"/>
  </r>
  <r>
    <d v="2020-02-27T00:00:00"/>
    <s v="February"/>
    <n v="2020"/>
    <x v="4"/>
    <n v="-0.18"/>
    <x v="0"/>
    <n v="14400"/>
    <n v="77"/>
    <x v="1"/>
    <s v="PSS"/>
    <n v="0.18"/>
    <s v="Jordan Creek Wind Farm, LLC"/>
    <s v="LRL-2019-990-lcl"/>
    <s v="2019-828-86-MTM-X"/>
    <m/>
    <s v="Warren, Benton &amp; Vermillion"/>
    <n v="40.418909999999997"/>
    <n v="-87.442430000000002"/>
    <s v="Energy Production"/>
    <m/>
    <s v="No"/>
    <m/>
    <n v="2160"/>
    <n v="10080"/>
    <n v="2160"/>
    <m/>
    <m/>
    <m/>
    <m/>
    <m/>
    <m/>
    <m/>
    <m/>
    <s v="Mitigation only required by IDEM "/>
  </r>
  <r>
    <d v="2020-03-03T00:00:00"/>
    <s v="March"/>
    <n v="2020"/>
    <x v="10"/>
    <n v="-168"/>
    <x v="1"/>
    <n v="67200"/>
    <n v="85"/>
    <x v="1"/>
    <s v="Eph"/>
    <n v="140"/>
    <s v="Wal-Mart Compliance"/>
    <s v="LRL-2010-705-sam"/>
    <s v="2010-554-40-DDC-A"/>
    <m/>
    <s v="Jennings"/>
    <n v="39.020642000000002"/>
    <n v="-85.638099999999994"/>
    <s v="Development"/>
    <m/>
    <s v="No"/>
    <m/>
    <n v="10080"/>
    <n v="47040"/>
    <n v="10080"/>
    <m/>
    <m/>
    <m/>
    <m/>
    <m/>
    <m/>
    <m/>
    <m/>
    <s v="Credit purchase a result of failed mitigation, Credits purchased by Kleenco on Wal-Marts behalf"/>
  </r>
  <r>
    <d v="2020-03-03T00:00:00"/>
    <s v="March"/>
    <n v="2020"/>
    <x v="10"/>
    <n v="-1.2"/>
    <x v="0"/>
    <n v="96000"/>
    <n v="85"/>
    <x v="1"/>
    <s v="PEM"/>
    <n v="0.91"/>
    <s v="Wal-Mart Compliance"/>
    <s v="LRL-2010-705-sam"/>
    <s v="2010-554-40-DDC-A"/>
    <m/>
    <s v="Jennings"/>
    <n v="39.020642000000002"/>
    <n v="-85.638099999999994"/>
    <s v="Development"/>
    <m/>
    <s v="No"/>
    <m/>
    <n v="14400"/>
    <n v="67200"/>
    <n v="14400"/>
    <m/>
    <m/>
    <m/>
    <m/>
    <m/>
    <m/>
    <m/>
    <m/>
    <s v="Credit purchase a result of failed mitigation, Credits purchased by Kleenco on Wal-Marts behalf"/>
  </r>
  <r>
    <d v="2020-03-03T00:00:00"/>
    <s v="March"/>
    <n v="2020"/>
    <x v="10"/>
    <n v="-0.14000000000000001"/>
    <x v="0"/>
    <n v="11200"/>
    <n v="85"/>
    <x v="1"/>
    <s v="PSS"/>
    <n v="0.04"/>
    <s v="Wal-Mart Compliance"/>
    <s v="LRL-2010-705-sam"/>
    <s v="2010-554-40-DDC-A"/>
    <m/>
    <s v="Jennings"/>
    <n v="39.020642000000002"/>
    <n v="-85.638099999999994"/>
    <s v="Development"/>
    <m/>
    <s v="No"/>
    <m/>
    <n v="1680"/>
    <n v="7839.9999999999991"/>
    <n v="1680"/>
    <m/>
    <m/>
    <m/>
    <m/>
    <m/>
    <m/>
    <m/>
    <m/>
    <s v="Credit purchase a result of failed mitigation, Credits purchased by Kleenco on Wal-Marts behalf"/>
  </r>
  <r>
    <d v="2020-03-04T00:00:00"/>
    <s v="March"/>
    <n v="2020"/>
    <x v="0"/>
    <n v="-2.16"/>
    <x v="0"/>
    <n v="205200"/>
    <n v="83"/>
    <x v="1"/>
    <s v="PFO"/>
    <n v="0.9"/>
    <s v="A Safe Haven Foundation"/>
    <s v="LRC-2018-674"/>
    <s v="2019-564-45-MTM-A"/>
    <m/>
    <s v="Lake"/>
    <n v="41.474299999999999"/>
    <n v="-87.305679999999995"/>
    <s v="Development"/>
    <m/>
    <s v="No"/>
    <m/>
    <n v="30780"/>
    <n v="143640"/>
    <n v="30780"/>
    <m/>
    <m/>
    <m/>
    <m/>
    <m/>
    <m/>
    <m/>
    <m/>
    <m/>
  </r>
  <r>
    <d v="2020-03-05T00:00:00"/>
    <s v="March"/>
    <n v="2020"/>
    <x v="5"/>
    <n v="-1.76"/>
    <x v="0"/>
    <n v="140800"/>
    <n v="87"/>
    <x v="1"/>
    <s v="PFO"/>
    <n v="0.44"/>
    <s v="Evansville Water &amp; Sewer Utility "/>
    <s v="LRL-2019-631-mad"/>
    <s v="2019-475-82-TMS-A "/>
    <m/>
    <s v="Vanderburgh"/>
    <n v="37.954315999999999"/>
    <n v="-87.570311000000004"/>
    <s v="Development"/>
    <m/>
    <s v="No"/>
    <m/>
    <n v="21120"/>
    <n v="98560"/>
    <n v="21120"/>
    <m/>
    <m/>
    <m/>
    <m/>
    <m/>
    <m/>
    <m/>
    <m/>
    <m/>
  </r>
  <r>
    <d v="2020-03-18T00:00:00"/>
    <s v="March"/>
    <n v="2020"/>
    <x v="6"/>
    <n v="-0.42"/>
    <x v="0"/>
    <n v="50400"/>
    <n v="88"/>
    <x v="1"/>
    <s v="PEM"/>
    <n v="0.21"/>
    <s v="P.W. Reality, LLC"/>
    <s v="LRE-2014-00296-143-R20"/>
    <s v="2020-54-43-JWR-X"/>
    <m/>
    <s v="Kosciusko"/>
    <n v="41.426081000000003"/>
    <n v="-85.762451999999996"/>
    <s v="Development"/>
    <m/>
    <s v="No"/>
    <m/>
    <n v="7560"/>
    <n v="35280"/>
    <n v="7560"/>
    <m/>
    <m/>
    <m/>
    <m/>
    <m/>
    <m/>
    <m/>
    <m/>
    <m/>
  </r>
  <r>
    <d v="2020-03-18T00:00:00"/>
    <s v="March"/>
    <n v="2020"/>
    <x v="9"/>
    <n v="-0.03"/>
    <x v="0"/>
    <n v="2400"/>
    <n v="89"/>
    <x v="2"/>
    <s v="PEM"/>
    <n v="0.03"/>
    <s v="Westfield Commercial Ventures, LLC"/>
    <s v="N/A"/>
    <s v="IWGP 2020-64-29-ALF-A"/>
    <m/>
    <s v="Hamilton"/>
    <n v="40.044176999999998"/>
    <n v="-86.156177999999997"/>
    <s v="Development"/>
    <s v="LRL-2014-100-sam/Candace Lee Fink Mitigtion Bank"/>
    <s v="Yes"/>
    <d v="2023-12-05T00:00:00"/>
    <n v="360"/>
    <n v="1680"/>
    <n v="360"/>
    <m/>
    <m/>
    <m/>
    <m/>
    <s v="Candace Lee Fink Mitigation Bank"/>
    <m/>
    <m/>
    <m/>
    <s v="Credit fulfilled, purchased from Candace Lee Fink Mitigation Bank.  State Isolated Wetland General Permit for Class I Non-Forested wetland"/>
  </r>
  <r>
    <d v="2020-03-24T00:00:00"/>
    <s v="March"/>
    <n v="2020"/>
    <x v="2"/>
    <n v="-186"/>
    <x v="1"/>
    <n v="74400"/>
    <n v="81"/>
    <x v="1"/>
    <s v="Int"/>
    <n v="186"/>
    <s v="INDOT "/>
    <s v="LRL-2019-872-djd"/>
    <s v="2019-647-36-JBT-A"/>
    <m/>
    <s v="Jackson"/>
    <n v="38.94744"/>
    <n v="-86.124170000000007"/>
    <s v="Transportation"/>
    <m/>
    <s v="No"/>
    <m/>
    <n v="11160"/>
    <n v="52080"/>
    <n v="11160"/>
    <m/>
    <m/>
    <m/>
    <m/>
    <m/>
    <m/>
    <m/>
    <m/>
    <s v="Corps issued Indiana RGP requiring to meet IDEM conditions required the ILF stream mitigation credits"/>
  </r>
  <r>
    <d v="2020-03-24T00:00:00"/>
    <s v="March"/>
    <n v="2020"/>
    <x v="2"/>
    <n v="-86"/>
    <x v="1"/>
    <n v="34400"/>
    <n v="81"/>
    <x v="1"/>
    <s v="Per"/>
    <n v="86"/>
    <s v="INDOT "/>
    <s v="LRL-2019-872-djd"/>
    <s v="2019-647-36-JBT-A"/>
    <m/>
    <s v="Jackson"/>
    <n v="38.94744"/>
    <n v="-86.124170000000007"/>
    <s v="Transportation"/>
    <m/>
    <s v="No"/>
    <m/>
    <n v="5160"/>
    <n v="24080"/>
    <n v="5160"/>
    <m/>
    <m/>
    <m/>
    <m/>
    <m/>
    <m/>
    <m/>
    <m/>
    <s v="Corps issued Indiana RGP requiring to meet IDEM conditions required the ILF stream mitigation credits"/>
  </r>
  <r>
    <d v="2020-03-24T00:00:00"/>
    <s v="March"/>
    <n v="2020"/>
    <x v="2"/>
    <n v="-500"/>
    <x v="1"/>
    <n v="200000"/>
    <n v="78"/>
    <x v="1"/>
    <s v="Eph"/>
    <n v="417"/>
    <s v="INDOT "/>
    <s v="LRL-2019-972-scm"/>
    <s v="2019-735-19-JBT-A"/>
    <m/>
    <s v="Dubois"/>
    <n v="38.480975000000001"/>
    <n v="-86.864420999999993"/>
    <s v="Transportation"/>
    <m/>
    <s v="No"/>
    <m/>
    <n v="30000"/>
    <n v="140000"/>
    <n v="30000"/>
    <m/>
    <m/>
    <m/>
    <m/>
    <m/>
    <m/>
    <m/>
    <m/>
    <m/>
  </r>
  <r>
    <d v="2020-03-24T00:00:00"/>
    <s v="March"/>
    <n v="2020"/>
    <x v="2"/>
    <n v="-74"/>
    <x v="1"/>
    <n v="29600"/>
    <n v="78"/>
    <x v="1"/>
    <s v="Int"/>
    <n v="62"/>
    <s v="INDOT "/>
    <s v="LRL-2019-972-scm"/>
    <s v="2019-735-19-JBT-A"/>
    <m/>
    <s v="Dubois"/>
    <n v="38.480975000000001"/>
    <n v="-86.864420999999993"/>
    <s v="Transportation"/>
    <m/>
    <s v="No"/>
    <m/>
    <n v="4440"/>
    <n v="20720"/>
    <n v="4440"/>
    <m/>
    <m/>
    <m/>
    <m/>
    <m/>
    <m/>
    <m/>
    <m/>
    <m/>
  </r>
  <r>
    <d v="2020-03-24T00:00:00"/>
    <s v="March"/>
    <n v="2020"/>
    <x v="9"/>
    <n v="-0.31"/>
    <x v="0"/>
    <n v="24800"/>
    <n v="92"/>
    <x v="2"/>
    <s v="PSS"/>
    <n v="0.13"/>
    <s v="Raindrop, LLC"/>
    <s v="N/A"/>
    <s v="IWGP 2018-169-32-JMK-A"/>
    <m/>
    <s v="Hendricks"/>
    <n v="39.623136000000002"/>
    <n v="-86.477220000000003"/>
    <s v="Development"/>
    <s v="LRL-2014-100-sam/Candace Lee Fink Mitigtion Bank"/>
    <s v="Yes"/>
    <d v="2023-12-05T00:00:00"/>
    <n v="3720"/>
    <n v="17360"/>
    <n v="3720"/>
    <m/>
    <m/>
    <m/>
    <m/>
    <s v="Candace Lee Fink Mitigation Bank"/>
    <m/>
    <m/>
    <m/>
    <s v="Credit fulfilled, purchased from Candace Lee Fink Mitigation Bank.  State Isolated Wetland General Permit for Class II Scrub-Shrub wetland"/>
  </r>
  <r>
    <d v="2020-03-25T00:00:00"/>
    <s v="March"/>
    <n v="2020"/>
    <x v="10"/>
    <n v="-144"/>
    <x v="1"/>
    <n v="57600"/>
    <n v="72"/>
    <x v="1"/>
    <s v="Int"/>
    <n v="120"/>
    <s v="Arbor Homes"/>
    <s v="LRL-2016-1055-sjk"/>
    <s v="2019-731-30-ALF-A"/>
    <m/>
    <s v="Hancock"/>
    <n v="39.808100000000003"/>
    <n v="-85.926100000000005"/>
    <s v="Development"/>
    <m/>
    <s v="No"/>
    <m/>
    <n v="8640"/>
    <n v="40320"/>
    <n v="8640"/>
    <m/>
    <m/>
    <m/>
    <m/>
    <m/>
    <m/>
    <m/>
    <m/>
    <m/>
  </r>
  <r>
    <d v="2020-03-25T00:00:00"/>
    <s v="March"/>
    <n v="2020"/>
    <x v="10"/>
    <n v="-0.2"/>
    <x v="0"/>
    <n v="16000"/>
    <n v="72"/>
    <x v="1"/>
    <s v="PEM"/>
    <n v="7.0000000000000007E-2"/>
    <s v="Arbor Homes"/>
    <s v="LRL-2016-1055-sjk"/>
    <s v="2019-731-30-ALF-A"/>
    <m/>
    <s v="Hancock"/>
    <n v="39.808100000000003"/>
    <n v="-85.926100000000005"/>
    <s v="Development"/>
    <m/>
    <s v="No"/>
    <m/>
    <n v="2400"/>
    <n v="11200"/>
    <n v="2400"/>
    <m/>
    <m/>
    <m/>
    <m/>
    <m/>
    <m/>
    <m/>
    <m/>
    <m/>
  </r>
  <r>
    <d v="2020-03-25T00:00:00"/>
    <s v="March"/>
    <n v="2020"/>
    <x v="10"/>
    <n v="-0.36799999999999999"/>
    <x v="0"/>
    <n v="29440"/>
    <n v="72"/>
    <x v="1"/>
    <s v="PFO"/>
    <n v="0.1"/>
    <s v="Arbor Homes"/>
    <s v="LRL-2016-1055-sjk"/>
    <s v="2019-731-30-ALF-A"/>
    <m/>
    <s v="Hancock"/>
    <n v="39.808100000000003"/>
    <n v="-85.926100000000005"/>
    <s v="Development"/>
    <m/>
    <s v="No"/>
    <m/>
    <n v="4416"/>
    <n v="20608"/>
    <n v="4416"/>
    <m/>
    <m/>
    <m/>
    <m/>
    <m/>
    <m/>
    <m/>
    <m/>
    <m/>
  </r>
  <r>
    <d v="2020-03-31T00:00:00"/>
    <s v="March"/>
    <n v="2020"/>
    <x v="9"/>
    <n v="-8"/>
    <x v="1"/>
    <n v="3600"/>
    <n v="73"/>
    <x v="1"/>
    <s v="Int"/>
    <n v="8"/>
    <s v="Hendricks County Highway Department"/>
    <s v="LRL-2019-395-MKD"/>
    <s v="2019-542-32-JMK-A"/>
    <m/>
    <s v="Hendricks"/>
    <n v="39.615389999999998"/>
    <n v="-86.503309999999999"/>
    <s v="Transportation"/>
    <m/>
    <s v="No"/>
    <m/>
    <n v="540"/>
    <n v="2520"/>
    <n v="540"/>
    <m/>
    <m/>
    <m/>
    <m/>
    <m/>
    <m/>
    <m/>
    <m/>
    <s v="Corps RGP - 401 WQC mitigation required"/>
  </r>
  <r>
    <d v="2020-03-31T00:00:00"/>
    <s v="March"/>
    <n v="2020"/>
    <x v="9"/>
    <n v="-122"/>
    <x v="1"/>
    <n v="54900"/>
    <n v="73"/>
    <x v="1"/>
    <s v="Per"/>
    <n v="122"/>
    <s v="Hendricks County Highway Department"/>
    <s v="LRL-2019-395-MKD"/>
    <s v="2019-542-32-JMK-A"/>
    <m/>
    <s v="Hendricks"/>
    <n v="39.615389999999998"/>
    <n v="-86.503309999999999"/>
    <s v="Transportation"/>
    <m/>
    <s v="No"/>
    <m/>
    <n v="8235"/>
    <n v="38430"/>
    <n v="8235"/>
    <m/>
    <m/>
    <m/>
    <m/>
    <m/>
    <m/>
    <m/>
    <m/>
    <s v="Corps RGP - 401 WQC mitigation required"/>
  </r>
  <r>
    <d v="2020-04-01T00:00:00"/>
    <s v="April"/>
    <n v="2020"/>
    <x v="0"/>
    <n v="-8"/>
    <x v="1"/>
    <n v="4800"/>
    <n v="66"/>
    <x v="1"/>
    <s v="Per"/>
    <n v="8"/>
    <s v="INDOT "/>
    <s v="LRC-2019-181"/>
    <s v="2019-133-64-JBT-A"/>
    <m/>
    <s v="Porter"/>
    <n v="41.587400000000002"/>
    <n v="-87.124600000000001"/>
    <s v="Transportation"/>
    <m/>
    <s v="No"/>
    <m/>
    <n v="720"/>
    <n v="3360"/>
    <n v="720"/>
    <m/>
    <m/>
    <m/>
    <m/>
    <m/>
    <m/>
    <m/>
    <m/>
    <m/>
  </r>
  <r>
    <d v="2020-04-01T00:00:00"/>
    <s v="April"/>
    <n v="2020"/>
    <x v="0"/>
    <n v="-0.53200000000000003"/>
    <x v="0"/>
    <n v="50540"/>
    <n v="66"/>
    <x v="1"/>
    <s v="PFO"/>
    <n v="0.13300000000000001"/>
    <s v="INDOT "/>
    <s v="LRC-2019-181"/>
    <s v="2019-133-64-JBT-A"/>
    <m/>
    <s v="Porter"/>
    <n v="41.587400000000002"/>
    <n v="-87.124600000000001"/>
    <s v="Transportation"/>
    <m/>
    <s v="No"/>
    <m/>
    <n v="7581"/>
    <n v="35378"/>
    <n v="7581"/>
    <m/>
    <m/>
    <m/>
    <m/>
    <m/>
    <m/>
    <m/>
    <m/>
    <m/>
  </r>
  <r>
    <d v="2020-04-01T00:00:00"/>
    <s v="April"/>
    <n v="2020"/>
    <x v="0"/>
    <n v="-0.38"/>
    <x v="0"/>
    <n v="36100"/>
    <n v="66"/>
    <x v="1"/>
    <s v="PEM"/>
    <n v="0.19"/>
    <s v="INDOT "/>
    <s v="LRC-2019-181"/>
    <s v="2019-133-64-JBT-A"/>
    <m/>
    <s v="Porter"/>
    <n v="41.587400000000002"/>
    <n v="-87.124600000000001"/>
    <s v="Transportation"/>
    <m/>
    <s v="No"/>
    <m/>
    <n v="5415"/>
    <n v="25270"/>
    <n v="5415"/>
    <m/>
    <m/>
    <m/>
    <m/>
    <m/>
    <m/>
    <m/>
    <m/>
    <m/>
  </r>
  <r>
    <d v="2020-04-01T00:00:00"/>
    <s v="April"/>
    <n v="2020"/>
    <x v="2"/>
    <n v="-3236"/>
    <x v="1"/>
    <n v="1294400"/>
    <n v="90"/>
    <x v="1"/>
    <s v="Eph"/>
    <n v="2697"/>
    <s v="INDOT "/>
    <s v="LRL-2013-590-djd"/>
    <s v="2019-759-59-JBT-A"/>
    <m/>
    <s v="Orange"/>
    <n v="38.503500000000003"/>
    <n v="-86.635999999999996"/>
    <s v="Transportation"/>
    <m/>
    <s v="No"/>
    <m/>
    <n v="194160"/>
    <n v="906080"/>
    <n v="194160"/>
    <m/>
    <m/>
    <m/>
    <m/>
    <m/>
    <m/>
    <m/>
    <m/>
    <m/>
  </r>
  <r>
    <d v="2020-04-01T00:00:00"/>
    <s v="April"/>
    <n v="2020"/>
    <x v="2"/>
    <n v="-0.22"/>
    <x v="0"/>
    <n v="17600"/>
    <n v="90"/>
    <x v="1"/>
    <s v="PEM"/>
    <n v="0.09"/>
    <s v="INDOT "/>
    <s v="LRL-2013-590-djd"/>
    <s v="2019-759-59-JBT-A"/>
    <m/>
    <s v="Orange"/>
    <n v="38.503500000000003"/>
    <n v="-86.635999999999996"/>
    <s v="Transportation"/>
    <m/>
    <s v="No"/>
    <m/>
    <n v="2640"/>
    <n v="12320"/>
    <n v="2640"/>
    <m/>
    <m/>
    <m/>
    <m/>
    <m/>
    <m/>
    <m/>
    <m/>
    <m/>
  </r>
  <r>
    <d v="2020-04-01T00:00:00"/>
    <s v="April"/>
    <n v="2020"/>
    <x v="2"/>
    <n v="-0.01"/>
    <x v="0"/>
    <n v="800"/>
    <n v="90"/>
    <x v="1"/>
    <s v="PFO"/>
    <n v="4.0000000000000001E-3"/>
    <s v="INDOT "/>
    <s v="LRL-2013-590-djd"/>
    <s v="2019-759-59-JBT-A"/>
    <m/>
    <s v="Orange"/>
    <n v="38.503500000000003"/>
    <n v="-86.635999999999996"/>
    <s v="Transportation"/>
    <m/>
    <s v="No"/>
    <m/>
    <n v="120"/>
    <n v="560"/>
    <n v="120"/>
    <m/>
    <m/>
    <m/>
    <m/>
    <m/>
    <m/>
    <m/>
    <m/>
    <m/>
  </r>
  <r>
    <d v="2020-04-01T00:00:00"/>
    <s v="April"/>
    <n v="2020"/>
    <x v="5"/>
    <n v="-0.45200000000000001"/>
    <x v="0"/>
    <n v="36160"/>
    <n v="82"/>
    <x v="1"/>
    <s v="PFO"/>
    <n v="0.113"/>
    <s v="INDOT "/>
    <s v="LRL-2019-959-scm"/>
    <s v="2019-720-87-JBT-A"/>
    <m/>
    <s v="Warrick"/>
    <n v="38.174999999999997"/>
    <n v="-87.415999999999997"/>
    <s v="Transportation"/>
    <m/>
    <s v="No"/>
    <m/>
    <n v="5424"/>
    <n v="25312"/>
    <n v="5424"/>
    <m/>
    <m/>
    <m/>
    <m/>
    <m/>
    <m/>
    <m/>
    <m/>
    <m/>
  </r>
  <r>
    <d v="2020-04-01T00:00:00"/>
    <s v="April"/>
    <n v="2020"/>
    <x v="5"/>
    <n v="-10"/>
    <x v="1"/>
    <n v="4000"/>
    <n v="82"/>
    <x v="1"/>
    <s v="Int"/>
    <n v="10"/>
    <s v="INDOT "/>
    <s v="LRL-2019-959-scm"/>
    <s v="2019-720-87-JBT-A"/>
    <m/>
    <s v="Warrick"/>
    <n v="38.174999999999997"/>
    <n v="-87.415999999999997"/>
    <s v="Transportation"/>
    <m/>
    <s v="No"/>
    <m/>
    <n v="600"/>
    <n v="2800"/>
    <n v="600"/>
    <m/>
    <m/>
    <m/>
    <m/>
    <m/>
    <m/>
    <m/>
    <m/>
    <m/>
  </r>
  <r>
    <d v="2020-04-01T00:00:00"/>
    <s v="April"/>
    <n v="2020"/>
    <x v="5"/>
    <n v="-118"/>
    <x v="1"/>
    <n v="47200"/>
    <n v="82"/>
    <x v="1"/>
    <s v="Per"/>
    <n v="118"/>
    <s v="INDOT "/>
    <s v="LRL-2019-959-scm"/>
    <s v="2019-720-87-JBT-A"/>
    <m/>
    <s v="Warrick"/>
    <n v="38.174999999999997"/>
    <n v="-87.415999999999997"/>
    <s v="Transportation"/>
    <m/>
    <s v="No"/>
    <m/>
    <n v="7080"/>
    <n v="33040"/>
    <n v="7080"/>
    <m/>
    <m/>
    <m/>
    <m/>
    <m/>
    <m/>
    <m/>
    <m/>
    <m/>
  </r>
  <r>
    <d v="2020-04-15T00:00:00"/>
    <s v="April"/>
    <n v="2020"/>
    <x v="1"/>
    <n v="-82"/>
    <x v="1"/>
    <n v="41000"/>
    <n v="91"/>
    <x v="1"/>
    <s v="Int"/>
    <n v="82"/>
    <s v="INDOT "/>
    <s v="LRC-2019-793"/>
    <s v="2019-654-45-JBT-A"/>
    <m/>
    <s v="Lake"/>
    <n v="41.43"/>
    <n v="-87.47"/>
    <s v="Transportation"/>
    <m/>
    <s v="No"/>
    <m/>
    <n v="6150"/>
    <n v="28700"/>
    <n v="6150"/>
    <m/>
    <m/>
    <m/>
    <m/>
    <m/>
    <m/>
    <m/>
    <m/>
    <m/>
  </r>
  <r>
    <d v="2020-04-15T00:00:00"/>
    <s v="April"/>
    <n v="2020"/>
    <x v="1"/>
    <n v="-15"/>
    <x v="1"/>
    <n v="7500"/>
    <n v="91"/>
    <x v="1"/>
    <s v="Per"/>
    <n v="15"/>
    <s v="INDOT "/>
    <s v="LRC-2019-793"/>
    <s v="2019-654-45-JBT-A"/>
    <m/>
    <s v="Lake"/>
    <n v="41.43"/>
    <n v="-87.47"/>
    <s v="Transportation"/>
    <m/>
    <s v="No"/>
    <m/>
    <n v="1125"/>
    <n v="5250"/>
    <n v="1125"/>
    <m/>
    <m/>
    <m/>
    <m/>
    <m/>
    <m/>
    <m/>
    <m/>
    <m/>
  </r>
  <r>
    <d v="2020-04-15T00:00:00"/>
    <s v="April"/>
    <n v="2020"/>
    <x v="1"/>
    <n v="-0.4"/>
    <x v="0"/>
    <n v="38000"/>
    <n v="91"/>
    <x v="1"/>
    <s v="PEM"/>
    <n v="0.2"/>
    <s v="INDOT "/>
    <s v="LRC-2019-793"/>
    <s v="2019-654-45-JBT-A"/>
    <m/>
    <s v="Lake"/>
    <n v="41.43"/>
    <n v="-87.47"/>
    <s v="Transportation"/>
    <m/>
    <s v="No"/>
    <m/>
    <n v="5700"/>
    <n v="26600"/>
    <n v="5700"/>
    <m/>
    <m/>
    <m/>
    <m/>
    <m/>
    <m/>
    <m/>
    <m/>
    <m/>
  </r>
  <r>
    <d v="2020-04-15T00:00:00"/>
    <s v="April"/>
    <n v="2020"/>
    <x v="1"/>
    <n v="-0.48599999999999999"/>
    <x v="0"/>
    <n v="46170"/>
    <n v="91"/>
    <x v="1"/>
    <s v="PSS"/>
    <n v="0.16200000000000001"/>
    <s v="INDOT "/>
    <s v="LRC-2019-793"/>
    <s v="2019-654-45-JBT-A"/>
    <m/>
    <s v="Lake"/>
    <n v="41.43"/>
    <n v="-87.47"/>
    <s v="Transportation"/>
    <m/>
    <s v="No"/>
    <m/>
    <n v="6925.5"/>
    <n v="32319"/>
    <n v="6925.5"/>
    <m/>
    <m/>
    <m/>
    <m/>
    <m/>
    <m/>
    <m/>
    <m/>
    <m/>
  </r>
  <r>
    <d v="2020-04-15T00:00:00"/>
    <s v="April"/>
    <n v="2020"/>
    <x v="8"/>
    <n v="-280"/>
    <x v="1"/>
    <n v="112000"/>
    <n v="94"/>
    <x v="1"/>
    <s v="Eph"/>
    <n v="233"/>
    <s v="AEP"/>
    <s v="LRL-2014-540-lcl  "/>
    <s v="2020-12-34-JWR-X "/>
    <m/>
    <s v="Howard"/>
    <n v="40.473500000000001"/>
    <n v="-85.915199999999999"/>
    <s v="Transportation"/>
    <m/>
    <s v="No"/>
    <m/>
    <n v="16800"/>
    <n v="78400"/>
    <n v="16800"/>
    <m/>
    <m/>
    <m/>
    <m/>
    <m/>
    <m/>
    <m/>
    <m/>
    <s v="Corps NWP 12 and IDEM RGP"/>
  </r>
  <r>
    <d v="2020-04-15T00:00:00"/>
    <s v="April"/>
    <n v="2020"/>
    <x v="8"/>
    <n v="-0.14000000000000001"/>
    <x v="0"/>
    <n v="11200"/>
    <n v="94"/>
    <x v="1"/>
    <s v="PEM"/>
    <n v="0.06"/>
    <s v="AEP"/>
    <s v="LRL-2014-540-lcl  "/>
    <s v="2020-12-34-JWR-X "/>
    <m/>
    <s v="Howard"/>
    <n v="40.473500000000001"/>
    <n v="-85.915199999999999"/>
    <s v="Transportation"/>
    <m/>
    <s v="No"/>
    <m/>
    <n v="1680"/>
    <n v="7840"/>
    <n v="1680"/>
    <m/>
    <m/>
    <m/>
    <m/>
    <m/>
    <m/>
    <m/>
    <m/>
    <s v="Corps NWP 12 and IDEM RGP"/>
  </r>
  <r>
    <d v="2020-04-15T00:00:00"/>
    <s v="April"/>
    <n v="2020"/>
    <x v="9"/>
    <n v="-1.05"/>
    <x v="0"/>
    <n v="84000"/>
    <n v="93"/>
    <x v="1"/>
    <s v="PFO"/>
    <n v="0.09"/>
    <s v="M/I Homes of Indiana, L.P."/>
    <s v="LRL-2013-242-sam"/>
    <s v="2013-298-29-HAP-A"/>
    <m/>
    <s v="Hamilton"/>
    <n v="39.9788"/>
    <n v="-86.205200000000005"/>
    <s v="Development"/>
    <s v="LRL-2014-100-sam/Candace Lee Fink Mitigtion Bank"/>
    <s v="Yes"/>
    <d v="2023-12-05T00:00:00"/>
    <n v="12600"/>
    <n v="58800"/>
    <n v="12600"/>
    <m/>
    <m/>
    <m/>
    <m/>
    <s v="Candace Lee Fink Mitigation Bank"/>
    <m/>
    <m/>
    <m/>
    <s v="Credit fulfilled, purchased from Candace Lee Fink Mitigation Bank"/>
  </r>
  <r>
    <d v="2020-04-17T00:00:00"/>
    <s v="April"/>
    <n v="2020"/>
    <x v="5"/>
    <n v="-0.624"/>
    <x v="0"/>
    <n v="49920"/>
    <n v="102"/>
    <x v="1"/>
    <s v="PEM"/>
    <n v="0.26"/>
    <s v="Duke Energy"/>
    <s v="LRL-2019-539-JMG"/>
    <s v="2019-639-26-TMS-A"/>
    <m/>
    <s v="Gibson"/>
    <n v="38.343862999999999"/>
    <n v="-87.778317000000001"/>
    <s v="Energy Production"/>
    <m/>
    <s v="No"/>
    <m/>
    <n v="7488"/>
    <n v="34944"/>
    <n v="7488"/>
    <m/>
    <m/>
    <m/>
    <m/>
    <m/>
    <m/>
    <m/>
    <m/>
    <m/>
  </r>
  <r>
    <d v="2020-04-21T00:00:00"/>
    <s v="April"/>
    <n v="2020"/>
    <x v="10"/>
    <n v="-1.35"/>
    <x v="0"/>
    <n v="108000"/>
    <n v="106"/>
    <x v="2"/>
    <s v="PFO"/>
    <n v="1.35"/>
    <s v="Sunbeam Malores, LLC"/>
    <s v="N/A"/>
    <s v="IWIP 2020-132-41-TMS-A"/>
    <m/>
    <s v="Johnson"/>
    <n v="39.484650000000002"/>
    <n v="-86.010898999999995"/>
    <s v="Development"/>
    <m/>
    <s v="No"/>
    <m/>
    <n v="16200"/>
    <n v="75600"/>
    <n v="16200"/>
    <m/>
    <m/>
    <m/>
    <m/>
    <m/>
    <m/>
    <m/>
    <m/>
    <s v="State Isolated Wetland Individual Permit for Class II Forested Wetland Impacts"/>
  </r>
  <r>
    <d v="2020-04-22T00:00:00"/>
    <s v="April"/>
    <n v="2020"/>
    <x v="9"/>
    <n v="-191"/>
    <x v="1"/>
    <n v="85950"/>
    <n v="84"/>
    <x v="1"/>
    <s v="Eph"/>
    <n v="159"/>
    <s v="Lennar Homes of Indiana, Inc."/>
    <s v="LRL-2019-740-LCL"/>
    <s v="2019-846-32-ERL-A"/>
    <m/>
    <s v="Hendricks"/>
    <n v="39.772599999999997"/>
    <n v="-86.455299999999994"/>
    <s v="Development"/>
    <m/>
    <s v="No"/>
    <m/>
    <n v="12892.5"/>
    <n v="60164.999999999993"/>
    <n v="12892.5"/>
    <m/>
    <m/>
    <m/>
    <m/>
    <m/>
    <m/>
    <m/>
    <m/>
    <m/>
  </r>
  <r>
    <d v="2020-04-22T00:00:00"/>
    <s v="April"/>
    <n v="2020"/>
    <x v="9"/>
    <n v="-19"/>
    <x v="1"/>
    <n v="8550"/>
    <n v="84"/>
    <x v="1"/>
    <s v="Per"/>
    <n v="16"/>
    <s v="Lennar Homes of Indiana, Inc."/>
    <s v="LRL-2019-740-LCL"/>
    <s v="2019-846-32-ERL-A"/>
    <m/>
    <s v="Hendricks"/>
    <n v="39.772599999999997"/>
    <n v="-86.455299999999994"/>
    <s v="Development"/>
    <m/>
    <s v="No"/>
    <m/>
    <n v="1282.5"/>
    <n v="5985"/>
    <n v="1282.5"/>
    <m/>
    <m/>
    <m/>
    <m/>
    <m/>
    <m/>
    <m/>
    <m/>
    <m/>
  </r>
  <r>
    <d v="2020-04-22T00:00:00"/>
    <s v="April"/>
    <n v="2020"/>
    <x v="9"/>
    <n v="-0.03"/>
    <x v="0"/>
    <n v="2400"/>
    <n v="84"/>
    <x v="1"/>
    <s v="PSS"/>
    <n v="0.01"/>
    <s v="Lennar Homes of Indiana, Inc."/>
    <s v="LRL-2019-740-LCL"/>
    <s v="2019-846-32-ERL-A"/>
    <m/>
    <s v="Hendricks"/>
    <n v="39.772599999999997"/>
    <n v="-86.455299999999994"/>
    <s v="Development"/>
    <s v="LRL-2014-100-sam/Candace Lee Fink Mitigtion Bank"/>
    <s v="Yes"/>
    <d v="2023-12-05T00:00:00"/>
    <n v="360"/>
    <n v="1680"/>
    <n v="360"/>
    <m/>
    <m/>
    <m/>
    <m/>
    <s v="Candace Lee Fink Mitigation Bank"/>
    <m/>
    <m/>
    <m/>
    <s v="Credit fulfilled, purchased from Candace Lee Fink Mitigation Bank"/>
  </r>
  <r>
    <d v="2020-04-22T00:00:00"/>
    <s v="April"/>
    <n v="2020"/>
    <x v="9"/>
    <n v="-0.12"/>
    <x v="0"/>
    <n v="9600"/>
    <n v="84"/>
    <x v="1"/>
    <s v="PFO"/>
    <n v="0.03"/>
    <s v="Lennar Homes of Indiana, Inc."/>
    <s v="LRL-2019-740-LCL"/>
    <s v="2019-846-32-ERL-A"/>
    <m/>
    <s v="Hendricks"/>
    <n v="39.772599999999997"/>
    <n v="-86.455299999999994"/>
    <s v="Development"/>
    <s v="LRL-2014-100-sam/Candace Lee Fink Mitigtion Bank"/>
    <s v="Yes"/>
    <d v="2023-12-05T00:00:00"/>
    <n v="1440"/>
    <n v="6720"/>
    <n v="1440"/>
    <m/>
    <m/>
    <m/>
    <m/>
    <s v="Candace Lee Fink Mitigation Bank"/>
    <m/>
    <m/>
    <m/>
    <s v="Credit fulfilled, purchased from Candace Lee Fink Mitigation Bank"/>
  </r>
  <r>
    <d v="2020-04-28T00:00:00"/>
    <s v="April"/>
    <n v="2020"/>
    <x v="1"/>
    <n v="-0.12"/>
    <x v="0"/>
    <n v="11400"/>
    <n v="97"/>
    <x v="2"/>
    <s v="PFO"/>
    <n v="2.9000000000000001E-2"/>
    <s v="NIPSCO"/>
    <s v="N/A"/>
    <s v="IWGP 2019-837-46-MTM-A"/>
    <m/>
    <s v="LaPorte"/>
    <n v="41.604399999999998"/>
    <n v="-86.719139999999996"/>
    <s v="Energy Production"/>
    <m/>
    <s v="No"/>
    <m/>
    <n v="1710"/>
    <n v="7979.9999999999991"/>
    <n v="1710"/>
    <m/>
    <m/>
    <m/>
    <m/>
    <m/>
    <m/>
    <m/>
    <m/>
    <s v="Originally reported as Calumet-Dunes, but impact was in the Kankakee SA, and has been updated; Class II Forested Wetland"/>
  </r>
  <r>
    <d v="2020-04-28T00:00:00"/>
    <s v="April"/>
    <n v="2020"/>
    <x v="5"/>
    <n v="-493"/>
    <x v="1"/>
    <n v="197200"/>
    <n v="70"/>
    <x v="1"/>
    <s v="Eph"/>
    <n v="384"/>
    <s v="Warrick County Engineer"/>
    <s v="LRL-2018-386-tmb"/>
    <s v="2019-022-87-ADF-A"/>
    <m/>
    <s v="Warrick"/>
    <n v="38.004486"/>
    <n v="-87.404752000000002"/>
    <s v="Transportation"/>
    <m/>
    <s v="No"/>
    <m/>
    <n v="29580"/>
    <n v="138040"/>
    <n v="29580"/>
    <m/>
    <m/>
    <m/>
    <m/>
    <m/>
    <m/>
    <m/>
    <m/>
    <m/>
  </r>
  <r>
    <d v="2020-04-30T00:00:00"/>
    <s v="April"/>
    <n v="2020"/>
    <x v="8"/>
    <n v="-666"/>
    <x v="1"/>
    <n v="266400"/>
    <n v="98"/>
    <x v="1"/>
    <s v="Int"/>
    <n v="555"/>
    <s v="City of Portland Board of Aviation Commissioners"/>
    <s v="LRL-2019-178-jlt"/>
    <s v="2019-126-38-WRH-A"/>
    <m/>
    <s v="Jay"/>
    <n v="40.451700000000002"/>
    <n v="-84.997320000000002"/>
    <s v="Transportation"/>
    <m/>
    <s v="No"/>
    <m/>
    <n v="39960"/>
    <n v="186480"/>
    <n v="39960"/>
    <m/>
    <m/>
    <m/>
    <m/>
    <m/>
    <m/>
    <m/>
    <m/>
    <m/>
  </r>
  <r>
    <d v="2020-05-04T00:00:00"/>
    <s v="May"/>
    <n v="2020"/>
    <x v="0"/>
    <n v="-0.53400000000000003"/>
    <x v="0"/>
    <n v="50730"/>
    <n v="105"/>
    <x v="1"/>
    <s v="PEM"/>
    <n v="0.35599999999999998"/>
    <s v="UniFirst Corporation"/>
    <s v="LRC-2018-890"/>
    <s v="2020-011-45-MTM-A"/>
    <m/>
    <s v="Lake"/>
    <n v="41.382292999999997"/>
    <n v="-87.332835000000003"/>
    <s v="Development"/>
    <m/>
    <s v="No"/>
    <m/>
    <n v="7609.5"/>
    <n v="35511"/>
    <n v="7609.5"/>
    <m/>
    <m/>
    <m/>
    <m/>
    <m/>
    <m/>
    <m/>
    <m/>
    <m/>
  </r>
  <r>
    <d v="2020-05-05T00:00:00"/>
    <s v="May"/>
    <n v="2020"/>
    <x v="9"/>
    <n v="-209"/>
    <x v="1"/>
    <n v="94050"/>
    <n v="63"/>
    <x v="1"/>
    <s v="Int"/>
    <n v="209"/>
    <s v="City of Indianapolis DPW"/>
    <s v="LRL-2019-320-scm"/>
    <s v="2019-222-49-ALF-A"/>
    <m/>
    <s v="Marion "/>
    <n v="39.681193999999998"/>
    <n v="-86.044255000000007"/>
    <s v="Transportation"/>
    <m/>
    <s v="No"/>
    <m/>
    <n v="14107.5"/>
    <n v="65835"/>
    <n v="14107.5"/>
    <m/>
    <m/>
    <m/>
    <m/>
    <m/>
    <m/>
    <m/>
    <m/>
    <s v="Corps RGP - IDEM only required mitigation"/>
  </r>
  <r>
    <d v="2020-05-05T00:00:00"/>
    <s v="May"/>
    <n v="2020"/>
    <x v="9"/>
    <n v="-153"/>
    <x v="1"/>
    <n v="68850"/>
    <n v="104"/>
    <x v="1"/>
    <s v="Eph"/>
    <n v="153"/>
    <s v="Lennar Homes of Indiana, Inc."/>
    <s v="LRL-2019-715-sjk"/>
    <s v="2020-017-29-ALF-A"/>
    <m/>
    <s v="Hamilton"/>
    <n v="39.9602"/>
    <n v="-85.883099999999999"/>
    <s v="Development"/>
    <m/>
    <s v="No"/>
    <m/>
    <n v="10327.5"/>
    <n v="48195"/>
    <n v="10327.5"/>
    <m/>
    <m/>
    <m/>
    <m/>
    <m/>
    <m/>
    <m/>
    <m/>
    <s v="Corps RGP - IDEM only required mitigation"/>
  </r>
  <r>
    <d v="2020-05-05T00:00:00"/>
    <s v="May"/>
    <n v="2020"/>
    <x v="9"/>
    <n v="-1.35"/>
    <x v="0"/>
    <n v="108000"/>
    <n v="99"/>
    <x v="1"/>
    <s v="PFO"/>
    <n v="0.43"/>
    <s v="Hendricks County Engineering Department"/>
    <s v="LRL-2009-336-sam"/>
    <s v="2009-146-32-JPS-A"/>
    <m/>
    <s v="Hendricks"/>
    <n v="39.752732999999999"/>
    <n v="-86.338806000000005"/>
    <s v="Transportation"/>
    <s v="LRL-2014-100-sam/Candace Lee Fink Mitigation Bank, LRL-2020-989-sam/HC Farms"/>
    <s v="Yes"/>
    <s v="12/5/2023, 9/3/2024"/>
    <n v="16200"/>
    <n v="75600"/>
    <n v="16200"/>
    <m/>
    <m/>
    <m/>
    <m/>
    <m/>
    <m/>
    <m/>
    <m/>
    <s v="0.716 fulfilled from Candace Lee Fink Mitigation Bank purchase and 0.634 fulfilled from 2nd HC Farms credit release"/>
  </r>
  <r>
    <d v="2020-05-08T00:00:00"/>
    <s v=" May "/>
    <n v="2020"/>
    <x v="5"/>
    <n v="-0.94"/>
    <x v="0"/>
    <n v="75200"/>
    <n v="108"/>
    <x v="1"/>
    <s v="PEM"/>
    <n v="0.39"/>
    <s v="Duke Energy, LLC."/>
    <s v="LRL-2020-152-JMG"/>
    <s v="2020-102-26-TMS-A"/>
    <m/>
    <s v="Gibson"/>
    <n v="38.372483000000003"/>
    <n v="-87.747861999999998"/>
    <s v="Energy Production"/>
    <m/>
    <s v="No"/>
    <m/>
    <n v="11280"/>
    <n v="52640"/>
    <n v="11280"/>
    <m/>
    <m/>
    <m/>
    <m/>
    <m/>
    <m/>
    <m/>
    <m/>
    <m/>
  </r>
  <r>
    <d v="2020-06-01T00:00:00"/>
    <s v="June"/>
    <n v="2020"/>
    <x v="5"/>
    <n v="-0.14799999999999999"/>
    <x v="0"/>
    <n v="11840"/>
    <n v="103"/>
    <x v="2"/>
    <s v="PEM"/>
    <n v="0.14799999999999999"/>
    <s v="Vanderburgh County Commissioners"/>
    <s v="N/A"/>
    <s v="IWGP 2020-172-82-TMS-A"/>
    <m/>
    <s v="Vanderburgh"/>
    <n v="38.063870000000001"/>
    <n v="-87.49342"/>
    <s v="Transportation"/>
    <m/>
    <s v="No"/>
    <m/>
    <n v="1776"/>
    <n v="8288"/>
    <n v="1776"/>
    <m/>
    <m/>
    <m/>
    <m/>
    <m/>
    <m/>
    <m/>
    <m/>
    <s v="Related jurisdictional impacts minimal and approved via RGP, no jurisdictional mitigation for this project."/>
  </r>
  <r>
    <d v="2020-06-09T00:00:00"/>
    <s v="June"/>
    <n v="2020"/>
    <x v="7"/>
    <n v="-1.08"/>
    <x v="0"/>
    <n v="86400"/>
    <n v="116"/>
    <x v="1"/>
    <s v="PEM"/>
    <n v="0.443"/>
    <s v="DDM, LLC."/>
    <s v="LRL-2019-184-cat"/>
    <s v="2019-147-10-TMS-A"/>
    <m/>
    <s v="Clark"/>
    <n v="38.325339999999997"/>
    <n v="-84.688649999999996"/>
    <s v="Development"/>
    <s v="LRL-2014-100-sam/Fourteeen Mile Creek Mitigation Bank"/>
    <s v="Yes"/>
    <d v="2024-01-22T00:00:00"/>
    <n v="12960"/>
    <n v="60479.999999999993"/>
    <n v="12960"/>
    <m/>
    <m/>
    <m/>
    <m/>
    <s v="Fourteen Mile Creek Mitigation Bank"/>
    <m/>
    <m/>
    <m/>
    <s v="Credit fulfilled, purchased from Fourteen Mile Creek Mitigation Bank.  "/>
  </r>
  <r>
    <d v="2020-06-09T00:00:00"/>
    <s v="June"/>
    <n v="2020"/>
    <x v="9"/>
    <n v="-1.1000000000000001"/>
    <x v="0"/>
    <n v="88000"/>
    <n v="100"/>
    <x v="1"/>
    <s v="PEM"/>
    <n v="0.46"/>
    <s v="Westport Homes"/>
    <s v="LRL-2019-865-sjk"/>
    <s v="2019-903-49-ALF-A"/>
    <m/>
    <s v="Marion "/>
    <n v="39.659300000000002"/>
    <n v="-86.305099999999996"/>
    <s v="Development"/>
    <s v="Mod 1 - LRL-2020-989-sam"/>
    <s v="Yes"/>
    <d v="2024-09-03T00:00:00"/>
    <n v="13200"/>
    <n v="61599.999999999993"/>
    <n v="13200"/>
    <m/>
    <m/>
    <m/>
    <m/>
    <m/>
    <m/>
    <m/>
    <m/>
    <s v="Credits fulfilled and released - HC Farms second release."/>
  </r>
  <r>
    <d v="2020-06-09T00:00:00"/>
    <s v="June"/>
    <n v="2020"/>
    <x v="9"/>
    <n v="-0.4"/>
    <x v="0"/>
    <n v="32000"/>
    <n v="100"/>
    <x v="1"/>
    <s v="PSS"/>
    <n v="0.11"/>
    <s v="Westport Homes"/>
    <s v="LRL-2019-865-sjk"/>
    <s v="2019-903-49-ALF-A"/>
    <m/>
    <s v="Marion "/>
    <n v="39.659300000000002"/>
    <n v="-86.305099999999996"/>
    <s v="Development"/>
    <s v="Mod 1 - LRL-2020-989-sam/ LRL-2021-552-sam"/>
    <s v="Yes"/>
    <d v="2025-02-06T00:00:00"/>
    <n v="4800"/>
    <n v="22400"/>
    <n v="4800"/>
    <m/>
    <m/>
    <m/>
    <m/>
    <s v="HC Farms Release #2/ Fall Creek Woods Release #1"/>
    <m/>
    <m/>
    <m/>
    <s v="0.316/0.4 credits fulfilled by HC Farms second release. 0.084 credits fulfilled by Fall Creek Woods release #1."/>
  </r>
  <r>
    <d v="2020-06-17T00:00:00"/>
    <s v="June"/>
    <n v="2020"/>
    <x v="0"/>
    <n v="-0.15"/>
    <x v="0"/>
    <n v="14250"/>
    <n v="110"/>
    <x v="1"/>
    <s v="PEM"/>
    <n v="0.1"/>
    <s v="NIPSCO"/>
    <s v="LRC-2015-763"/>
    <s v="2020-196-45-MTM-X"/>
    <m/>
    <s v="Lake"/>
    <n v="41.56006"/>
    <n v="-87.464039999999997"/>
    <s v="Energy Production"/>
    <m/>
    <s v="No"/>
    <m/>
    <n v="2137.5"/>
    <n v="9975"/>
    <n v="2137.5"/>
    <m/>
    <m/>
    <m/>
    <m/>
    <m/>
    <m/>
    <m/>
    <m/>
    <m/>
  </r>
  <r>
    <d v="2020-06-17T00:00:00"/>
    <s v="June"/>
    <n v="2020"/>
    <x v="0"/>
    <n v="-0.3"/>
    <x v="0"/>
    <n v="28500"/>
    <n v="107"/>
    <x v="2"/>
    <s v="PEM"/>
    <n v="0.3"/>
    <s v="Spectacle Gary, LLC"/>
    <s v="N/A"/>
    <s v="2020-159-45-MTM-A"/>
    <m/>
    <s v="Lake"/>
    <n v="41.566719999999997"/>
    <n v="-87.404290000000003"/>
    <s v="Development"/>
    <m/>
    <s v="No"/>
    <m/>
    <n v="4275"/>
    <n v="19950"/>
    <n v="4275"/>
    <m/>
    <m/>
    <m/>
    <m/>
    <m/>
    <m/>
    <m/>
    <m/>
    <m/>
  </r>
  <r>
    <d v="2020-06-22T00:00:00"/>
    <s v="June"/>
    <n v="2020"/>
    <x v="0"/>
    <n v="-5.2630000000000003E-2"/>
    <x v="0"/>
    <n v="4999.8599999999997"/>
    <n v="123"/>
    <x v="1"/>
    <s v="PEM"/>
    <n v="0"/>
    <s v="James Lanigan"/>
    <s v="LRC-2020-467"/>
    <s v="2020-424-64-MTM-X"/>
    <m/>
    <s v="Porter"/>
    <n v="41.458440000000003"/>
    <n v="-87.145560000000003"/>
    <s v="Development"/>
    <m/>
    <s v="No"/>
    <m/>
    <n v="749.97899999999993"/>
    <n v="3499.9019999999996"/>
    <n v="749.97899999999993"/>
    <m/>
    <m/>
    <m/>
    <m/>
    <m/>
    <m/>
    <m/>
    <m/>
    <s v="*885 linear feet of seawall impacts to open water.  "/>
  </r>
  <r>
    <d v="2020-06-24T00:00:00"/>
    <s v="June"/>
    <n v="2020"/>
    <x v="7"/>
    <n v="-7.0000000000000007E-2"/>
    <x v="0"/>
    <n v="5600"/>
    <n v="124"/>
    <x v="1"/>
    <s v="PEM"/>
    <n v="3.5000000000000003E-2"/>
    <s v="Dearborn County Board of Commissioners"/>
    <s v="LRL-2020-228-cat"/>
    <s v="2020-307-15-TMS"/>
    <m/>
    <s v="Dearborn"/>
    <n v="39.019474000000002"/>
    <n v="-84.929779999999994"/>
    <s v="Transportation"/>
    <s v="LRL-2014-100-sam/Fourteeen Mile Creek Mitigation Bank"/>
    <s v="Yes"/>
    <d v="2024-01-22T00:00:00"/>
    <n v="840"/>
    <n v="3919.9999999999995"/>
    <n v="840"/>
    <m/>
    <m/>
    <m/>
    <m/>
    <s v="Fourteen Mile Creek Mitigation Bank"/>
    <m/>
    <m/>
    <m/>
    <s v="Credit fulfilled, purchased from Fourteen Mile Creek Mitigation Bank.  "/>
  </r>
  <r>
    <d v="2020-06-24T00:00:00"/>
    <s v="June"/>
    <n v="2020"/>
    <x v="7"/>
    <n v="-0.74399999999999999"/>
    <x v="0"/>
    <n v="59520"/>
    <n v="124"/>
    <x v="1"/>
    <s v="PFO"/>
    <n v="0.186"/>
    <s v="Dearborn County Board of Commissioners"/>
    <s v="LRL-2020-228-cat"/>
    <s v="2020-307-15-TMS"/>
    <m/>
    <s v="Dearborn"/>
    <n v="39.019474000000002"/>
    <n v="-84.929779999999994"/>
    <s v="Transportation"/>
    <s v="LRL-2014-100-sam/Fourteeen Mile Creek Mitigation Bank"/>
    <s v="Yes"/>
    <d v="2024-01-22T00:00:00"/>
    <n v="8928"/>
    <n v="41664"/>
    <n v="8928"/>
    <m/>
    <m/>
    <m/>
    <m/>
    <s v="Fourteen Mile Creek Mitigation Bank"/>
    <m/>
    <m/>
    <m/>
    <s v="Credit fulfilled, purchased from Fourteen Mile Creek Mitigation Bank.  "/>
  </r>
  <r>
    <d v="2020-06-26T00:00:00"/>
    <s v="June"/>
    <n v="2020"/>
    <x v="3"/>
    <n v="-0.28000000000000003"/>
    <x v="0"/>
    <n v="22400"/>
    <n v="114"/>
    <x v="1"/>
    <s v="PSS"/>
    <n v="0.14000000000000001"/>
    <s v="Dominion Group"/>
    <s v="LRE-2016-00710-102-R20"/>
    <s v="2017-321-02-HAP-A"/>
    <m/>
    <s v="Allen"/>
    <n v="41.183199999999999"/>
    <n v="-85.092799999999997"/>
    <s v="Development"/>
    <s v="LRL-2014-100-sam/Openings Mitigation Bank "/>
    <s v="Yes"/>
    <d v="2024-01-15T00:00:00"/>
    <n v="3360"/>
    <n v="15679.999999999998"/>
    <n v="3360"/>
    <m/>
    <m/>
    <m/>
    <m/>
    <s v="Openings Mitigation Bank"/>
    <m/>
    <m/>
    <m/>
    <s v="Credit fulfilled, purchased from Openings Mitigation Bank"/>
  </r>
  <r>
    <d v="2020-06-26T00:00:00"/>
    <s v="June"/>
    <n v="2020"/>
    <x v="8"/>
    <n v="-114"/>
    <x v="1"/>
    <n v="45600"/>
    <n v="115"/>
    <x v="1"/>
    <s v="Per"/>
    <n v="52"/>
    <s v="City of Wabash"/>
    <s v="LRL-2012-686-sjk"/>
    <s v="2018-909-85-JWR-A"/>
    <m/>
    <s v="Wabash"/>
    <n v="40.836100000000002"/>
    <n v="-85.805700000000002"/>
    <s v="Transportation"/>
    <m/>
    <s v="No"/>
    <m/>
    <n v="6840"/>
    <n v="31919.999999999996"/>
    <n v="6840"/>
    <m/>
    <m/>
    <m/>
    <m/>
    <m/>
    <m/>
    <m/>
    <m/>
    <s v="Corps determined stream impacts perennial - IDEM recorded stream impacts intermittent (IN SWMP recorded per 404 impact/credit table)"/>
  </r>
  <r>
    <d v="2020-06-26T00:00:00"/>
    <s v="June"/>
    <n v="2020"/>
    <x v="8"/>
    <n v="-0.4"/>
    <x v="0"/>
    <n v="32000"/>
    <n v="115"/>
    <x v="1"/>
    <s v="PEM"/>
    <n v="0.18"/>
    <s v="City of Wabash"/>
    <s v="LRL-2012-686-sjk"/>
    <s v="2018-909-85-JWR-A"/>
    <m/>
    <s v="Wabash"/>
    <n v="40.836100000000002"/>
    <n v="-85.805700000000002"/>
    <s v="Transportation"/>
    <m/>
    <s v="No"/>
    <m/>
    <n v="4800"/>
    <n v="22400"/>
    <n v="4800"/>
    <m/>
    <m/>
    <m/>
    <m/>
    <m/>
    <m/>
    <m/>
    <m/>
    <m/>
  </r>
  <r>
    <d v="2020-07-09T00:00:00"/>
    <s v="July"/>
    <n v="2020"/>
    <x v="6"/>
    <n v="-850"/>
    <x v="1"/>
    <n v="510000"/>
    <n v="129"/>
    <x v="1"/>
    <s v="Int"/>
    <n v="850"/>
    <s v="Elvie Frey Investments, LLC"/>
    <s v="LRE-2018-1302-144-U18"/>
    <s v="2019-509-44-JWR-V"/>
    <m/>
    <s v="LaGrange"/>
    <n v="41.652929999999998"/>
    <n v="-85.610738999999995"/>
    <s v="Development"/>
    <m/>
    <s v="No"/>
    <m/>
    <n v="76500"/>
    <n v="357000"/>
    <n v="76500"/>
    <m/>
    <m/>
    <m/>
    <m/>
    <m/>
    <m/>
    <m/>
    <m/>
    <s v="Corps did not specifically require mitigation, but special condition requires to meet conditions of 401 WQC"/>
  </r>
  <r>
    <d v="2020-07-16T00:00:00"/>
    <s v="July"/>
    <n v="2020"/>
    <x v="10"/>
    <n v="-0.87"/>
    <x v="0"/>
    <n v="69600"/>
    <n v="117"/>
    <x v="1"/>
    <s v="PFO"/>
    <n v="0.2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10440"/>
    <n v="48720"/>
    <n v="10440"/>
    <m/>
    <m/>
    <m/>
    <m/>
    <m/>
    <m/>
    <m/>
    <m/>
    <s v="*Note: Reported 401 as PFO vs. PSS, per verification JLT.  "/>
  </r>
  <r>
    <d v="2020-07-16T00:00:00"/>
    <s v="July"/>
    <n v="2020"/>
    <x v="10"/>
    <n v="-0.19"/>
    <x v="0"/>
    <n v="15200"/>
    <n v="117"/>
    <x v="1"/>
    <s v="PEM"/>
    <n v="0.19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2280"/>
    <n v="10640"/>
    <n v="2280"/>
    <m/>
    <m/>
    <m/>
    <m/>
    <m/>
    <m/>
    <m/>
    <m/>
    <s v="*Note: USACE required 0.23 PEM, IDEM's increased PFO offset "/>
  </r>
  <r>
    <d v="2020-07-16T00:00:00"/>
    <s v="July"/>
    <n v="2020"/>
    <x v="10"/>
    <n v="-81"/>
    <x v="1"/>
    <n v="32400"/>
    <n v="117"/>
    <x v="1"/>
    <s v="Eph"/>
    <n v="81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4860"/>
    <n v="22680"/>
    <n v="4860"/>
    <m/>
    <m/>
    <m/>
    <m/>
    <m/>
    <m/>
    <m/>
    <m/>
    <m/>
  </r>
  <r>
    <d v="2020-07-16T00:00:00"/>
    <s v="July"/>
    <n v="2020"/>
    <x v="10"/>
    <n v="-21"/>
    <x v="1"/>
    <n v="8400"/>
    <n v="117"/>
    <x v="1"/>
    <s v="Per"/>
    <n v="21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1260"/>
    <n v="5880"/>
    <n v="1260"/>
    <m/>
    <m/>
    <m/>
    <m/>
    <m/>
    <m/>
    <m/>
    <m/>
    <m/>
  </r>
  <r>
    <d v="2020-07-16T00:00:00"/>
    <s v="July"/>
    <n v="2020"/>
    <x v="10"/>
    <n v="-0.05"/>
    <x v="0"/>
    <n v="4000"/>
    <n v="117"/>
    <x v="2"/>
    <s v="PEM"/>
    <n v="0.05"/>
    <s v="Louisville and Indiana Railroad Co."/>
    <s v="N/A"/>
    <s v="IWGP 2020-114-41-JBT-A"/>
    <m/>
    <s v="Johnson"/>
    <n v="39.403750000000002"/>
    <n v="-85.987942000000004"/>
    <s v="Transportation"/>
    <m/>
    <s v="No"/>
    <m/>
    <n v="600"/>
    <n v="2800"/>
    <n v="600"/>
    <m/>
    <m/>
    <m/>
    <m/>
    <m/>
    <m/>
    <m/>
    <m/>
    <m/>
  </r>
  <r>
    <d v="2020-07-20T00:00:00"/>
    <s v="July"/>
    <n v="2020"/>
    <x v="0"/>
    <n v="-1.41"/>
    <x v="0"/>
    <n v="133950"/>
    <n v="130"/>
    <x v="2"/>
    <s v="PEM"/>
    <n v="1.28"/>
    <s v="Lennar Corporation"/>
    <s v="N/A"/>
    <s v="IWGP-2020-515-45-MTM-A"/>
    <m/>
    <s v="Lake"/>
    <n v="41.417644000000003"/>
    <n v="-87.30932"/>
    <s v="Development"/>
    <m/>
    <s v="No"/>
    <m/>
    <n v="20092.5"/>
    <n v="93765"/>
    <n v="20092.5"/>
    <m/>
    <m/>
    <m/>
    <m/>
    <m/>
    <m/>
    <m/>
    <m/>
    <m/>
  </r>
  <r>
    <d v="2020-07-21T00:00:00"/>
    <s v="July"/>
    <n v="2020"/>
    <x v="9"/>
    <n v="-2.5"/>
    <x v="0"/>
    <n v="200000"/>
    <n v="132"/>
    <x v="2"/>
    <s v="PEM"/>
    <n v="2.5"/>
    <s v="Indy Clean Fill South"/>
    <s v="N/A"/>
    <s v="IWGP 2020-538-49-JWR-A"/>
    <m/>
    <s v="Marion "/>
    <n v="39.73695"/>
    <n v="-86.202079999999995"/>
    <s v="Development"/>
    <s v="LRL-2021-552-sam"/>
    <s v="Yes"/>
    <d v="2025-02-06T00:00:00"/>
    <n v="30000"/>
    <n v="140000"/>
    <n v="30000"/>
    <m/>
    <m/>
    <m/>
    <m/>
    <s v="Fall Creek Woods Release #1"/>
    <m/>
    <m/>
    <m/>
    <s v="Class I Non-Forested (PEM) wetland impacts. Credits fulfilled by Fall Creek Woods release #1"/>
  </r>
  <r>
    <d v="2020-07-22T00:00:00"/>
    <s v="July"/>
    <n v="2020"/>
    <x v="9"/>
    <n v="-12"/>
    <x v="1"/>
    <n v="5400"/>
    <n v="133"/>
    <x v="1"/>
    <s v="Per"/>
    <n v="10"/>
    <s v="City of Carmel"/>
    <s v="LRL-2020-194-sjk"/>
    <s v="2020-448-29-ALF-X"/>
    <m/>
    <s v="Hamilton"/>
    <n v="39.957799999999999"/>
    <n v="-86.090299999999999"/>
    <s v="Development"/>
    <m/>
    <s v="No"/>
    <m/>
    <n v="810"/>
    <n v="3779.9999999999995"/>
    <n v="810"/>
    <m/>
    <m/>
    <m/>
    <m/>
    <m/>
    <m/>
    <m/>
    <m/>
    <m/>
  </r>
  <r>
    <d v="2020-08-04T00:00:00"/>
    <s v="August"/>
    <n v="2020"/>
    <x v="2"/>
    <n v="-8.2000000000000003E-2"/>
    <x v="0"/>
    <n v="6560"/>
    <n v="95"/>
    <x v="1"/>
    <s v="PEM"/>
    <n v="4.1000000000000002E-2"/>
    <s v="Hoosier Energy"/>
    <s v="LRL-2019-710"/>
    <s v="2019-508-63-TMS-A"/>
    <m/>
    <s v="Pike"/>
    <n v="38.520000000000003"/>
    <n v="-87.267200000000003"/>
    <s v="Energy Production"/>
    <m/>
    <s v="No"/>
    <m/>
    <n v="984"/>
    <n v="4592"/>
    <n v="984"/>
    <m/>
    <m/>
    <m/>
    <m/>
    <m/>
    <m/>
    <m/>
    <m/>
    <m/>
  </r>
  <r>
    <d v="2020-08-04T00:00:00"/>
    <s v="August"/>
    <n v="2020"/>
    <x v="2"/>
    <n v="-0.22"/>
    <x v="0"/>
    <n v="17600"/>
    <n v="95"/>
    <x v="1"/>
    <s v="PFO"/>
    <n v="5.5E-2"/>
    <s v="Hoosier Energy"/>
    <s v="LRL-2019-710"/>
    <s v="2019-508-63-TMS-A"/>
    <m/>
    <s v="Pike"/>
    <n v="38.520000000000003"/>
    <n v="-87.267200000000003"/>
    <s v="Energy Production"/>
    <m/>
    <s v="No"/>
    <m/>
    <n v="2640"/>
    <n v="12320"/>
    <n v="2640"/>
    <m/>
    <m/>
    <m/>
    <m/>
    <m/>
    <m/>
    <m/>
    <m/>
    <m/>
  </r>
  <r>
    <d v="2020-08-04T00:00:00"/>
    <s v="August"/>
    <n v="2020"/>
    <x v="4"/>
    <n v="-82"/>
    <x v="1"/>
    <n v="32800"/>
    <n v="134"/>
    <x v="1"/>
    <s v="Per"/>
    <n v="146"/>
    <s v="DePauw University"/>
    <s v="LRL-2019-845-lcl"/>
    <s v="2020-430-67-ERL-A"/>
    <m/>
    <s v="Putnam"/>
    <n v="39.637700000000002"/>
    <n v="-86.870199999999997"/>
    <s v="Development"/>
    <m/>
    <s v="No"/>
    <m/>
    <n v="4920"/>
    <n v="22960"/>
    <n v="4920"/>
    <m/>
    <m/>
    <m/>
    <m/>
    <m/>
    <m/>
    <m/>
    <m/>
    <m/>
  </r>
  <r>
    <d v="2020-08-04T00:00:00"/>
    <s v="August"/>
    <n v="2020"/>
    <x v="9"/>
    <n v="-0.57999999999999996"/>
    <x v="0"/>
    <n v="4640"/>
    <n v="127"/>
    <x v="2"/>
    <s v="PFO"/>
    <n v="2.3E-2"/>
    <s v="C&amp;H Capital LLC"/>
    <s v="N/A"/>
    <s v="IWGP 2020-447-29-ALF-A"/>
    <m/>
    <s v="Hamilton"/>
    <n v="39.972499999999997"/>
    <n v="-85.962699999999998"/>
    <s v="Development"/>
    <s v="LRL-2021-552-sam"/>
    <s v="Yes"/>
    <s v="2/6/2025, 5/9/2025"/>
    <n v="696"/>
    <n v="3248"/>
    <n v="696"/>
    <m/>
    <m/>
    <m/>
    <m/>
    <s v="Fall Creek Woods Release #1/Fall Creek Woods Release #2"/>
    <m/>
    <m/>
    <m/>
    <s v="Class II Forested Wetland impacts. 0.466/0.58 credits fulfilled by Fall Creek Woods release #1. Remaining 0.114 credits fulfilled by Fall Creek Woods release #2."/>
  </r>
  <r>
    <d v="2020-08-04T00:00:00"/>
    <s v="August"/>
    <n v="2020"/>
    <x v="9"/>
    <n v="-597"/>
    <x v="1"/>
    <n v="268650"/>
    <n v="139"/>
    <x v="1"/>
    <s v="Eph"/>
    <n v="497"/>
    <s v="Hendricks County (Jail)"/>
    <s v="LRL-2020-453-sjk"/>
    <s v="2020-429-32-ERL-A"/>
    <m/>
    <s v="Hendricks"/>
    <n v="39.758299999999998"/>
    <n v="-86.501000000000005"/>
    <s v="Development"/>
    <m/>
    <s v="No"/>
    <m/>
    <n v="40297.5"/>
    <n v="188055"/>
    <n v="40297.5"/>
    <m/>
    <m/>
    <m/>
    <m/>
    <m/>
    <m/>
    <m/>
    <m/>
    <m/>
  </r>
  <r>
    <d v="2020-08-04T00:00:00"/>
    <s v="August"/>
    <n v="2020"/>
    <x v="9"/>
    <n v="-0.05"/>
    <x v="0"/>
    <n v="4000"/>
    <n v="139"/>
    <x v="1"/>
    <s v="PEM"/>
    <n v="0.02"/>
    <s v="Hendricks County (Jail)"/>
    <s v="LRL-2020-453-sjk"/>
    <s v="2020-429-32-ERL-A"/>
    <m/>
    <s v="Hendricks"/>
    <n v="39.758299999999998"/>
    <n v="-86.501000000000005"/>
    <s v="Development"/>
    <s v="LRL-2021-552-sam"/>
    <s v="Yes"/>
    <d v="2025-05-09T00:00:00"/>
    <n v="600"/>
    <n v="2800"/>
    <n v="600"/>
    <m/>
    <m/>
    <m/>
    <m/>
    <s v="Fall Creek Woods Release #2"/>
    <m/>
    <m/>
    <m/>
    <s v="Credits fulfilled by Fall Creek Woods Release #2"/>
  </r>
  <r>
    <d v="2020-08-04T00:00:00"/>
    <s v="August"/>
    <n v="2020"/>
    <x v="9"/>
    <n v="-1.3"/>
    <x v="0"/>
    <n v="104000"/>
    <n v="139"/>
    <x v="1"/>
    <s v="PFO"/>
    <n v="0.27"/>
    <s v="Hendricks County (Jail)"/>
    <s v="LRL-2020-453-sjk"/>
    <s v="2020-429-32-ERL-A"/>
    <m/>
    <s v="Hendricks"/>
    <n v="39.758299999999998"/>
    <n v="-86.501000000000005"/>
    <s v="Development"/>
    <s v="LRL-2021-552-sam"/>
    <s v="Yes"/>
    <d v="2025-05-09T00:00:00"/>
    <n v="15600"/>
    <n v="72800"/>
    <n v="15600"/>
    <m/>
    <m/>
    <m/>
    <m/>
    <s v="Fall Creek Woods Release #2"/>
    <m/>
    <m/>
    <m/>
    <s v="Credits fulfilled by Fall Creek Woods Release #2"/>
  </r>
  <r>
    <d v="2020-08-04T00:00:00"/>
    <s v="August"/>
    <n v="2020"/>
    <x v="10"/>
    <n v="-4.49"/>
    <x v="0"/>
    <n v="359200"/>
    <n v="135"/>
    <x v="1"/>
    <s v="PEM"/>
    <n v="1.87"/>
    <s v="Prologis"/>
    <s v="LRL-2020-00683-SAM"/>
    <s v="2019-904-30-ALF-A"/>
    <m/>
    <s v="Hancock"/>
    <n v="39.824100000000001"/>
    <n v="-85.882199999999997"/>
    <s v="Development"/>
    <m/>
    <s v="No"/>
    <m/>
    <n v="53880"/>
    <n v="251439.99999999997"/>
    <n v="53880"/>
    <m/>
    <m/>
    <m/>
    <m/>
    <m/>
    <m/>
    <m/>
    <m/>
    <m/>
  </r>
  <r>
    <d v="2020-08-11T00:00:00"/>
    <s v="August"/>
    <n v="2020"/>
    <x v="0"/>
    <n v="-0.628"/>
    <x v="0"/>
    <n v="59660"/>
    <n v="79"/>
    <x v="1"/>
    <s v="PEM"/>
    <n v="0.32700000000000001"/>
    <s v="Lake County Board of Commissioners"/>
    <s v="LRC-2019-729"/>
    <s v="2019-619-45-MTM-A"/>
    <m/>
    <s v="Lake"/>
    <n v="41.537149999999997"/>
    <n v="-87.380949999999999"/>
    <s v="Transportation"/>
    <m/>
    <s v="No"/>
    <m/>
    <n v="8949"/>
    <n v="41762"/>
    <n v="8949"/>
    <m/>
    <m/>
    <m/>
    <m/>
    <m/>
    <m/>
    <m/>
    <m/>
    <m/>
  </r>
  <r>
    <d v="2020-08-11T00:00:00"/>
    <s v="August"/>
    <n v="2020"/>
    <x v="9"/>
    <n v="-0.17"/>
    <x v="0"/>
    <n v="13600"/>
    <n v="138"/>
    <x v="2"/>
    <s v="PEM"/>
    <n v="0.1"/>
    <s v="Raindrop, LLC"/>
    <s v="N/A"/>
    <s v="IWGP 2020-498-32-ERL-A"/>
    <m/>
    <s v="Hendricks"/>
    <n v="39.623699999999999"/>
    <n v="-86.472399999999993"/>
    <s v="Development"/>
    <s v="LRL-2021-552-sam"/>
    <s v="Yes"/>
    <d v="2025-05-09T00:00:00"/>
    <n v="2040"/>
    <n v="9520"/>
    <n v="2040"/>
    <m/>
    <m/>
    <m/>
    <m/>
    <s v="Fall Creek Woods Release #2"/>
    <m/>
    <m/>
    <m/>
    <s v="0.03 Class I NF (PEM) impact; 0.07 Class II NF (PEM) impact - require 0.17 credit. Credits fulfilled by Fall Creek Woods Release #2."/>
  </r>
  <r>
    <d v="2020-08-11T00:00:00"/>
    <s v="August"/>
    <n v="2020"/>
    <x v="9"/>
    <n v="-0.2"/>
    <x v="0"/>
    <n v="16000"/>
    <n v="138"/>
    <x v="2"/>
    <s v="PSS"/>
    <n v="0.08"/>
    <s v="Raindrop, LLC"/>
    <s v="N/A"/>
    <s v="IWGP 2020-498-32-ERL-A"/>
    <m/>
    <s v="Hendricks"/>
    <n v="39.623699999999999"/>
    <n v="-86.472399999999993"/>
    <s v="Development"/>
    <s v="LRL-2021-552-sam"/>
    <s v="Yes"/>
    <d v="2025-05-09T00:00:00"/>
    <n v="2400"/>
    <n v="11200"/>
    <n v="2400"/>
    <m/>
    <m/>
    <m/>
    <m/>
    <s v="Fall Creek Woods Release #2"/>
    <m/>
    <m/>
    <m/>
    <s v="0.08 Class II NF (PSS) impact - require 0.2 credit.  Credits fulfilled by Fall Creek Woods Release #2."/>
  </r>
  <r>
    <d v="2020-08-19T00:00:00"/>
    <s v="August"/>
    <n v="2020"/>
    <x v="0"/>
    <n v="-1.3"/>
    <x v="0"/>
    <n v="123500"/>
    <n v="143"/>
    <x v="1"/>
    <s v="PEM"/>
    <n v="0.72"/>
    <s v="Tonn and Blank Construction"/>
    <s v="LRC-2019-872"/>
    <s v="2020-269-45-MTM-A"/>
    <m/>
    <s v="Lake"/>
    <n v="41.38194"/>
    <n v="-87.318830000000005"/>
    <s v="Transportation"/>
    <m/>
    <s v="No"/>
    <m/>
    <n v="18525"/>
    <n v="86450"/>
    <n v="18525"/>
    <m/>
    <m/>
    <m/>
    <m/>
    <m/>
    <m/>
    <m/>
    <m/>
    <m/>
  </r>
  <r>
    <d v="2020-08-19T00:00:00"/>
    <s v="August"/>
    <n v="2020"/>
    <x v="0"/>
    <n v="-0.43"/>
    <x v="0"/>
    <n v="40850"/>
    <n v="143"/>
    <x v="1"/>
    <s v="PFO"/>
    <n v="0.24"/>
    <s v="Tonn and Blank Construction"/>
    <s v="LRC-2019-872"/>
    <s v="2020-269-45-MTM-A"/>
    <m/>
    <s v="Lake"/>
    <n v="41.38194"/>
    <n v="-87.318830000000005"/>
    <s v="Transportation"/>
    <m/>
    <s v="No"/>
    <m/>
    <n v="6127.5"/>
    <n v="28595"/>
    <n v="6127.5"/>
    <m/>
    <m/>
    <m/>
    <m/>
    <m/>
    <m/>
    <m/>
    <m/>
    <m/>
  </r>
  <r>
    <d v="2020-08-20T00:00:00"/>
    <s v="August"/>
    <n v="2020"/>
    <x v="5"/>
    <n v="-297"/>
    <x v="1"/>
    <n v="118800"/>
    <n v="122"/>
    <x v="1"/>
    <s v="Int"/>
    <n v="235"/>
    <s v="SIGECO dba Vectren Power Supply"/>
    <s v="LRL-2016-408-jmb"/>
    <s v="2016-259-65-JWR-A"/>
    <m/>
    <s v="Posey"/>
    <n v="37.90119"/>
    <n v="-87.712779999999995"/>
    <s v="Energy Production"/>
    <m/>
    <s v="No"/>
    <m/>
    <n v="17820"/>
    <n v="83160"/>
    <n v="17820"/>
    <m/>
    <m/>
    <m/>
    <m/>
    <m/>
    <m/>
    <m/>
    <m/>
    <m/>
  </r>
  <r>
    <d v="2020-08-20T00:00:00"/>
    <s v="August"/>
    <n v="2020"/>
    <x v="10"/>
    <n v="-132.5"/>
    <x v="1"/>
    <n v="53000"/>
    <n v="96"/>
    <x v="1"/>
    <s v="Eph"/>
    <n v="642.5"/>
    <s v="INDOT "/>
    <s v="LRL-2019-670-scm"/>
    <s v="2019-488-72-JBT-A"/>
    <m/>
    <s v="Scott"/>
    <n v="38.737000000000002"/>
    <n v="-85.711100000000002"/>
    <s v="Transportation"/>
    <m/>
    <s v="No"/>
    <m/>
    <n v="7950"/>
    <n v="37100"/>
    <n v="7950"/>
    <m/>
    <m/>
    <m/>
    <m/>
    <m/>
    <m/>
    <m/>
    <m/>
    <s v="Corps RGP - IDEM only required mitigation"/>
  </r>
  <r>
    <d v="2020-08-20T00:00:00"/>
    <s v="August"/>
    <n v="2020"/>
    <x v="10"/>
    <n v="-6"/>
    <x v="1"/>
    <n v="2400"/>
    <n v="96"/>
    <x v="1"/>
    <s v="Int"/>
    <n v="92"/>
    <s v="INDOT "/>
    <s v="LRL-2019-670-scm"/>
    <s v="2019-488-72-JBT-A"/>
    <m/>
    <s v="Scott"/>
    <n v="38.737000000000002"/>
    <n v="-85.711100000000002"/>
    <s v="Transportation"/>
    <m/>
    <s v="No"/>
    <m/>
    <n v="360"/>
    <n v="1680"/>
    <n v="360"/>
    <m/>
    <m/>
    <m/>
    <m/>
    <m/>
    <m/>
    <m/>
    <m/>
    <s v="Corps RGP - IDEM only required mitigation"/>
  </r>
  <r>
    <d v="2020-08-20T00:00:00"/>
    <s v="August"/>
    <n v="2020"/>
    <x v="10"/>
    <n v="-3.9E-2"/>
    <x v="0"/>
    <n v="3120"/>
    <n v="96"/>
    <x v="1"/>
    <s v="PEM"/>
    <n v="1.9699999999999999E-2"/>
    <s v="INDOT "/>
    <s v="LRL-2019-670-scm"/>
    <s v="2019-488-72-JBT-A"/>
    <m/>
    <s v="Scott"/>
    <n v="38.737000000000002"/>
    <n v="-85.711100000000002"/>
    <s v="Transportation"/>
    <m/>
    <s v="No"/>
    <m/>
    <n v="468"/>
    <n v="2184"/>
    <n v="468"/>
    <m/>
    <m/>
    <m/>
    <m/>
    <m/>
    <m/>
    <m/>
    <m/>
    <s v="Corps RGP - IDEM only required mitigation"/>
  </r>
  <r>
    <d v="2020-08-20T00:00:00"/>
    <s v="August"/>
    <n v="2020"/>
    <x v="10"/>
    <n v="-3.2000000000000001E-2"/>
    <x v="0"/>
    <n v="2560"/>
    <n v="96"/>
    <x v="1"/>
    <s v="PFO"/>
    <n v="8.0000000000000002E-3"/>
    <s v="INDOT "/>
    <s v="LRL-2019-670-scm"/>
    <s v="2019-488-72-JBT-A"/>
    <m/>
    <s v="Scott"/>
    <n v="38.737000000000002"/>
    <n v="-85.711100000000002"/>
    <s v="Transportation"/>
    <m/>
    <s v="No"/>
    <m/>
    <n v="384"/>
    <n v="1792"/>
    <n v="384"/>
    <m/>
    <m/>
    <m/>
    <m/>
    <m/>
    <m/>
    <m/>
    <m/>
    <s v="Corps RGP - IDEM only required mitigation"/>
  </r>
  <r>
    <d v="2020-08-28T00:00:00"/>
    <s v="August"/>
    <n v="2020"/>
    <x v="7"/>
    <n v="-110"/>
    <x v="1"/>
    <n v="44000"/>
    <n v="137"/>
    <x v="1"/>
    <s v="Per"/>
    <n v="110"/>
    <s v="Indiana DNR"/>
    <s v="LRL-2020-406-cat"/>
    <s v="2020-305-39-TMS-X"/>
    <m/>
    <s v="Jefferson"/>
    <n v="38.732199999999999"/>
    <n v="-85.246099999999998"/>
    <s v="Transportation"/>
    <m/>
    <s v="No"/>
    <m/>
    <n v="6600"/>
    <n v="30799.999999999996"/>
    <n v="6600"/>
    <m/>
    <m/>
    <m/>
    <m/>
    <m/>
    <m/>
    <m/>
    <m/>
    <m/>
  </r>
  <r>
    <d v="2020-08-31T00:00:00"/>
    <s v="August"/>
    <n v="2020"/>
    <x v="5"/>
    <n v="-0.52"/>
    <x v="0"/>
    <n v="41440"/>
    <n v="118"/>
    <x v="1"/>
    <s v="PEM"/>
    <n v="0.22"/>
    <s v="Perry County Development Corporation"/>
    <s v="LRL-2015-59-KJS"/>
    <s v="2017-426-JWR-62-JWR"/>
    <m/>
    <s v="Perry"/>
    <n v="37.986739999999998"/>
    <n v="-86.771259999999998"/>
    <s v="Development"/>
    <m/>
    <s v="No"/>
    <m/>
    <n v="6216"/>
    <n v="29007.999999999996"/>
    <n v="6216"/>
    <m/>
    <m/>
    <m/>
    <m/>
    <m/>
    <m/>
    <m/>
    <m/>
    <m/>
  </r>
  <r>
    <d v="2020-08-31T00:00:00"/>
    <s v="August"/>
    <n v="2020"/>
    <x v="5"/>
    <n v="-0.78"/>
    <x v="0"/>
    <n v="62560"/>
    <n v="118"/>
    <x v="1"/>
    <s v="PFO"/>
    <n v="0.16"/>
    <s v="Perry County Development Corporation"/>
    <s v="LRL-2015-59-KJS"/>
    <s v="2017-426-JWR-62-JWR"/>
    <m/>
    <s v="Perry"/>
    <n v="37.986739999999998"/>
    <n v="-86.771259999999998"/>
    <s v="Development"/>
    <m/>
    <s v="No"/>
    <m/>
    <n v="9384"/>
    <n v="43792"/>
    <n v="9384"/>
    <m/>
    <m/>
    <m/>
    <m/>
    <m/>
    <m/>
    <m/>
    <m/>
    <m/>
  </r>
  <r>
    <d v="2020-08-31T00:00:00"/>
    <s v="August"/>
    <n v="2020"/>
    <x v="6"/>
    <n v="-0.122"/>
    <x v="0"/>
    <n v="14640"/>
    <n v="146"/>
    <x v="1"/>
    <s v="PEM"/>
    <n v="6.0999999999999999E-2"/>
    <s v="St. Joseph County"/>
    <s v="LRE-2019-01448-171-R19"/>
    <s v="2019-919-71-JWR-A"/>
    <m/>
    <s v="St. Joseph"/>
    <n v="41.709065000000002"/>
    <n v="-86.215205999999995"/>
    <s v="Transportation"/>
    <m/>
    <s v="No"/>
    <m/>
    <n v="2196"/>
    <n v="10248"/>
    <n v="2196"/>
    <m/>
    <m/>
    <m/>
    <m/>
    <m/>
    <m/>
    <m/>
    <m/>
    <m/>
  </r>
  <r>
    <d v="2020-08-31T00:00:00"/>
    <s v="August"/>
    <n v="2020"/>
    <x v="6"/>
    <n v="-2.2040000000000002"/>
    <x v="0"/>
    <n v="264480"/>
    <n v="146"/>
    <x v="1"/>
    <s v="PFO"/>
    <n v="0.55100000000000005"/>
    <s v="St. Joseph County"/>
    <s v="LRE-2019-01448-171-R19"/>
    <s v="2019-919-71-JWR-A"/>
    <m/>
    <s v="St. Joseph"/>
    <n v="41.709065000000002"/>
    <n v="-86.215205999999995"/>
    <s v="Transportation"/>
    <m/>
    <s v="No"/>
    <m/>
    <n v="39672"/>
    <n v="185136"/>
    <n v="39672"/>
    <m/>
    <m/>
    <m/>
    <m/>
    <m/>
    <m/>
    <m/>
    <m/>
    <m/>
  </r>
  <r>
    <d v="2020-08-31T00:00:00"/>
    <s v="August"/>
    <n v="2020"/>
    <x v="7"/>
    <n v="-0.221"/>
    <x v="0"/>
    <n v="17680"/>
    <n v="141"/>
    <x v="2"/>
    <s v="PEM"/>
    <n v="0.221"/>
    <s v="City of Greendale"/>
    <s v="N/A"/>
    <s v="IWGP 2020-405-15-TMS-A"/>
    <m/>
    <s v="Dearborn"/>
    <n v="39.113160000000001"/>
    <n v="-84.856620000000007"/>
    <s v="Development"/>
    <s v="LRL-2014-100-sam/Fourteeen Mile Creek Mitigation Bank"/>
    <s v="Yes"/>
    <d v="2024-01-22T00:00:00"/>
    <n v="2652"/>
    <n v="12376"/>
    <n v="2652"/>
    <m/>
    <m/>
    <m/>
    <m/>
    <s v="Fourteen Mile Creek Mitigation Bank"/>
    <m/>
    <m/>
    <m/>
    <s v="Credit fulfilled, purchased from Fourteen Mile Creek Mitigation Bank.  "/>
  </r>
  <r>
    <d v="2020-08-31T00:00:00"/>
    <s v="August"/>
    <n v="2020"/>
    <x v="9"/>
    <n v="-0.74"/>
    <x v="0"/>
    <n v="59200"/>
    <n v="142"/>
    <x v="2"/>
    <s v="PEM"/>
    <n v="0.74"/>
    <s v="Walmart Stores, Inc."/>
    <s v="N/A"/>
    <s v="IWIP 2020-388-30-ALF-A"/>
    <m/>
    <s v="Hancock"/>
    <n v="39.852800000000002"/>
    <n v="-85.905500000000004"/>
    <s v="Development"/>
    <s v="LRL-2021-552-sam"/>
    <s v="Yes"/>
    <d v="2025-05-09T00:00:00"/>
    <n v="8880"/>
    <n v="41440"/>
    <n v="8880"/>
    <m/>
    <m/>
    <m/>
    <m/>
    <s v="Fall Creek Woods Release #2"/>
    <m/>
    <m/>
    <m/>
    <s v="Class I Non-Forested (1 to 1 ratio). Credits fulfilled by Fall Creek Woods Release #2."/>
  </r>
  <r>
    <d v="2020-08-31T00:00:00"/>
    <s v="August"/>
    <n v="2020"/>
    <x v="9"/>
    <n v="-6.48"/>
    <x v="0"/>
    <n v="518400"/>
    <n v="142"/>
    <x v="2"/>
    <s v="PFO"/>
    <n v="2.16"/>
    <s v="Walmart Stores, Inc."/>
    <s v="N/A"/>
    <s v="IWIP 2020-388-30-ALF-A"/>
    <m/>
    <s v="Hancock"/>
    <n v="39.852800000000002"/>
    <n v="-85.905500000000004"/>
    <s v="Development"/>
    <s v="LRL-2021-552-sam"/>
    <s v="No"/>
    <s v="5/9/2025,"/>
    <n v="77760"/>
    <n v="362880"/>
    <n v="77760"/>
    <m/>
    <m/>
    <m/>
    <m/>
    <s v="Fall Creek Woods Release #2"/>
    <m/>
    <m/>
    <m/>
    <s v="Class III Forested (3 to 1 ratio). 0.476 credits fulfilled by Fall Creek Woods Release #2. 6.004/6.48 credits remaining to be fulfilled. "/>
  </r>
  <r>
    <d v="2020-09-08T00:00:00"/>
    <s v="September"/>
    <n v="2020"/>
    <x v="0"/>
    <n v="-0.88"/>
    <x v="0"/>
    <n v="83600"/>
    <n v="148"/>
    <x v="2"/>
    <s v="PEM"/>
    <n v="0.88"/>
    <s v="Olthof Homes - Ed Recktenwald"/>
    <s v="N/A"/>
    <s v="2019-425-64-MTM-A"/>
    <m/>
    <s v="Porter"/>
    <n v="41.584589999999999"/>
    <n v="-87.117549999999994"/>
    <s v="Development"/>
    <m/>
    <s v="No"/>
    <m/>
    <n v="12540"/>
    <n v="58519.999999999993"/>
    <n v="12540"/>
    <m/>
    <m/>
    <m/>
    <m/>
    <m/>
    <m/>
    <m/>
    <m/>
    <s v="Class I Non-Forested (1 to 1 ratio)"/>
  </r>
  <r>
    <d v="2020-09-08T00:00:00"/>
    <s v="September"/>
    <n v="2020"/>
    <x v="6"/>
    <n v="-0.42"/>
    <x v="0"/>
    <n v="50400"/>
    <n v="136"/>
    <x v="1"/>
    <s v="PEM"/>
    <n v="0.21"/>
    <s v="St. Joseph County Airport Authority"/>
    <s v="LRE-2001-1710041-R20"/>
    <s v="2020-521-71-JWR-X"/>
    <m/>
    <s v="St. Joseph"/>
    <n v="41.702539999999999"/>
    <n v="-86.325190000000006"/>
    <s v="Transportation"/>
    <m/>
    <s v="No"/>
    <m/>
    <n v="7560"/>
    <n v="35280"/>
    <n v="7560"/>
    <m/>
    <m/>
    <m/>
    <m/>
    <m/>
    <m/>
    <m/>
    <m/>
    <s v="Corps and IDEM RGP"/>
  </r>
  <r>
    <d v="2020-09-15T00:00:00"/>
    <s v="September"/>
    <n v="2020"/>
    <x v="8"/>
    <n v="-0.46"/>
    <x v="0"/>
    <n v="36800"/>
    <n v="112"/>
    <x v="1"/>
    <s v="PEM"/>
    <n v="0.23"/>
    <s v="INDOT"/>
    <s v="LRL-2018-801-djd"/>
    <s v="2019-653-12-JBT-A"/>
    <m/>
    <s v="Clinton &amp; Howard"/>
    <n v="40.417000000000002"/>
    <n v="-86.582999999999998"/>
    <s v="Transportation"/>
    <m/>
    <s v="No"/>
    <m/>
    <n v="5520"/>
    <n v="25760"/>
    <n v="5520"/>
    <m/>
    <m/>
    <m/>
    <m/>
    <m/>
    <m/>
    <m/>
    <m/>
    <s v="IDEM required more ILF Credits than the Corps for PEM impacts (INDOT DES No.: 1400263, 1592971, 1400265)"/>
  </r>
  <r>
    <d v="2020-09-15T00:00:00"/>
    <s v="September"/>
    <n v="2020"/>
    <x v="8"/>
    <n v="-1794"/>
    <x v="1"/>
    <n v="717600"/>
    <n v="112"/>
    <x v="1"/>
    <s v="Int"/>
    <n v="2067"/>
    <s v="INDOT"/>
    <s v="LRL-2018-801-djd"/>
    <s v="2019-653-12-JBT-A"/>
    <m/>
    <s v="Clinton &amp; Howard"/>
    <n v="40.417000000000002"/>
    <n v="-86.582999999999998"/>
    <s v="Transportation"/>
    <m/>
    <s v="No"/>
    <m/>
    <n v="107640"/>
    <n v="502319.99999999994"/>
    <n v="107640"/>
    <m/>
    <m/>
    <m/>
    <m/>
    <m/>
    <m/>
    <m/>
    <m/>
    <s v="The Corps did not require ILF Stream Credits (INDOT DES No.: 1400263, 1592971, 1400265)"/>
  </r>
  <r>
    <d v="2020-09-15T00:00:00"/>
    <s v="September"/>
    <n v="2020"/>
    <x v="8"/>
    <n v="-10"/>
    <x v="1"/>
    <n v="4000"/>
    <n v="112"/>
    <x v="1"/>
    <s v="Per"/>
    <n v="10"/>
    <s v="INDOT"/>
    <s v="LRL-2018-801-djd"/>
    <s v="2019-653-12-JBT-A"/>
    <m/>
    <s v="Clinton &amp; Howard"/>
    <n v="40.417000000000002"/>
    <n v="-86.582999999999998"/>
    <s v="Transportation"/>
    <m/>
    <s v="No"/>
    <m/>
    <n v="600"/>
    <n v="2800"/>
    <n v="600"/>
    <m/>
    <m/>
    <m/>
    <m/>
    <m/>
    <m/>
    <m/>
    <m/>
    <s v="The Corps did not require ILF Stream Credits (INDOT DES No.: 1400263, 1592971, 1400265)"/>
  </r>
  <r>
    <d v="2020-09-15T00:00:00"/>
    <s v="September"/>
    <n v="2020"/>
    <x v="8"/>
    <n v="-0.03"/>
    <x v="0"/>
    <n v="2400"/>
    <n v="112"/>
    <x v="1"/>
    <s v="PSS"/>
    <n v="0.01"/>
    <s v="INDOT"/>
    <s v="LRL-2018-801-djd"/>
    <s v="2019-653-12-JBT-A"/>
    <m/>
    <s v="Clinton &amp; Howard"/>
    <n v="40.417000000000002"/>
    <n v="-86.582999999999998"/>
    <s v="Transportation"/>
    <m/>
    <s v="No"/>
    <m/>
    <n v="360"/>
    <n v="1680"/>
    <n v="360"/>
    <m/>
    <m/>
    <m/>
    <m/>
    <m/>
    <m/>
    <m/>
    <m/>
    <s v="The Corps did not require ILF credits for PSS impacts (INDOT DES No.: 1400263, 1592971, 1400265)"/>
  </r>
  <r>
    <d v="2020-09-15T00:00:00"/>
    <s v="September"/>
    <n v="2020"/>
    <x v="8"/>
    <n v="-1.04"/>
    <x v="0"/>
    <n v="83200"/>
    <n v="112"/>
    <x v="1"/>
    <s v="PFO"/>
    <n v="0.26"/>
    <s v="INDOT"/>
    <s v="LRL-2018-801-djd"/>
    <s v="2019-653-12-JBT-A"/>
    <m/>
    <s v="Clinton &amp; Howard"/>
    <n v="40.417000000000002"/>
    <n v="-86.582999999999998"/>
    <s v="Transportation"/>
    <m/>
    <s v="No"/>
    <m/>
    <n v="12480"/>
    <n v="58239.999999999993"/>
    <n v="12480"/>
    <m/>
    <m/>
    <m/>
    <m/>
    <m/>
    <m/>
    <m/>
    <m/>
    <s v="IDEM required more ILF Credits than the Corps for PFO impacts (INDOT DES No.: 1400263, 1592971, 1400265)"/>
  </r>
  <r>
    <d v="2020-09-15T00:00:00"/>
    <s v="September"/>
    <n v="2020"/>
    <x v="8"/>
    <n v="-0.05"/>
    <x v="0"/>
    <n v="4000"/>
    <n v="112"/>
    <x v="2"/>
    <s v="PEM"/>
    <n v="0.05"/>
    <s v="INDOT"/>
    <s v="N/A"/>
    <s v="IWGP 2019-653-12-JBT-A"/>
    <m/>
    <s v="Clinton &amp; Howard"/>
    <n v="40.417299999999997"/>
    <n v="-86.305999999999997"/>
    <s v="Transportation"/>
    <m/>
    <s v="No"/>
    <m/>
    <n v="600"/>
    <n v="2800"/>
    <n v="600"/>
    <m/>
    <m/>
    <m/>
    <m/>
    <m/>
    <m/>
    <m/>
    <m/>
    <s v="Class I Non-Forested (1 to 1 ratio) (INDOT DES No.: 1400263, 1592971, 1400265)"/>
  </r>
  <r>
    <d v="2020-09-15T00:00:00"/>
    <s v="September"/>
    <n v="2020"/>
    <x v="9"/>
    <n v="-411"/>
    <x v="1"/>
    <n v="184950"/>
    <n v="113"/>
    <x v="1"/>
    <s v="Int"/>
    <n v="411"/>
    <s v="INDOT"/>
    <s v="LRL-2019-584-djd "/>
    <s v="2020-136-06-JBT-A"/>
    <m/>
    <s v="Boone"/>
    <n v="39.981999999999999"/>
    <n v="-86.396000000000001"/>
    <s v="Transportation"/>
    <m/>
    <s v="No"/>
    <m/>
    <n v="27742.5"/>
    <n v="129465"/>
    <n v="27742.5"/>
    <m/>
    <m/>
    <m/>
    <m/>
    <m/>
    <m/>
    <m/>
    <m/>
    <s v="The Corps did not require ILF Stream Credits (INDOT DES No.: 1400071)"/>
  </r>
  <r>
    <d v="2020-09-15T00:00:00"/>
    <s v="September"/>
    <n v="2020"/>
    <x v="9"/>
    <n v="-0.16200000000000001"/>
    <x v="0"/>
    <n v="12960"/>
    <n v="113"/>
    <x v="2"/>
    <s v="PEM"/>
    <n v="0.16200000000000001"/>
    <s v="INDOT"/>
    <s v="N/A"/>
    <s v="IWGP 2020-136-06-JBT-A"/>
    <m/>
    <s v="Boone"/>
    <n v="39.984000000000002"/>
    <n v="-86.399000000000001"/>
    <s v="Transportation"/>
    <m/>
    <s v="No"/>
    <m/>
    <n v="1944"/>
    <n v="9072"/>
    <n v="1944"/>
    <m/>
    <m/>
    <m/>
    <m/>
    <m/>
    <m/>
    <m/>
    <m/>
    <s v="Class I Non-Forested (INDOT DES No.: 1400071)"/>
  </r>
  <r>
    <d v="2020-09-15T00:00:00"/>
    <s v="September"/>
    <n v="2020"/>
    <x v="9"/>
    <n v="-0.27500000000000002"/>
    <x v="0"/>
    <n v="22000"/>
    <n v="113"/>
    <x v="2"/>
    <s v="PFO"/>
    <n v="0.11"/>
    <s v="INDOT"/>
    <s v="N/A"/>
    <s v="IWGP 2020-136-06-JBT-A"/>
    <m/>
    <s v="Boone"/>
    <n v="39.984000000000002"/>
    <n v="-86.399000000000001"/>
    <s v="Transportation"/>
    <m/>
    <s v="No"/>
    <m/>
    <n v="3300"/>
    <n v="15399.999999999998"/>
    <n v="3300"/>
    <m/>
    <m/>
    <m/>
    <m/>
    <m/>
    <m/>
    <m/>
    <m/>
    <s v="Class II Forested (INDOT DES No.: 1400071)"/>
  </r>
  <r>
    <d v="2020-09-15T00:00:00"/>
    <s v="September"/>
    <n v="2020"/>
    <x v="9"/>
    <n v="-88.25"/>
    <x v="1"/>
    <n v="39712.51"/>
    <n v="128"/>
    <x v="1"/>
    <s v="Int"/>
    <n v="88.25"/>
    <s v="INDOT"/>
    <s v="LRL-2017-461-scm"/>
    <s v="2019-844-32-JBT-A"/>
    <m/>
    <s v="Hendricks"/>
    <n v="39.667999999999999"/>
    <n v="-86.370699999999999"/>
    <s v="Transportation"/>
    <m/>
    <s v="No"/>
    <m/>
    <n v="5956.8765000000003"/>
    <n v="27798.757000000001"/>
    <n v="5956.8765000000003"/>
    <m/>
    <m/>
    <m/>
    <m/>
    <m/>
    <m/>
    <m/>
    <m/>
    <s v="Corps did not require ILF mitigation for this reach of I-70 (mitigation required previously under same 404 No.) (DES 1592433)"/>
  </r>
  <r>
    <d v="2020-09-17T00:00:00"/>
    <s v="September"/>
    <n v="2020"/>
    <x v="4"/>
    <n v="-7.0000000000000001E-3"/>
    <x v="0"/>
    <n v="560"/>
    <n v="126"/>
    <x v="2"/>
    <s v="PEM"/>
    <n v="7.0000000000000001E-3"/>
    <s v="INDOT "/>
    <s v="N/A"/>
    <s v="IWGP 2020-287-04-JBT-A"/>
    <m/>
    <s v="Benton"/>
    <n v="40.539299999999997"/>
    <n v="-87.378799999999998"/>
    <s v="Transportation"/>
    <m/>
    <s v="No"/>
    <m/>
    <n v="84"/>
    <n v="392"/>
    <n v="84"/>
    <m/>
    <m/>
    <m/>
    <m/>
    <m/>
    <m/>
    <m/>
    <m/>
    <s v="DES NO. 1701564; Class 1 State Isolated Wetland Impact"/>
  </r>
  <r>
    <d v="2020-09-18T00:00:00"/>
    <s v="September "/>
    <n v="2020"/>
    <x v="4"/>
    <n v="-18.3"/>
    <x v="1"/>
    <n v="7320"/>
    <n v="125"/>
    <x v="1"/>
    <s v="Eph"/>
    <n v="740.3"/>
    <s v="INDOT "/>
    <s v="LRL-2020-60-scm"/>
    <s v="2020-91-77-JBT-A"/>
    <m/>
    <s v="Sullivan"/>
    <n v="39.194546000000003"/>
    <n v="-87.489445000000003"/>
    <s v="Transportation"/>
    <m/>
    <s v="No"/>
    <m/>
    <n v="1098"/>
    <n v="5124"/>
    <n v="1098"/>
    <m/>
    <m/>
    <m/>
    <m/>
    <m/>
    <m/>
    <m/>
    <m/>
    <s v="DES No. 9701930; USACE did not require mitigation approved RGP"/>
  </r>
  <r>
    <d v="2020-09-18T00:00:00"/>
    <s v="September "/>
    <n v="2020"/>
    <x v="4"/>
    <n v="-176"/>
    <x v="1"/>
    <n v="70400"/>
    <n v="125"/>
    <x v="1"/>
    <s v="Per"/>
    <n v="176"/>
    <s v="INDOT "/>
    <s v="LRL-2020-60-scm"/>
    <s v="2020-91-77-JBT-A"/>
    <m/>
    <s v="Sullivan"/>
    <n v="39.194546000000003"/>
    <n v="-87.489445000000003"/>
    <s v="Transportation"/>
    <m/>
    <s v="No"/>
    <m/>
    <n v="10560"/>
    <n v="49280"/>
    <n v="10560"/>
    <m/>
    <m/>
    <m/>
    <m/>
    <m/>
    <m/>
    <m/>
    <m/>
    <s v="DES No. 9701930; USACE did not require mitigation approved RGP"/>
  </r>
  <r>
    <d v="2020-09-18T00:00:00"/>
    <s v="September"/>
    <n v="2020"/>
    <x v="4"/>
    <n v="-1.4E-2"/>
    <x v="0"/>
    <n v="1120"/>
    <n v="125"/>
    <x v="1"/>
    <s v="PEM"/>
    <n v="7.0000000000000001E-3"/>
    <s v="INDOT "/>
    <s v="LRL-2020-60-scm"/>
    <s v="2020-91-77-JBT-A"/>
    <m/>
    <s v="Sullivan"/>
    <n v="39.194546000000003"/>
    <n v="-87.489445000000003"/>
    <s v="Transportation"/>
    <m/>
    <s v="No"/>
    <m/>
    <n v="168"/>
    <n v="784"/>
    <n v="168"/>
    <m/>
    <m/>
    <m/>
    <m/>
    <m/>
    <m/>
    <m/>
    <m/>
    <s v="DES No. 9701930; USACE did not require mitigation approved RGP"/>
  </r>
  <r>
    <d v="2020-09-18T00:00:00"/>
    <s v="September"/>
    <n v="2020"/>
    <x v="4"/>
    <n v="-162"/>
    <x v="1"/>
    <n v="64800"/>
    <n v="119"/>
    <x v="1"/>
    <s v="Per"/>
    <n v="162"/>
    <s v="INDOT "/>
    <s v="LRL-2019-882-djd"/>
    <s v="2019-878-06-JBT-A"/>
    <m/>
    <s v="Boone"/>
    <n v="40.152200000000001"/>
    <n v="-86.537649999999999"/>
    <s v="Transportation"/>
    <m/>
    <s v="No"/>
    <m/>
    <n v="9720"/>
    <n v="45360"/>
    <n v="9720"/>
    <m/>
    <m/>
    <m/>
    <m/>
    <m/>
    <m/>
    <m/>
    <m/>
    <s v="DES No. 1173629 and 1173630; USACE did not require mitigation approved RGP"/>
  </r>
  <r>
    <d v="2020-09-18T00:00:00"/>
    <s v="September"/>
    <n v="2020"/>
    <x v="4"/>
    <n v="-0.1172"/>
    <x v="0"/>
    <n v="9376"/>
    <n v="119"/>
    <x v="1"/>
    <s v="PEM"/>
    <n v="5.8599999999999999E-2"/>
    <s v="INDOT "/>
    <s v="LRL-2019-882-djd"/>
    <s v="2019-878-06-JBT-A"/>
    <m/>
    <s v="Boone"/>
    <n v="40.152200000000001"/>
    <n v="-86.537649999999999"/>
    <s v="Transportation"/>
    <m/>
    <s v="No"/>
    <m/>
    <n v="1406.3999999999999"/>
    <n v="6563.2"/>
    <n v="1406.3999999999999"/>
    <m/>
    <m/>
    <m/>
    <m/>
    <m/>
    <m/>
    <m/>
    <m/>
    <s v="DES No. 1173629 and 1173630; USACE did not require mitigation approved RGP"/>
  </r>
  <r>
    <d v="2020-09-18T00:00:00"/>
    <s v="September"/>
    <n v="2020"/>
    <x v="4"/>
    <n v="-8.1000000000000003E-2"/>
    <x v="0"/>
    <n v="6480"/>
    <n v="119"/>
    <x v="1"/>
    <s v="PFO"/>
    <n v="2.7E-2"/>
    <s v="INDOT "/>
    <s v="LRL-2019-882-djd"/>
    <s v="2019-878-06-JBT-A"/>
    <m/>
    <s v="Boone"/>
    <n v="40.152200000000001"/>
    <n v="-86.537649999999999"/>
    <s v="Transportation"/>
    <m/>
    <s v="No"/>
    <m/>
    <n v="972"/>
    <n v="4536"/>
    <n v="972"/>
    <m/>
    <m/>
    <m/>
    <m/>
    <m/>
    <m/>
    <m/>
    <m/>
    <s v="DES No. 1173629 and 1173630; USACE did not require mitigation approved RGP"/>
  </r>
  <r>
    <d v="2020-09-18T00:00:00"/>
    <s v="September"/>
    <n v="2020"/>
    <x v="5"/>
    <n v="-347"/>
    <x v="1"/>
    <n v="138800"/>
    <n v="120"/>
    <x v="1"/>
    <s v="Int"/>
    <n v="703"/>
    <s v="INDOT "/>
    <s v="LRL-2020-39-djd"/>
    <s v="2020-250-74-JBT-A"/>
    <m/>
    <s v="Spencer"/>
    <n v="37.901499999999999"/>
    <n v="-87.104799999999997"/>
    <s v="Transportation"/>
    <m/>
    <s v="No"/>
    <m/>
    <n v="20820"/>
    <n v="97160"/>
    <n v="20820"/>
    <m/>
    <m/>
    <m/>
    <m/>
    <m/>
    <m/>
    <m/>
    <m/>
    <s v="DES No. 0710929; USACE did not require mitigation approved RGP"/>
  </r>
  <r>
    <d v="2020-09-18T00:00:00"/>
    <s v="September"/>
    <n v="2020"/>
    <x v="5"/>
    <n v="-0.02"/>
    <x v="0"/>
    <n v="1600"/>
    <n v="120"/>
    <x v="1"/>
    <s v="PEM"/>
    <n v="0.01"/>
    <s v="INDOT "/>
    <s v="LRL-2020-39-djd"/>
    <s v="2020-250-74-JBT-A"/>
    <m/>
    <s v="Spencer"/>
    <n v="37.901499999999999"/>
    <n v="-87.104799999999997"/>
    <s v="Transportation"/>
    <m/>
    <s v="No"/>
    <m/>
    <n v="240"/>
    <n v="1120"/>
    <n v="240"/>
    <m/>
    <m/>
    <m/>
    <m/>
    <m/>
    <m/>
    <m/>
    <m/>
    <s v="DES No. 0710929; USACE did not require mitigation approved RGP"/>
  </r>
  <r>
    <d v="2020-09-30T00:00:00"/>
    <s v="September"/>
    <n v="2020"/>
    <x v="2"/>
    <n v="-1070"/>
    <x v="1"/>
    <n v="428000"/>
    <n v="109"/>
    <x v="1"/>
    <s v="Eph"/>
    <n v="892"/>
    <s v="NAVFAC MIDPLANT PWD"/>
    <s v="LRL-2019-71-lcl"/>
    <s v="2020-084-51-TMS-A"/>
    <m/>
    <s v="Martin"/>
    <n v="38.891100000000002"/>
    <n v="-86.864900000000006"/>
    <s v="Development"/>
    <m/>
    <s v="No"/>
    <m/>
    <n v="64200"/>
    <n v="299600"/>
    <n v="64200"/>
    <m/>
    <m/>
    <m/>
    <m/>
    <m/>
    <m/>
    <m/>
    <m/>
    <m/>
  </r>
  <r>
    <d v="2020-09-30T00:00:00"/>
    <s v="September"/>
    <n v="2020"/>
    <x v="2"/>
    <n v="-1"/>
    <x v="0"/>
    <n v="80000"/>
    <n v="109"/>
    <x v="1"/>
    <s v="PFO"/>
    <n v="0.27"/>
    <s v="NAVFAC MIDPLANT PWD"/>
    <s v="LRL-2019-71-lcl"/>
    <s v="2020-084-51-TMS-A"/>
    <m/>
    <s v="Martin"/>
    <n v="38.891100000000002"/>
    <n v="-86.864900000000006"/>
    <s v="Development"/>
    <m/>
    <s v="No"/>
    <m/>
    <n v="12000"/>
    <n v="56000"/>
    <n v="12000"/>
    <m/>
    <m/>
    <m/>
    <m/>
    <m/>
    <m/>
    <m/>
    <m/>
    <m/>
  </r>
  <r>
    <d v="2020-09-30T00:00:00"/>
    <s v="September"/>
    <n v="2020"/>
    <x v="2"/>
    <n v="-0.16600000000000001"/>
    <x v="0"/>
    <n v="13280"/>
    <n v="109"/>
    <x v="1"/>
    <s v="PEM"/>
    <n v="0.08"/>
    <s v="NAVFAC MIDPLANT PWD"/>
    <s v="LRL-2019-71-lcl"/>
    <s v="2020-084-51-TMS-A"/>
    <m/>
    <s v="Martin"/>
    <n v="38.891100000000002"/>
    <n v="-86.864900000000006"/>
    <s v="Development"/>
    <m/>
    <s v="No"/>
    <m/>
    <n v="1992"/>
    <n v="9296"/>
    <n v="1992"/>
    <m/>
    <m/>
    <m/>
    <m/>
    <m/>
    <m/>
    <m/>
    <m/>
    <m/>
  </r>
  <r>
    <d v="2020-10-13T00:00:00"/>
    <s v="October"/>
    <n v="2020"/>
    <x v="0"/>
    <n v="-0.72"/>
    <x v="0"/>
    <n v="68400"/>
    <n v="153"/>
    <x v="1"/>
    <s v="PEM"/>
    <n v="750"/>
    <s v="Glenn Springs Holdings, Inc"/>
    <s v="LRC-2020-125"/>
    <s v="2020-464-45-MTM-A"/>
    <m/>
    <s v="Lake"/>
    <n v="41.619916000000003"/>
    <n v="-87.431398000000002"/>
    <s v="Energy Production"/>
    <m/>
    <s v="No"/>
    <m/>
    <n v="10260"/>
    <n v="47880"/>
    <n v="10260"/>
    <m/>
    <m/>
    <m/>
    <m/>
    <m/>
    <m/>
    <m/>
    <m/>
    <s v="Wetland credit purchase for perennial stream encapsulation.  "/>
  </r>
  <r>
    <d v="2020-10-13T00:00:00"/>
    <s v="October"/>
    <n v="2020"/>
    <x v="9"/>
    <n v="-5602"/>
    <x v="1"/>
    <n v="2520900"/>
    <n v="149"/>
    <x v="1"/>
    <s v="Eph"/>
    <n v="4668"/>
    <s v="INDOT"/>
    <s v="LRL-2019-945-dds (IP)"/>
    <s v="2020-154-49-JBT-A"/>
    <m/>
    <s v="Marion "/>
    <n v="39.698371999999999"/>
    <n v="-86.138490000000004"/>
    <s v="Transportation"/>
    <m/>
    <s v="No"/>
    <m/>
    <n v="378135"/>
    <n v="1764630"/>
    <n v="378135"/>
    <m/>
    <m/>
    <m/>
    <m/>
    <m/>
    <m/>
    <m/>
    <m/>
    <s v="DES No. 1802075"/>
  </r>
  <r>
    <d v="2020-10-13T00:00:00"/>
    <s v="October"/>
    <n v="2020"/>
    <x v="9"/>
    <n v="-1360"/>
    <x v="1"/>
    <n v="612000"/>
    <n v="149"/>
    <x v="1"/>
    <s v="Int"/>
    <n v="1113"/>
    <s v="INDOT"/>
    <s v="LRL-2019-945-dds (IP)"/>
    <s v="2020-154-49-JBT-A"/>
    <m/>
    <s v="Marion "/>
    <n v="39.698371999999999"/>
    <n v="-86.138490000000004"/>
    <s v="Transportation"/>
    <m/>
    <s v="No"/>
    <m/>
    <n v="91800"/>
    <n v="428400"/>
    <n v="91800"/>
    <m/>
    <m/>
    <m/>
    <m/>
    <m/>
    <m/>
    <m/>
    <m/>
    <s v="DES No. 1802075"/>
  </r>
  <r>
    <d v="2020-10-13T00:00:00"/>
    <s v="October"/>
    <n v="2020"/>
    <x v="9"/>
    <n v="-0.34200000000000003"/>
    <x v="0"/>
    <n v="27360"/>
    <n v="149"/>
    <x v="1"/>
    <s v="PSS"/>
    <n v="0.114"/>
    <s v="INDOT"/>
    <s v="LRL-2019-945-dds (IP)"/>
    <s v="2020-154-49-JBT-A"/>
    <m/>
    <s v="Marion "/>
    <n v="39.698371999999999"/>
    <n v="-86.138490000000004"/>
    <s v="Transportation"/>
    <m/>
    <s v="No"/>
    <m/>
    <n v="4104"/>
    <n v="19152"/>
    <n v="4104"/>
    <m/>
    <m/>
    <m/>
    <m/>
    <m/>
    <m/>
    <m/>
    <m/>
    <s v="DES No. 1802075; IDEM required more PSS ILF mitigation than the Corps"/>
  </r>
  <r>
    <d v="2020-10-13T00:00:00"/>
    <s v="October"/>
    <n v="2020"/>
    <x v="9"/>
    <n v="-1850"/>
    <x v="1"/>
    <n v="832500"/>
    <n v="149"/>
    <x v="1"/>
    <s v="Eph"/>
    <n v="1542"/>
    <s v="INDOT"/>
    <s v="LRL-2019-945-dds (RGP)"/>
    <s v="2020-154-49-JBT-A"/>
    <m/>
    <s v="Marion "/>
    <n v="39.698371999999999"/>
    <n v="-86.138490000000004"/>
    <s v="Transportation"/>
    <m/>
    <s v="No"/>
    <m/>
    <n v="124875"/>
    <n v="582750"/>
    <n v="124875"/>
    <m/>
    <m/>
    <m/>
    <m/>
    <m/>
    <m/>
    <m/>
    <m/>
    <s v="DES No. 1802075"/>
  </r>
  <r>
    <d v="2020-10-13T00:00:00"/>
    <s v="October"/>
    <n v="2020"/>
    <x v="9"/>
    <n v="-26"/>
    <x v="1"/>
    <n v="11700"/>
    <n v="149"/>
    <x v="1"/>
    <s v="Per"/>
    <n v="22"/>
    <s v="INDOT"/>
    <s v="LRL-2019-945-dds (RGP)"/>
    <s v="2020-154-49-JBT-A"/>
    <m/>
    <s v="Marion "/>
    <n v="39.698371999999999"/>
    <n v="-86.138490000000004"/>
    <s v="Transportation"/>
    <m/>
    <s v="No"/>
    <m/>
    <n v="1755"/>
    <n v="8189.9999999999991"/>
    <n v="1755"/>
    <m/>
    <m/>
    <m/>
    <m/>
    <m/>
    <m/>
    <m/>
    <m/>
    <s v="DES No. 1802075"/>
  </r>
  <r>
    <d v="2020-10-13T00:00:00"/>
    <s v="October"/>
    <n v="2020"/>
    <x v="9"/>
    <n v="-8.7999999999999995E-2"/>
    <x v="0"/>
    <n v="7040"/>
    <n v="149"/>
    <x v="1"/>
    <s v="PFO"/>
    <n v="2.1999999999999999E-2"/>
    <s v="INDOT"/>
    <s v="LRL-2019-945-dds (RGP)"/>
    <s v="2020-154-49-JBT-A"/>
    <m/>
    <s v="Marion "/>
    <n v="39.698371999999999"/>
    <n v="-86.138490000000004"/>
    <s v="Transportation"/>
    <m/>
    <s v="No"/>
    <m/>
    <n v="1056"/>
    <n v="4928"/>
    <n v="1056"/>
    <m/>
    <m/>
    <m/>
    <m/>
    <m/>
    <m/>
    <m/>
    <m/>
    <s v="DES No. 1802075; IDEM required more PFO ILF mitigation than the Corps"/>
  </r>
  <r>
    <d v="2020-10-13T00:00:00"/>
    <s v="October"/>
    <n v="2020"/>
    <x v="9"/>
    <n v="-1.2999999999999999E-2"/>
    <x v="0"/>
    <n v="1040"/>
    <n v="149"/>
    <x v="2"/>
    <s v="PEM"/>
    <n v="1.2999999999999999E-2"/>
    <s v="INDOT"/>
    <s v="N/A"/>
    <s v="IWGP 2020-154-49-JBT-A"/>
    <m/>
    <s v="Marion "/>
    <n v="39.698371999999999"/>
    <n v="-86.138490000000004"/>
    <s v="Transportation"/>
    <m/>
    <s v="No"/>
    <m/>
    <n v="156"/>
    <n v="728"/>
    <n v="156"/>
    <m/>
    <m/>
    <m/>
    <m/>
    <m/>
    <m/>
    <m/>
    <m/>
    <s v="DES No. 1802075; Class I non-forested state isolated wetland"/>
  </r>
  <r>
    <d v="2020-10-14T00:00:00"/>
    <s v="October"/>
    <n v="2020"/>
    <x v="9"/>
    <n v="-220"/>
    <x v="1"/>
    <n v="99000"/>
    <n v="151"/>
    <x v="1"/>
    <s v="Int"/>
    <n v="183"/>
    <s v="Pulte Homes of Indiana"/>
    <s v="LRL-2019-905-sjk"/>
    <s v="2020-40-32-ERL-A"/>
    <m/>
    <s v="Hendricks"/>
    <n v="39.697929000000002"/>
    <n v="-86.444142999999997"/>
    <s v="Development"/>
    <m/>
    <s v="No"/>
    <m/>
    <n v="14850"/>
    <n v="69300"/>
    <n v="14850"/>
    <m/>
    <m/>
    <m/>
    <m/>
    <m/>
    <m/>
    <m/>
    <m/>
    <s v="The Corps required more stream credits than IDEM"/>
  </r>
  <r>
    <d v="2020-10-14T00:00:00"/>
    <s v="October"/>
    <n v="2020"/>
    <x v="9"/>
    <n v="-1.44"/>
    <x v="0"/>
    <n v="115200"/>
    <n v="151"/>
    <x v="1"/>
    <s v="PFO"/>
    <n v="0.36"/>
    <s v="Pulte Homes of Indiana"/>
    <s v="LRL-2019-905-sjk"/>
    <s v="2020-40-32-ERL-A"/>
    <m/>
    <s v="Hendricks"/>
    <n v="39.697929000000002"/>
    <n v="-86.444142999999997"/>
    <s v="Development"/>
    <m/>
    <s v="No"/>
    <m/>
    <n v="17280"/>
    <n v="80640"/>
    <n v="17280"/>
    <m/>
    <m/>
    <m/>
    <m/>
    <m/>
    <m/>
    <m/>
    <m/>
    <s v="IDEM required more wetland credits than the Corps"/>
  </r>
  <r>
    <d v="2020-10-15T00:00:00"/>
    <s v="October"/>
    <n v="2020"/>
    <x v="7"/>
    <n v="-32"/>
    <x v="1"/>
    <n v="12800"/>
    <n v="147"/>
    <x v="1"/>
    <s v="Int"/>
    <n v="32"/>
    <s v="INDOT"/>
    <s v="LRL-2020-443-djd"/>
    <s v="2020-533-22-JBT-X"/>
    <m/>
    <s v="Floyd"/>
    <n v="38.380450000000003"/>
    <n v="-86.004589999999993"/>
    <s v="Transportation"/>
    <m/>
    <s v="No"/>
    <m/>
    <n v="1920"/>
    <n v="8960"/>
    <n v="1920"/>
    <m/>
    <m/>
    <m/>
    <m/>
    <m/>
    <m/>
    <m/>
    <m/>
    <s v="DES No. 1700126 USACE approved RGP no mitigation.  Project has 204 LF EPH stream impacts"/>
  </r>
  <r>
    <d v="2020-10-22T00:00:00"/>
    <s v="October"/>
    <n v="2020"/>
    <x v="5"/>
    <n v="-0.5"/>
    <x v="0"/>
    <n v="40000"/>
    <n v="145"/>
    <x v="1"/>
    <s v="PFO"/>
    <n v="0.35"/>
    <s v="Vanderburgh County Engineering Department"/>
    <s v="LRL-2008-912-mdh"/>
    <s v="2008-327-JPS-A"/>
    <m/>
    <s v="Vanderburgh"/>
    <n v="38.042119999999997"/>
    <n v="-87.491659999999996"/>
    <s v="Transportation"/>
    <m/>
    <s v="No"/>
    <m/>
    <n v="6000"/>
    <n v="28000"/>
    <n v="6000"/>
    <m/>
    <m/>
    <m/>
    <m/>
    <m/>
    <m/>
    <m/>
    <m/>
    <s v="401 did not require credit purchase for failed mitigation."/>
  </r>
  <r>
    <d v="2020-11-10T00:00:00"/>
    <s v="November"/>
    <n v="2020"/>
    <x v="9"/>
    <n v="-0.33"/>
    <x v="0"/>
    <n v="26400"/>
    <n v="161"/>
    <x v="1"/>
    <s v="PEM"/>
    <n v="0.22"/>
    <s v="Marina Limited Partnership (Hassan Mercho)"/>
    <s v="LRL-2017-1037-sjk"/>
    <s v="2019-276-30-ALF-A"/>
    <m/>
    <s v="Marion "/>
    <n v="39.927199999999999"/>
    <n v="-85.937200000000004"/>
    <s v="Development"/>
    <m/>
    <s v="No"/>
    <m/>
    <n v="3960"/>
    <n v="18480"/>
    <n v="3960"/>
    <m/>
    <m/>
    <m/>
    <m/>
    <m/>
    <m/>
    <m/>
    <m/>
    <s v="Impacts to open water of Geist Reservoir; Corps RGP, only IDEM required mitigation"/>
  </r>
  <r>
    <d v="2020-11-13T00:00:00"/>
    <s v="November"/>
    <n v="2020"/>
    <x v="2"/>
    <n v="-123"/>
    <x v="1"/>
    <n v="49200"/>
    <n v="159"/>
    <x v="1"/>
    <s v="Eph"/>
    <n v="510"/>
    <s v="Monroe County Highway Engineering"/>
    <s v="LRL-2017-69-lcl"/>
    <s v="2020-150-53-JBT-A"/>
    <m/>
    <s v="Monroe"/>
    <n v="38.988999999999997"/>
    <n v="-86.367999999999995"/>
    <s v="Transportation"/>
    <m/>
    <s v="No"/>
    <m/>
    <n v="7380"/>
    <n v="34440"/>
    <n v="7380"/>
    <m/>
    <m/>
    <m/>
    <m/>
    <m/>
    <m/>
    <m/>
    <m/>
    <s v="Des No. 1702958; USACE approved RGP 1 and required no mitigation "/>
  </r>
  <r>
    <d v="2020-11-13T00:00:00"/>
    <s v="November"/>
    <n v="2020"/>
    <x v="2"/>
    <n v="-211"/>
    <x v="1"/>
    <n v="84400"/>
    <n v="159"/>
    <x v="1"/>
    <s v="Int"/>
    <n v="920"/>
    <s v="Monroe County Highway Engineering"/>
    <s v="LRL-2017-69-lcl"/>
    <s v="2020-150-53-JBT-A"/>
    <m/>
    <s v="Monroe"/>
    <n v="38.988999999999997"/>
    <n v="-86.367999999999995"/>
    <s v="Transportation"/>
    <m/>
    <s v="No"/>
    <m/>
    <n v="12660"/>
    <n v="59079.999999999993"/>
    <n v="12660"/>
    <m/>
    <m/>
    <m/>
    <m/>
    <m/>
    <m/>
    <m/>
    <m/>
    <s v="Des No. 1702958; USACE approved RGP 1 and required no mitigation "/>
  </r>
  <r>
    <d v="2020-11-13T00:00:00"/>
    <s v="November"/>
    <n v="2020"/>
    <x v="2"/>
    <n v="-95"/>
    <x v="1"/>
    <n v="38000"/>
    <n v="159"/>
    <x v="1"/>
    <s v="Per"/>
    <n v="839"/>
    <s v="Monroe County Highway Engineering"/>
    <s v="LRL-2017-69-lcl"/>
    <s v="2020-150-53-JBT-A"/>
    <m/>
    <s v="Monroe"/>
    <n v="38.988999999999997"/>
    <n v="-86.367999999999995"/>
    <s v="Transportation"/>
    <m/>
    <s v="No"/>
    <m/>
    <n v="5700"/>
    <n v="26600"/>
    <n v="5700"/>
    <m/>
    <m/>
    <m/>
    <m/>
    <m/>
    <m/>
    <m/>
    <m/>
    <s v="Des No. 1702958; USACE approved RGP 1 and required no mitigation "/>
  </r>
  <r>
    <d v="2020-11-17T00:00:00"/>
    <s v="November"/>
    <n v="2020"/>
    <x v="9"/>
    <n v="-520"/>
    <x v="1"/>
    <n v="234000"/>
    <n v="154"/>
    <x v="1"/>
    <s v="Int"/>
    <n v="520"/>
    <s v="Hendricks County Engineering Department"/>
    <s v="LRL-2017-1185-djd (RGP)"/>
    <s v="2020-282-32-ERL-A"/>
    <m/>
    <s v="Hendricks"/>
    <n v="39.909120000000001"/>
    <n v="-86.374600000000001"/>
    <s v="Transportation"/>
    <m/>
    <s v="No"/>
    <m/>
    <n v="35100"/>
    <n v="163800"/>
    <n v="35100"/>
    <m/>
    <m/>
    <m/>
    <m/>
    <m/>
    <m/>
    <m/>
    <m/>
    <s v="Corps RGP did not require ILF mitigation"/>
  </r>
  <r>
    <d v="2020-11-17T00:00:00"/>
    <s v="November"/>
    <n v="2020"/>
    <x v="9"/>
    <n v="-20"/>
    <x v="1"/>
    <n v="9000"/>
    <n v="154"/>
    <x v="1"/>
    <s v="Per"/>
    <n v="20"/>
    <s v="Hendricks County Engineering Department"/>
    <s v="LRL-2017-1185-djd (RGP)"/>
    <s v="2020-282-32-ERL-A"/>
    <m/>
    <s v="Hendricks"/>
    <n v="39.909120000000001"/>
    <n v="-86.374600000000001"/>
    <s v="Transportation"/>
    <m/>
    <s v="No"/>
    <m/>
    <n v="1350"/>
    <n v="6300"/>
    <n v="1350"/>
    <m/>
    <m/>
    <m/>
    <m/>
    <m/>
    <m/>
    <m/>
    <m/>
    <s v="Corps RGP did not require ILF mitigation"/>
  </r>
  <r>
    <d v="2020-11-17T00:00:00"/>
    <s v="November"/>
    <n v="2020"/>
    <x v="9"/>
    <n v="-0.14000000000000001"/>
    <x v="0"/>
    <n v="11200"/>
    <n v="154"/>
    <x v="1"/>
    <s v="PEM"/>
    <n v="7.0000000000000007E-2"/>
    <s v="Hendricks County Engineering Department"/>
    <s v="LRL-2017-1185-djd (RGP)"/>
    <s v="2020-282-32-ERL-A"/>
    <m/>
    <s v="Hendricks"/>
    <n v="39.909120000000001"/>
    <n v="-86.374600000000001"/>
    <s v="Transportation"/>
    <m/>
    <s v="No"/>
    <m/>
    <n v="1680"/>
    <n v="7839.9999999999991"/>
    <n v="1680"/>
    <m/>
    <m/>
    <m/>
    <m/>
    <m/>
    <m/>
    <m/>
    <m/>
    <s v="Corps RGP did not require ILF mitigation"/>
  </r>
  <r>
    <d v="2020-11-17T00:00:00"/>
    <s v="November"/>
    <n v="2020"/>
    <x v="9"/>
    <n v="-0.05"/>
    <x v="0"/>
    <n v="4000"/>
    <n v="154"/>
    <x v="2"/>
    <s v="PEM"/>
    <n v="0.05"/>
    <s v="Hendricks County Engineering Department"/>
    <s v="N/A"/>
    <s v="IWGP 2020-282-32-ERL-A"/>
    <m/>
    <s v="Hendricks"/>
    <n v="39.909120000000001"/>
    <n v="-86.374600000000001"/>
    <s v="Transportation"/>
    <m/>
    <s v="No"/>
    <m/>
    <n v="600"/>
    <n v="2800"/>
    <n v="600"/>
    <m/>
    <m/>
    <m/>
    <m/>
    <m/>
    <m/>
    <m/>
    <m/>
    <s v="State Isolated Class 1 (PEM) Non-Forested Wetland impact"/>
  </r>
  <r>
    <d v="2020-11-17T00:00:00"/>
    <s v="November"/>
    <n v="2020"/>
    <x v="9"/>
    <n v="-7.0000000000000007E-2"/>
    <x v="0"/>
    <n v="5600"/>
    <n v="155"/>
    <x v="2"/>
    <s v="PEM"/>
    <n v="7.0000000000000007E-2"/>
    <s v="Lennar Homes of Indiana, Inc."/>
    <s v="N/A"/>
    <s v="IWGP 2020-686-29-ALF-A"/>
    <m/>
    <s v="Hamilton"/>
    <n v="39.997500000000002"/>
    <n v="-86.048699999999997"/>
    <s v="Development"/>
    <m/>
    <s v="No"/>
    <m/>
    <n v="840"/>
    <n v="3919.9999999999995"/>
    <n v="840"/>
    <m/>
    <m/>
    <m/>
    <m/>
    <m/>
    <m/>
    <m/>
    <m/>
    <s v="State Isolated Class 1 (PEM) Non-Forested Wetland impact"/>
  </r>
  <r>
    <d v="2020-11-17T00:00:00"/>
    <s v="November"/>
    <n v="2020"/>
    <x v="10"/>
    <n v="-0.12"/>
    <x v="0"/>
    <n v="9600"/>
    <n v="160"/>
    <x v="2"/>
    <s v="PEM"/>
    <n v="0.12"/>
    <s v="City of Richmond"/>
    <s v="N/A"/>
    <s v="IWGP 2020-581-89-ALF-A"/>
    <m/>
    <s v="Wayne"/>
    <n v="39.856499999999997"/>
    <n v="-84.949100000000001"/>
    <s v="Development"/>
    <m/>
    <s v="No"/>
    <m/>
    <n v="1440"/>
    <n v="6720"/>
    <n v="1440"/>
    <m/>
    <m/>
    <m/>
    <m/>
    <m/>
    <m/>
    <m/>
    <m/>
    <s v="State Isolated Class 1 (PEM) Non-Forested Wetland impact"/>
  </r>
  <r>
    <d v="2020-11-24T00:00:00"/>
    <s v="November"/>
    <n v="2020"/>
    <x v="10"/>
    <n v="-11"/>
    <x v="1"/>
    <n v="4400"/>
    <n v="152"/>
    <x v="1"/>
    <s v="Int"/>
    <n v="164"/>
    <s v="INDOT"/>
    <s v="LRL-2020-445-scm"/>
    <s v="2020-462-24-JBT-X"/>
    <m/>
    <s v="Franklin"/>
    <n v="39.413513999999999"/>
    <n v="-84.901888999999997"/>
    <s v="Transportation"/>
    <m/>
    <s v="No"/>
    <m/>
    <n v="660"/>
    <n v="3080"/>
    <n v="660"/>
    <m/>
    <m/>
    <m/>
    <m/>
    <m/>
    <m/>
    <m/>
    <m/>
    <s v="Des #1600492; Corps RGP did not require ILF mitigation"/>
  </r>
  <r>
    <d v="2020-11-24T00:00:00"/>
    <s v="November"/>
    <n v="2020"/>
    <x v="10"/>
    <n v="-65"/>
    <x v="1"/>
    <n v="26000"/>
    <n v="152"/>
    <x v="1"/>
    <s v="Per"/>
    <n v="65"/>
    <s v="INDOT"/>
    <s v="LRL-2020-445-scm"/>
    <s v="2020-462-24-JBT-X"/>
    <m/>
    <s v="Franklin"/>
    <n v="39.413513999999999"/>
    <n v="-84.901888999999997"/>
    <s v="Transportation"/>
    <m/>
    <s v="No"/>
    <m/>
    <n v="3900"/>
    <n v="18200"/>
    <n v="3900"/>
    <m/>
    <m/>
    <m/>
    <m/>
    <m/>
    <m/>
    <m/>
    <m/>
    <s v="Des #1600492; Corps RGP did not require ILF mitigation"/>
  </r>
  <r>
    <d v="2020-11-24T00:00:00"/>
    <s v="November"/>
    <n v="2020"/>
    <x v="10"/>
    <n v="-0.04"/>
    <x v="0"/>
    <n v="3200"/>
    <n v="152"/>
    <x v="1"/>
    <s v="PEM"/>
    <n v="0.02"/>
    <s v="INDOT"/>
    <s v="LRL-2020-445-scm"/>
    <s v="2020-462-24-JBT-X"/>
    <m/>
    <s v="Franklin"/>
    <n v="39.413513999999999"/>
    <n v="-84.901888999999997"/>
    <s v="Transportation"/>
    <m/>
    <s v="No"/>
    <m/>
    <n v="480"/>
    <n v="2240"/>
    <n v="480"/>
    <m/>
    <m/>
    <m/>
    <m/>
    <m/>
    <m/>
    <m/>
    <m/>
    <s v="Des #1600492; Corps RGP did not require ILF mitigation"/>
  </r>
  <r>
    <d v="2020-11-24T00:00:00"/>
    <s v="November"/>
    <n v="2020"/>
    <x v="10"/>
    <n v="-129"/>
    <x v="1"/>
    <n v="51600"/>
    <n v="144"/>
    <x v="1"/>
    <s v="Eph"/>
    <n v="627"/>
    <s v="INDOT"/>
    <s v="LRL-2017-54"/>
    <s v="2016-702-79-SKG-A"/>
    <m/>
    <s v="Bartholomew and Jackson"/>
    <n v="39.04927"/>
    <n v="-85.913449999999997"/>
    <s v="Transportation"/>
    <m/>
    <s v="No"/>
    <m/>
    <n v="7740"/>
    <n v="36120"/>
    <n v="7740"/>
    <m/>
    <m/>
    <m/>
    <m/>
    <m/>
    <m/>
    <m/>
    <m/>
    <s v="DES # 0501212; USACE did not require mitigation"/>
  </r>
  <r>
    <d v="2020-11-30T00:00:00"/>
    <s v="November"/>
    <n v="2020"/>
    <x v="0"/>
    <n v="-0.48"/>
    <x v="0"/>
    <n v="45600"/>
    <n v="167"/>
    <x v="1"/>
    <s v="PFO"/>
    <n v="0.16"/>
    <s v="Aaron Anderson"/>
    <s v="LRC-2020-393(RGP)"/>
    <s v="2020-573-64-MTM-A"/>
    <m/>
    <s v="Porter"/>
    <n v="41.617820000000002"/>
    <n v="-86.986503999999996"/>
    <s v="Development"/>
    <m/>
    <s v="No"/>
    <m/>
    <n v="6840"/>
    <n v="31919.999999999996"/>
    <n v="6840"/>
    <m/>
    <m/>
    <m/>
    <m/>
    <m/>
    <m/>
    <m/>
    <m/>
    <m/>
  </r>
  <r>
    <d v="2020-11-30T00:00:00"/>
    <s v="November"/>
    <n v="2020"/>
    <x v="6"/>
    <n v="-91"/>
    <x v="1"/>
    <n v="54600"/>
    <n v="158"/>
    <x v="1"/>
    <s v="Per"/>
    <n v="91"/>
    <s v="INDOT"/>
    <s v="LRE-2020-00293-120-R20 (RGP) "/>
    <s v="2020-553-20-JBT-A "/>
    <m/>
    <s v="Elkhart"/>
    <n v="41.704459999999997"/>
    <n v="-85.872399999999999"/>
    <s v="Transportation"/>
    <m/>
    <s v="No"/>
    <m/>
    <n v="8190"/>
    <n v="38220"/>
    <n v="8190"/>
    <m/>
    <m/>
    <m/>
    <m/>
    <m/>
    <m/>
    <m/>
    <m/>
    <s v="DES No. 1600415; USACE did not require ILF mitigation"/>
  </r>
  <r>
    <d v="2020-11-30T00:00:00"/>
    <s v="November"/>
    <n v="2020"/>
    <x v="9"/>
    <n v="-0.98"/>
    <x v="0"/>
    <n v="78400"/>
    <n v="170"/>
    <x v="2"/>
    <s v="PFO"/>
    <n v="0.39"/>
    <s v="Shear Group"/>
    <s v="N/A"/>
    <s v="IWIP 2019-817-49-ALF-A"/>
    <m/>
    <s v="Marion "/>
    <n v="39.699241000000001"/>
    <n v="-86.074978000000002"/>
    <s v="Development"/>
    <m/>
    <s v="No"/>
    <m/>
    <n v="11760"/>
    <n v="54880"/>
    <n v="11760"/>
    <m/>
    <m/>
    <m/>
    <m/>
    <m/>
    <m/>
    <m/>
    <m/>
    <s v="State Isolated Class II (PFO) Forested Wetland impact"/>
  </r>
  <r>
    <d v="2020-12-02T00:00:00"/>
    <s v="December"/>
    <n v="2020"/>
    <x v="2"/>
    <n v="-9.7000000000000003E-2"/>
    <x v="0"/>
    <n v="7760"/>
    <n v="165"/>
    <x v="2"/>
    <s v="PEM"/>
    <n v="9.7000000000000003E-2"/>
    <s v="Donna Neese"/>
    <s v="N/A"/>
    <s v="IWGP 2020-680-TMS-A"/>
    <m/>
    <s v="Monroe"/>
    <n v="39.297471000000002"/>
    <n v="-86.572394000000003"/>
    <s v="Development"/>
    <m/>
    <s v="No"/>
    <m/>
    <n v="1164"/>
    <n v="5432"/>
    <n v="1164"/>
    <m/>
    <m/>
    <m/>
    <m/>
    <m/>
    <m/>
    <m/>
    <m/>
    <m/>
  </r>
  <r>
    <d v="2020-12-04T00:00:00"/>
    <s v="December"/>
    <n v="2020"/>
    <x v="9"/>
    <n v="-0.03"/>
    <x v="0"/>
    <n v="2400"/>
    <n v="174"/>
    <x v="2"/>
    <s v="PSS"/>
    <n v="0.03"/>
    <s v="Sunbeam Development"/>
    <s v="N/A"/>
    <s v="IWGP 2020-877-29-ALF-A"/>
    <m/>
    <s v="Hamilton"/>
    <n v="39.965474999999998"/>
    <n v="-85.996429000000006"/>
    <s v="Development"/>
    <m/>
    <s v="No"/>
    <m/>
    <n v="360"/>
    <n v="1680"/>
    <n v="360"/>
    <m/>
    <m/>
    <m/>
    <m/>
    <m/>
    <m/>
    <m/>
    <m/>
    <s v="State Isolated Class I Non-Forested (PSS) Wetland impact"/>
  </r>
  <r>
    <d v="2020-12-07T00:00:00"/>
    <s v="December"/>
    <n v="2020"/>
    <x v="9"/>
    <n v="-0.32"/>
    <x v="0"/>
    <n v="25600"/>
    <n v="169"/>
    <x v="2"/>
    <s v="PEM"/>
    <n v="0.32"/>
    <s v="North Buck Creek Realty, LLC"/>
    <s v="N/A"/>
    <s v="IWGP-2020-816-30-ALF-A"/>
    <m/>
    <s v="Hancock"/>
    <n v="39.820300000000003"/>
    <n v="-85.940600000000003"/>
    <s v="Development"/>
    <m/>
    <s v="No"/>
    <m/>
    <n v="3840"/>
    <n v="17920"/>
    <n v="3840"/>
    <m/>
    <m/>
    <m/>
    <m/>
    <m/>
    <m/>
    <m/>
    <m/>
    <s v="State Isolated Class I Non-Forested (PEM) Wetland impact"/>
  </r>
  <r>
    <d v="2020-12-21T00:00:00"/>
    <s v="December"/>
    <n v="2020"/>
    <x v="9"/>
    <n v="-3.7600000000000001E-2"/>
    <x v="0"/>
    <n v="3008"/>
    <n v="157"/>
    <x v="1"/>
    <s v="PEM"/>
    <n v="1.8800000000000001E-2"/>
    <s v="City of Indianapolis DPW"/>
    <s v="LRL-2020-497-lcl"/>
    <s v="2020-549-49-ALF-A"/>
    <m/>
    <s v="Marion "/>
    <n v="39.886099999999999"/>
    <n v="-86.314099999999996"/>
    <s v="Transportation"/>
    <m/>
    <s v="No"/>
    <m/>
    <n v="451.2"/>
    <n v="2105.6"/>
    <n v="451.2"/>
    <m/>
    <m/>
    <m/>
    <m/>
    <m/>
    <m/>
    <m/>
    <m/>
    <s v="Corps RGP did not require mitigation"/>
  </r>
  <r>
    <d v="2020-12-21T00:00:00"/>
    <s v="December"/>
    <n v="2020"/>
    <x v="9"/>
    <n v="-0.2"/>
    <x v="0"/>
    <n v="16000"/>
    <n v="163"/>
    <x v="2"/>
    <s v="PEM"/>
    <n v="0.2"/>
    <s v="Lennar Homes of Indiana, Inc."/>
    <s v="N/A"/>
    <s v="IWGP 2020-753-29-ALF-A"/>
    <m/>
    <s v="Hamilton"/>
    <n v="40.038899999999998"/>
    <n v="-86.057000000000002"/>
    <s v="Development"/>
    <m/>
    <s v="No"/>
    <m/>
    <n v="2400"/>
    <n v="11200"/>
    <n v="2400"/>
    <m/>
    <m/>
    <m/>
    <m/>
    <m/>
    <m/>
    <m/>
    <m/>
    <s v="State Isolated Class I Non-Forested (PEM) Wetland impact - Project had additional impacts that were mitigated permittee responsible"/>
  </r>
  <r>
    <d v="2020-12-29T00:00:00"/>
    <s v="December"/>
    <n v="2020"/>
    <x v="9"/>
    <n v="-3.7"/>
    <x v="0"/>
    <n v="296000"/>
    <n v="177"/>
    <x v="2"/>
    <s v="PFO"/>
    <n v="1.48"/>
    <s v="Exeter Property Group"/>
    <s v="N/A"/>
    <s v="IWIP 2020-795-30-ALF-A"/>
    <m/>
    <s v="Hancock"/>
    <n v="39.492600000000003"/>
    <n v="-85.555499999999995"/>
    <s v="Development"/>
    <m/>
    <s v="No"/>
    <m/>
    <n v="44400"/>
    <n v="207200"/>
    <n v="44400"/>
    <m/>
    <m/>
    <m/>
    <m/>
    <m/>
    <m/>
    <m/>
    <m/>
    <s v="State Isolated Class II Forested (PFO) Wetland impacts"/>
  </r>
  <r>
    <m/>
    <m/>
    <m/>
    <x v="11"/>
    <m/>
    <x v="2"/>
    <m/>
    <m/>
    <x v="0"/>
    <m/>
    <m/>
    <m/>
    <m/>
    <m/>
    <m/>
    <m/>
    <m/>
    <m/>
    <m/>
    <m/>
    <m/>
    <m/>
    <m/>
    <m/>
    <m/>
    <m/>
    <m/>
    <m/>
    <m/>
    <m/>
    <m/>
    <m/>
    <m/>
    <m/>
  </r>
  <r>
    <d v="2021-01-04T00:00:00"/>
    <s v="January"/>
    <n v="2021"/>
    <x v="3"/>
    <n v="-0.248"/>
    <x v="0"/>
    <n v="19840"/>
    <n v="173"/>
    <x v="1"/>
    <s v="PFO"/>
    <n v="6.2E-2"/>
    <s v="Allen County Highway Department"/>
    <s v="LRE-2020-02315-102-R20"/>
    <s v="2020-856-02-WRH-X"/>
    <m/>
    <s v="Allen"/>
    <n v="41.200091"/>
    <n v="-85.100429000000005"/>
    <s v="Transportation"/>
    <m/>
    <s v="No"/>
    <m/>
    <n v="2976"/>
    <n v="13888"/>
    <n v="2976"/>
    <s v="D"/>
    <s v="J"/>
    <m/>
    <m/>
    <m/>
    <m/>
    <m/>
    <m/>
    <s v="Corps RGP - IDEM RGP"/>
  </r>
  <r>
    <d v="2021-01-04T00:00:00"/>
    <s v="January"/>
    <n v="2021"/>
    <x v="4"/>
    <n v="-0.25"/>
    <x v="0"/>
    <n v="20000"/>
    <n v="168"/>
    <x v="2"/>
    <s v="PEM"/>
    <n v="0.25"/>
    <s v="Terre Haute Regional Airport"/>
    <s v="N/A"/>
    <s v="IWGP 2019-380-84-JMK-A"/>
    <m/>
    <s v="Vigo"/>
    <n v="39.453290000000003"/>
    <n v="-87.311220000000006"/>
    <s v="Transportation"/>
    <m/>
    <s v="No"/>
    <m/>
    <n v="3000"/>
    <n v="14000"/>
    <n v="3000"/>
    <s v="L"/>
    <s v="SI"/>
    <s v="1 NF"/>
    <m/>
    <m/>
    <m/>
    <m/>
    <m/>
    <s v="State Isolated General Permit Non-Forested (PEM)"/>
  </r>
  <r>
    <d v="2021-01-14T00:00:00"/>
    <s v="January"/>
    <n v="2021"/>
    <x v="9"/>
    <n v="-88"/>
    <x v="1"/>
    <n v="39600"/>
    <n v="166"/>
    <x v="1"/>
    <s v="Int"/>
    <n v="88"/>
    <s v="INDOT"/>
    <s v="LRL-2020-447-scm "/>
    <s v="2020-568-32-JBT-A "/>
    <m/>
    <s v="Hendricks and Marion"/>
    <n v="39.7637"/>
    <n v="-86.328000000000003"/>
    <s v="Transportation"/>
    <m/>
    <s v="No"/>
    <m/>
    <n v="5940"/>
    <n v="27720"/>
    <n v="5940"/>
    <s v="L"/>
    <s v="J"/>
    <m/>
    <m/>
    <m/>
    <m/>
    <m/>
    <m/>
    <s v="Corps RGP did not require mitigation"/>
  </r>
  <r>
    <d v="2021-01-25T00:00:00"/>
    <s v="January"/>
    <n v="2021"/>
    <x v="7"/>
    <n v="-1664"/>
    <x v="1"/>
    <n v="665600"/>
    <n v="111"/>
    <x v="1"/>
    <s v="Int"/>
    <n v="1387"/>
    <s v="INDOT"/>
    <s v="LRL-2016-559-djd"/>
    <s v="2019-171-10-JBT-A"/>
    <m/>
    <s v="Clark"/>
    <n v="38.342010000000002"/>
    <n v="-85.668440000000004"/>
    <s v="Transportation"/>
    <m/>
    <s v="No"/>
    <m/>
    <n v="99840"/>
    <n v="465919.99999999994"/>
    <n v="99840"/>
    <s v="L"/>
    <s v="J"/>
    <m/>
    <m/>
    <m/>
    <m/>
    <m/>
    <m/>
    <s v="DES #1382612, MOD"/>
  </r>
  <r>
    <d v="2021-01-25T00:00:00"/>
    <s v="January"/>
    <n v="2021"/>
    <x v="7"/>
    <n v="-0.14000000000000001"/>
    <x v="0"/>
    <n v="11200"/>
    <n v="111"/>
    <x v="1"/>
    <s v="PFO"/>
    <n v="3.5000000000000003E-2"/>
    <s v="INDOT"/>
    <s v="LRL-2016-559-djd"/>
    <s v="2019-171-10-JBT-A"/>
    <m/>
    <s v="Clark"/>
    <n v="38.342010000000002"/>
    <n v="-85.668440000000004"/>
    <s v="Transportation"/>
    <m/>
    <s v="No"/>
    <m/>
    <n v="1680"/>
    <n v="7839.9999999999991"/>
    <n v="1680"/>
    <s v="L"/>
    <s v="J"/>
    <m/>
    <m/>
    <m/>
    <m/>
    <m/>
    <m/>
    <s v="DES #1382612, MOD"/>
  </r>
  <r>
    <d v="2021-01-26T00:00:00"/>
    <s v="January"/>
    <n v="2021"/>
    <x v="8"/>
    <n v="-1.02"/>
    <x v="0"/>
    <n v="81600"/>
    <n v="175"/>
    <x v="2"/>
    <s v="PEM"/>
    <n v="0.51"/>
    <s v="AWP"/>
    <s v="N/A"/>
    <s v="IWIP 2020-782-38-WRH-A"/>
    <m/>
    <s v="Jay"/>
    <n v="40.378520000000002"/>
    <n v="-85.191590000000005"/>
    <s v="Energy Production"/>
    <m/>
    <s v="No"/>
    <m/>
    <n v="12240"/>
    <n v="57120"/>
    <n v="12240"/>
    <s v="L"/>
    <s v="SI"/>
    <s v="2 NF"/>
    <m/>
    <m/>
    <m/>
    <m/>
    <m/>
    <s v="State Isolated Class II Non-Forested (PEM) impacts"/>
  </r>
  <r>
    <d v="2021-01-26T00:00:00"/>
    <s v="January"/>
    <n v="2021"/>
    <x v="8"/>
    <n v="-0.42499999999999999"/>
    <x v="0"/>
    <n v="34000"/>
    <n v="175"/>
    <x v="2"/>
    <s v="PFO"/>
    <n v="0.17"/>
    <s v="AEP"/>
    <s v="N/A"/>
    <s v="IWIP 2020-782-38-WRH-A"/>
    <m/>
    <s v="Jay"/>
    <n v="40.378520000000002"/>
    <n v="-85.191590000000005"/>
    <s v="Energy Production"/>
    <m/>
    <s v="No"/>
    <m/>
    <n v="5100"/>
    <n v="23800"/>
    <n v="5100"/>
    <s v="L"/>
    <s v="SI"/>
    <s v="2 F"/>
    <m/>
    <m/>
    <m/>
    <m/>
    <m/>
    <s v="State Isolated Class II Forested (PFO) impacts"/>
  </r>
  <r>
    <d v="2021-01-28T00:00:00"/>
    <s v="January"/>
    <n v="2021"/>
    <x v="7"/>
    <n v="-458"/>
    <x v="1"/>
    <n v="183200"/>
    <n v="164"/>
    <x v="1"/>
    <s v="Int"/>
    <n v="858"/>
    <s v="INDOT"/>
    <s v="LRL-2020-494-scm"/>
    <s v="2020-587-39-JBT-A"/>
    <m/>
    <s v="Jefferson"/>
    <n v="38.734000000000002"/>
    <n v="-85.367500000000007"/>
    <s v="Transportation"/>
    <m/>
    <s v="No"/>
    <m/>
    <n v="27480"/>
    <n v="128239.99999999999"/>
    <n v="27480"/>
    <s v="L"/>
    <s v="J"/>
    <m/>
    <m/>
    <m/>
    <m/>
    <m/>
    <m/>
    <s v="DES # 1600669"/>
  </r>
  <r>
    <d v="2021-01-28T00:00:00"/>
    <s v="January"/>
    <n v="2021"/>
    <x v="8"/>
    <n v="-6.9000000000000006E-2"/>
    <x v="0"/>
    <n v="5520"/>
    <n v="181"/>
    <x v="2"/>
    <s v="PEM"/>
    <n v="6.9000000000000006E-2"/>
    <s v="INDOT"/>
    <s v="N/A"/>
    <s v="IWGP 2020-746-JBT-A"/>
    <m/>
    <s v="Tippecanoe"/>
    <n v="40.258200000000002"/>
    <n v="-86.706000000000003"/>
    <s v="Transportation"/>
    <m/>
    <s v="No"/>
    <m/>
    <n v="828"/>
    <n v="3863.9999999999995"/>
    <n v="828"/>
    <s v="L"/>
    <s v="SI"/>
    <s v="2 NF"/>
    <m/>
    <m/>
    <m/>
    <m/>
    <m/>
    <s v="State Isolated Wetland General Permit - Non-Forested (PEM) impact - DES#1592968"/>
  </r>
  <r>
    <d v="2021-01-28T00:00:00"/>
    <s v="January"/>
    <n v="2021"/>
    <x v="8"/>
    <n v="-0.26500000000000001"/>
    <x v="0"/>
    <n v="21200"/>
    <n v="181"/>
    <x v="2"/>
    <s v="PEM"/>
    <n v="0.13250000000000001"/>
    <s v="INDOT"/>
    <s v="N/A"/>
    <s v="IWIP 2020-746-JBT-A"/>
    <m/>
    <s v="Tippecanoe"/>
    <n v="40.258200000000002"/>
    <n v="-86.706000000000003"/>
    <s v="Transportation"/>
    <m/>
    <s v="No"/>
    <m/>
    <n v="3180"/>
    <n v="14839.999999999998"/>
    <n v="3180"/>
    <s v="L"/>
    <s v="SI"/>
    <s v="2 NF"/>
    <m/>
    <m/>
    <m/>
    <m/>
    <m/>
    <s v="State Isolated Wetland Individual Permit - Class II Non-Forested (PEM) impact  - DES#1592968"/>
  </r>
  <r>
    <d v="2021-02-02T00:00:00"/>
    <s v="February"/>
    <n v="2021"/>
    <x v="10"/>
    <n v="-0.85"/>
    <x v="0"/>
    <n v="68000"/>
    <n v="187"/>
    <x v="2"/>
    <s v="PEM"/>
    <n v="0.85"/>
    <s v="Hancock Regional Hospital"/>
    <s v="N/A"/>
    <s v="IWGP 2020-972-30-ALF-A"/>
    <m/>
    <s v="Hancock"/>
    <n v="39.814500000000002"/>
    <n v="-85.920900000000003"/>
    <s v="Development"/>
    <m/>
    <s v="No"/>
    <m/>
    <n v="10200"/>
    <n v="47600"/>
    <n v="10200"/>
    <s v="L"/>
    <s v="SI"/>
    <s v="1 NF"/>
    <m/>
    <m/>
    <m/>
    <m/>
    <m/>
    <s v="State Isolated Wetland General Permit-Class I Non-Forested (PEM)"/>
  </r>
  <r>
    <d v="2021-02-08T00:00:00"/>
    <s v="February"/>
    <n v="2021"/>
    <x v="0"/>
    <n v="-0.83"/>
    <x v="0"/>
    <n v="78850"/>
    <n v="171"/>
    <x v="2"/>
    <s v="PEM"/>
    <n v="0.83"/>
    <s v="Indiana Harbor Belt Railroad"/>
    <s v="N/A"/>
    <s v="IWGP 2020-833-45-MTM-A"/>
    <m/>
    <s v="Lake"/>
    <n v="41.606099999999998"/>
    <n v="-87.476979999999998"/>
    <s v="Transportation"/>
    <m/>
    <s v="No"/>
    <m/>
    <n v="11827.5"/>
    <n v="55195"/>
    <n v="11827.5"/>
    <s v="C"/>
    <s v="SI"/>
    <s v="1 NF"/>
    <m/>
    <m/>
    <m/>
    <m/>
    <m/>
    <s v="State Isolated Wetland General Permit - Class I Non-Forested (PEM)"/>
  </r>
  <r>
    <d v="2021-02-08T00:00:00"/>
    <s v="February"/>
    <n v="2021"/>
    <x v="8"/>
    <n v="-7.4999999999999997E-2"/>
    <x v="0"/>
    <n v="6000"/>
    <n v="183"/>
    <x v="2"/>
    <s v="PFO"/>
    <n v="0.03"/>
    <s v="Oakmont Development"/>
    <s v="N/A"/>
    <s v="IWGP 2020-974-02-WRH-A"/>
    <m/>
    <s v="Allen"/>
    <n v="41.087142"/>
    <n v="-85.294747999999998"/>
    <s v="Development"/>
    <m/>
    <s v="No"/>
    <m/>
    <n v="900"/>
    <n v="4200"/>
    <n v="900"/>
    <s v="D"/>
    <s v="SI"/>
    <s v="2 F"/>
    <m/>
    <m/>
    <m/>
    <m/>
    <m/>
    <s v="Class II Forested Wetland impact"/>
  </r>
  <r>
    <d v="2021-02-16T00:00:00"/>
    <s v="February"/>
    <n v="2021"/>
    <x v="1"/>
    <n v="-0.16"/>
    <x v="0"/>
    <n v="15200"/>
    <n v="190"/>
    <x v="1"/>
    <s v="PEM"/>
    <n v="0.08"/>
    <s v="Olthof Homes"/>
    <s v="LRC-2019-425"/>
    <s v="2020-73-64-MTM-X"/>
    <m/>
    <s v="Porter"/>
    <n v="41.511557000000003"/>
    <n v="-87.027777"/>
    <s v="Development"/>
    <m/>
    <s v="No"/>
    <m/>
    <n v="2280"/>
    <n v="10640"/>
    <n v="2280"/>
    <s v="C"/>
    <s v="J"/>
    <m/>
    <m/>
    <m/>
    <m/>
    <m/>
    <m/>
    <s v="Corps RGP - IDEM RGP"/>
  </r>
  <r>
    <d v="2021-02-22T00:00:00"/>
    <s v="February"/>
    <n v="2021"/>
    <x v="8"/>
    <n v="-0.15"/>
    <x v="0"/>
    <n v="12000"/>
    <n v="191"/>
    <x v="2"/>
    <s v="PFO"/>
    <n v="0.06"/>
    <s v="AMS 2021 BTS - Fort Wayne IN, LLC"/>
    <s v="N/A"/>
    <s v="IWGP 2021-33-02-WRH-A"/>
    <m/>
    <s v="Allen"/>
    <n v="41.129221000000001"/>
    <n v="-85.220174"/>
    <s v="Development"/>
    <m/>
    <s v="No"/>
    <m/>
    <n v="1800"/>
    <n v="8400"/>
    <n v="1800"/>
    <s v="D"/>
    <s v="SI"/>
    <s v="2 F"/>
    <m/>
    <m/>
    <m/>
    <m/>
    <m/>
    <s v="Class II Forested Wetland impact"/>
  </r>
  <r>
    <d v="2021-03-08T00:00:00"/>
    <s v="March"/>
    <n v="2021"/>
    <x v="6"/>
    <n v="-0.79"/>
    <x v="0"/>
    <n v="94800"/>
    <n v="195"/>
    <x v="1"/>
    <s v="PEM"/>
    <n v="0.66"/>
    <s v="City of Mishawaka"/>
    <s v="LRE-2018-01101-171-R20"/>
    <s v="2020-060-71-JWR-A"/>
    <m/>
    <s v="St. Joseph"/>
    <n v="41.66413"/>
    <n v="-86.180869999999999"/>
    <s v="Development"/>
    <m/>
    <s v="No"/>
    <m/>
    <n v="14220"/>
    <n v="66360"/>
    <n v="14220"/>
    <s v="D"/>
    <s v="J"/>
    <m/>
    <m/>
    <m/>
    <m/>
    <m/>
    <m/>
    <s v="Open water fill with ILF wetland mitigation required"/>
  </r>
  <r>
    <d v="2021-03-08T00:00:00"/>
    <s v="March"/>
    <n v="2021"/>
    <x v="7"/>
    <n v="-0.2"/>
    <x v="0"/>
    <n v="16000"/>
    <n v="192"/>
    <x v="2"/>
    <s v="PEM"/>
    <n v="8.8999999999999996E-2"/>
    <s v="Cedar Pointe, LLC"/>
    <s v="N/A"/>
    <s v="IWGP 2021-013-22-TMS-A"/>
    <m/>
    <s v="Floyd"/>
    <n v="38.346536999999998"/>
    <n v="-85.932128000000006"/>
    <s v="Development"/>
    <m/>
    <s v="No"/>
    <m/>
    <n v="2400"/>
    <n v="11200"/>
    <n v="2400"/>
    <s v="L"/>
    <s v="SI"/>
    <s v="2 NF"/>
    <m/>
    <m/>
    <m/>
    <m/>
    <m/>
    <s v="State Isolated Class II NF, PEM"/>
  </r>
  <r>
    <d v="2021-03-08T00:00:00"/>
    <s v="March"/>
    <n v="2021"/>
    <x v="7"/>
    <n v="-2.23"/>
    <x v="0"/>
    <n v="178400"/>
    <n v="180"/>
    <x v="1"/>
    <s v="PEM"/>
    <n v="0.92800000000000005"/>
    <s v="Koetter Real Estate Services"/>
    <s v="LRL-2020-00022"/>
    <s v="2020-013-10-TMS-A"/>
    <m/>
    <s v="Clark"/>
    <n v="38.34666"/>
    <n v="-85.713571000000002"/>
    <s v="Development"/>
    <m/>
    <s v="No"/>
    <m/>
    <n v="26760"/>
    <n v="124879.99999999999"/>
    <n v="26760"/>
    <s v="L"/>
    <s v="J"/>
    <m/>
    <m/>
    <m/>
    <m/>
    <m/>
    <m/>
    <s v="USACE didn't require mitigation, due to change in jurisdiction. "/>
  </r>
  <r>
    <d v="2021-03-08T00:00:00"/>
    <s v="March"/>
    <n v="2021"/>
    <x v="7"/>
    <n v="-132"/>
    <x v="1"/>
    <n v="52800"/>
    <n v="180"/>
    <x v="1"/>
    <s v="Eph"/>
    <n v="220"/>
    <s v="Koetter Real Estate Services"/>
    <s v="LRL-2020-00022"/>
    <s v="2020-013-10-TMS-A"/>
    <m/>
    <s v="Clark"/>
    <n v="38.34666"/>
    <n v="-85.713571000000002"/>
    <s v="Development"/>
    <m/>
    <s v="No"/>
    <m/>
    <n v="7920"/>
    <n v="36960"/>
    <n v="7920"/>
    <s v="L"/>
    <s v="J"/>
    <m/>
    <m/>
    <m/>
    <m/>
    <m/>
    <m/>
    <s v="USACE didn't require mitigation, due to change in jurisdiction. "/>
  </r>
  <r>
    <d v="2021-03-08T00:00:00"/>
    <s v="March"/>
    <n v="2021"/>
    <x v="9"/>
    <n v="-0.36"/>
    <x v="0"/>
    <n v="28800"/>
    <n v="185"/>
    <x v="2"/>
    <s v="PEM"/>
    <n v="0.36"/>
    <s v="Clover Communities McCordsville LLC"/>
    <s v="N/A"/>
    <s v="IWGP 2020-163-30-ALF-A"/>
    <m/>
    <s v="Hancock"/>
    <n v="39.889200000000002"/>
    <n v="-85.929500000000004"/>
    <s v="Development"/>
    <m/>
    <s v="No"/>
    <m/>
    <n v="4320"/>
    <n v="20160"/>
    <n v="4320"/>
    <s v="L"/>
    <s v="SI"/>
    <s v="1 NF"/>
    <m/>
    <m/>
    <m/>
    <m/>
    <m/>
    <s v="State Isolated Class I Non-Forested (PEM)  Wetland impact"/>
  </r>
  <r>
    <d v="2021-03-08T00:00:00"/>
    <s v="March"/>
    <n v="2021"/>
    <x v="9"/>
    <n v="-3.375"/>
    <x v="0"/>
    <n v="270000"/>
    <n v="200"/>
    <x v="2"/>
    <s v="PFO"/>
    <n v="1.35"/>
    <s v="AMS - RC Services, LLC"/>
    <s v="N/A"/>
    <s v="IWIP 2020-931-32-ERL-A"/>
    <m/>
    <s v="Hendricks"/>
    <n v="39.662700000000001"/>
    <n v="-86.3733"/>
    <s v="Development"/>
    <m/>
    <s v="No"/>
    <m/>
    <n v="40500"/>
    <n v="189000"/>
    <n v="40500"/>
    <s v="L"/>
    <s v="SI"/>
    <s v="2 F"/>
    <m/>
    <m/>
    <m/>
    <m/>
    <m/>
    <s v="State Isolated Class II Forested (PFO) Wetland impacts"/>
  </r>
  <r>
    <d v="2021-03-08T00:00:00"/>
    <s v="March"/>
    <n v="2021"/>
    <x v="9"/>
    <n v="-0.09"/>
    <x v="0"/>
    <n v="7200"/>
    <n v="200"/>
    <x v="2"/>
    <s v="PEM"/>
    <n v="0.09"/>
    <s v="AMS - RC Services, LLC"/>
    <s v="N/A"/>
    <s v="IWGP 2020-931-32-ERL-A"/>
    <m/>
    <s v="Hendricks"/>
    <n v="39.662700000000001"/>
    <n v="-86.3733"/>
    <s v="Development"/>
    <m/>
    <s v="No"/>
    <m/>
    <n v="1080"/>
    <n v="5040"/>
    <n v="1080"/>
    <s v="L"/>
    <s v="SI"/>
    <s v="1 NF"/>
    <m/>
    <m/>
    <m/>
    <m/>
    <m/>
    <s v="State Isolated Class I Non-Forested (PEM)  Wetland impact"/>
  </r>
  <r>
    <d v="2021-03-15T00:00:00"/>
    <s v="March"/>
    <n v="2021"/>
    <x v="10"/>
    <n v="-1150"/>
    <x v="1"/>
    <n v="460000"/>
    <n v="186"/>
    <x v="1"/>
    <s v="Int"/>
    <n v="759"/>
    <s v="Hanson Aggregates Midwest, LLC"/>
    <s v="LRL-2020-26-MKD"/>
    <s v="2020-041-TMS-A"/>
    <m/>
    <s v="Jennings"/>
    <n v="38.985688000000003"/>
    <n v="-85.727684999999994"/>
    <s v="Development"/>
    <m/>
    <s v="No"/>
    <m/>
    <n v="69000"/>
    <n v="322000"/>
    <n v="69000"/>
    <s v="L"/>
    <s v="J"/>
    <m/>
    <m/>
    <m/>
    <m/>
    <m/>
    <m/>
    <m/>
  </r>
  <r>
    <d v="2021-03-17T00:00:00"/>
    <s v="March"/>
    <n v="2021"/>
    <x v="1"/>
    <n v="-194"/>
    <x v="1"/>
    <n v="97000"/>
    <n v="176"/>
    <x v="1"/>
    <s v="Int"/>
    <n v="194"/>
    <s v="INDOT"/>
    <s v="LRC-2020-00788"/>
    <s v="2020-838-64-JBT-A"/>
    <m/>
    <s v="Porter"/>
    <n v="41.400540200000002"/>
    <n v="-87.158702300000002"/>
    <s v="Transportation"/>
    <m/>
    <s v="No"/>
    <m/>
    <n v="14550"/>
    <n v="67900"/>
    <n v="14550"/>
    <s v="C"/>
    <s v="J"/>
    <m/>
    <m/>
    <m/>
    <m/>
    <m/>
    <m/>
    <m/>
  </r>
  <r>
    <d v="2021-03-17T00:00:00"/>
    <s v="March"/>
    <n v="2021"/>
    <x v="1"/>
    <n v="-140"/>
    <x v="1"/>
    <n v="70000"/>
    <n v="176"/>
    <x v="1"/>
    <s v="Per"/>
    <n v="140"/>
    <s v="INDOT"/>
    <s v="LRC-2020-00789"/>
    <s v="2020-838-64-JBT-A"/>
    <m/>
    <s v="Porter"/>
    <n v="41.400540200000002"/>
    <n v="-87.158702300000002"/>
    <s v="Transportation"/>
    <m/>
    <s v="No"/>
    <m/>
    <n v="10500"/>
    <n v="49000"/>
    <n v="10500"/>
    <s v="C"/>
    <s v="J"/>
    <m/>
    <m/>
    <m/>
    <m/>
    <m/>
    <m/>
    <m/>
  </r>
  <r>
    <d v="2021-03-22T00:00:00"/>
    <s v="March"/>
    <n v="2021"/>
    <x v="10"/>
    <n v="-3.8"/>
    <x v="0"/>
    <n v="304000"/>
    <n v="196"/>
    <x v="1"/>
    <s v="PFO"/>
    <n v="0.95"/>
    <s v="City of Greenfield"/>
    <s v="LRL-2019-726-lcl"/>
    <s v="2020-952-30-ALF-A"/>
    <m/>
    <s v="Hancock"/>
    <n v="39.777700000000003"/>
    <n v="-85.760199999999998"/>
    <s v="Transportation"/>
    <m/>
    <s v="No"/>
    <m/>
    <n v="45600"/>
    <n v="212800"/>
    <n v="45600"/>
    <s v="L"/>
    <s v="J"/>
    <m/>
    <m/>
    <m/>
    <m/>
    <m/>
    <m/>
    <m/>
  </r>
  <r>
    <d v="2021-03-30T00:00:00"/>
    <s v="March"/>
    <n v="2021"/>
    <x v="3"/>
    <n v="-2.1"/>
    <x v="0"/>
    <n v="168000"/>
    <n v="202"/>
    <x v="1"/>
    <s v="PFO"/>
    <n v="0.03"/>
    <s v="Allen County Highway Department"/>
    <s v="LRE-2000-30021-102-R21"/>
    <s v="2007-698-02-SSA-A"/>
    <m/>
    <s v="Allen"/>
    <s v="41-078652"/>
    <n v="-85.059173000000001"/>
    <s v="Transportation"/>
    <m/>
    <s v="No"/>
    <m/>
    <n v="25200"/>
    <n v="117599.99999999999"/>
    <n v="25200"/>
    <s v="D"/>
    <s v="J"/>
    <m/>
    <m/>
    <m/>
    <m/>
    <m/>
    <m/>
    <s v="For failed mitigation"/>
  </r>
  <r>
    <d v="2021-03-30T00:00:00"/>
    <s v="March"/>
    <n v="2021"/>
    <x v="9"/>
    <n v="-76"/>
    <x v="1"/>
    <n v="34200"/>
    <n v="193"/>
    <x v="1"/>
    <s v="Int"/>
    <n v="76"/>
    <s v="INDOT"/>
    <s v="LRL-2017-461-scm"/>
    <s v="2020-911-32-JBT-A"/>
    <m/>
    <s v="Hendricks"/>
    <n v="39.659999999999997"/>
    <n v="-86.441999999999993"/>
    <s v="Transportation"/>
    <m/>
    <s v="No"/>
    <m/>
    <n v="5130"/>
    <n v="23940"/>
    <n v="5130"/>
    <s v="L"/>
    <s v="J"/>
    <m/>
    <m/>
    <m/>
    <m/>
    <m/>
    <m/>
    <s v="Corps did not require mitigation"/>
  </r>
  <r>
    <d v="2021-03-30T00:00:00"/>
    <s v="March"/>
    <n v="2021"/>
    <x v="9"/>
    <n v="-218"/>
    <x v="1"/>
    <n v="98100"/>
    <n v="193"/>
    <x v="1"/>
    <s v="Per"/>
    <n v="218"/>
    <s v="INDOT"/>
    <s v="LRL-2017-461-scm"/>
    <s v="2020-911-32-JBT-A"/>
    <m/>
    <s v="Hendricks"/>
    <n v="39.659999999999997"/>
    <n v="-86.441999999999993"/>
    <s v="Transportation"/>
    <m/>
    <s v="No"/>
    <m/>
    <n v="14715"/>
    <n v="68670"/>
    <n v="14715"/>
    <s v="L"/>
    <s v="J"/>
    <m/>
    <m/>
    <m/>
    <m/>
    <m/>
    <m/>
    <s v="Corps did not require mitigation"/>
  </r>
  <r>
    <d v="2021-03-30T00:00:00"/>
    <s v="March"/>
    <n v="2021"/>
    <x v="9"/>
    <n v="-5.3999999999999999E-2"/>
    <x v="0"/>
    <n v="4320"/>
    <n v="193"/>
    <x v="1"/>
    <s v="PSS"/>
    <n v="1.7999999999999999E-2"/>
    <s v="INDOT"/>
    <s v="LRL-2017-461-scm"/>
    <s v="2020-911-32-JBT-A"/>
    <m/>
    <s v="Hendricks"/>
    <n v="39.659999999999997"/>
    <n v="-86.441999999999993"/>
    <s v="Transportation"/>
    <m/>
    <s v="No"/>
    <m/>
    <n v="648"/>
    <n v="3024"/>
    <n v="648"/>
    <s v="L"/>
    <s v="J"/>
    <m/>
    <m/>
    <m/>
    <m/>
    <m/>
    <m/>
    <s v="Corps did not require mitigation"/>
  </r>
  <r>
    <d v="2021-04-05T00:00:00"/>
    <s v="April"/>
    <n v="2021"/>
    <x v="0"/>
    <n v="-13.08"/>
    <x v="0"/>
    <n v="1242600"/>
    <n v="197"/>
    <x v="1"/>
    <s v="PEM"/>
    <n v="4.3600000000000003"/>
    <s v="Northern Indiana Commuter Transportation District"/>
    <s v="LRC-2016-423"/>
    <s v="2020-661-45-MTM-A"/>
    <m/>
    <s v="Lake"/>
    <n v="41.650891000000001"/>
    <n v="-87.137271999999996"/>
    <s v="Transportation"/>
    <m/>
    <s v="No"/>
    <m/>
    <n v="186390"/>
    <n v="869820"/>
    <n v="186390"/>
    <s v="C"/>
    <s v="J"/>
    <m/>
    <m/>
    <m/>
    <m/>
    <m/>
    <m/>
    <m/>
  </r>
  <r>
    <d v="2021-04-05T00:00:00"/>
    <s v="April"/>
    <n v="2021"/>
    <x v="4"/>
    <n v="-7.4999999999999997E-2"/>
    <x v="0"/>
    <n v="6000"/>
    <n v="199"/>
    <x v="2"/>
    <s v="PFO"/>
    <n v="0.03"/>
    <s v="Grand Communities, LLC"/>
    <s v="None"/>
    <s v="IWGP 2020-946-6-ERL-A"/>
    <m/>
    <s v="Boone"/>
    <n v="40.050800000000002"/>
    <n v="-86.455299999999994"/>
    <s v="Development"/>
    <m/>
    <s v="No"/>
    <m/>
    <n v="900"/>
    <n v="4200"/>
    <n v="900"/>
    <s v="L"/>
    <s v="SI"/>
    <s v="2 F"/>
    <m/>
    <m/>
    <m/>
    <m/>
    <m/>
    <s v="State Isolated Class II Forested"/>
  </r>
  <r>
    <d v="2021-04-05T00:00:00"/>
    <s v="April"/>
    <n v="2021"/>
    <x v="4"/>
    <n v="-123"/>
    <x v="1"/>
    <n v="49200"/>
    <n v="184"/>
    <x v="1"/>
    <s v="Int"/>
    <n v="381"/>
    <s v="INDOT"/>
    <s v="LRL-2020-639-scm"/>
    <s v="2020-640-06-JBT-A"/>
    <m/>
    <s v="Boone"/>
    <n v="40.048000000000002"/>
    <n v="-86.49"/>
    <s v="Transportation"/>
    <m/>
    <s v="No"/>
    <m/>
    <n v="7380"/>
    <n v="34440"/>
    <n v="7380"/>
    <s v="L"/>
    <s v="COMB"/>
    <m/>
    <m/>
    <m/>
    <m/>
    <m/>
    <m/>
    <m/>
  </r>
  <r>
    <d v="2021-04-05T00:00:00"/>
    <s v="April"/>
    <n v="2021"/>
    <x v="4"/>
    <n v="-237"/>
    <x v="1"/>
    <n v="94800"/>
    <n v="184"/>
    <x v="1"/>
    <s v="Per"/>
    <n v="237"/>
    <s v="INDOT"/>
    <s v="LRL-2020-639-scm"/>
    <s v="2020-640-06-JBT-A"/>
    <m/>
    <s v="Boone"/>
    <n v="40.048000000000002"/>
    <n v="-86.49"/>
    <s v="Transportation"/>
    <m/>
    <s v="No"/>
    <m/>
    <n v="14220"/>
    <n v="66360"/>
    <n v="14220"/>
    <s v="L"/>
    <s v="COMB"/>
    <m/>
    <m/>
    <m/>
    <m/>
    <m/>
    <m/>
    <m/>
  </r>
  <r>
    <d v="2021-04-05T00:00:00"/>
    <s v="April"/>
    <n v="2021"/>
    <x v="4"/>
    <n v="-0.05"/>
    <x v="0"/>
    <n v="4000"/>
    <n v="184"/>
    <x v="1"/>
    <s v="PEM"/>
    <n v="2.5000000000000001E-2"/>
    <s v="INDOT"/>
    <s v="LRL-2020-639-scm"/>
    <s v="2020-640-06-JBT-A"/>
    <m/>
    <s v="Boone"/>
    <n v="40.048000000000002"/>
    <n v="-86.49"/>
    <s v="Transportation"/>
    <m/>
    <s v="No"/>
    <m/>
    <n v="600"/>
    <n v="2800"/>
    <n v="600"/>
    <s v="L"/>
    <s v="COMB"/>
    <m/>
    <m/>
    <m/>
    <m/>
    <m/>
    <m/>
    <m/>
  </r>
  <r>
    <d v="2021-04-05T00:00:00"/>
    <s v="April"/>
    <n v="2021"/>
    <x v="4"/>
    <n v="-2.7E-2"/>
    <x v="0"/>
    <n v="2160"/>
    <n v="184"/>
    <x v="1"/>
    <s v="PSS"/>
    <n v="8.9999999999999993E-3"/>
    <s v="INDOT"/>
    <s v="LRL-2020-639-scm"/>
    <s v="2020-640-06-JBT-A"/>
    <m/>
    <s v="Boone"/>
    <n v="40.048000000000002"/>
    <n v="-86.49"/>
    <s v="Transportation"/>
    <m/>
    <s v="No"/>
    <m/>
    <n v="324"/>
    <n v="1512"/>
    <n v="324"/>
    <s v="L"/>
    <s v="COMB"/>
    <m/>
    <m/>
    <m/>
    <m/>
    <m/>
    <m/>
    <m/>
  </r>
  <r>
    <d v="2021-04-05T00:00:00"/>
    <s v="April"/>
    <n v="2021"/>
    <x v="4"/>
    <n v="-0.03"/>
    <x v="0"/>
    <n v="2400"/>
    <n v="184"/>
    <x v="2"/>
    <s v="PEM"/>
    <n v="0.03"/>
    <s v="INDOT"/>
    <s v="LRL-2020-639-scm"/>
    <s v="IWGP 2020-640-06-JBT-A"/>
    <m/>
    <s v="Boone"/>
    <n v="40.048000000000002"/>
    <n v="-86.49"/>
    <s v="Transportation"/>
    <m/>
    <s v="No"/>
    <m/>
    <n v="360"/>
    <n v="1680"/>
    <n v="360"/>
    <s v="L"/>
    <s v="COMB"/>
    <s v="1 NF"/>
    <m/>
    <m/>
    <m/>
    <m/>
    <m/>
    <s v="State Isolated Class I (PEM)"/>
  </r>
  <r>
    <d v="2021-04-05T00:00:00"/>
    <s v="April"/>
    <n v="2021"/>
    <x v="4"/>
    <n v="-3.5999999999999997E-2"/>
    <x v="0"/>
    <n v="2880"/>
    <n v="184"/>
    <x v="2"/>
    <s v="PSS"/>
    <n v="1.7999999999999999E-2"/>
    <s v="INDOT"/>
    <s v="LRL-2020-639-scm"/>
    <s v="IWGP 2020-640-06-JBT-A"/>
    <m/>
    <s v="Boone"/>
    <n v="40.048000000000002"/>
    <n v="-86.49"/>
    <s v="Transportation"/>
    <m/>
    <s v="No"/>
    <m/>
    <n v="432"/>
    <n v="2015.9999999999998"/>
    <n v="432"/>
    <s v="L"/>
    <s v="COMB"/>
    <s v="2 NF"/>
    <m/>
    <m/>
    <m/>
    <m/>
    <m/>
    <s v="State Isolated Class II (PSS)"/>
  </r>
  <r>
    <d v="2021-04-07T00:00:00"/>
    <s v="April"/>
    <n v="2021"/>
    <x v="10"/>
    <n v="-296.3"/>
    <x v="1"/>
    <n v="118520"/>
    <n v="178"/>
    <x v="1"/>
    <s v="Int"/>
    <n v="696.2"/>
    <s v="INDOT "/>
    <s v="LRL-2020-44-djd"/>
    <s v="2020-649-03-JBT-A"/>
    <m/>
    <s v="Bartholomew"/>
    <n v="39.141649999999998"/>
    <n v="-85.957999999999998"/>
    <s v="Transportation"/>
    <m/>
    <s v="No"/>
    <m/>
    <n v="17778"/>
    <n v="82964"/>
    <n v="17778"/>
    <s v="L"/>
    <s v="J"/>
    <m/>
    <m/>
    <m/>
    <m/>
    <m/>
    <m/>
    <s v="Added later to master ledger as not added - Corps required no credits - INDOT 1802958 I-65 from SR 46 to SR 59"/>
  </r>
  <r>
    <d v="2021-04-07T00:00:00"/>
    <s v="April"/>
    <n v="2021"/>
    <x v="10"/>
    <n v="-0.12"/>
    <x v="0"/>
    <n v="9600"/>
    <n v="178"/>
    <x v="1"/>
    <s v="PEM"/>
    <n v="0.06"/>
    <s v="INDOT"/>
    <s v="LRL-2020-44-djd"/>
    <s v="2020-649-03-JBT-A"/>
    <m/>
    <s v="Bartholomew"/>
    <n v="39.141649999999998"/>
    <n v="-85.957999999999998"/>
    <s v="Transportation"/>
    <m/>
    <s v="No"/>
    <m/>
    <n v="1440"/>
    <n v="6720"/>
    <n v="1440"/>
    <s v="L"/>
    <s v="J"/>
    <m/>
    <m/>
    <m/>
    <m/>
    <m/>
    <m/>
    <s v="Added later to master ledger as not added - Corps required no credits - INDOT 1802958 I-65 from SR 46 to SR 60"/>
  </r>
  <r>
    <d v="2021-04-15T00:00:00"/>
    <s v="April"/>
    <n v="2021"/>
    <x v="9"/>
    <n v="-1"/>
    <x v="0"/>
    <n v="80000"/>
    <n v="203"/>
    <x v="1"/>
    <s v="PEM"/>
    <m/>
    <s v="City of Fishers"/>
    <s v="LRL-2018-684-sjk"/>
    <s v="2021-030-29-ALF-A"/>
    <m/>
    <s v="Hamilton"/>
    <n v="39.947200000000002"/>
    <n v="-85.915199999999999"/>
    <s v="Development"/>
    <m/>
    <s v="No"/>
    <m/>
    <n v="12000"/>
    <n v="56000"/>
    <n v="12000"/>
    <s v="L"/>
    <s v="J"/>
    <m/>
    <m/>
    <m/>
    <m/>
    <m/>
    <m/>
    <s v="Open Water Impacts (1.97 acres fill within Geist Reservoir for beach development).  Corps did not require mitigation"/>
  </r>
  <r>
    <d v="2021-04-20T00:00:00"/>
    <s v="April"/>
    <n v="2021"/>
    <x v="9"/>
    <n v="-0.23"/>
    <x v="0"/>
    <n v="18400"/>
    <n v="207"/>
    <x v="2"/>
    <s v="PFO"/>
    <n v="0.09"/>
    <s v="Todd Katz"/>
    <s v="N/A"/>
    <s v="IWIP 2021-028-29-ALF-A"/>
    <m/>
    <s v="Hamilton"/>
    <n v="39.93177"/>
    <n v="-86.240660000000005"/>
    <s v="Development"/>
    <m/>
    <s v="No"/>
    <m/>
    <n v="2760"/>
    <n v="12880"/>
    <n v="2760"/>
    <s v="L"/>
    <s v="SI"/>
    <s v="2 F"/>
    <m/>
    <m/>
    <m/>
    <m/>
    <m/>
    <s v="Class II Forested Wetland impact"/>
  </r>
  <r>
    <d v="2021-04-20T00:00:00"/>
    <s v="April"/>
    <n v="2021"/>
    <x v="10"/>
    <n v="-0.48"/>
    <x v="0"/>
    <n v="38400"/>
    <n v="206"/>
    <x v="2"/>
    <s v="PFO"/>
    <n v="0.32"/>
    <s v="CenterPoint Energy"/>
    <s v="N/A"/>
    <s v="IWGP 2021-184-30-A"/>
    <m/>
    <s v="Hancock"/>
    <n v="39.819391000000003"/>
    <n v="-85.866478999999998"/>
    <s v="Energy Production"/>
    <m/>
    <s v="No"/>
    <m/>
    <n v="5760"/>
    <n v="26880"/>
    <n v="5760"/>
    <s v="L"/>
    <s v="SI"/>
    <s v="2 F"/>
    <m/>
    <m/>
    <m/>
    <m/>
    <m/>
    <s v="Class II Forested Wetland impact"/>
  </r>
  <r>
    <d v="2021-05-03T00:00:00"/>
    <s v="May"/>
    <n v="2021"/>
    <x v="0"/>
    <n v="-1.2"/>
    <x v="0"/>
    <n v="114000"/>
    <n v="156"/>
    <x v="1"/>
    <s v="PEM"/>
    <n v="0.67"/>
    <s v="Luke Family of Brands"/>
    <s v="LRC-2019-676-RGP"/>
    <s v="2020-428-45-MTM-A"/>
    <m/>
    <s v="Lake"/>
    <n v="41.515949999999997"/>
    <n v="-87.469719999999995"/>
    <s v="Development"/>
    <m/>
    <s v="No"/>
    <m/>
    <n v="17100"/>
    <n v="79800"/>
    <n v="17100"/>
    <s v="C"/>
    <s v="J"/>
    <m/>
    <m/>
    <m/>
    <m/>
    <m/>
    <m/>
    <m/>
  </r>
  <r>
    <d v="2021-05-04T00:00:00"/>
    <s v="May"/>
    <n v="2021"/>
    <x v="0"/>
    <n v="-112"/>
    <x v="1"/>
    <n v="67200"/>
    <n v="198"/>
    <x v="1"/>
    <s v="Int"/>
    <n v="198.72"/>
    <s v="INDOT"/>
    <s v="LRC-2020-753-RGP"/>
    <s v="2020-839-64-JBT-A"/>
    <m/>
    <s v="Porter"/>
    <n v="41.521599999999999"/>
    <n v="-87.209000000000003"/>
    <s v="Transportation"/>
    <m/>
    <s v="No"/>
    <m/>
    <n v="10080"/>
    <n v="47040"/>
    <n v="10080"/>
    <s v="C"/>
    <s v="J"/>
    <m/>
    <m/>
    <m/>
    <m/>
    <m/>
    <m/>
    <m/>
  </r>
  <r>
    <d v="2021-05-04T00:00:00"/>
    <s v="May"/>
    <n v="2021"/>
    <x v="0"/>
    <n v="-0.45"/>
    <x v="0"/>
    <n v="42750"/>
    <n v="198"/>
    <x v="1"/>
    <s v="PEM"/>
    <n v="0.25580000000000003"/>
    <s v="INDOT"/>
    <s v="LRC-2020-753-RGP"/>
    <s v="2020-839-64-JBT-A"/>
    <m/>
    <s v="Porter"/>
    <n v="41.521599999999999"/>
    <n v="-87.209000000000003"/>
    <s v="Transportation"/>
    <m/>
    <s v="No"/>
    <m/>
    <n v="6412.5"/>
    <n v="29924.999999999996"/>
    <n v="6412.5"/>
    <s v="C"/>
    <s v="J"/>
    <m/>
    <m/>
    <m/>
    <m/>
    <m/>
    <m/>
    <m/>
  </r>
  <r>
    <d v="2021-05-04T00:00:00"/>
    <s v="May"/>
    <n v="2021"/>
    <x v="0"/>
    <n v="-0.32400000000000001"/>
    <x v="0"/>
    <n v="30780"/>
    <n v="198"/>
    <x v="1"/>
    <s v="PFO"/>
    <n v="8.1000000000000003E-2"/>
    <s v="INDOT"/>
    <s v="LRC-2020-753-RGP"/>
    <s v="2020-839-64-JBT-A"/>
    <m/>
    <s v="Porter"/>
    <n v="41.521599999999999"/>
    <n v="-87.209000000000003"/>
    <s v="Transportation"/>
    <m/>
    <s v="No"/>
    <m/>
    <n v="4617"/>
    <n v="21546"/>
    <n v="4617"/>
    <s v="C"/>
    <s v="J"/>
    <m/>
    <m/>
    <m/>
    <m/>
    <m/>
    <m/>
    <m/>
  </r>
  <r>
    <d v="2021-05-05T00:00:00"/>
    <s v="May"/>
    <n v="2021"/>
    <x v="9"/>
    <n v="-1.37"/>
    <x v="0"/>
    <n v="109600"/>
    <n v="211"/>
    <x v="2"/>
    <s v="PEM"/>
    <n v="1.37"/>
    <s v="AEP"/>
    <s v="None"/>
    <s v="IWGP 2021-278-18-WRH-A"/>
    <m/>
    <s v="Delaware"/>
    <n v="40.262307"/>
    <n v="-85.431628000000003"/>
    <s v="Energy Production"/>
    <m/>
    <s v="No"/>
    <m/>
    <n v="16440"/>
    <n v="76720"/>
    <n v="16440"/>
    <s v="L"/>
    <s v="SI"/>
    <s v="1 NF"/>
    <m/>
    <m/>
    <m/>
    <m/>
    <m/>
    <m/>
  </r>
  <r>
    <d v="2021-05-27T00:00:00"/>
    <s v="May"/>
    <n v="2021"/>
    <x v="8"/>
    <n v="-349.4"/>
    <x v="1"/>
    <n v="139760"/>
    <n v="212"/>
    <x v="1"/>
    <s v="Per"/>
    <n v="349.4"/>
    <s v="INDOT"/>
    <s v="LRE-2020-02409-143-R21"/>
    <s v="2021-217-43-JBT-X"/>
    <m/>
    <s v="Kosciusko"/>
    <n v="41.281999999999996"/>
    <n v="-86.046999999999997"/>
    <s v="Transportation"/>
    <m/>
    <s v="No"/>
    <m/>
    <n v="20964"/>
    <n v="97832"/>
    <n v="20964"/>
    <s v="D"/>
    <s v="J"/>
    <m/>
    <m/>
    <m/>
    <m/>
    <m/>
    <m/>
    <s v="Corps required more ILF stream credit than IDEM"/>
  </r>
  <r>
    <d v="2021-05-27T00:00:00"/>
    <s v="May"/>
    <n v="2021"/>
    <x v="8"/>
    <n v="-2.9600000000000001E-2"/>
    <x v="0"/>
    <n v="2368"/>
    <n v="212"/>
    <x v="1"/>
    <s v="PEM"/>
    <n v="1.4800000000000001E-2"/>
    <s v="INDOT"/>
    <s v="LRE-2020-02409-143-R21"/>
    <s v="2021-217-43-JBT-X"/>
    <m/>
    <s v="Kosciusko"/>
    <n v="41.281999999999996"/>
    <n v="-86.046999999999997"/>
    <s v="Transportation"/>
    <m/>
    <s v="No"/>
    <m/>
    <n v="355.2"/>
    <n v="1657.6"/>
    <n v="355.2"/>
    <s v="D"/>
    <s v="J"/>
    <m/>
    <m/>
    <m/>
    <m/>
    <m/>
    <m/>
    <m/>
  </r>
  <r>
    <d v="2021-05-27T00:00:00"/>
    <s v="May"/>
    <n v="2021"/>
    <x v="8"/>
    <n v="-0.13"/>
    <x v="0"/>
    <n v="10400"/>
    <n v="210"/>
    <x v="1"/>
    <s v="PEM"/>
    <n v="0.02"/>
    <s v="INDOT"/>
    <s v="LRL-2020-452-scm"/>
    <s v="2020-468-34-JBT-A"/>
    <m/>
    <s v="Howard"/>
    <n v="40.485999999999997"/>
    <n v="-86.107500000000002"/>
    <s v="Transportation"/>
    <m/>
    <s v="No"/>
    <m/>
    <n v="1560"/>
    <n v="7279.9999999999991"/>
    <n v="1560"/>
    <s v="L"/>
    <s v="J"/>
    <m/>
    <m/>
    <m/>
    <m/>
    <m/>
    <m/>
    <m/>
  </r>
  <r>
    <d v="2021-05-27T00:00:00"/>
    <s v="May"/>
    <n v="2021"/>
    <x v="10"/>
    <n v="-131"/>
    <x v="1"/>
    <n v="52400"/>
    <n v="162"/>
    <x v="1"/>
    <s v="Eph"/>
    <n v="109"/>
    <s v="INDOT"/>
    <s v="LRL-2019-137-sjk"/>
    <s v="202-537-70-ALF-A "/>
    <m/>
    <s v="Rush"/>
    <n v="39.613289999999999"/>
    <n v="-85.613870000000006"/>
    <s v="Transportation"/>
    <m/>
    <s v="No"/>
    <m/>
    <n v="7860"/>
    <n v="36680"/>
    <n v="7860"/>
    <s v="L"/>
    <s v="J"/>
    <m/>
    <m/>
    <m/>
    <m/>
    <m/>
    <m/>
    <m/>
  </r>
  <r>
    <d v="2021-05-27T00:00:00"/>
    <s v="May"/>
    <n v="2021"/>
    <x v="10"/>
    <n v="-1.5"/>
    <x v="0"/>
    <n v="120000"/>
    <n v="162"/>
    <x v="1"/>
    <s v="PFO"/>
    <n v="0.375"/>
    <s v="INDOT "/>
    <s v="LRL-2019-137-sjk"/>
    <s v="202-537-70-ALF-A "/>
    <m/>
    <s v="Rush"/>
    <n v="39.613289999999999"/>
    <n v="-85.613870000000006"/>
    <s v="Transportation"/>
    <m/>
    <s v="No"/>
    <m/>
    <n v="18000"/>
    <n v="84000"/>
    <n v="18000"/>
    <s v="L"/>
    <s v="J"/>
    <m/>
    <m/>
    <m/>
    <m/>
    <m/>
    <m/>
    <m/>
  </r>
  <r>
    <d v="2021-06-03T00:00:00"/>
    <s v="June"/>
    <n v="2021"/>
    <x v="0"/>
    <n v="-0.05"/>
    <x v="0"/>
    <n v="4750"/>
    <n v="216"/>
    <x v="2"/>
    <s v="PEM"/>
    <n v="0.05"/>
    <s v="Excel Development"/>
    <s v="None"/>
    <s v="IWGP 2021-35-45-MTM-A"/>
    <m/>
    <s v="Lake"/>
    <n v="41.541547999999999"/>
    <s v="–87.511936"/>
    <s v="Development"/>
    <m/>
    <s v="No"/>
    <m/>
    <n v="712.5"/>
    <n v="3325"/>
    <n v="712.5"/>
    <s v="C"/>
    <s v="SI"/>
    <s v="1 NF"/>
    <m/>
    <m/>
    <m/>
    <m/>
    <m/>
    <m/>
  </r>
  <r>
    <d v="2021-06-10T00:00:00"/>
    <s v="June"/>
    <n v="2021"/>
    <x v="7"/>
    <n v="-0.78"/>
    <x v="0"/>
    <n v="62400"/>
    <n v="214"/>
    <x v="1"/>
    <s v="PFO"/>
    <n v="0.26"/>
    <s v="Duke Energy"/>
    <s v="LRL-2018-495-MKD"/>
    <s v="2020-978-10-TMS "/>
    <m/>
    <s v="Clark"/>
    <n v="38.450719999999997"/>
    <n v="-85.725769999999997"/>
    <s v="Energy Production"/>
    <m/>
    <s v="No"/>
    <m/>
    <n v="9360"/>
    <n v="43680"/>
    <n v="9360"/>
    <s v="L"/>
    <s v="J"/>
    <m/>
    <m/>
    <m/>
    <m/>
    <m/>
    <m/>
    <m/>
  </r>
  <r>
    <d v="2021-06-10T00:00:00"/>
    <s v="June "/>
    <n v="2021"/>
    <x v="9"/>
    <n v="-0.03"/>
    <x v="0"/>
    <n v="2400"/>
    <n v="188"/>
    <x v="2"/>
    <s v="PFO"/>
    <n v="0.03"/>
    <s v="Pulte Homes of Indiana"/>
    <s v="None"/>
    <s v="IWGP 2020-968-29-ALF-A"/>
    <m/>
    <s v="Hamilton"/>
    <n v="40.019039999999997"/>
    <n v="-86.210729999999998"/>
    <s v="Development"/>
    <m/>
    <s v="No"/>
    <m/>
    <n v="360"/>
    <n v="1680"/>
    <n v="360"/>
    <s v="L"/>
    <s v="SI"/>
    <s v="1 f"/>
    <m/>
    <m/>
    <m/>
    <m/>
    <m/>
    <m/>
  </r>
  <r>
    <d v="2021-06-10T00:00:00"/>
    <s v="June"/>
    <n v="2021"/>
    <x v="9"/>
    <n v="-0.8"/>
    <x v="0"/>
    <n v="64000"/>
    <n v="213"/>
    <x v="1"/>
    <s v="PFO"/>
    <n v="0.2"/>
    <s v="Pulte Homes of Indiana"/>
    <s v="LRL-2016-994-sjk"/>
    <s v="2017-221-29-HAP-A"/>
    <m/>
    <s v="Hamilton"/>
    <n v="39.9831"/>
    <n v="-85.875500000000002"/>
    <s v="Development"/>
    <m/>
    <s v="No"/>
    <m/>
    <n v="9600"/>
    <n v="44800"/>
    <n v="9600"/>
    <s v="L"/>
    <s v="J"/>
    <m/>
    <m/>
    <m/>
    <m/>
    <m/>
    <m/>
    <m/>
  </r>
  <r>
    <d v="2021-06-16T00:00:00"/>
    <s v="June"/>
    <n v="2021"/>
    <x v="0"/>
    <n v="-0.04"/>
    <x v="0"/>
    <n v="3800"/>
    <n v="224"/>
    <x v="2"/>
    <s v="PEM"/>
    <n v="0.04"/>
    <s v="Pure Development"/>
    <m/>
    <s v="2021-425-45-MTM-X"/>
    <m/>
    <s v="Lake "/>
    <n v="41.441094999999997"/>
    <n v="-87.323815999999994"/>
    <s v="Development"/>
    <m/>
    <s v="No"/>
    <m/>
    <n v="570"/>
    <n v="2660"/>
    <n v="570"/>
    <s v="C"/>
    <s v="J"/>
    <m/>
    <m/>
    <m/>
    <m/>
    <m/>
    <m/>
    <m/>
  </r>
  <r>
    <d v="2021-06-16T00:00:00"/>
    <s v="June"/>
    <n v="2021"/>
    <x v="7"/>
    <n v="-155"/>
    <x v="1"/>
    <n v="62000"/>
    <n v="221"/>
    <x v="1"/>
    <s v="Int"/>
    <n v="86"/>
    <s v="Ports of Indiana"/>
    <s v="LRL-1979-00062"/>
    <s v="2021-205-10-TMS-A"/>
    <m/>
    <s v="Clark"/>
    <n v="38.330910000000003"/>
    <n v="-85.672910000000002"/>
    <s v="Transportation"/>
    <m/>
    <s v="No"/>
    <m/>
    <n v="9300"/>
    <n v="43400"/>
    <n v="9300"/>
    <s v="L"/>
    <s v="COMB"/>
    <m/>
    <m/>
    <m/>
    <m/>
    <m/>
    <m/>
    <s v="Corps required more stream and wetland credits"/>
  </r>
  <r>
    <d v="2021-06-16T00:00:00"/>
    <s v="June"/>
    <n v="2021"/>
    <x v="7"/>
    <n v="-0.94"/>
    <x v="0"/>
    <n v="75200"/>
    <n v="221"/>
    <x v="1"/>
    <s v="PEM"/>
    <n v="0.38900000000000001"/>
    <s v="Ports of Indiana"/>
    <s v="LRL-1979-00062"/>
    <s v="2021-205-10-TMS-A"/>
    <m/>
    <s v="Clark"/>
    <n v="38.322290000000002"/>
    <n v="-85.661090000000002"/>
    <s v="Transportation"/>
    <m/>
    <s v="No"/>
    <m/>
    <n v="11280"/>
    <n v="52640"/>
    <n v="11280"/>
    <s v="L"/>
    <s v="COMB"/>
    <m/>
    <m/>
    <m/>
    <m/>
    <m/>
    <m/>
    <m/>
  </r>
  <r>
    <d v="2021-06-16T00:00:00"/>
    <s v="June"/>
    <n v="2021"/>
    <x v="7"/>
    <n v="-5.0999999999999997E-2"/>
    <x v="0"/>
    <n v="4080"/>
    <n v="221"/>
    <x v="2"/>
    <s v="PEM"/>
    <n v="3.4000000000000002E-2"/>
    <s v="Ports of Indiana"/>
    <s v="LRL-1979-00062"/>
    <s v="IWGP 2021-205-10-TMS-A "/>
    <m/>
    <s v="Clark"/>
    <n v="38.322290000000002"/>
    <n v="-85.661090000000002"/>
    <s v="Transportation"/>
    <m/>
    <s v="No"/>
    <m/>
    <n v="612"/>
    <n v="2856"/>
    <n v="612"/>
    <s v="L"/>
    <s v="COMB"/>
    <s v="1 NF"/>
    <m/>
    <m/>
    <m/>
    <m/>
    <m/>
    <s v="Called wanting credit sale now so invoiced for ISO W too"/>
  </r>
  <r>
    <d v="2021-06-21T00:00:00"/>
    <s v="June"/>
    <n v="2021"/>
    <x v="8"/>
    <n v="-2.09"/>
    <x v="0"/>
    <n v="167200"/>
    <n v="217"/>
    <x v="2"/>
    <s v="PFO"/>
    <n v="0.83599999999999997"/>
    <s v="CP215, LLC"/>
    <s v="None"/>
    <s v="IWIP 2020-970-35-WRH-A"/>
    <m/>
    <s v="Huntington"/>
    <n v="40.894539999999999"/>
    <n v="-85.518429999999995"/>
    <s v="Development"/>
    <m/>
    <s v="No"/>
    <m/>
    <n v="25080"/>
    <n v="117039.99999999999"/>
    <n v="25080"/>
    <s v="L"/>
    <s v="SI"/>
    <s v="2 F"/>
    <m/>
    <m/>
    <m/>
    <m/>
    <m/>
    <m/>
  </r>
  <r>
    <d v="2021-06-29T00:00:00"/>
    <s v="June"/>
    <n v="2021"/>
    <x v="7"/>
    <n v="-2254.6"/>
    <x v="1"/>
    <n v="901840"/>
    <n v="219"/>
    <x v="1"/>
    <s v="Int"/>
    <n v="2019.5"/>
    <s v="Harrison County"/>
    <s v="LRL-2017-773-djd"/>
    <s v="2017-533-31-ALF-A"/>
    <m/>
    <s v="Harrison"/>
    <n v="38.01473"/>
    <n v="-86.168059999999997"/>
    <s v="Transportation"/>
    <m/>
    <s v="No"/>
    <m/>
    <n v="135276"/>
    <n v="631288"/>
    <n v="135276"/>
    <s v="L"/>
    <s v="J"/>
    <m/>
    <m/>
    <m/>
    <m/>
    <m/>
    <m/>
    <s v="Non-Compliance Required Credit Purchase, appears to have not been sent, so proceeding. "/>
  </r>
  <r>
    <d v="2021-06-29T00:00:00"/>
    <s v="June"/>
    <n v="2021"/>
    <x v="7"/>
    <n v="-0.51200000000000001"/>
    <x v="0"/>
    <n v="40960"/>
    <n v="219"/>
    <x v="1"/>
    <s v="PFO"/>
    <n v="0.128"/>
    <s v="Harrison County"/>
    <s v="LRL-2017-773-djd"/>
    <s v="2017-533-31-ALF-A"/>
    <m/>
    <s v="Harrison"/>
    <n v="38.01473"/>
    <n v="-86.168059999999997"/>
    <s v="Transportation"/>
    <m/>
    <s v="No"/>
    <m/>
    <n v="6144"/>
    <n v="28672"/>
    <n v="6144"/>
    <s v="L"/>
    <s v="J"/>
    <m/>
    <m/>
    <m/>
    <m/>
    <m/>
    <m/>
    <m/>
  </r>
  <r>
    <d v="2021-06-29T00:00:00"/>
    <s v="June"/>
    <n v="2021"/>
    <x v="7"/>
    <n v="-8.7999999999999995E-2"/>
    <x v="0"/>
    <n v="7040"/>
    <n v="219"/>
    <x v="1"/>
    <s v="PEM"/>
    <n v="0.04"/>
    <s v="Harrison County"/>
    <s v="LRL-2017-773-djd"/>
    <s v="2017-533-31-ALF-A"/>
    <m/>
    <s v="Harrison"/>
    <n v="38.01473"/>
    <n v="-86.168059999999997"/>
    <s v="Transportation"/>
    <m/>
    <s v="No"/>
    <m/>
    <n v="1056"/>
    <n v="4928"/>
    <n v="1056"/>
    <s v="L"/>
    <s v="J"/>
    <m/>
    <m/>
    <m/>
    <m/>
    <m/>
    <m/>
    <m/>
  </r>
  <r>
    <d v="2021-06-29T00:00:00"/>
    <s v="June"/>
    <n v="2021"/>
    <x v="9"/>
    <n v="-600"/>
    <x v="1"/>
    <n v="270000"/>
    <n v="226"/>
    <x v="1"/>
    <s v="Per"/>
    <n v="500"/>
    <s v="Citizens Energy Group"/>
    <s v="LRL-2019-806-LCL"/>
    <s v="2020-914-49-ALF-A"/>
    <s v="FW-30807-0"/>
    <s v="Marion"/>
    <n v="39.801600000000001"/>
    <n v="-86.197400000000002"/>
    <s v="Dam"/>
    <m/>
    <s v="No"/>
    <m/>
    <n v="40500"/>
    <n v="189000"/>
    <n v="40500"/>
    <s v="L"/>
    <s v="J"/>
    <m/>
    <m/>
    <m/>
    <m/>
    <m/>
    <m/>
    <s v="Corps permit requires 600, IDEM permit requires 500, DNR Permit requires 0.25 FW purchase.  Had thought also 500 additional credits per FW permit, but are modifying permit to clarify. "/>
  </r>
  <r>
    <d v="2021-06-29T00:00:00"/>
    <s v="June"/>
    <n v="2021"/>
    <x v="9"/>
    <n v="-1.464"/>
    <x v="0"/>
    <n v="117120"/>
    <n v="222"/>
    <x v="2"/>
    <s v="PEM"/>
    <n v="1.613"/>
    <s v="Arco/Murray"/>
    <s v="None"/>
    <s v="IWIP 2021-104-32-ERL-A"/>
    <m/>
    <s v="Hendricks"/>
    <n v="39.742600000000003"/>
    <n v="-86.340800000000002"/>
    <s v="Development"/>
    <m/>
    <s v="No"/>
    <m/>
    <n v="17568"/>
    <n v="81984"/>
    <n v="17568"/>
    <s v="L"/>
    <s v="SI"/>
    <s v="2 NF"/>
    <m/>
    <m/>
    <m/>
    <m/>
    <m/>
    <s v="Note: Permit to purchase Class I was rescinded.  Thus requirement changed.   IWIP 2021-104-32-ERL-A:  1.464 credits for 0.732 impacts Class II Isolated PEM, IWGP 2021-104-32-ERL-A:  0.881 credits for 0.881 impacts to 0.881 Class I PEM - rescinded. _x000a_"/>
  </r>
  <r>
    <d v="2021-07-01T00:00:00"/>
    <s v="July"/>
    <n v="2021"/>
    <x v="5"/>
    <n v="-0.1875"/>
    <x v="0"/>
    <n v="15000"/>
    <n v="227"/>
    <x v="1"/>
    <s v="PFO"/>
    <n v="0.25"/>
    <s v="Eagle Enclave"/>
    <s v="LRL-2013-8807-RJB"/>
    <s v="2013-543-82-DCC-V."/>
    <m/>
    <s v="Vanderburgh"/>
    <n v="37.967385999999998"/>
    <n v="-87.661501000000001"/>
    <s v="Development"/>
    <m/>
    <s v="No"/>
    <m/>
    <n v="2250"/>
    <n v="10500"/>
    <n v="2250"/>
    <s v="L"/>
    <s v="J"/>
    <m/>
    <m/>
    <m/>
    <m/>
    <m/>
    <m/>
    <s v="Purchase in Agreed Judgement 82D05-1707-MI-003721 to resolve violations in 401 Permit 2013-543-82-DCC-V."/>
  </r>
  <r>
    <d v="2021-07-01T00:00:00"/>
    <s v="July"/>
    <n v="2021"/>
    <x v="9"/>
    <n v="-6.91"/>
    <x v="0"/>
    <n v="552800"/>
    <n v="209"/>
    <x v="1"/>
    <s v="PFO"/>
    <n v="2.88"/>
    <s v="Duke Energy"/>
    <s v="LRL-2020-1000-sjk"/>
    <s v="2020-994-49-ALF-A"/>
    <m/>
    <s v="Marion"/>
    <n v="39.702300000000001"/>
    <n v="-86.1631"/>
    <s v="Transportation"/>
    <m/>
    <s v="No"/>
    <m/>
    <n v="82920"/>
    <n v="386960"/>
    <n v="82920"/>
    <s v="L"/>
    <s v="J"/>
    <m/>
    <m/>
    <m/>
    <m/>
    <m/>
    <m/>
    <m/>
  </r>
  <r>
    <d v="2021-07-08T00:00:00"/>
    <s v="July"/>
    <n v="2021"/>
    <x v="9"/>
    <n v="-48"/>
    <x v="1"/>
    <n v="21600"/>
    <n v="228"/>
    <x v="1"/>
    <s v="Per"/>
    <n v="121"/>
    <s v="City of Carmel"/>
    <s v="LRL-2020-194-sjk"/>
    <s v="2021-0369-29-JBT-X"/>
    <m/>
    <s v="Hamilton"/>
    <n v="39.957799999999999"/>
    <n v="-86.090299999999999"/>
    <s v="Transportation"/>
    <m/>
    <s v="No"/>
    <m/>
    <n v="3240"/>
    <n v="15119.999999999998"/>
    <n v="3240"/>
    <s v="L"/>
    <s v="J"/>
    <m/>
    <m/>
    <m/>
    <m/>
    <m/>
    <m/>
    <m/>
  </r>
  <r>
    <d v="2021-07-19T00:00:00"/>
    <s v="July"/>
    <n v="2021"/>
    <x v="9"/>
    <n v="-24"/>
    <x v="1"/>
    <n v="10800"/>
    <n v="232"/>
    <x v="1"/>
    <s v="Int"/>
    <s v="Mitig Shortfall"/>
    <s v="Poindexter Excavating"/>
    <s v="LRL-2018-446-sam"/>
    <s v="2018-899-32-JMK-A"/>
    <m/>
    <s v="Hendricks"/>
    <n v="39.665999999999997"/>
    <n v="-86.376999999999995"/>
    <s v="Transportation"/>
    <m/>
    <s v="No"/>
    <m/>
    <n v="1620"/>
    <n v="7559.9999999999991"/>
    <n v="1620"/>
    <s v="L"/>
    <s v="J"/>
    <m/>
    <m/>
    <m/>
    <m/>
    <m/>
    <m/>
    <s v="401 Modification - mitigation shortfall - permit modification for ILF credit purchase for remainder. "/>
  </r>
  <r>
    <d v="2021-07-21T00:00:00"/>
    <s v="July"/>
    <n v="2021"/>
    <x v="7"/>
    <n v="-140"/>
    <x v="1"/>
    <n v="56000"/>
    <n v="223"/>
    <x v="1"/>
    <s v="Int"/>
    <n v="151"/>
    <s v="Clark County "/>
    <s v="LRL-2020-807-MKD"/>
    <s v="2020-993-10-TMS-A"/>
    <m/>
    <s v="Clark"/>
    <n v="38.48592"/>
    <n v="-85.530699999999996"/>
    <s v="Transportation"/>
    <m/>
    <s v="No"/>
    <m/>
    <n v="8400"/>
    <n v="39200"/>
    <n v="8400"/>
    <s v="L"/>
    <s v="J"/>
    <m/>
    <m/>
    <m/>
    <m/>
    <m/>
    <m/>
    <s v="No Corps Mitigation required. "/>
  </r>
  <r>
    <d v="2021-07-21T00:00:00"/>
    <s v="July"/>
    <n v="2021"/>
    <x v="9"/>
    <n v="-122"/>
    <x v="1"/>
    <n v="54900"/>
    <n v="231"/>
    <x v="1"/>
    <s v="Per"/>
    <n v="1035"/>
    <s v="Park 100 Development"/>
    <s v="LRL-2019-642-sjk"/>
    <s v="2021-222-49-JWR-A"/>
    <m/>
    <s v="Marion"/>
    <n v="39.894840000000002"/>
    <n v="-86.266040000000004"/>
    <s v="Development"/>
    <m/>
    <s v="No"/>
    <m/>
    <n v="8235"/>
    <n v="38430"/>
    <n v="8235"/>
    <s v="L"/>
    <s v="J"/>
    <m/>
    <m/>
    <m/>
    <m/>
    <m/>
    <m/>
    <s v="IDEM requires total stream mitigation of 440 intermittent and the rest is remediation done by the Permittee, Corps a total of 441. "/>
  </r>
  <r>
    <d v="2021-07-21T00:00:00"/>
    <s v="July"/>
    <n v="2021"/>
    <x v="9"/>
    <n v="-319"/>
    <x v="1"/>
    <n v="143550"/>
    <n v="231"/>
    <x v="1"/>
    <s v="Int"/>
    <n v="266"/>
    <s v="Park 100 Development"/>
    <s v="LRL-2019-642-sjk"/>
    <s v="2021-222-49-JWR-A"/>
    <m/>
    <s v="Marion"/>
    <n v="39.894840000000002"/>
    <n v="-86.266040000000004"/>
    <s v="Development"/>
    <m/>
    <s v="No"/>
    <m/>
    <n v="21532.5"/>
    <n v="100485"/>
    <n v="21532.5"/>
    <s v="L"/>
    <s v="J"/>
    <m/>
    <m/>
    <m/>
    <m/>
    <m/>
    <m/>
    <s v="IWGP related to this not sub w other permits, credit sale will be processed separately. "/>
  </r>
  <r>
    <d v="2021-07-21T00:00:00"/>
    <s v="July"/>
    <n v="2021"/>
    <x v="9"/>
    <n v="-1.1000000000000001"/>
    <x v="0"/>
    <n v="88000"/>
    <n v="231"/>
    <x v="1"/>
    <s v="PFO"/>
    <n v="0.24"/>
    <s v="Park 100 Development"/>
    <s v="LRL-2019-642-sjk"/>
    <s v="2021-222-49-JWR-A"/>
    <m/>
    <s v="Marion"/>
    <n v="39.894840000000002"/>
    <n v="-86.266040000000004"/>
    <s v="Development"/>
    <m/>
    <s v="No"/>
    <m/>
    <n v="13200"/>
    <n v="61599.999999999993"/>
    <n v="13200"/>
    <s v="L"/>
    <s v="J"/>
    <m/>
    <m/>
    <m/>
    <m/>
    <m/>
    <m/>
    <s v="IDEM has a larger amount of credit purchase requirements. "/>
  </r>
  <r>
    <d v="2021-07-27T00:00:00"/>
    <s v="July"/>
    <n v="2021"/>
    <x v="10"/>
    <n v="-0.37"/>
    <x v="0"/>
    <n v="29600"/>
    <n v="220"/>
    <x v="1"/>
    <s v="PEM"/>
    <n v="0.154"/>
    <s v="Hancock Co Hway"/>
    <s v="LRL-2020-783-sjk"/>
    <s v="2020-718-30-ALF-A"/>
    <m/>
    <s v="Hancock"/>
    <n v="39.924570000000003"/>
    <n v="-85.692149999999998"/>
    <s v="Transportation"/>
    <m/>
    <s v="No"/>
    <m/>
    <n v="4440"/>
    <n v="20720"/>
    <n v="4440"/>
    <s v="L"/>
    <s v="J"/>
    <m/>
    <m/>
    <m/>
    <m/>
    <m/>
    <m/>
    <s v="Corrected from permit to be WW EF, Corps requires slightly more. "/>
  </r>
  <r>
    <d v="2021-07-27T00:00:00"/>
    <s v="July"/>
    <n v="2021"/>
    <x v="10"/>
    <n v="-0.1"/>
    <x v="0"/>
    <n v="8000"/>
    <n v="220"/>
    <x v="1"/>
    <s v="PFO"/>
    <n v="2.9000000000000001E-2"/>
    <s v="Hancock Co Hway"/>
    <s v="LRL-2020-783-sjk"/>
    <s v="2020-718-30-ALF-A"/>
    <m/>
    <s v="Hancock"/>
    <n v="39.924570000000003"/>
    <n v="-85.692149999999998"/>
    <s v="Transportation"/>
    <m/>
    <s v="No"/>
    <m/>
    <n v="1200"/>
    <n v="5600"/>
    <n v="1200"/>
    <s v="L"/>
    <s v="J"/>
    <m/>
    <m/>
    <m/>
    <m/>
    <m/>
    <m/>
    <s v="Corrected from permit to be WW EF"/>
  </r>
  <r>
    <d v="2021-08-07T00:00:00"/>
    <s v="August"/>
    <n v="2021"/>
    <x v="2"/>
    <n v="-408"/>
    <x v="1"/>
    <n v="163200"/>
    <n v="229"/>
    <x v="1"/>
    <s v="Int"/>
    <n v="340"/>
    <s v="Crider and Crider"/>
    <s v="LRL-2020-815-MKD"/>
    <s v="2021-246-53-TMS-A"/>
    <m/>
    <s v="Monroe"/>
    <n v="39.196618999999998"/>
    <n v="-86.575967000000006"/>
    <s v="Development"/>
    <m/>
    <s v="No"/>
    <m/>
    <n v="24480"/>
    <n v="114240"/>
    <n v="24480"/>
    <s v="L"/>
    <s v="J"/>
    <m/>
    <m/>
    <m/>
    <m/>
    <m/>
    <m/>
    <m/>
  </r>
  <r>
    <d v="2021-08-10T00:00:00"/>
    <s v="August"/>
    <n v="2021"/>
    <x v="0"/>
    <n v="-1.476"/>
    <x v="0"/>
    <n v="140220"/>
    <n v="233"/>
    <x v="1"/>
    <s v="PEM"/>
    <n v="25.08"/>
    <s v="NIPSCO"/>
    <s v="LRC-2020-490"/>
    <s v="2020-818-45-MTM-A"/>
    <m/>
    <s v="Lake and Porter"/>
    <n v="41.58399"/>
    <n v="-87.299000000000007"/>
    <s v="Energy Production"/>
    <m/>
    <s v="No"/>
    <m/>
    <n v="21033"/>
    <n v="98154"/>
    <n v="21033"/>
    <s v="C"/>
    <s v="J"/>
    <m/>
    <m/>
    <m/>
    <m/>
    <m/>
    <m/>
    <s v="Aetna to Tassinong Gas Transmission Upgrade Project"/>
  </r>
  <r>
    <d v="2021-08-10T00:00:00"/>
    <s v="August"/>
    <n v="2021"/>
    <x v="0"/>
    <n v="-0.216"/>
    <x v="0"/>
    <n v="20520"/>
    <n v="233"/>
    <x v="1"/>
    <s v="PSS"/>
    <n v="0.73"/>
    <s v="NIPSCO"/>
    <s v="LRC-2020-490"/>
    <s v="2020-818-45-MTM-A"/>
    <m/>
    <s v="Lake and Porter"/>
    <n v="41.58399"/>
    <n v="-87.299000000000007"/>
    <s v="Energy Production"/>
    <m/>
    <s v="No"/>
    <m/>
    <n v="3078"/>
    <n v="14363.999999999998"/>
    <n v="3078"/>
    <s v="C"/>
    <s v="J"/>
    <m/>
    <m/>
    <m/>
    <m/>
    <m/>
    <m/>
    <s v="Aetna to Tassinong Gas Transmission Upgrade Project"/>
  </r>
  <r>
    <d v="2021-08-10T00:00:00"/>
    <s v="August"/>
    <n v="2021"/>
    <x v="0"/>
    <n v="-0.13800000000000001"/>
    <x v="0"/>
    <n v="13110.000000000002"/>
    <n v="233"/>
    <x v="1"/>
    <s v="PFO"/>
    <n v="0.23"/>
    <s v="NIPSCO"/>
    <s v="LRC-2020-490"/>
    <s v="2020-818-45-MTM-A"/>
    <m/>
    <s v="Lake and Porter"/>
    <n v="41.58399"/>
    <n v="-87.299000000000007"/>
    <s v="Energy Production"/>
    <m/>
    <s v="No"/>
    <m/>
    <n v="1966.5000000000002"/>
    <n v="9177"/>
    <n v="1966.5000000000002"/>
    <s v="C"/>
    <s v="J"/>
    <m/>
    <m/>
    <m/>
    <m/>
    <m/>
    <m/>
    <s v="Aetna to Tassinong Gas Transmission Upgrade Project"/>
  </r>
  <r>
    <d v="2021-08-24T00:00:00"/>
    <s v="August"/>
    <n v="2021"/>
    <x v="3"/>
    <n v="-0.96"/>
    <x v="0"/>
    <n v="76800"/>
    <n v="235"/>
    <x v="1"/>
    <s v="PFO"/>
    <n v="0.24"/>
    <s v="ANR Pipeline Company’s MP26.71 Integrity Dig"/>
    <s v="LRE-2021-00699-117"/>
    <s v="2021-520-17-WRH-X"/>
    <m/>
    <s v="DeKalb"/>
    <n v="41.484231999999999"/>
    <n v="-84.836512999999997"/>
    <s v="Energy Production"/>
    <m/>
    <s v="No"/>
    <m/>
    <n v="11520"/>
    <n v="53760"/>
    <n v="11520"/>
    <s v="D"/>
    <s v="J"/>
    <m/>
    <m/>
    <m/>
    <m/>
    <m/>
    <m/>
    <m/>
  </r>
  <r>
    <d v="2021-08-24T00:00:00"/>
    <s v="August"/>
    <n v="2021"/>
    <x v="9"/>
    <n v="-7.4999999999999997E-2"/>
    <x v="0"/>
    <n v="6000"/>
    <n v="236"/>
    <x v="2"/>
    <s v="PFO"/>
    <n v="0.03"/>
    <s v="Park 100 Development"/>
    <s v="None"/>
    <s v="IWGP 2021-222-49-JWR-A"/>
    <m/>
    <s v="Marion"/>
    <n v="39.894840000000002"/>
    <n v="-86.266040000000004"/>
    <s v="Development"/>
    <m/>
    <s v="No"/>
    <m/>
    <n v="900"/>
    <n v="4200"/>
    <n v="900"/>
    <s v="L"/>
    <s v="COMB"/>
    <s v="2 F"/>
    <m/>
    <m/>
    <m/>
    <m/>
    <m/>
    <s v="401/404 credit sale issued separately.  Didn't submit this w the other permits related to the credit request.  Discovered during clarification with agencies on permit language. "/>
  </r>
  <r>
    <d v="2021-09-07T00:00:00"/>
    <s v="September"/>
    <n v="2021"/>
    <x v="1"/>
    <n v="-215"/>
    <x v="1"/>
    <n v="107500"/>
    <n v="179"/>
    <x v="1"/>
    <s v="Int"/>
    <n v="289"/>
    <s v="INDOT"/>
    <s v=" LRC-2019-854 -DES 1401029"/>
    <s v="2020-574-64-MTM-A "/>
    <m/>
    <s v="Porter"/>
    <n v="41.420140000000004"/>
    <n v="-87.201599999999999"/>
    <s v="Transportation"/>
    <m/>
    <s v="No"/>
    <m/>
    <n v="16125"/>
    <n v="75250"/>
    <n v="16125"/>
    <s v="C"/>
    <s v="J"/>
    <m/>
    <m/>
    <m/>
    <m/>
    <m/>
    <m/>
    <s v="Emergent credits purchased elsewhere. "/>
  </r>
  <r>
    <d v="2021-09-07T00:00:00"/>
    <s v="September"/>
    <n v="2021"/>
    <x v="1"/>
    <n v="-0.24640000000000001"/>
    <x v="0"/>
    <n v="23408"/>
    <n v="179"/>
    <x v="1"/>
    <s v="PSS"/>
    <n v="9.4E-2"/>
    <s v="INDOT"/>
    <s v=" LRC-2019-854 -DES 1401029"/>
    <s v="2020-574-64-MTM-A "/>
    <m/>
    <s v="Porter"/>
    <n v="41.420140000000004"/>
    <n v="-87.201599999999999"/>
    <s v="Transportation"/>
    <m/>
    <s v="No"/>
    <m/>
    <n v="3511.2"/>
    <n v="16385.599999999999"/>
    <n v="3511.2"/>
    <s v="C"/>
    <s v="J"/>
    <m/>
    <m/>
    <m/>
    <m/>
    <m/>
    <m/>
    <s v="Emergent credits purchased elsewhere. "/>
  </r>
  <r>
    <d v="2021-09-07T00:00:00"/>
    <s v="September"/>
    <n v="2021"/>
    <x v="1"/>
    <n v="-0.10920000000000001"/>
    <x v="0"/>
    <n v="10374"/>
    <n v="179"/>
    <x v="1"/>
    <s v="PFO"/>
    <n v="2.5999999999999999E-2"/>
    <s v="INDOT"/>
    <s v=" LRC-2019-854 -DES 1401029"/>
    <s v="2020-574-64-MTM-A "/>
    <m/>
    <s v="Porter"/>
    <n v="41.420140000000004"/>
    <n v="-87.201599999999999"/>
    <s v="Transportation"/>
    <m/>
    <s v="No"/>
    <m/>
    <n v="1556.1"/>
    <n v="7261.7999999999993"/>
    <n v="1556.1"/>
    <s v="C"/>
    <s v="J"/>
    <m/>
    <m/>
    <m/>
    <m/>
    <m/>
    <m/>
    <s v="Emergent credits purchased elsewhere. "/>
  </r>
  <r>
    <d v="2021-09-15T00:00:00"/>
    <s v="September"/>
    <n v="2021"/>
    <x v="0"/>
    <n v="-0.7"/>
    <x v="0"/>
    <n v="66500"/>
    <n v="247"/>
    <x v="2"/>
    <s v="PFO"/>
    <n v="0.54"/>
    <s v="Lennar Corporation"/>
    <s v="None"/>
    <s v="IWIP 2021-472-45-MTM-A"/>
    <m/>
    <s v="Lake"/>
    <n v="41.412514999999999"/>
    <n v="-87.261118999999994"/>
    <s v="Development"/>
    <m/>
    <s v="No"/>
    <m/>
    <n v="9975"/>
    <n v="46550"/>
    <n v="9975"/>
    <s v="C"/>
    <s v="SI"/>
    <s v="2 F"/>
    <m/>
    <m/>
    <m/>
    <m/>
    <m/>
    <s v="Aylesworth Farm"/>
  </r>
  <r>
    <d v="2021-09-23T00:00:00"/>
    <s v="September"/>
    <n v="2021"/>
    <x v="8"/>
    <n v="-7.4999999999999997E-3"/>
    <x v="0"/>
    <n v="600"/>
    <n v="250"/>
    <x v="2"/>
    <s v="PFO"/>
    <n v="3.0000000000000001E-3"/>
    <s v="Oakmont Development"/>
    <s v="None"/>
    <s v="IWGP 2021-445-02-WRH-A"/>
    <m/>
    <s v="Allen"/>
    <n v="41.08502"/>
    <n v="-85.295559999999995"/>
    <s v="Development"/>
    <m/>
    <s v="No"/>
    <m/>
    <n v="90"/>
    <n v="420"/>
    <n v="90"/>
    <s v="D"/>
    <s v="SI"/>
    <s v="2 F"/>
    <m/>
    <m/>
    <m/>
    <m/>
    <m/>
    <s v="Orig Impacts permitted under IWGP 2020-974-02-WRH-A,these are addtl impacts. "/>
  </r>
  <r>
    <d v="2021-09-27T00:00:00"/>
    <s v="September"/>
    <n v="2021"/>
    <x v="1"/>
    <n v="-1.2E-2"/>
    <x v="0"/>
    <n v="1140"/>
    <n v="251"/>
    <x v="1"/>
    <s v="PEM"/>
    <n v="0.02"/>
    <s v="Graythorne Development"/>
    <s v="LRC-2019-190"/>
    <s v="2021-92-45-MTM-A"/>
    <m/>
    <s v="Lake"/>
    <n v="41.315891999999998"/>
    <n v="-87.387343000000001"/>
    <s v="Development"/>
    <m/>
    <s v="No"/>
    <m/>
    <n v="171"/>
    <n v="798"/>
    <n v="171"/>
    <s v="C"/>
    <s v="COMB"/>
    <m/>
    <m/>
    <m/>
    <m/>
    <m/>
    <m/>
    <s v="Credit Sale Ltr Inadvertently sent later.  IDEM required 0 emergent. IDEM had wrong SA on permit, used Corps and IDEM noted this. "/>
  </r>
  <r>
    <d v="2021-09-27T00:00:00"/>
    <s v="September"/>
    <n v="2021"/>
    <x v="1"/>
    <n v="-0.3"/>
    <x v="0"/>
    <n v="28500"/>
    <n v="251"/>
    <x v="1"/>
    <s v="PFO"/>
    <n v="0.63"/>
    <s v="Graythorne Development"/>
    <s v="LRC-2019-190"/>
    <s v="2021-92-45-MTM-A"/>
    <m/>
    <s v="Lake"/>
    <n v="41.315891999999998"/>
    <n v="-87.387343000000001"/>
    <s v="Development"/>
    <m/>
    <s v="No"/>
    <m/>
    <n v="4275"/>
    <n v="19950"/>
    <n v="4275"/>
    <s v="C"/>
    <s v="COMB"/>
    <m/>
    <m/>
    <m/>
    <m/>
    <m/>
    <m/>
    <s v="IDEM required 0.26 Forested. IDEM had wrong SA on permit, used Corps and IDEM noted this. "/>
  </r>
  <r>
    <d v="2021-09-27T00:00:00"/>
    <s v="September"/>
    <n v="2021"/>
    <x v="1"/>
    <n v="-0.05"/>
    <x v="0"/>
    <n v="4750"/>
    <n v="251"/>
    <x v="2"/>
    <s v="PFO"/>
    <n v="0.14000000000000001"/>
    <s v="Graythorne Development"/>
    <s v="None"/>
    <s v="IWIP 2021-92-45-MTM-A"/>
    <m/>
    <s v="Lake"/>
    <n v="41.315891999999998"/>
    <n v="-87.387343000000001"/>
    <s v="Development"/>
    <m/>
    <s v="No"/>
    <m/>
    <n v="712.5"/>
    <n v="3325"/>
    <n v="712.5"/>
    <s v="C"/>
    <s v="COMB"/>
    <s v="3 F"/>
    <m/>
    <m/>
    <m/>
    <m/>
    <m/>
    <s v="IDEM had wrong SA on permit, used Corps and IDEM noted this. "/>
  </r>
  <r>
    <d v="2021-09-27T00:00:00"/>
    <s v="September"/>
    <n v="2021"/>
    <x v="10"/>
    <n v="-478"/>
    <x v="1"/>
    <n v="191200"/>
    <n v="237"/>
    <x v="1"/>
    <s v="Per"/>
    <n v="398"/>
    <s v="Force Holdings - Project Husky"/>
    <s v="LRL-2021-277-sjk"/>
    <s v="2021-407-03-TMS-A"/>
    <m/>
    <s v="Bartholomew"/>
    <n v="39.144100000000002"/>
    <n v="-85.944559999999996"/>
    <s v="Development"/>
    <m/>
    <s v="No"/>
    <m/>
    <n v="28680"/>
    <n v="133840"/>
    <n v="28680"/>
    <s v="L"/>
    <s v="COMB"/>
    <m/>
    <m/>
    <m/>
    <m/>
    <m/>
    <m/>
    <s v="Requested invoice re-sent to diff recipient.  Corps requires more at 478 perennial, state 398. "/>
  </r>
  <r>
    <d v="2021-09-27T00:00:00"/>
    <s v="September"/>
    <n v="2021"/>
    <x v="10"/>
    <n v="-1271"/>
    <x v="1"/>
    <n v="508400"/>
    <n v="237"/>
    <x v="1"/>
    <s v="Int"/>
    <n v="1059"/>
    <s v="Force Holdings - Project Husky"/>
    <s v="LRL-2021-277-sjk"/>
    <s v="2021-407-03-TMS-A"/>
    <m/>
    <s v="Bartholomew"/>
    <n v="39.144100000000002"/>
    <n v="-85.944559999999996"/>
    <s v="Development"/>
    <m/>
    <s v="No"/>
    <m/>
    <n v="76260"/>
    <n v="355880"/>
    <n v="76260"/>
    <s v="L"/>
    <s v="COMB"/>
    <m/>
    <m/>
    <m/>
    <m/>
    <m/>
    <m/>
    <s v="Corps is more at 1271 intermittent stream, State is 1059 intermittent stream. "/>
  </r>
  <r>
    <d v="2021-09-27T00:00:00"/>
    <s v="September"/>
    <n v="2021"/>
    <x v="10"/>
    <n v="-0.61719999999999997"/>
    <x v="0"/>
    <n v="49376"/>
    <n v="237"/>
    <x v="1"/>
    <s v="PFO"/>
    <n v="0.15429999999999999"/>
    <s v="Force Holdings - Project Husky"/>
    <s v="LRL-2021-277-sjk"/>
    <s v="2021-407-03-TMS-A"/>
    <m/>
    <s v="Bartholomew"/>
    <n v="39.144100000000002"/>
    <n v="-85.944559999999996"/>
    <s v="Development"/>
    <m/>
    <s v="No"/>
    <m/>
    <n v="7406.4"/>
    <n v="34563.199999999997"/>
    <n v="7406.4"/>
    <s v="L"/>
    <s v="COMB"/>
    <m/>
    <m/>
    <m/>
    <m/>
    <m/>
    <m/>
    <s v="Corps is less at .56 forested wetland credits"/>
  </r>
  <r>
    <d v="2021-09-27T00:00:00"/>
    <s v="September"/>
    <n v="2021"/>
    <x v="10"/>
    <n v="-0.30549999999999999"/>
    <x v="0"/>
    <n v="24440"/>
    <n v="237"/>
    <x v="2"/>
    <s v="PFO"/>
    <n v="0.1222"/>
    <s v="Force Holdings - Project Husky"/>
    <s v="LRL-2021-277-sjk"/>
    <s v="IWIP-2021-407-03-TMS-A"/>
    <m/>
    <s v="Bartholomew"/>
    <n v="39.144100000000002"/>
    <n v="-85.944559999999996"/>
    <s v="Development"/>
    <m/>
    <s v="No"/>
    <m/>
    <n v="3666"/>
    <n v="17108"/>
    <n v="3666"/>
    <s v="L"/>
    <s v="COMB"/>
    <s v="3 F"/>
    <m/>
    <m/>
    <m/>
    <m/>
    <m/>
    <s v="IWIP Class III Forested "/>
  </r>
  <r>
    <d v="2021-09-30T00:00:00"/>
    <s v="September"/>
    <n v="2021"/>
    <x v="7"/>
    <n v="-0.29799999999999999"/>
    <x v="0"/>
    <n v="23840"/>
    <n v="252"/>
    <x v="1"/>
    <s v="PEM"/>
    <n v="0.10100000000000001"/>
    <s v="Stonecrest Development"/>
    <s v="LRL-2017-00451"/>
    <s v="2019-779-22-TMS-A"/>
    <m/>
    <s v="Floyd"/>
    <n v="38.355286"/>
    <s v="-85.81 8652"/>
    <s v="Development"/>
    <m/>
    <s v="No"/>
    <m/>
    <n v="3576"/>
    <n v="16688"/>
    <n v="3576"/>
    <s v="L"/>
    <s v="J"/>
    <m/>
    <m/>
    <m/>
    <m/>
    <m/>
    <m/>
    <s v="Corps requires .91 total wetland mitig - IDEM .202 emergent"/>
  </r>
  <r>
    <d v="2021-09-30T00:00:00"/>
    <s v="September"/>
    <n v="2021"/>
    <x v="7"/>
    <n v="-0.38400000000000001"/>
    <x v="0"/>
    <n v="30720"/>
    <n v="252"/>
    <x v="1"/>
    <s v="PSS"/>
    <n v="0.10100000000000001"/>
    <s v="Stonecrest Development"/>
    <s v="LRL-2017-00451"/>
    <s v="2019-779-22-TMS-A"/>
    <m/>
    <s v="Floyd"/>
    <n v="38.355286"/>
    <s v="-85.81 8652"/>
    <s v="Development"/>
    <m/>
    <s v="No"/>
    <m/>
    <n v="4608"/>
    <n v="21504"/>
    <n v="4608"/>
    <s v="L"/>
    <s v="J"/>
    <m/>
    <m/>
    <m/>
    <m/>
    <m/>
    <m/>
    <s v="Corps requires .91 total wetland mitig - IDEM .384 shrub"/>
  </r>
  <r>
    <d v="2021-09-30T00:00:00"/>
    <s v="September"/>
    <n v="2021"/>
    <x v="7"/>
    <n v="-0.22800000000000001"/>
    <x v="0"/>
    <n v="18240"/>
    <n v="252"/>
    <x v="1"/>
    <s v="PFO"/>
    <n v="0.10100000000000001"/>
    <s v="Stonecrest Development"/>
    <s v="LRL-2017-00451"/>
    <s v="2019-779-22-TMS-A"/>
    <m/>
    <s v="Floyd"/>
    <n v="38.355286"/>
    <s v="-85.81 8652"/>
    <s v="Development"/>
    <m/>
    <s v="No"/>
    <m/>
    <n v="2736"/>
    <n v="12768"/>
    <n v="2736"/>
    <s v="L"/>
    <s v="J"/>
    <m/>
    <m/>
    <m/>
    <m/>
    <m/>
    <m/>
    <s v="Corps requires .91 total wetland mitig - IDEM .228 forested"/>
  </r>
  <r>
    <d v="2021-09-30T00:00:00"/>
    <s v="September"/>
    <n v="2021"/>
    <x v="9"/>
    <n v="-0.34"/>
    <x v="0"/>
    <n v="27200"/>
    <n v="204"/>
    <x v="2"/>
    <s v="PEM"/>
    <n v="0.34"/>
    <s v="INDOT"/>
    <s v="None"/>
    <s v="IWGP 2020-787-80-JBT-A"/>
    <m/>
    <s v="Tipton"/>
    <n v="40.289437"/>
    <n v="-86.127049"/>
    <s v="Transportation"/>
    <m/>
    <s v="No"/>
    <m/>
    <n v="4080"/>
    <n v="19040"/>
    <n v="4080"/>
    <s v="L"/>
    <s v="SI"/>
    <s v="1 NF"/>
    <m/>
    <m/>
    <m/>
    <m/>
    <m/>
    <s v="Class I Non-Forested (PEM) DES 1592421"/>
  </r>
  <r>
    <d v="2021-10-06T00:00:00"/>
    <s v="October"/>
    <n v="2021"/>
    <x v="1"/>
    <n v="-0.99"/>
    <x v="0"/>
    <n v="94050"/>
    <n v="239"/>
    <x v="1"/>
    <s v="PFO"/>
    <n v="0.34100000000000003"/>
    <s v="INDOT"/>
    <s v="LRE-2020-1742-137-R21"/>
    <s v="2021-0231-37-JBT-A"/>
    <m/>
    <s v="Jasper"/>
    <n v="40.907580000000003"/>
    <n v="-87.210695999999999"/>
    <s v="Transportation"/>
    <m/>
    <s v="No"/>
    <m/>
    <n v="14107.5"/>
    <n v="65835"/>
    <n v="14107.5"/>
    <s v="L"/>
    <s v="J"/>
    <m/>
    <m/>
    <m/>
    <m/>
    <m/>
    <m/>
    <s v="1700378 - I-65 Unnamed Tributary to Iroquois Liner - Corps required no mitigation. "/>
  </r>
  <r>
    <d v="2021-10-06T00:00:00"/>
    <s v="October"/>
    <n v="2021"/>
    <x v="2"/>
    <n v="-449.5"/>
    <x v="1"/>
    <n v="179800"/>
    <n v="241"/>
    <x v="1"/>
    <s v="Int"/>
    <n v="516.5"/>
    <s v="INDOT"/>
    <s v="LRL-2020-1097-scm"/>
    <s v="2021-110-42-JBT-A"/>
    <m/>
    <s v="Knox"/>
    <n v="38.867088000000003"/>
    <n v="-87.250826000000004"/>
    <s v="Transportation"/>
    <m/>
    <s v="No"/>
    <m/>
    <n v="26970"/>
    <n v="125859.99999999999"/>
    <n v="26970"/>
    <s v="L"/>
    <s v="J"/>
    <m/>
    <m/>
    <m/>
    <m/>
    <m/>
    <m/>
    <s v="Corps required no credits, confirmed - INDOT 1700156 &amp; 1700159"/>
  </r>
  <r>
    <d v="2021-10-06T00:00:00"/>
    <s v="October"/>
    <n v="2021"/>
    <x v="2"/>
    <n v="-89.5"/>
    <x v="1"/>
    <n v="35800"/>
    <n v="241"/>
    <x v="1"/>
    <s v="Per"/>
    <n v="33"/>
    <s v="INDOT "/>
    <s v="LRL-2020-1097-scm"/>
    <s v="2021-110-42-JBT-A"/>
    <m/>
    <s v="Knox"/>
    <n v="38.867088000000003"/>
    <n v="-87.250826000000004"/>
    <s v="Transportation"/>
    <m/>
    <s v="No"/>
    <m/>
    <n v="5370"/>
    <n v="25060"/>
    <n v="5370"/>
    <s v="L"/>
    <s v="J"/>
    <m/>
    <m/>
    <m/>
    <m/>
    <m/>
    <m/>
    <s v="Corps required no credits, confirmed - INDOT 1700156 &amp; 1700159"/>
  </r>
  <r>
    <d v="2021-10-06T00:00:00"/>
    <s v="October"/>
    <n v="2021"/>
    <x v="10"/>
    <n v="-1.36"/>
    <x v="0"/>
    <n v="108800.00000000001"/>
    <n v="244"/>
    <x v="1"/>
    <s v="PEM"/>
    <n v="0.56569999999999998"/>
    <s v="INDOT"/>
    <s v="LRL-2020-217-scm"/>
    <s v="2021-0106-73-JBT-A, IWGP"/>
    <m/>
    <s v="Shelby"/>
    <n v="39.588799999999999"/>
    <n v="-85.828999999999994"/>
    <s v="Transportation"/>
    <m/>
    <s v="No"/>
    <m/>
    <n v="16320.000000000002"/>
    <n v="76160"/>
    <n v="16320.000000000002"/>
    <s v="L"/>
    <s v="COMB"/>
    <m/>
    <m/>
    <m/>
    <m/>
    <m/>
    <m/>
    <s v="Requested credits - then asked to hold off due to IWGP - then replied to proceed on purchase.  Corps required more credits -IDEM 1.132, Corps 1.36, I-74 INDOT 1601973 1601974 1601978 1601980"/>
  </r>
  <r>
    <d v="2021-10-06T00:00:00"/>
    <s v="October"/>
    <n v="2021"/>
    <x v="10"/>
    <n v="-0.29799999999999999"/>
    <x v="0"/>
    <n v="23840"/>
    <n v="244"/>
    <x v="2"/>
    <s v="PEM"/>
    <n v="0.29799999999999999"/>
    <s v="INDOT"/>
    <s v="LRL-2020-217-scm"/>
    <s v="IWGP 2021-106-73-JBT-A"/>
    <m/>
    <s v="Shelby"/>
    <n v="39.588799999999999"/>
    <n v="-85.828999999999994"/>
    <s v="Transportation"/>
    <m/>
    <s v="No"/>
    <m/>
    <n v="3576"/>
    <n v="16688"/>
    <n v="3576"/>
    <s v="L"/>
    <s v="COMB"/>
    <s v="1 NF"/>
    <m/>
    <m/>
    <m/>
    <m/>
    <m/>
    <s v="Requested credits - then asked to hold off due to IWGP - then replied to proceed on purchase.  Corps required more credits -IDEM 1.132, Corps 1.36, I-74 INDOT 1601973 1601974 1601978 1601980"/>
  </r>
  <r>
    <d v="2021-10-06T00:00:00"/>
    <s v="October"/>
    <n v="2021"/>
    <x v="10"/>
    <n v="-4"/>
    <x v="1"/>
    <n v="1600"/>
    <n v="242"/>
    <x v="1"/>
    <s v="Per"/>
    <n v="300.3"/>
    <s v="INDOT"/>
    <s v="LRL-2020-44-djd"/>
    <s v="2020-649-03-JBT-A"/>
    <m/>
    <s v="Bartholomew"/>
    <n v="39.141649999999998"/>
    <n v="-85.957999999999998"/>
    <s v="Transportation"/>
    <m/>
    <s v="No"/>
    <m/>
    <n v="240"/>
    <n v="1120"/>
    <n v="240"/>
    <s v="L"/>
    <s v="COMB"/>
    <m/>
    <m/>
    <m/>
    <m/>
    <m/>
    <m/>
    <s v="Note 0.12 jurisdictional wetland credits and 296.3 stream credits were purchased under the original IDEM 401 WQC and Corps 404 permits and a credit sale letter was issued on April 6, 2021 when those credits were purchased.   "/>
  </r>
  <r>
    <d v="2021-10-06T00:00:00"/>
    <s v="October"/>
    <n v="2021"/>
    <x v="10"/>
    <n v="-0.98"/>
    <x v="0"/>
    <n v="78400"/>
    <n v="242"/>
    <x v="2"/>
    <s v="PEM"/>
    <n v="0.06"/>
    <s v="INDOT "/>
    <s v="LRL-2020-44-djd"/>
    <s v="IWGP-2020-649-03-JBT-A"/>
    <m/>
    <s v="Bartholomew"/>
    <n v="39.141649999999998"/>
    <n v="-85.957999999999998"/>
    <s v="Transportation"/>
    <m/>
    <s v="No"/>
    <m/>
    <n v="11760"/>
    <n v="54880"/>
    <n v="11760"/>
    <s v="L"/>
    <s v="COMB"/>
    <s v="1 NF"/>
    <m/>
    <m/>
    <m/>
    <m/>
    <m/>
    <s v="Note 0.12 jurisdictional wetland credits and 296.3 stream credits were purchased under the original IDEM 401 WQC and Corps 404 permits and a credit sale letter was issued on April 6, 2021 when those credits were purchased.   "/>
  </r>
  <r>
    <d v="2021-10-18T00:00:00"/>
    <s v="October"/>
    <n v="2021"/>
    <x v="2"/>
    <n v="-114"/>
    <x v="1"/>
    <n v="45600"/>
    <n v="215"/>
    <x v="1"/>
    <s v="Per"/>
    <n v="95"/>
    <s v="INDOT"/>
    <s v="LRL-2010-506-djd"/>
    <s v="2021-0083-60-JBT-X "/>
    <m/>
    <s v="Owen"/>
    <s v="39.289348°"/>
    <s v="86.779420°"/>
    <s v="Transportation"/>
    <m/>
    <s v="No"/>
    <m/>
    <n v="6840"/>
    <n v="31919.999999999996"/>
    <n v="6840"/>
    <s v="L"/>
    <s v="J"/>
    <m/>
    <m/>
    <m/>
    <m/>
    <m/>
    <m/>
    <s v="Des. No. 0014380 - Corps required more than IDEM required for mitigation. "/>
  </r>
  <r>
    <d v="2021-10-19T00:00:00"/>
    <s v="October"/>
    <n v="2021"/>
    <x v="9"/>
    <n v="-3.6669999999999998"/>
    <x v="0"/>
    <n v="293360"/>
    <n v="256"/>
    <x v="2"/>
    <s v="PFO"/>
    <n v="1.837"/>
    <s v="Raindrop, LLC "/>
    <s v="None"/>
    <s v="IWIP 2021-558-32-ERL-A"/>
    <m/>
    <s v="Hendricks &amp; Morgan"/>
    <n v="39.623800000000003"/>
    <n v="-86.468000000000004"/>
    <s v="Development"/>
    <m/>
    <s v="No"/>
    <m/>
    <n v="44004"/>
    <n v="205352"/>
    <n v="44004"/>
    <s v="L"/>
    <s v="SI"/>
    <s v="2 F"/>
    <m/>
    <m/>
    <m/>
    <m/>
    <m/>
    <s v="Previously had permits IWGP 2020-985-32-ERL-A -rescinded, IWIP 2020-985-32-ERL-A- modified for no credit purchase.  IWIP 2021-558-32-ERL-A is a new permit on same project. "/>
  </r>
  <r>
    <d v="2021-10-19T00:00:00"/>
    <s v="October"/>
    <n v="2021"/>
    <x v="9"/>
    <n v="-1.115"/>
    <x v="0"/>
    <n v="89200"/>
    <n v="256"/>
    <x v="2"/>
    <s v="PSS"/>
    <n v="0.82699999999999996"/>
    <s v="Raindrop, LLC "/>
    <s v="None"/>
    <s v="IWIP 2021-558-32-ERL-A"/>
    <m/>
    <s v="Hendricks &amp; Morgan"/>
    <n v="39.623800000000003"/>
    <n v="-86.468000000000004"/>
    <s v="Development"/>
    <m/>
    <s v="No"/>
    <m/>
    <n v="13380"/>
    <n v="62439.999999999993"/>
    <n v="13380"/>
    <s v="L"/>
    <s v="SI"/>
    <s v="2 NF"/>
    <m/>
    <m/>
    <m/>
    <m/>
    <m/>
    <s v="Previously had permits IWGP 2020-985-32-ERL-A -rescinded, IWIP 2020-985-32-ERL-A- modified for no credit purchase.  IWIP 2021-558-32-ERL-A is a new permit on same project. "/>
  </r>
  <r>
    <d v="2021-10-19T00:00:00"/>
    <s v="October"/>
    <n v="2021"/>
    <x v="9"/>
    <n v="-0.83"/>
    <x v="0"/>
    <n v="66400"/>
    <n v="249"/>
    <x v="1"/>
    <s v="PFO"/>
    <n v="0.23"/>
    <s v="City of Indianapolis DPW"/>
    <s v="LRL-2021-477-sam"/>
    <s v="2021-348-49-MTM-A"/>
    <m/>
    <s v="Marion"/>
    <n v="39.887799999999999"/>
    <n v="86.300210000000007"/>
    <s v="Dam"/>
    <m/>
    <s v="No"/>
    <m/>
    <n v="9960"/>
    <n v="46480"/>
    <n v="9960"/>
    <s v="L"/>
    <s v="J"/>
    <m/>
    <m/>
    <m/>
    <m/>
    <m/>
    <m/>
    <s v="After the fact Credit Sale - Corps and IDEM required the same amounts. "/>
  </r>
  <r>
    <d v="2021-10-19T00:00:00"/>
    <s v="October"/>
    <n v="2021"/>
    <x v="9"/>
    <n v="-0.98"/>
    <x v="0"/>
    <n v="78400"/>
    <n v="249"/>
    <x v="1"/>
    <s v="PEM"/>
    <n v="0.41"/>
    <s v="City of Indianapolis DPW"/>
    <s v="LRL-2021-477-sam"/>
    <s v="2021-348-49-MTM-A"/>
    <m/>
    <s v="Marion"/>
    <n v="39.887799999999999"/>
    <n v="86.300210000000007"/>
    <s v="Dam"/>
    <m/>
    <s v="No"/>
    <m/>
    <n v="11760"/>
    <n v="54880"/>
    <n v="11760"/>
    <s v="L"/>
    <s v="J"/>
    <m/>
    <m/>
    <m/>
    <m/>
    <m/>
    <m/>
    <s v="After the fact Credit Sale - Corps and IDEM required the same amounts. "/>
  </r>
  <r>
    <d v="2021-10-22T00:00:00"/>
    <s v="October"/>
    <n v="2021"/>
    <x v="6"/>
    <n v="-0.84"/>
    <x v="0"/>
    <n v="100800"/>
    <n v="218"/>
    <x v="1"/>
    <s v="PEM"/>
    <n v="0.21"/>
    <s v="INDOT"/>
    <s v="LRE-2021-00232-144-R21"/>
    <s v="2021-0207-44-JBT-A"/>
    <m/>
    <s v="LaGrange"/>
    <n v="41.697600000000001"/>
    <n v="-85.581199999999995"/>
    <s v="Transportation"/>
    <m/>
    <s v="No"/>
    <m/>
    <n v="15120"/>
    <n v="70560"/>
    <n v="15120"/>
    <s v="D"/>
    <s v="J"/>
    <m/>
    <m/>
    <m/>
    <m/>
    <m/>
    <m/>
    <m/>
  </r>
  <r>
    <d v="2021-10-25T00:00:00"/>
    <s v="October"/>
    <n v="2021"/>
    <x v="0"/>
    <n v="-0.27600000000000002"/>
    <x v="0"/>
    <n v="26220.000000000004"/>
    <n v="246"/>
    <x v="1"/>
    <s v="PEM"/>
    <n v="0.15"/>
    <s v="Boys and Girls Clubs of Greater Northwest Indiana"/>
    <s v="LRC-2020-01139"/>
    <s v="2021-527-64-MTM-X"/>
    <m/>
    <s v="Porter"/>
    <n v="41.447586000000001"/>
    <n v="-87.052993999999998"/>
    <s v="Development"/>
    <m/>
    <s v="No"/>
    <m/>
    <n v="3933.0000000000005"/>
    <n v="18354"/>
    <n v="3933.0000000000005"/>
    <s v="C"/>
    <s v="J"/>
    <m/>
    <m/>
    <m/>
    <m/>
    <m/>
    <m/>
    <s v="IDEM 0.23, Corps .276"/>
  </r>
  <r>
    <d v="2021-10-25T00:00:00"/>
    <s v="October"/>
    <n v="2021"/>
    <x v="2"/>
    <n v="-0.25"/>
    <x v="0"/>
    <n v="20000"/>
    <n v="234"/>
    <x v="1"/>
    <s v="PEM"/>
    <n v="0.25"/>
    <s v="Bloomington Parks - Griffy Lake "/>
    <s v="None"/>
    <s v="2021-383-53-TMS-X"/>
    <m/>
    <s v="Monroe"/>
    <n v="39.198"/>
    <n v="-86.513000000000005"/>
    <s v="Transportation"/>
    <m/>
    <s v="No"/>
    <m/>
    <n v="3000"/>
    <n v="14000"/>
    <n v="3000"/>
    <s v="L"/>
    <s v="J"/>
    <m/>
    <m/>
    <m/>
    <m/>
    <m/>
    <m/>
    <s v="RGP"/>
  </r>
  <r>
    <d v="2021-10-25T00:00:00"/>
    <s v="October"/>
    <n v="2021"/>
    <x v="2"/>
    <n v="-740"/>
    <x v="1"/>
    <n v="296000"/>
    <n v="259"/>
    <x v="1"/>
    <s v="Eph"/>
    <n v="1369"/>
    <s v="Monroe County Highway Departmentt"/>
    <s v="LRL-2020-00189"/>
    <s v="2020-197-53-TMS-A"/>
    <m/>
    <s v="Monroe"/>
    <s v="39.260854,"/>
    <n v="-86.51088"/>
    <s v="Transportation"/>
    <m/>
    <s v="No"/>
    <m/>
    <n v="44400"/>
    <n v="207200"/>
    <n v="44400"/>
    <s v="L"/>
    <s v="J"/>
    <m/>
    <m/>
    <m/>
    <m/>
    <m/>
    <m/>
    <s v="Corps did not require a credit purchase. "/>
  </r>
  <r>
    <d v="2021-11-17T00:00:00"/>
    <s v="November "/>
    <n v="2021"/>
    <x v="0"/>
    <n v="-0.11"/>
    <x v="0"/>
    <n v="10450"/>
    <n v="189"/>
    <x v="2"/>
    <s v="PEM"/>
    <n v="0.11"/>
    <s v="Savannah Ridge"/>
    <s v="None"/>
    <s v="IWGP-2020-912-45-MTMA"/>
    <m/>
    <s v="Lake"/>
    <n v="41.47925"/>
    <n v="-87.358260000000001"/>
    <s v="Development"/>
    <m/>
    <s v="No"/>
    <m/>
    <n v="1567.5"/>
    <n v="7314.9999999999991"/>
    <n v="1567.5"/>
    <s v="C"/>
    <s v="SI"/>
    <s v="1 NF"/>
    <m/>
    <m/>
    <m/>
    <m/>
    <m/>
    <s v="Emailed - Credit receipt dated 1/25/2021 - letter inadvertently sent later.  "/>
  </r>
  <r>
    <d v="2021-11-17T00:00:00"/>
    <s v="November "/>
    <n v="2021"/>
    <x v="2"/>
    <n v="-115.5"/>
    <x v="1"/>
    <n v="46200"/>
    <n v="255"/>
    <x v="1"/>
    <s v="Eph"/>
    <n v="345"/>
    <s v="INDOT"/>
    <s v="LRL-2019-699-dds"/>
    <s v="2019-506-28-JBT-A"/>
    <m/>
    <s v="Greene and Sullivan"/>
    <n v="39.015700000000002"/>
    <n v="-87.213310000000007"/>
    <s v="Transportation"/>
    <m/>
    <s v="No"/>
    <m/>
    <n v="6930"/>
    <n v="32339.999999999996"/>
    <n v="6930"/>
    <s v="L"/>
    <s v="J"/>
    <m/>
    <m/>
    <m/>
    <m/>
    <m/>
    <m/>
    <s v="Redbird recreational area -  Des. No. 1601178 - Corps required no mitigation"/>
  </r>
  <r>
    <d v="2021-11-17T00:00:00"/>
    <s v="November "/>
    <n v="2021"/>
    <x v="2"/>
    <n v="-71"/>
    <x v="1"/>
    <n v="28400"/>
    <n v="255"/>
    <x v="1"/>
    <s v="Int"/>
    <n v="209.5"/>
    <s v="INDOT"/>
    <s v="LRL-2019-699-dds"/>
    <s v="2019-506-28-JBT-A"/>
    <m/>
    <s v="Greene and Sullivan"/>
    <n v="39.015700000000002"/>
    <n v="-87.213310000000007"/>
    <s v="Transportation"/>
    <m/>
    <s v="No"/>
    <m/>
    <n v="4260"/>
    <n v="19880"/>
    <n v="4260"/>
    <s v="L"/>
    <s v="J"/>
    <m/>
    <m/>
    <m/>
    <m/>
    <m/>
    <m/>
    <s v="Redbird recreational area -  Des. No. 1601178 - Corps required no mitigation"/>
  </r>
  <r>
    <d v="2021-11-17T00:00:00"/>
    <s v="November "/>
    <n v="2021"/>
    <x v="2"/>
    <n v="-0.1"/>
    <x v="0"/>
    <n v="8000"/>
    <n v="255"/>
    <x v="1"/>
    <s v="PEM"/>
    <n v="0.05"/>
    <s v="INDOT"/>
    <s v="LRL-2019-699-dds"/>
    <s v="2019-506-28-JBT-A"/>
    <m/>
    <s v="Greene and Sullivan"/>
    <n v="39.015700000000002"/>
    <n v="-87.213310000000007"/>
    <s v="Transportation"/>
    <m/>
    <s v="No"/>
    <m/>
    <n v="1200"/>
    <n v="5600"/>
    <n v="1200"/>
    <s v="L"/>
    <s v="J"/>
    <m/>
    <m/>
    <m/>
    <m/>
    <m/>
    <m/>
    <s v="Redbird recreational area -  Des. No. 1601178 - Corps required no mitigation"/>
  </r>
  <r>
    <d v="2021-11-17T00:00:00"/>
    <s v="November "/>
    <n v="2021"/>
    <x v="2"/>
    <n v="-0.08"/>
    <x v="0"/>
    <n v="6400"/>
    <n v="255"/>
    <x v="1"/>
    <s v="PFO"/>
    <n v="0.02"/>
    <s v="INDOT"/>
    <s v="LRL-2019-699-dds"/>
    <s v="2019-506-28-JBT-A"/>
    <m/>
    <s v="Greene and Sullivan"/>
    <n v="39.015700000000002"/>
    <n v="-87.213310000000007"/>
    <s v="Transportation"/>
    <m/>
    <s v="No"/>
    <m/>
    <n v="960"/>
    <n v="4480"/>
    <n v="960"/>
    <s v="L"/>
    <s v="J"/>
    <m/>
    <m/>
    <m/>
    <m/>
    <m/>
    <m/>
    <s v="Redbird recreational area -  Des. No. 1601178 - Corps required no mitigation"/>
  </r>
  <r>
    <d v="2021-11-17T00:00:00"/>
    <s v="November "/>
    <n v="2021"/>
    <x v="6"/>
    <n v="-124"/>
    <x v="1"/>
    <n v="74400"/>
    <n v="253"/>
    <x v="1"/>
    <s v="Per"/>
    <n v="124"/>
    <s v="INDOT"/>
    <s v="LRE-2008-103-120--R21"/>
    <s v="2021-366-20-JBT-X"/>
    <m/>
    <s v="Elkhart"/>
    <n v="41.654051000000003"/>
    <n v="-85.670492999999993"/>
    <s v="Transportation"/>
    <m/>
    <s v="No"/>
    <m/>
    <n v="11160"/>
    <n v="52080"/>
    <n v="11160"/>
    <s v="D"/>
    <s v="J"/>
    <m/>
    <m/>
    <m/>
    <m/>
    <m/>
    <m/>
    <s v="Corps did not require any credit purchase - 1600421 US20"/>
  </r>
  <r>
    <d v="2021-11-17T00:00:00"/>
    <s v="November "/>
    <n v="2021"/>
    <x v="6"/>
    <n v="-8.9999999999999993E-3"/>
    <x v="0"/>
    <n v="1080"/>
    <n v="253"/>
    <x v="1"/>
    <s v="PEM"/>
    <n v="4.4999999999999997E-3"/>
    <s v="INDOT"/>
    <s v="LRE-2008-103-120--R21"/>
    <s v="2021-366-20-JBT-X"/>
    <m/>
    <s v="Elkhart"/>
    <n v="41.654051000000003"/>
    <n v="-85.670492999999993"/>
    <s v="Transportation"/>
    <m/>
    <s v="No"/>
    <m/>
    <n v="162"/>
    <n v="756"/>
    <n v="162"/>
    <s v="D"/>
    <s v="J"/>
    <m/>
    <m/>
    <m/>
    <m/>
    <m/>
    <m/>
    <s v="Corps did not require any credit purchase - 1600421 US21"/>
  </r>
  <r>
    <d v="2021-11-17T00:00:00"/>
    <s v="November "/>
    <n v="2021"/>
    <x v="6"/>
    <n v="-6.6E-3"/>
    <x v="0"/>
    <n v="792"/>
    <n v="253"/>
    <x v="1"/>
    <s v="PSS"/>
    <n v="2.2000000000000001E-3"/>
    <s v="INDOT"/>
    <s v="LRE-2008-103-120--R21"/>
    <s v="2021-366-20-JBT-X"/>
    <m/>
    <s v="Elkhart"/>
    <n v="41.654051000000003"/>
    <n v="-85.670492999999993"/>
    <s v="Transportation"/>
    <m/>
    <s v="No"/>
    <m/>
    <n v="118.8"/>
    <n v="554.4"/>
    <n v="118.8"/>
    <s v="D"/>
    <s v="J"/>
    <m/>
    <m/>
    <m/>
    <m/>
    <m/>
    <m/>
    <s v="Corps did not require any credit purchase - 1600421 US22"/>
  </r>
  <r>
    <d v="2021-11-17T00:00:00"/>
    <s v="November "/>
    <n v="2021"/>
    <x v="6"/>
    <n v="-0.2954"/>
    <x v="0"/>
    <n v="35448"/>
    <n v="253"/>
    <x v="1"/>
    <s v="PFO"/>
    <n v="7.2599999999999998E-2"/>
    <s v="INDOT"/>
    <s v="LRE-2008-103-120--R21"/>
    <s v="2021-366-20-JBT-X"/>
    <m/>
    <s v="Elkhart"/>
    <n v="41.654051000000003"/>
    <n v="-85.670492999999993"/>
    <s v="Transportation"/>
    <m/>
    <s v="No"/>
    <m/>
    <n v="5317.2"/>
    <n v="24813.599999999999"/>
    <n v="5317.2"/>
    <s v="D"/>
    <s v="J"/>
    <m/>
    <m/>
    <m/>
    <m/>
    <m/>
    <m/>
    <s v="Corps did not require any credit purchase - 1600421 US23"/>
  </r>
  <r>
    <d v="2021-11-17T00:00:00"/>
    <s v="November "/>
    <n v="2021"/>
    <x v="6"/>
    <n v="-52"/>
    <x v="1"/>
    <n v="31200"/>
    <n v="254"/>
    <x v="1"/>
    <s v="Per"/>
    <n v="100"/>
    <s v="INDOT"/>
    <s v="LRE-2010-00799-120-S20"/>
    <s v="2020-981-20-JBT-A"/>
    <m/>
    <s v="Elkhart &amp; Kosciusko"/>
    <n v="41.667400000000001"/>
    <n v="-85.821399999999997"/>
    <s v="Transportation"/>
    <m/>
    <s v="No"/>
    <m/>
    <n v="4680"/>
    <n v="21840"/>
    <n v="4680"/>
    <s v="D"/>
    <s v="J"/>
    <m/>
    <m/>
    <m/>
    <m/>
    <m/>
    <m/>
    <s v="IDEM 52 - INDOT 1600517 - Permit revision changing amounts"/>
  </r>
  <r>
    <d v="2021-11-17T00:00:00"/>
    <s v="November "/>
    <n v="2021"/>
    <x v="6"/>
    <n v="-7.1829999999999998"/>
    <x v="0"/>
    <n v="861960"/>
    <n v="254"/>
    <x v="1"/>
    <s v="PEM"/>
    <n v="3.831"/>
    <s v="INDOT"/>
    <s v="LRE-2010-00799-120-S20"/>
    <s v="2020-981-20-JBT-A"/>
    <m/>
    <s v="Elkhart &amp; Kosciusko"/>
    <n v="41.667400000000001"/>
    <n v="-85.821399999999997"/>
    <s v="Transportation"/>
    <m/>
    <s v="No"/>
    <m/>
    <n v="129294"/>
    <n v="603372"/>
    <n v="129294"/>
    <s v="D"/>
    <s v="J"/>
    <m/>
    <m/>
    <m/>
    <m/>
    <m/>
    <m/>
    <s v="IDEM 7.183, Corps all wetland credits total of 7.705"/>
  </r>
  <r>
    <d v="2021-11-17T00:00:00"/>
    <s v="November "/>
    <n v="2021"/>
    <x v="6"/>
    <n v="-0.28199999999999997"/>
    <x v="0"/>
    <n v="33840"/>
    <n v="254"/>
    <x v="1"/>
    <s v="PSS"/>
    <n v="9.4E-2"/>
    <s v="INDOT"/>
    <s v="LRE-2010-00799-120-S20"/>
    <s v="2020-981-20-JBT-A"/>
    <m/>
    <s v="Elkhart &amp; Kosciusko"/>
    <n v="41.667400000000001"/>
    <n v="-85.821399999999997"/>
    <s v="Transportation"/>
    <m/>
    <s v="No"/>
    <m/>
    <n v="5076"/>
    <n v="23688"/>
    <n v="5076"/>
    <s v="D"/>
    <s v="J"/>
    <m/>
    <m/>
    <m/>
    <m/>
    <m/>
    <m/>
    <s v="IDEM 0.282"/>
  </r>
  <r>
    <d v="2021-11-17T00:00:00"/>
    <s v="November "/>
    <n v="2021"/>
    <x v="6"/>
    <n v="-0.24"/>
    <x v="0"/>
    <n v="28800"/>
    <n v="254"/>
    <x v="1"/>
    <s v="PFO"/>
    <n v="5.3999999999999999E-2"/>
    <s v="INDOT"/>
    <s v="LRE-2010-00799-120-S20"/>
    <s v="2020-981-20-JBT-A"/>
    <m/>
    <s v="Elkhart &amp; Kosciusko"/>
    <n v="41.667400000000001"/>
    <n v="-85.821399999999997"/>
    <s v="Transportation"/>
    <m/>
    <s v="No"/>
    <m/>
    <n v="4320"/>
    <n v="20160"/>
    <n v="4320"/>
    <s v="D"/>
    <s v="J"/>
    <m/>
    <m/>
    <m/>
    <m/>
    <m/>
    <m/>
    <s v="IDEM 0.24"/>
  </r>
  <r>
    <d v="2021-11-30T00:00:00"/>
    <s v="November "/>
    <n v="2021"/>
    <x v="8"/>
    <n v="-65"/>
    <x v="1"/>
    <n v="26000"/>
    <n v="121"/>
    <x v="1"/>
    <s v="Per"/>
    <n v="65"/>
    <s v="Love's Travel Stops and Country Stores, Inc."/>
    <s v="LRL-2019-473-lcl"/>
    <s v="2020-293-79-ERL-A"/>
    <m/>
    <s v="Tippecanoe"/>
    <n v="40.4529"/>
    <n v="-86.850300000000004"/>
    <s v="Development"/>
    <m/>
    <s v="No"/>
    <m/>
    <n v="3900"/>
    <n v="18200"/>
    <n v="3900"/>
    <s v="L"/>
    <s v="J"/>
    <m/>
    <m/>
    <m/>
    <m/>
    <m/>
    <m/>
    <s v="IDEM required more ILF stream credit than the Corps"/>
  </r>
  <r>
    <d v="2021-11-30T00:00:00"/>
    <s v="November "/>
    <n v="2021"/>
    <x v="8"/>
    <n v="-1.54"/>
    <x v="0"/>
    <n v="123200"/>
    <n v="121"/>
    <x v="1"/>
    <s v="PEM"/>
    <n v="0.64"/>
    <s v="Love's Travel Stops and Country Stores, Inc."/>
    <s v="LRL-2019-473-lcl"/>
    <s v="2020-293-79-ERL-A"/>
    <m/>
    <s v="Tippecanoe"/>
    <n v="40.4529"/>
    <n v="-86.850300000000004"/>
    <s v="Development"/>
    <m/>
    <s v="No"/>
    <m/>
    <n v="18480"/>
    <n v="86240"/>
    <n v="18480"/>
    <s v="L"/>
    <s v="J"/>
    <m/>
    <m/>
    <m/>
    <m/>
    <m/>
    <m/>
    <s v="Corps required more PEM ILF credit"/>
  </r>
  <r>
    <d v="2021-11-30T00:00:00"/>
    <s v="November "/>
    <n v="2021"/>
    <x v="8"/>
    <n v="-0.34"/>
    <x v="0"/>
    <n v="27200"/>
    <n v="121"/>
    <x v="1"/>
    <s v="PSS"/>
    <n v="0.14000000000000001"/>
    <s v="Love's Travel Stops and Country Stores, Inc."/>
    <s v="LRL-2019-473-lcl"/>
    <s v="2020-293-79-ERL-A"/>
    <m/>
    <s v="Tippecanoe"/>
    <n v="40.4529"/>
    <n v="-86.850300000000004"/>
    <s v="Development"/>
    <m/>
    <s v="No"/>
    <m/>
    <n v="4080"/>
    <n v="19040"/>
    <n v="4080"/>
    <s v="L"/>
    <s v="J"/>
    <m/>
    <m/>
    <m/>
    <m/>
    <m/>
    <m/>
    <s v="IDEM required more PSS credit, but accepted the additional PSS for the compensation"/>
  </r>
  <r>
    <d v="2021-11-30T00:00:00"/>
    <s v="November "/>
    <n v="2021"/>
    <x v="9"/>
    <n v="-429"/>
    <x v="1"/>
    <n v="193050"/>
    <n v="257"/>
    <x v="1"/>
    <s v="Per"/>
    <n v="357"/>
    <s v="Indy South Greenwood Airport"/>
    <s v="LRL-2019-1080-sjk"/>
    <s v="2021-397-41-TMS-A"/>
    <m/>
    <s v="Johnson"/>
    <n v="39.628300000000003"/>
    <n v="-86.090199999999996"/>
    <s v="Transportation"/>
    <m/>
    <s v="No"/>
    <m/>
    <n v="28957.5"/>
    <n v="135135"/>
    <n v="28957.5"/>
    <s v="L"/>
    <s v="J"/>
    <m/>
    <m/>
    <m/>
    <m/>
    <m/>
    <m/>
    <m/>
  </r>
  <r>
    <d v="2021-11-30T00:00:00"/>
    <s v="November "/>
    <n v="2021"/>
    <x v="9"/>
    <n v="-0.43"/>
    <x v="0"/>
    <n v="34400"/>
    <n v="257"/>
    <x v="1"/>
    <s v="PEM"/>
    <n v="0.18"/>
    <s v="Indy South Greenwood Airport"/>
    <s v="LRL-2019-1080-sjk"/>
    <s v="2021-397-41-TMS-A"/>
    <m/>
    <s v="Johnson"/>
    <n v="39.628300000000003"/>
    <n v="-86.090199999999996"/>
    <s v="Transportation"/>
    <m/>
    <s v="No"/>
    <m/>
    <n v="5160"/>
    <n v="24080"/>
    <n v="5160"/>
    <s v="L"/>
    <s v="J"/>
    <m/>
    <m/>
    <m/>
    <m/>
    <m/>
    <m/>
    <m/>
  </r>
  <r>
    <d v="2021-12-07T00:00:00"/>
    <s v="December"/>
    <n v="2021"/>
    <x v="0"/>
    <n v="-232"/>
    <x v="1"/>
    <n v="139200"/>
    <n v="258"/>
    <x v="1"/>
    <s v="Int"/>
    <n v="1060"/>
    <s v="Lake County"/>
    <s v="LRE 2000-1450751"/>
    <s v="2021-360-45-MTM-A"/>
    <m/>
    <s v="Lake"/>
    <n v="41.53716"/>
    <n v="-87.398420000000002"/>
    <s v="Transportation"/>
    <m/>
    <s v="No"/>
    <m/>
    <n v="20880"/>
    <n v="97440"/>
    <n v="20880"/>
    <s v="C"/>
    <s v="J"/>
    <m/>
    <m/>
    <m/>
    <m/>
    <m/>
    <m/>
    <s v="45th Avenue Phase IIIA and IIIB – Des. 9980080"/>
  </r>
  <r>
    <d v="2021-12-07T00:00:00"/>
    <s v="December"/>
    <n v="2021"/>
    <x v="0"/>
    <n v="-0.93400000000000005"/>
    <x v="0"/>
    <n v="88730"/>
    <n v="258"/>
    <x v="1"/>
    <s v="PEM"/>
    <n v="0.42499999999999999"/>
    <s v="Lake County"/>
    <s v="LRE 2000-1450751"/>
    <s v="2021-360-45-MTM-A"/>
    <m/>
    <s v="Lake"/>
    <n v="41.53716"/>
    <n v="-87.398420000000002"/>
    <s v="Transportation"/>
    <m/>
    <s v="No"/>
    <m/>
    <n v="13309.5"/>
    <n v="62110.999999999993"/>
    <n v="13309.5"/>
    <s v="C"/>
    <s v="J"/>
    <m/>
    <m/>
    <m/>
    <m/>
    <m/>
    <m/>
    <s v="46th Avenue Phase IIIA and IIIB – Des. 9980080"/>
  </r>
  <r>
    <d v="2021-12-07T00:00:00"/>
    <s v="December"/>
    <n v="2021"/>
    <x v="0"/>
    <n v="-0.01"/>
    <x v="0"/>
    <n v="950"/>
    <n v="258"/>
    <x v="1"/>
    <s v="PSS"/>
    <n v="3.0000000000000001E-3"/>
    <s v="Lake County"/>
    <s v="LRE 2000-1450751"/>
    <s v="2021-360-45-MTM-A"/>
    <m/>
    <s v="Lake"/>
    <n v="41.53716"/>
    <n v="-87.398420000000002"/>
    <s v="Transportation"/>
    <m/>
    <s v="No"/>
    <m/>
    <n v="142.5"/>
    <n v="665"/>
    <n v="142.5"/>
    <s v="C"/>
    <s v="J"/>
    <m/>
    <m/>
    <m/>
    <m/>
    <m/>
    <m/>
    <s v="47th Avenue Phase IIIA and IIIB – Des. 9980080"/>
  </r>
  <r>
    <d v="2021-12-07T00:00:00"/>
    <s v="December"/>
    <n v="2021"/>
    <x v="0"/>
    <n v="-0.185"/>
    <x v="0"/>
    <n v="17575"/>
    <n v="258"/>
    <x v="1"/>
    <s v="PFO"/>
    <n v="4.3999999999999997E-2"/>
    <s v="Lake County"/>
    <s v="LRE 2000-1450751"/>
    <s v="2021-360-45-MTM-A"/>
    <m/>
    <s v="Lake"/>
    <n v="41.53716"/>
    <n v="-87.398420000000002"/>
    <s v="Transportation"/>
    <m/>
    <s v="No"/>
    <m/>
    <n v="2636.25"/>
    <n v="12302.5"/>
    <n v="2636.25"/>
    <s v="C"/>
    <s v="J"/>
    <m/>
    <m/>
    <m/>
    <m/>
    <m/>
    <m/>
    <s v="48th Avenue Phase IIIA and IIIB – Des. 9980080"/>
  </r>
  <r>
    <d v="2021-12-07T00:00:00"/>
    <s v="December"/>
    <n v="2021"/>
    <x v="5"/>
    <n v="-0.16"/>
    <x v="0"/>
    <n v="12800"/>
    <n v="267"/>
    <x v="1"/>
    <s v="PEM"/>
    <n v="0.16"/>
    <s v="Old Dominion Road - Failed mitig - short time period"/>
    <s v="LRL-2019-152-jmb"/>
    <s v="2018-693-82"/>
    <m/>
    <s v="Vanderburgh"/>
    <n v="38.104962999999998"/>
    <n v="-87.512309999999999"/>
    <s v="Development"/>
    <m/>
    <s v="No"/>
    <m/>
    <n v="1920"/>
    <n v="8960"/>
    <n v="1920"/>
    <s v="L"/>
    <s v="J"/>
    <m/>
    <m/>
    <m/>
    <m/>
    <m/>
    <m/>
    <s v="Non-Compliance letter sent via IDEM 11/21 - Corps did not pursue as determined impacts pre-2014"/>
  </r>
  <r>
    <d v="2021-12-07T00:00:00"/>
    <s v="December"/>
    <n v="2021"/>
    <x v="9"/>
    <n v="-2.1749999999999998"/>
    <x v="0"/>
    <n v="174000"/>
    <n v="266"/>
    <x v="2"/>
    <s v="PFO"/>
    <n v="0.87"/>
    <s v="Vail Properties"/>
    <s v="None"/>
    <s v="IWIP 2021-682-30-JBT-A"/>
    <m/>
    <s v="Hancock"/>
    <n v="39.869999999999997"/>
    <n v="-85.91"/>
    <s v="Development"/>
    <m/>
    <s v="No"/>
    <m/>
    <n v="26100"/>
    <n v="121799.99999999999"/>
    <n v="26100"/>
    <s v="L"/>
    <s v="SI"/>
    <s v="3 F"/>
    <m/>
    <m/>
    <m/>
    <m/>
    <m/>
    <m/>
  </r>
  <r>
    <d v="2021-12-15T00:00:00"/>
    <s v="December"/>
    <n v="2021"/>
    <x v="9"/>
    <n v="-230"/>
    <x v="1"/>
    <n v="103500"/>
    <n v="194"/>
    <x v="1"/>
    <s v="Int"/>
    <n v="230"/>
    <s v="City of Greenwood"/>
    <s v="LRL-2020-01079-htm"/>
    <s v="2020-951-41-TMS-A"/>
    <m/>
    <s v="Johnson"/>
    <n v="39.581670000000003"/>
    <n v="-86.139799999999994"/>
    <s v="Transportation"/>
    <m/>
    <s v="No"/>
    <m/>
    <n v="15525"/>
    <n v="72450"/>
    <n v="15525"/>
    <s v="L"/>
    <s v="J"/>
    <m/>
    <m/>
    <m/>
    <m/>
    <m/>
    <m/>
    <s v="Corps RGP did not require ILF mitigation"/>
  </r>
  <r>
    <d v="2021-12-15T00:00:00"/>
    <s v="December"/>
    <n v="2021"/>
    <x v="9"/>
    <n v="-4"/>
    <x v="0"/>
    <n v="320000"/>
    <n v="248"/>
    <x v="1"/>
    <s v="PFO"/>
    <n v="1"/>
    <s v="City of Indianapolis DPW"/>
    <s v="LRL-1991-119-sam"/>
    <s v="1995-304-49-HAK-A"/>
    <m/>
    <s v="Marion"/>
    <n v="39.865496"/>
    <n v="-86.045828"/>
    <s v="Development"/>
    <m/>
    <s v="No"/>
    <m/>
    <n v="48000"/>
    <n v="224000"/>
    <n v="48000"/>
    <s v="L"/>
    <s v="J"/>
    <m/>
    <m/>
    <m/>
    <m/>
    <m/>
    <m/>
    <s v="Failed mitigation - Shadeland Avenue over Fall Creek Mitigation Resolution - 90 days to complete purchase. "/>
  </r>
  <r>
    <d v="2021-12-15T00:00:00"/>
    <s v="December"/>
    <n v="2021"/>
    <x v="8"/>
    <n v="-0.35"/>
    <x v="0"/>
    <n v="28000"/>
    <n v="263"/>
    <x v="2"/>
    <s v="PEM"/>
    <n v="0.18"/>
    <s v="AEP"/>
    <s v="None"/>
    <s v="IWIP 2021-629-05-WRH-A"/>
    <m/>
    <s v="Blackford and Jay"/>
    <n v="40.406025"/>
    <n v="-85.276526000000004"/>
    <s v="Transportation"/>
    <m/>
    <s v="No"/>
    <m/>
    <n v="4200"/>
    <n v="19600"/>
    <n v="4200"/>
    <s v="L"/>
    <s v="SI"/>
    <s v="2 F"/>
    <m/>
    <m/>
    <m/>
    <m/>
    <m/>
    <m/>
  </r>
  <r>
    <d v="2021-12-28T00:00:00"/>
    <s v="December"/>
    <n v="2021"/>
    <x v="0"/>
    <n v="-126"/>
    <x v="1"/>
    <n v="75600"/>
    <n v="238"/>
    <x v="1"/>
    <s v="Int"/>
    <n v="101"/>
    <s v="INDOT"/>
    <s v="LRC-2021-00335"/>
    <s v="2020-804-45-JBT-A"/>
    <m/>
    <s v="Lake"/>
    <n v="41.42"/>
    <n v="-87.3215"/>
    <s v="Transportation"/>
    <m/>
    <s v="No"/>
    <m/>
    <n v="11340"/>
    <n v="52920"/>
    <n v="11340"/>
    <s v="C"/>
    <s v="J"/>
    <m/>
    <m/>
    <m/>
    <m/>
    <m/>
    <m/>
    <s v="Corps required more - IDEM 101, Corps 126 - INDOT DES 1801500"/>
  </r>
  <r>
    <d v="2021-12-28T00:00:00"/>
    <s v="December"/>
    <n v="2021"/>
    <x v="0"/>
    <n v="-1.45"/>
    <x v="0"/>
    <n v="137750"/>
    <n v="238"/>
    <x v="1"/>
    <s v="PEM"/>
    <n v="0.66700000000000004"/>
    <s v="INDOT"/>
    <s v="LRC-2021-00335"/>
    <s v="2020-804-45-JBT-A"/>
    <m/>
    <s v="Lake"/>
    <n v="41.42"/>
    <n v="-87.3215"/>
    <s v="Transportation"/>
    <m/>
    <s v="No"/>
    <m/>
    <n v="20662.5"/>
    <n v="96425"/>
    <n v="20662.5"/>
    <s v="C"/>
    <s v="J"/>
    <m/>
    <m/>
    <m/>
    <m/>
    <m/>
    <m/>
    <s v="IDEM was 1.16, Corps was 1.45, Corps added surcharge for impacts while projects being planned/implemented"/>
  </r>
  <r>
    <m/>
    <m/>
    <m/>
    <x v="11"/>
    <m/>
    <x v="2"/>
    <m/>
    <m/>
    <x v="0"/>
    <m/>
    <m/>
    <m/>
    <m/>
    <m/>
    <m/>
    <m/>
    <m/>
    <m/>
    <m/>
    <m/>
    <m/>
    <m/>
    <m/>
    <m/>
    <m/>
    <m/>
    <m/>
    <m/>
    <m/>
    <m/>
    <m/>
    <m/>
    <m/>
    <m/>
  </r>
  <r>
    <d v="2022-01-04T00:00:00"/>
    <s v="January"/>
    <n v="2022"/>
    <x v="9"/>
    <n v="-0.5"/>
    <x v="0"/>
    <n v="40000"/>
    <n v="262"/>
    <x v="2"/>
    <s v="PFO"/>
    <n v="0.2"/>
    <s v="INDOT"/>
    <s v="LRL-2020-426-scm"/>
    <s v="IWIP 2020-407-29-JBT-A "/>
    <m/>
    <s v="Hamilton"/>
    <n v="40.131169999999997"/>
    <n v="86.128159999999994"/>
    <s v="Transportation"/>
    <m/>
    <s v="No"/>
    <m/>
    <n v="6000"/>
    <n v="28000"/>
    <n v="6000"/>
    <s v="L"/>
    <s v="SI"/>
    <s v="2 FO"/>
    <m/>
    <m/>
    <m/>
    <m/>
    <m/>
    <s v="Class II Forested  DES 1702149"/>
  </r>
  <r>
    <d v="2022-01-04T00:00:00"/>
    <s v="January"/>
    <n v="2022"/>
    <x v="9"/>
    <n v="-1654"/>
    <x v="1"/>
    <n v="744300"/>
    <n v="262"/>
    <x v="1"/>
    <s v="Int"/>
    <n v="1654"/>
    <s v="INDOT"/>
    <s v="LRL-2020-426-scm"/>
    <s v="2020-407-29-JBT-A "/>
    <m/>
    <s v="Hamilton"/>
    <n v="40.131169999999997"/>
    <n v="86.128159999999994"/>
    <s v="Transportation"/>
    <m/>
    <s v="No"/>
    <m/>
    <n v="111645"/>
    <n v="521009.99999999994"/>
    <n v="111645"/>
    <s v="L"/>
    <s v="COMB"/>
    <m/>
    <m/>
    <m/>
    <m/>
    <m/>
    <m/>
    <s v="Corps required 526 lf int.  IDEM required more ILF stream credits than the Corps. IWGP Wetland credits 0.223, and .016 from 401, purchased from bank. 1702149"/>
  </r>
  <r>
    <d v="2022-01-04T00:00:00"/>
    <s v="January"/>
    <n v="2022"/>
    <x v="9"/>
    <n v="-2.68"/>
    <x v="0"/>
    <n v="214400"/>
    <n v="260"/>
    <x v="1"/>
    <s v="PFO"/>
    <n v="1.8"/>
    <s v="Scannell Properties"/>
    <s v="LRL-2020-1066-lcl"/>
    <s v="2021-324-32-ERL-A"/>
    <m/>
    <s v="Hendricks"/>
    <n v="39.832799999999999"/>
    <n v="-86.349500000000006"/>
    <s v="Development"/>
    <m/>
    <s v="No"/>
    <m/>
    <n v="32160"/>
    <n v="150080"/>
    <n v="32160"/>
    <s v="L"/>
    <s v="J"/>
    <m/>
    <m/>
    <m/>
    <m/>
    <m/>
    <m/>
    <s v="WOSD revision issued - IWGP was rescinded, and IWIP was modified.  Held until mod final and revised credit amount."/>
  </r>
  <r>
    <d v="2022-01-05T00:00:00"/>
    <s v="January"/>
    <n v="2022"/>
    <x v="5"/>
    <n v="-0.86"/>
    <x v="0"/>
    <n v="68800"/>
    <n v="230"/>
    <x v="1"/>
    <s v="PEM"/>
    <n v="0.35589999999999999"/>
    <s v="INDOT"/>
    <s v="LRL-2021-83-scm"/>
    <s v="2021-0297-82-JBT-A"/>
    <m/>
    <s v="Vanderburgh"/>
    <s v="38.004,"/>
    <n v="-87.538600000000002"/>
    <s v="Transportation"/>
    <m/>
    <s v="No"/>
    <m/>
    <n v="10320"/>
    <n v="48160"/>
    <n v="10320"/>
    <s v="L"/>
    <s v="J"/>
    <m/>
    <m/>
    <m/>
    <m/>
    <m/>
    <m/>
    <s v="US41 Pigeon Creek DES 2001766 &amp; 200514 - DNR no addtl mitigation - IDEM .96 as all emergent - Corps broke out emergent and forested and .97 total"/>
  </r>
  <r>
    <d v="2022-01-05T00:00:00"/>
    <s v="January"/>
    <n v="2022"/>
    <x v="5"/>
    <n v="-0.11"/>
    <x v="0"/>
    <n v="8800"/>
    <n v="230"/>
    <x v="1"/>
    <s v="PFO"/>
    <n v="2.9000000000000001E-2"/>
    <s v="INDOT"/>
    <s v="LRL-2021-83-scm"/>
    <s v="2021-0297-82-JBT-A"/>
    <m/>
    <s v="Vanderburgh"/>
    <s v="38.004,"/>
    <n v="-87.538600000000002"/>
    <s v="Transportation"/>
    <m/>
    <s v="No"/>
    <m/>
    <n v="1320"/>
    <n v="6160"/>
    <n v="1320"/>
    <s v="L"/>
    <s v="J"/>
    <m/>
    <m/>
    <m/>
    <m/>
    <m/>
    <m/>
    <s v="US41 Pigeon Creek DES 2001766 &amp; 200514"/>
  </r>
  <r>
    <d v="2022-01-12T00:00:00"/>
    <s v="January"/>
    <n v="2022"/>
    <x v="1"/>
    <n v="-0.46"/>
    <x v="0"/>
    <n v="43700"/>
    <n v="281"/>
    <x v="1"/>
    <s v="PEM"/>
    <n v="0.19"/>
    <s v="NIPSCO"/>
    <s v="LRC-2021-00964"/>
    <s v="2021-872-45-MTM-X"/>
    <m/>
    <s v="Lake"/>
    <n v="41.443241700000002"/>
    <n v="-87.488253999999998"/>
    <s v="Energy Production"/>
    <m/>
    <s v="No"/>
    <m/>
    <n v="6555"/>
    <n v="30589.999999999996"/>
    <n v="6555"/>
    <s v="C"/>
    <s v="J"/>
    <m/>
    <m/>
    <m/>
    <m/>
    <m/>
    <m/>
    <m/>
  </r>
  <r>
    <d v="2022-01-18T00:00:00"/>
    <s v="January"/>
    <n v="2022"/>
    <x v="9"/>
    <n v="-1.8"/>
    <x v="0"/>
    <n v="144000"/>
    <n v="268"/>
    <x v="2"/>
    <s v="PFO"/>
    <n v="0.7"/>
    <s v="Point 70 Logistic Ventures"/>
    <s v="N/A"/>
    <s v="IWIP 2021-506-30-SLG-A"/>
    <m/>
    <s v="Hancock"/>
    <n v="39.820034999999997"/>
    <n v="-85.927935000000005"/>
    <s v="Development"/>
    <m/>
    <s v="No"/>
    <m/>
    <n v="21600"/>
    <n v="100800"/>
    <n v="21600"/>
    <s v="L"/>
    <s v="SI"/>
    <s v="2 FO"/>
    <m/>
    <m/>
    <m/>
    <m/>
    <m/>
    <s v="Bridge Replacement - INDOT DES 1701595"/>
  </r>
  <r>
    <d v="2022-01-18T00:00:00"/>
    <s v="January"/>
    <n v="2022"/>
    <x v="10"/>
    <n v="-3.0000000000000001E-3"/>
    <x v="0"/>
    <n v="240"/>
    <n v="273"/>
    <x v="2"/>
    <s v="PEM"/>
    <n v="2E-3"/>
    <s v="INDOT"/>
    <s v="N/A"/>
    <s v="IWGP 2021-0060-30-JBT-A,"/>
    <m/>
    <s v="Hancock and Henry"/>
    <n v="39.8416"/>
    <n v="-85.551199999999994"/>
    <s v="Transportation"/>
    <m/>
    <s v="No"/>
    <m/>
    <n v="36"/>
    <n v="168"/>
    <n v="36"/>
    <s v="L"/>
    <s v="SI"/>
    <s v="2 NF"/>
    <m/>
    <m/>
    <m/>
    <m/>
    <m/>
    <s v="INDOT 1700897 - confirmed 401/404 did not require any mitigation"/>
  </r>
  <r>
    <d v="2022-01-24T00:00:00"/>
    <s v="January"/>
    <n v="2022"/>
    <x v="4"/>
    <n v="-52"/>
    <x v="1"/>
    <n v="20800"/>
    <n v="271"/>
    <x v="1"/>
    <s v="Per"/>
    <n v="184.2"/>
    <s v="INDOT "/>
    <s v="LRL-2021-118"/>
    <s v="2021-505-60-JBT-A"/>
    <m/>
    <s v="Owen"/>
    <n v="39.353000000000002"/>
    <n v="-86.930999999999997"/>
    <s v="Transportation"/>
    <m/>
    <s v="No"/>
    <m/>
    <n v="3120"/>
    <n v="14559.999999999998"/>
    <n v="3120"/>
    <s v="L"/>
    <s v="J"/>
    <m/>
    <m/>
    <m/>
    <m/>
    <m/>
    <m/>
    <s v="Corps requires 52, IDEM 51.1 - INDOT 1701595 SR 46 Bridge Replacement - note table provides wrong SA. "/>
  </r>
  <r>
    <d v="2022-01-24T00:00:00"/>
    <s v="January"/>
    <n v="2022"/>
    <x v="4"/>
    <n v="-0.755"/>
    <x v="0"/>
    <n v="60400"/>
    <n v="271"/>
    <x v="1"/>
    <s v="PFO"/>
    <n v="0.19"/>
    <s v="INDOT "/>
    <s v="LRL-2021-118"/>
    <s v="2021-505-60-JBT-A"/>
    <m/>
    <s v="Owen"/>
    <n v="39.353000000000002"/>
    <n v="-86.930999999999997"/>
    <s v="Transportation"/>
    <m/>
    <s v="No"/>
    <m/>
    <n v="9060"/>
    <n v="42280"/>
    <n v="9060"/>
    <s v="L"/>
    <s v="J"/>
    <m/>
    <m/>
    <m/>
    <m/>
    <m/>
    <m/>
    <s v="Corps requires 0.68, IDEM 0.755 INDOT 1701595 SR 46 Bridge Replacement - note table provides wrong SA. "/>
  </r>
  <r>
    <d v="2022-01-25T00:00:00"/>
    <s v="January"/>
    <n v="2022"/>
    <x v="9"/>
    <n v="1.85"/>
    <x v="0"/>
    <n v="-125800"/>
    <n v="80"/>
    <x v="2"/>
    <s v="PEM"/>
    <n v="1.85"/>
    <s v="Raindrop, LLC"/>
    <s v="N/A"/>
    <s v="IWIP 2019-079-32-JMK-A "/>
    <m/>
    <s v="Hendricks"/>
    <n v="39.624200000000002"/>
    <n v="-86.468299999999999"/>
    <s v="Development"/>
    <m/>
    <s v="No"/>
    <m/>
    <n v="0"/>
    <n v="-103600"/>
    <n v="-22200"/>
    <s v="L"/>
    <s v="SI"/>
    <s v="1 NF"/>
    <m/>
    <m/>
    <m/>
    <m/>
    <m/>
    <s v="Refund 1/25/22 - Funds except for Admin.  1.85 Class 1 Wetlands refunded - rest of the  Credit Purchase is unaffected.  Original Invoice #80. "/>
  </r>
  <r>
    <d v="2022-01-26T00:00:00"/>
    <s v="January"/>
    <n v="2022"/>
    <x v="9"/>
    <n v="-231"/>
    <x v="1"/>
    <n v="103950"/>
    <n v="275"/>
    <x v="1"/>
    <s v="Int"/>
    <n v="231"/>
    <s v="City of Fishers"/>
    <s v="LRL-2021-00711-DDC"/>
    <s v="2021-667-29-JBT-A"/>
    <m/>
    <s v="Hamilton"/>
    <n v="39.972700000000003"/>
    <n v="-85.908000000000001"/>
    <s v="Development"/>
    <m/>
    <s v="No"/>
    <m/>
    <n v="15592.5"/>
    <n v="72765"/>
    <n v="15592.5"/>
    <s v="L"/>
    <s v="J"/>
    <m/>
    <m/>
    <m/>
    <m/>
    <m/>
    <m/>
    <s v="Geist Trail"/>
  </r>
  <r>
    <d v="2022-01-26T00:00:00"/>
    <s v="January"/>
    <n v="2022"/>
    <x v="9"/>
    <n v="-2.14"/>
    <x v="0"/>
    <n v="171200"/>
    <n v="275"/>
    <x v="1"/>
    <s v="PFO"/>
    <n v="0.53500000000000003"/>
    <s v="City of Fishers"/>
    <s v="LRL-2021-00711-DDC"/>
    <s v="2021-667-29-JBT-A"/>
    <m/>
    <s v="Hamilton"/>
    <n v="39.972700000000003"/>
    <n v="-85.908000000000001"/>
    <s v="Development"/>
    <m/>
    <s v="No"/>
    <m/>
    <n v="25680"/>
    <n v="119839.99999999999"/>
    <n v="25680"/>
    <s v="L"/>
    <s v="J"/>
    <m/>
    <m/>
    <m/>
    <m/>
    <m/>
    <m/>
    <s v="Geist Trail - Corps requires 1.926 PFO only "/>
  </r>
  <r>
    <d v="2022-02-08T00:00:00"/>
    <s v="February"/>
    <n v="2022"/>
    <x v="0"/>
    <n v="-3.0000000000000001E-3"/>
    <x v="0"/>
    <n v="285"/>
    <n v="274"/>
    <x v="1"/>
    <s v="PEM"/>
    <n v="1.4E-3"/>
    <s v="INDOT "/>
    <s v="LRC-2021-00529"/>
    <s v="2021-0328-45-JBT-A"/>
    <m/>
    <s v="Lake"/>
    <n v="41.519300000000001"/>
    <n v="-87.259100000000004"/>
    <s v="Transportation"/>
    <m/>
    <s v="No"/>
    <m/>
    <n v="42.75"/>
    <n v="199.5"/>
    <n v="42.75"/>
    <s v="C"/>
    <s v="J"/>
    <m/>
    <m/>
    <m/>
    <m/>
    <m/>
    <m/>
    <s v="1701454 - Corps did not require mitigation. "/>
  </r>
  <r>
    <d v="2022-02-08T00:00:00"/>
    <s v="February"/>
    <n v="2022"/>
    <x v="4"/>
    <n v="-6.8000000000000005E-2"/>
    <x v="0"/>
    <n v="5440"/>
    <n v="276"/>
    <x v="2"/>
    <s v="PEM"/>
    <n v="4.4999999999999998E-2"/>
    <s v="INDOT"/>
    <s v="N/A"/>
    <s v="IWIP-2021-681-86-JBT-A"/>
    <m/>
    <s v="Warren"/>
    <n v="40.454700000000003"/>
    <n v="-87.373999999999995"/>
    <s v="Transportation"/>
    <m/>
    <s v="No"/>
    <m/>
    <n v="816"/>
    <n v="3807.9999999999995"/>
    <n v="816"/>
    <s v="L"/>
    <s v="SI"/>
    <s v="2 NF"/>
    <m/>
    <m/>
    <m/>
    <m/>
    <m/>
    <s v="DES 1400249 State Road 26 Overlay - 401 and 404 did not require mitigation. "/>
  </r>
  <r>
    <d v="2022-02-08T00:00:00"/>
    <s v="February"/>
    <n v="2022"/>
    <x v="8"/>
    <n v="-39"/>
    <x v="1"/>
    <n v="15600"/>
    <n v="289"/>
    <x v="1"/>
    <s v="Per"/>
    <n v="26"/>
    <s v="City of Kokomo"/>
    <s v="LRL-2021-00739"/>
    <s v="2019-602-00-JWR-A"/>
    <m/>
    <s v="Howard"/>
    <n v="40.433100000000003"/>
    <n v="86.140900000000002"/>
    <s v="Transportation"/>
    <m/>
    <s v="No"/>
    <m/>
    <n v="2340"/>
    <n v="10920"/>
    <n v="2340"/>
    <s v="L"/>
    <s v="J"/>
    <m/>
    <m/>
    <m/>
    <m/>
    <m/>
    <m/>
    <s v="IDEM not requiring mitigation"/>
  </r>
  <r>
    <d v="2022-02-08T00:00:00"/>
    <s v="February"/>
    <n v="2022"/>
    <x v="9"/>
    <n v="-1.56"/>
    <x v="0"/>
    <n v="124800"/>
    <n v="287"/>
    <x v="2"/>
    <s v="PFO"/>
    <n v="0.78"/>
    <s v="421 Realty Corporation"/>
    <s v="N/A"/>
    <s v="IWIP 2021-787-49-JWR-A"/>
    <m/>
    <s v="Hamilton"/>
    <n v="39.899299999999997"/>
    <n v="-86.053600000000003"/>
    <s v="Development"/>
    <m/>
    <s v="No"/>
    <m/>
    <n v="18720"/>
    <n v="87360"/>
    <n v="18720"/>
    <s v="L"/>
    <s v="SI"/>
    <s v="2 FO"/>
    <m/>
    <m/>
    <m/>
    <m/>
    <m/>
    <s v="Permit mod 1/25/22 reduced credits from 3.87 to 1.56"/>
  </r>
  <r>
    <d v="2022-02-09T00:00:00"/>
    <s v="February"/>
    <n v="2022"/>
    <x v="0"/>
    <n v="-93"/>
    <x v="1"/>
    <n v="55800"/>
    <n v="278"/>
    <x v="1"/>
    <s v="Int"/>
    <n v="93"/>
    <s v="INDOT"/>
    <s v="LRC-2021-00482"/>
    <s v="2021-0356-46-JBT-A"/>
    <m/>
    <s v="LaPorte"/>
    <n v="41.687600000000003"/>
    <n v="-86.7637"/>
    <s v="Transportation"/>
    <m/>
    <s v="No"/>
    <m/>
    <n v="8370"/>
    <n v="39060"/>
    <n v="8370"/>
    <s v="C"/>
    <s v="J"/>
    <m/>
    <m/>
    <m/>
    <m/>
    <m/>
    <m/>
    <s v="INDOT 1700021 US 20"/>
  </r>
  <r>
    <d v="2022-02-09T00:00:00"/>
    <s v="February"/>
    <n v="2022"/>
    <x v="0"/>
    <n v="-0.24"/>
    <x v="0"/>
    <n v="22800"/>
    <n v="278"/>
    <x v="1"/>
    <s v="PEM"/>
    <n v="0.12"/>
    <s v="INDOT"/>
    <s v="LRC-2021-00482"/>
    <s v="2021-0356-46-JBT-A"/>
    <m/>
    <s v="LaPorte"/>
    <n v="41.687600000000003"/>
    <n v="-86.7637"/>
    <s v="Transportation"/>
    <m/>
    <s v="No"/>
    <m/>
    <n v="3420"/>
    <n v="15959.999999999998"/>
    <n v="3420"/>
    <s v="C"/>
    <s v="J"/>
    <m/>
    <m/>
    <m/>
    <m/>
    <m/>
    <m/>
    <s v="INDOT 1700021 US 20"/>
  </r>
  <r>
    <d v="2022-02-09T00:00:00"/>
    <s v="February"/>
    <n v="2022"/>
    <x v="1"/>
    <n v="-63"/>
    <x v="1"/>
    <n v="31500"/>
    <n v="279"/>
    <x v="1"/>
    <s v="Int"/>
    <n v="63"/>
    <s v="INDOT"/>
    <s v="LRE-2020-01227-150-R20"/>
    <s v="2020-584-50-JBT-A"/>
    <m/>
    <s v="Marshall"/>
    <n v="41.1905"/>
    <n v="-86.251300000000001"/>
    <s v="Transportation"/>
    <m/>
    <s v="No"/>
    <m/>
    <n v="4725"/>
    <n v="22050"/>
    <n v="4725"/>
    <s v="L"/>
    <s v="J"/>
    <m/>
    <m/>
    <m/>
    <m/>
    <m/>
    <m/>
    <s v="1700331 - Corps did not require any mitigation. "/>
  </r>
  <r>
    <d v="2022-02-09T00:00:00"/>
    <s v="February"/>
    <n v="2022"/>
    <x v="9"/>
    <n v="-5501.3"/>
    <x v="1"/>
    <n v="2475585"/>
    <n v="283"/>
    <x v="1"/>
    <s v="Int"/>
    <n v="9404.7000000000007"/>
    <s v="INDOT"/>
    <s v="LRL-2017-1021"/>
    <s v="2021-626-49-JBT-A"/>
    <m/>
    <s v="Marion"/>
    <n v="39.865000000000002"/>
    <n v="-86.046999999999997"/>
    <s v="Transportation"/>
    <m/>
    <s v="No"/>
    <m/>
    <n v="371337.75"/>
    <n v="1732909.5"/>
    <n v="371337.75"/>
    <s v="L"/>
    <s v="J"/>
    <m/>
    <m/>
    <m/>
    <m/>
    <m/>
    <m/>
    <s v="I-465 NE Clear Path -DES 1400075 - corps required 924 int stream credits"/>
  </r>
  <r>
    <d v="2022-02-09T00:00:00"/>
    <s v="February"/>
    <n v="2022"/>
    <x v="9"/>
    <n v="-68.3"/>
    <x v="1"/>
    <n v="30735"/>
    <n v="283"/>
    <x v="1"/>
    <s v="Per"/>
    <n v="863.3"/>
    <s v="INDOT"/>
    <s v="LRL-2017-1021"/>
    <s v="2021-626-49-JBT-A"/>
    <m/>
    <s v="Marion"/>
    <n v="39.865000000000002"/>
    <n v="-86.046999999999997"/>
    <s v="Transportation"/>
    <m/>
    <s v="No"/>
    <m/>
    <n v="4610.25"/>
    <n v="21514.5"/>
    <n v="4610.25"/>
    <s v="L"/>
    <s v="J"/>
    <m/>
    <m/>
    <m/>
    <m/>
    <m/>
    <m/>
    <s v="I-465 NE Clear Path -DES 1400076 - Corps did not require any PER"/>
  </r>
  <r>
    <d v="2022-02-09T00:00:00"/>
    <s v="February"/>
    <n v="2022"/>
    <x v="9"/>
    <n v="-4.0000000000000001E-3"/>
    <x v="0"/>
    <n v="320"/>
    <n v="283"/>
    <x v="1"/>
    <s v="PFO"/>
    <n v="1E-3"/>
    <s v="INDOT"/>
    <s v="LRL-2017-1021"/>
    <s v="2021-626-49-JBT-A"/>
    <m/>
    <s v="Marion"/>
    <n v="39.865000000000002"/>
    <n v="-86.046999999999997"/>
    <s v="Transportation"/>
    <m/>
    <s v="No"/>
    <m/>
    <n v="48"/>
    <n v="224"/>
    <n v="48"/>
    <s v="L"/>
    <s v="J"/>
    <m/>
    <m/>
    <m/>
    <m/>
    <m/>
    <m/>
    <s v="I-465 NE Clear Path -DES 1400076 - Corps did not require any wetland mitig other than emergent through a Bank. "/>
  </r>
  <r>
    <d v="2022-02-10T00:00:00"/>
    <s v="February"/>
    <n v="2022"/>
    <x v="2"/>
    <n v="-1.2E-2"/>
    <x v="0"/>
    <n v="960"/>
    <n v="277"/>
    <x v="2"/>
    <s v="PEM"/>
    <n v="6.0000000000000001E-3"/>
    <s v="INDOT "/>
    <s v="N/A"/>
    <s v="IWGP 2021-169-47-JBT-A"/>
    <m/>
    <s v="Lawrence"/>
    <n v="38.724705999999998"/>
    <n v="-86.672685999999999"/>
    <s v="Transportation"/>
    <m/>
    <s v="No"/>
    <m/>
    <n v="144"/>
    <n v="672"/>
    <n v="144"/>
    <s v="L"/>
    <s v="SI"/>
    <s v="2 NF"/>
    <m/>
    <m/>
    <m/>
    <m/>
    <m/>
    <s v="1801377 &amp; 0400077 - IDEM 401 and 404 did not require any mitigation. "/>
  </r>
  <r>
    <d v="2022-02-10T00:00:00"/>
    <s v="February"/>
    <n v="2022"/>
    <x v="2"/>
    <n v="-1.2E-2"/>
    <x v="0"/>
    <n v="960"/>
    <n v="277"/>
    <x v="2"/>
    <s v="PSS"/>
    <n v="6.0000000000000001E-3"/>
    <s v="INDOT"/>
    <s v="N/A"/>
    <s v="IWGP 2021-169-47-JBT-A"/>
    <m/>
    <s v="Lawrence"/>
    <n v="38.724705999999998"/>
    <n v="-86.672685999999999"/>
    <s v="Transportation"/>
    <m/>
    <s v="No"/>
    <m/>
    <n v="144"/>
    <n v="672"/>
    <n v="144"/>
    <s v="L"/>
    <s v="SI"/>
    <s v="2 NF"/>
    <m/>
    <m/>
    <m/>
    <m/>
    <m/>
    <s v="1801377 &amp; 0400077 - IDEM 401 and 404 did not require any mitigation. "/>
  </r>
  <r>
    <d v="2022-02-10T00:00:00"/>
    <s v="February"/>
    <n v="2022"/>
    <x v="2"/>
    <n v="-0.1"/>
    <x v="0"/>
    <n v="8000"/>
    <n v="277"/>
    <x v="2"/>
    <s v="PFO"/>
    <n v="0.04"/>
    <s v="INDOT"/>
    <s v="N/A"/>
    <s v="IWGP 2021-169-47-JBT-A"/>
    <m/>
    <s v="Lawrence"/>
    <n v="38.724705999999998"/>
    <n v="-86.672685999999999"/>
    <s v="Transportation"/>
    <m/>
    <s v="No"/>
    <m/>
    <n v="1200"/>
    <n v="5600"/>
    <n v="1200"/>
    <s v="L"/>
    <s v="SI"/>
    <s v="2 FO"/>
    <m/>
    <m/>
    <m/>
    <m/>
    <m/>
    <s v="1801377 &amp; 0400077 - IDEM 401 and 404 did not require any mitigation. "/>
  </r>
  <r>
    <d v="2022-02-25T00:00:00"/>
    <s v="February"/>
    <n v="2022"/>
    <x v="0"/>
    <n v="-2.5"/>
    <x v="0"/>
    <n v="237500"/>
    <n v="286"/>
    <x v="1"/>
    <s v="PEM"/>
    <n v="2.04"/>
    <s v="Northern Indiana Commuter Transportation District"/>
    <s v="LRC-2016-00529"/>
    <s v="2021-21-45-MTM-A"/>
    <m/>
    <s v="Lake"/>
    <n v="41.573615420000003"/>
    <n v="-87.518517250000002"/>
    <s v="Transportation"/>
    <m/>
    <s v="No"/>
    <m/>
    <n v="35625"/>
    <n v="166250"/>
    <n v="35625"/>
    <s v="C"/>
    <s v="J"/>
    <m/>
    <m/>
    <m/>
    <m/>
    <m/>
    <m/>
    <m/>
  </r>
  <r>
    <d v="2022-02-25T00:00:00"/>
    <s v="February"/>
    <n v="2022"/>
    <x v="0"/>
    <n v="-3.6"/>
    <x v="0"/>
    <n v="342000"/>
    <n v="286"/>
    <x v="1"/>
    <s v="PFO"/>
    <n v="1.02"/>
    <s v="Northern Indiana Commuter Transportation District"/>
    <s v="LRC-2016-00529"/>
    <s v="2021-21-45-MTM-A"/>
    <m/>
    <s v="Lake"/>
    <n v="41.573615420000003"/>
    <n v="-87.518517250000002"/>
    <s v="Transportation"/>
    <m/>
    <s v="No"/>
    <m/>
    <n v="51300"/>
    <n v="239399.99999999997"/>
    <n v="51300"/>
    <s v="C"/>
    <s v="J"/>
    <m/>
    <m/>
    <m/>
    <m/>
    <m/>
    <m/>
    <m/>
  </r>
  <r>
    <d v="2022-02-25T00:00:00"/>
    <s v="February"/>
    <n v="2022"/>
    <x v="10"/>
    <n v="-0.1"/>
    <x v="0"/>
    <n v="8000"/>
    <n v="68"/>
    <x v="1"/>
    <s v="PEM"/>
    <n v="4.3999999999999997E-2"/>
    <s v="Johnson County Board Commissioners"/>
    <s v="LRL-2019-866-sjk"/>
    <s v="2019-656-41-TMS-A"/>
    <m/>
    <s v="Johnson"/>
    <n v="39.47645"/>
    <n v="-86.076970000000003"/>
    <s v="Development"/>
    <m/>
    <s v="No"/>
    <m/>
    <n v="1200"/>
    <n v="5600"/>
    <n v="1200"/>
    <s v="L"/>
    <s v="J"/>
    <m/>
    <m/>
    <m/>
    <m/>
    <m/>
    <m/>
    <m/>
  </r>
  <r>
    <d v="2022-02-25T00:00:00"/>
    <s v="February"/>
    <n v="2022"/>
    <x v="10"/>
    <n v="-340"/>
    <x v="1"/>
    <n v="136000"/>
    <n v="68"/>
    <x v="1"/>
    <s v="Int"/>
    <n v="348"/>
    <s v="Johnson County Board Commissioners"/>
    <s v="LRL-2019-866-sjk"/>
    <s v="2019-656-41-TMS-A"/>
    <m/>
    <s v="Johnson"/>
    <n v="39.47645"/>
    <n v="-86.076970000000003"/>
    <s v="Development"/>
    <m/>
    <s v="No"/>
    <m/>
    <n v="20400"/>
    <n v="95200"/>
    <n v="20400"/>
    <s v="L"/>
    <s v="J"/>
    <m/>
    <m/>
    <m/>
    <m/>
    <m/>
    <m/>
    <m/>
  </r>
  <r>
    <d v="2022-03-09T00:00:00"/>
    <s v="March "/>
    <n v="2022"/>
    <x v="9"/>
    <n v="-0.8"/>
    <x v="0"/>
    <n v="64000"/>
    <n v="284"/>
    <x v="2"/>
    <s v="PEM"/>
    <n v="0.54"/>
    <s v="M/I Homes"/>
    <s v="N/A"/>
    <s v="IWIP 2021-952-29-SCF-A"/>
    <m/>
    <s v="Hamilton"/>
    <n v="40.040506000000001"/>
    <n v="-86.096855000000005"/>
    <s v="Development"/>
    <m/>
    <s v="No"/>
    <m/>
    <n v="9600"/>
    <n v="44800"/>
    <n v="9600"/>
    <s v="L"/>
    <s v="SI"/>
    <s v="2 NF"/>
    <m/>
    <m/>
    <m/>
    <m/>
    <m/>
    <m/>
  </r>
  <r>
    <d v="2022-03-09T00:00:00"/>
    <s v="March"/>
    <n v="2022"/>
    <x v="10"/>
    <n v="-53"/>
    <x v="1"/>
    <n v="21200"/>
    <n v="290"/>
    <x v="1"/>
    <s v="Per"/>
    <n v="44"/>
    <s v="Bartholomew County"/>
    <s v="LRL-2021-806-sjk"/>
    <s v="2019-602-00-JWR-A "/>
    <m/>
    <s v="Bartholomew"/>
    <n v="39.115299999999998"/>
    <n v="-85.985699999999994"/>
    <s v="Transportation"/>
    <m/>
    <s v="No"/>
    <m/>
    <n v="3180"/>
    <n v="14839.999999999998"/>
    <n v="3180"/>
    <s v="L"/>
    <s v="J"/>
    <m/>
    <m/>
    <m/>
    <m/>
    <m/>
    <m/>
    <s v="IDEM and Corps same amounts"/>
  </r>
  <r>
    <d v="2022-03-09T00:00:00"/>
    <s v="March"/>
    <n v="2022"/>
    <x v="10"/>
    <n v="-0.6"/>
    <x v="0"/>
    <n v="48000"/>
    <n v="290"/>
    <x v="1"/>
    <s v="PEM"/>
    <n v="0.25"/>
    <s v="Bartholomew County"/>
    <s v="LRL-2021-806-sjk"/>
    <s v="2019-602-00-JWR-A "/>
    <m/>
    <s v="Bartholomew"/>
    <n v="39.115299999999998"/>
    <n v="-85.985699999999994"/>
    <s v="Transportation"/>
    <m/>
    <s v="No"/>
    <m/>
    <n v="7200"/>
    <n v="33600"/>
    <n v="7200"/>
    <s v="L"/>
    <s v="J"/>
    <m/>
    <m/>
    <m/>
    <m/>
    <m/>
    <m/>
    <s v="IDEM and Corps same amounts"/>
  </r>
  <r>
    <d v="2022-03-09T00:00:00"/>
    <s v="March"/>
    <n v="2022"/>
    <x v="10"/>
    <n v="-0.08"/>
    <x v="1"/>
    <n v="6400"/>
    <n v="290"/>
    <x v="1"/>
    <s v="Per"/>
    <n v="0.02"/>
    <s v="Bartholomew County"/>
    <s v="LRL-2021-806-sjk"/>
    <s v="2019-602-00-JWR-A "/>
    <m/>
    <s v="Bartholomew"/>
    <n v="39.115299999999998"/>
    <n v="-85.985699999999994"/>
    <s v="Transportation"/>
    <m/>
    <s v="No"/>
    <m/>
    <n v="960"/>
    <n v="4480"/>
    <n v="960"/>
    <s v="L"/>
    <s v="J"/>
    <m/>
    <m/>
    <m/>
    <m/>
    <m/>
    <m/>
    <s v="IDEM 0.08 forested wetland - Corps 0.07 "/>
  </r>
  <r>
    <d v="2022-03-16T00:00:00"/>
    <s v="March"/>
    <n v="2022"/>
    <x v="6"/>
    <n v="-91.27"/>
    <x v="1"/>
    <n v="54762"/>
    <n v="269"/>
    <x v="1"/>
    <s v="Per"/>
    <n v="91.27"/>
    <s v="INDOT"/>
    <s v="LRE-1998-1200250-R21"/>
    <s v="2021-432-20-JBT-X"/>
    <m/>
    <s v="Elkhart"/>
    <n v="41.574416999999997"/>
    <n v="-85.838414999999998"/>
    <s v="Transportation"/>
    <m/>
    <s v="No"/>
    <m/>
    <n v="8214.2999999999993"/>
    <n v="38333.399999999994"/>
    <n v="8214.2999999999993"/>
    <s v="D"/>
    <s v="J"/>
    <m/>
    <m/>
    <m/>
    <m/>
    <m/>
    <m/>
    <s v=" INDOT 1602099 SR 119 Elkhart River Bridge Replacement - Corps required 0 "/>
  </r>
  <r>
    <d v="2022-03-16T00:00:00"/>
    <s v="March"/>
    <n v="2022"/>
    <x v="6"/>
    <n v="-0.28360000000000002"/>
    <x v="0"/>
    <n v="34032"/>
    <n v="269"/>
    <x v="1"/>
    <s v="PFO"/>
    <n v="7.0900000000000005E-2"/>
    <s v="INDOT"/>
    <s v="LRE-1998-1200250-R22"/>
    <s v="2021-432-20-JBT-X"/>
    <m/>
    <s v="Elkhart"/>
    <n v="41.574416999999997"/>
    <n v="-85.838414999999998"/>
    <s v="Transportation"/>
    <m/>
    <s v="No"/>
    <m/>
    <n v="5104.8"/>
    <n v="23822.399999999998"/>
    <n v="5104.8"/>
    <s v="D"/>
    <s v="J"/>
    <m/>
    <m/>
    <m/>
    <m/>
    <m/>
    <m/>
    <s v="INDOT 1602099 SR 119 Elkhart River Bridge Replacement - Corps required 0 "/>
  </r>
  <r>
    <d v="2022-03-16T00:00:00"/>
    <s v="March"/>
    <n v="2022"/>
    <x v="8"/>
    <n v="-3.98"/>
    <x v="0"/>
    <n v="318400"/>
    <n v="297"/>
    <x v="1"/>
    <s v="PEM"/>
    <n v="1.81"/>
    <s v="Pioneer Packaging, LLC"/>
    <s v="LRL-2021-1079-SAM"/>
    <s v="2021-954-38-WLR"/>
    <m/>
    <s v="Jay"/>
    <n v="40.448405000000001"/>
    <n v="-84.971175000000002"/>
    <s v="Development"/>
    <m/>
    <s v="No"/>
    <m/>
    <n v="47760"/>
    <n v="222880"/>
    <n v="47760"/>
    <s v="L"/>
    <s v="J"/>
    <m/>
    <m/>
    <m/>
    <m/>
    <m/>
    <m/>
    <s v="After the fact credit sale. "/>
  </r>
  <r>
    <d v="2022-03-17T00:00:00"/>
    <s v="March"/>
    <n v="2022"/>
    <x v="8"/>
    <n v="-0.94"/>
    <x v="0"/>
    <n v="75200"/>
    <n v="291"/>
    <x v="1"/>
    <s v="PFO"/>
    <n v="0.23499999999999999"/>
    <s v="Autumn Woods"/>
    <s v="LRE-2021-00600-102"/>
    <s v="2021-960-2-WLR-A"/>
    <m/>
    <s v="Allen"/>
    <n v="41.082974"/>
    <n v="-85.332701"/>
    <s v="Development"/>
    <m/>
    <s v="No"/>
    <m/>
    <n v="11280"/>
    <n v="52640"/>
    <n v="11280"/>
    <s v="D"/>
    <s v="J"/>
    <m/>
    <m/>
    <m/>
    <m/>
    <m/>
    <m/>
    <s v="After the fact credit sale. "/>
  </r>
  <r>
    <d v="2022-03-24T00:00:00"/>
    <s v="March"/>
    <n v="2022"/>
    <x v="0"/>
    <n v="-0.27"/>
    <x v="0"/>
    <n v="25650"/>
    <n v="172"/>
    <x v="2"/>
    <s v="PEM"/>
    <n v="0.18"/>
    <s v="Franciscan Health"/>
    <s v="N/A"/>
    <s v="IWIP 2020-715-45-MTM-A"/>
    <m/>
    <s v="Lake"/>
    <n v="41.384070000000001"/>
    <n v="-87.323250000000002"/>
    <s v="Development"/>
    <m/>
    <s v="No"/>
    <m/>
    <n v="3847.5"/>
    <n v="17955"/>
    <n v="3847.5"/>
    <s v="C"/>
    <s v="SI"/>
    <s v="1 NF"/>
    <m/>
    <m/>
    <m/>
    <m/>
    <m/>
    <s v="Class I Non-Forested Wetland impacts"/>
  </r>
  <r>
    <d v="2022-03-24T00:00:00"/>
    <s v="March"/>
    <n v="2022"/>
    <x v="9"/>
    <n v="-5.26"/>
    <x v="0"/>
    <n v="420800"/>
    <n v="270"/>
    <x v="2"/>
    <s v="PFO"/>
    <n v="2.63"/>
    <s v="Red Rocks Developments - Hancock Industrial"/>
    <s v="N/A"/>
    <s v="IWIP 2021-611-30-SLG-A"/>
    <m/>
    <s v="Hancock"/>
    <n v="39.817"/>
    <n v="-85.95"/>
    <s v="Development"/>
    <m/>
    <s v="No"/>
    <m/>
    <n v="63120"/>
    <n v="294560"/>
    <n v="63120"/>
    <s v="L"/>
    <s v="SI"/>
    <s v="2 FO"/>
    <m/>
    <m/>
    <m/>
    <m/>
    <m/>
    <s v="Class II Forested Wetland Impacts"/>
  </r>
  <r>
    <d v="2022-03-24T00:00:00"/>
    <s v="March"/>
    <n v="2022"/>
    <x v="9"/>
    <n v="-1.71"/>
    <x v="0"/>
    <n v="136800"/>
    <n v="270"/>
    <x v="2"/>
    <s v="PEM"/>
    <n v="1.1399999999999999"/>
    <s v="Red Rocks Developments - Hancock Industrial"/>
    <s v="N/A"/>
    <s v="IWIP 2021-611-30-SLG-A"/>
    <m/>
    <s v="Hancock"/>
    <n v="39.817"/>
    <n v="-85.95"/>
    <s v="Development"/>
    <m/>
    <s v="No"/>
    <m/>
    <n v="20520"/>
    <n v="95760"/>
    <n v="20520"/>
    <s v="L"/>
    <s v="SI"/>
    <s v="2 NF"/>
    <m/>
    <m/>
    <m/>
    <m/>
    <m/>
    <s v="Class II Non-Forested Wetland Impacts"/>
  </r>
  <r>
    <d v="2022-03-29T00:00:00"/>
    <s v="March"/>
    <n v="2022"/>
    <x v="7"/>
    <n v="-402"/>
    <x v="1"/>
    <n v="160800"/>
    <n v="285"/>
    <x v="1"/>
    <s v="Eph"/>
    <n v="335"/>
    <s v="Amazon.com Services"/>
    <s v="LRL-2021-655-MKD"/>
    <s v="2021-908-31-TMS-A"/>
    <m/>
    <s v="Harrison"/>
    <n v="38.267583999999999"/>
    <n v="-86.005077999999997"/>
    <s v="Development"/>
    <m/>
    <s v="No"/>
    <m/>
    <n v="24120"/>
    <n v="112560"/>
    <n v="24120"/>
    <s v="L"/>
    <s v="J"/>
    <m/>
    <m/>
    <m/>
    <m/>
    <m/>
    <m/>
    <s v="Corps required 402, IDEM required 335"/>
  </r>
  <r>
    <d v="2022-03-29T00:00:00"/>
    <s v="March"/>
    <n v="2022"/>
    <x v="9"/>
    <n v="-1.18"/>
    <x v="0"/>
    <n v="94400"/>
    <n v="282"/>
    <x v="1"/>
    <s v="PEM"/>
    <n v="0.49"/>
    <s v="Pulte Homes of Indiana"/>
    <s v="LRL-2020-89-sjk"/>
    <s v="2021-848-29-WLR-A"/>
    <m/>
    <s v="Hamilton"/>
    <s v="40.0057"/>
    <n v="-86.210599999999999"/>
    <s v="Development"/>
    <m/>
    <s v="No"/>
    <m/>
    <n v="14160"/>
    <n v="66080"/>
    <n v="14160"/>
    <s v="L"/>
    <s v="J"/>
    <m/>
    <m/>
    <m/>
    <m/>
    <m/>
    <m/>
    <m/>
  </r>
  <r>
    <d v="2022-03-31T00:00:00"/>
    <s v="March"/>
    <n v="2022"/>
    <x v="4"/>
    <n v="-0.25"/>
    <x v="0"/>
    <n v="20000"/>
    <n v="296"/>
    <x v="2"/>
    <s v="PFO"/>
    <n v="0.1"/>
    <s v="Tippecanoe Development"/>
    <s v="N/A"/>
    <s v="IWP 2021-943-79-ERL"/>
    <m/>
    <s v="Tippecanoe"/>
    <n v="40.475900000000003"/>
    <s v=" -86.8967."/>
    <s v="Development"/>
    <m/>
    <s v="No"/>
    <m/>
    <n v="3000"/>
    <n v="14000"/>
    <n v="3000"/>
    <s v="L"/>
    <s v="SI"/>
    <s v="3 FO"/>
    <m/>
    <m/>
    <m/>
    <m/>
    <m/>
    <m/>
  </r>
  <r>
    <d v="2022-03-31T00:00:00"/>
    <s v="March"/>
    <n v="2022"/>
    <x v="8"/>
    <n v="-0.62"/>
    <x v="0"/>
    <n v="49600"/>
    <n v="288"/>
    <x v="1"/>
    <s v="PFO"/>
    <n v="0.13"/>
    <s v="City of Portland "/>
    <s v="LRL-2008-267-sam"/>
    <s v="2007-728-38-SSA-V"/>
    <m/>
    <s v="Jay"/>
    <n v="40.457900000000002"/>
    <n v="-84.964799999999997"/>
    <s v="Development"/>
    <m/>
    <s v="No"/>
    <m/>
    <n v="7440"/>
    <n v="34720"/>
    <n v="7440"/>
    <s v="L"/>
    <s v="J"/>
    <m/>
    <m/>
    <m/>
    <m/>
    <m/>
    <m/>
    <s v="Permit mod after mitigation failed. "/>
  </r>
  <r>
    <d v="2022-03-31T00:00:00"/>
    <s v="March"/>
    <n v="2022"/>
    <x v="9"/>
    <n v="-0.53"/>
    <x v="0"/>
    <n v="42400"/>
    <n v="293"/>
    <x v="1"/>
    <s v="PEM"/>
    <n v="5.0999999999999997E-2"/>
    <s v="CRG Residential"/>
    <s v="LRL-2018-469-sjk"/>
    <s v="2021-631-29-JBT-A"/>
    <m/>
    <s v="Hamilton"/>
    <n v="39.93"/>
    <n v="-86.07"/>
    <s v="Development"/>
    <m/>
    <s v="No"/>
    <m/>
    <n v="6360"/>
    <n v="29679.999999999996"/>
    <n v="6360"/>
    <s v="L"/>
    <s v="J"/>
    <m/>
    <m/>
    <m/>
    <m/>
    <m/>
    <m/>
    <s v="Corps Rev permit required .0.53, 0.482 IDEM"/>
  </r>
  <r>
    <d v="2022-03-31T00:00:00"/>
    <s v="March"/>
    <n v="2022"/>
    <x v="9"/>
    <n v="-0.18"/>
    <x v="0"/>
    <n v="14400"/>
    <n v="293"/>
    <x v="1"/>
    <s v="PSS"/>
    <n v="0.219"/>
    <s v="CRG Residential"/>
    <s v="LRL-2018-469-sjk"/>
    <s v="2021-631-29-JBT-A"/>
    <m/>
    <s v="Hamilton"/>
    <n v="39.93"/>
    <n v="-86.07"/>
    <s v="Development"/>
    <m/>
    <s v="No"/>
    <m/>
    <n v="2160"/>
    <n v="10080"/>
    <n v="2160"/>
    <s v="L"/>
    <s v="J"/>
    <m/>
    <m/>
    <m/>
    <m/>
    <m/>
    <m/>
    <s v="Corps REV permit 0.18, IDEM 0.163 "/>
  </r>
  <r>
    <d v="2022-03-31T00:00:00"/>
    <s v="March"/>
    <n v="2022"/>
    <x v="9"/>
    <n v="-96"/>
    <x v="1"/>
    <n v="43200"/>
    <n v="293"/>
    <x v="1"/>
    <s v="Int"/>
    <n v="791"/>
    <s v="CRG Residential"/>
    <s v="LRL-2018-469-sjk"/>
    <s v="2021-631-29-JBT-A"/>
    <m/>
    <s v="Hamilton"/>
    <n v="39.93"/>
    <n v="-86.07"/>
    <s v="Development"/>
    <m/>
    <s v="No"/>
    <m/>
    <n v="6480"/>
    <n v="30239.999999999996"/>
    <n v="6480"/>
    <s v="L"/>
    <s v="J"/>
    <m/>
    <m/>
    <m/>
    <m/>
    <m/>
    <m/>
    <s v="IDEM table is incorrect and they do require stream credits. Both require 96."/>
  </r>
  <r>
    <d v="2022-03-31T00:00:00"/>
    <s v="March"/>
    <n v="2022"/>
    <x v="9"/>
    <n v="-282"/>
    <x v="1"/>
    <n v="126900"/>
    <n v="294"/>
    <x v="1"/>
    <s v="Int"/>
    <n v="414"/>
    <s v="Gradison Land Development"/>
    <s v="LRL-2021-583-sjk"/>
    <s v="2021-869-29-JBT-A"/>
    <m/>
    <s v="Hamilton"/>
    <n v="39.936799999999998"/>
    <n v="-86.186599999999999"/>
    <s v="Development"/>
    <m/>
    <s v="No"/>
    <m/>
    <n v="19035"/>
    <n v="88830"/>
    <n v="19035"/>
    <s v="L"/>
    <s v="J"/>
    <m/>
    <m/>
    <m/>
    <m/>
    <m/>
    <m/>
    <s v="Corps requires 282 and IDEM 235"/>
  </r>
  <r>
    <d v="2022-03-31T00:00:00"/>
    <s v="March"/>
    <n v="2022"/>
    <x v="9"/>
    <n v="-0.32"/>
    <x v="0"/>
    <n v="25600"/>
    <n v="294"/>
    <x v="1"/>
    <s v="PEM"/>
    <n v="0.26900000000000002"/>
    <s v="Gradison Land Development"/>
    <s v="LRL-2021-583-sjk"/>
    <s v="2021-869-29-JBT-A"/>
    <m/>
    <s v="Hamilton"/>
    <n v="39.936799999999998"/>
    <n v="-86.186599999999999"/>
    <s v="Development"/>
    <m/>
    <s v="No"/>
    <m/>
    <n v="3840"/>
    <n v="17920"/>
    <n v="3840"/>
    <s v="L"/>
    <s v="J"/>
    <m/>
    <m/>
    <m/>
    <m/>
    <m/>
    <m/>
    <s v="Both require 0.32"/>
  </r>
  <r>
    <d v="2022-04-06T00:00:00"/>
    <s v="April"/>
    <n v="2022"/>
    <x v="9"/>
    <n v="-3000"/>
    <x v="1"/>
    <n v="1350000"/>
    <n v="299"/>
    <x v="1"/>
    <s v="Int"/>
    <n v="1834"/>
    <s v="INDOT"/>
    <s v="LRL-2008-1418-djd"/>
    <s v="2009-509-49-JWR-A"/>
    <m/>
    <s v="Marion"/>
    <n v="39.865000000000002"/>
    <n v="-86.046999999999997"/>
    <s v="Transportation"/>
    <m/>
    <s v="No"/>
    <m/>
    <n v="202500"/>
    <n v="944999.99999999988"/>
    <n v="202500"/>
    <s v="L"/>
    <s v="J"/>
    <m/>
    <m/>
    <m/>
    <m/>
    <m/>
    <m/>
    <s v="Sent as one CS Letter with same Des #.  This is the modified total - Corps at 2384 and IDEM at 3000 eff 7/23/21.  All related to Pleasant Run Golf Course and one new DES # DES 1383193 .  Modified Permit Numbers -orig permittee responsibility - IDEM email changing all mitig to INT."/>
  </r>
  <r>
    <d v="2022-04-06T00:00:00"/>
    <s v="April"/>
    <n v="2022"/>
    <x v="9"/>
    <n v="-640"/>
    <x v="1"/>
    <n v="288000"/>
    <n v="299"/>
    <x v="1"/>
    <s v="Int"/>
    <n v="273"/>
    <s v="INDOT"/>
    <s v="LRL-2010-74-sam"/>
    <s v="2010-259-32-JWR-A"/>
    <m/>
    <s v="Hendricks"/>
    <n v="39.750999999999998"/>
    <n v="-86.528000000000006"/>
    <s v="Transportation"/>
    <m/>
    <s v="No"/>
    <m/>
    <n v="43200"/>
    <n v="201600"/>
    <n v="43200"/>
    <s v="L"/>
    <s v="J"/>
    <m/>
    <m/>
    <m/>
    <m/>
    <m/>
    <m/>
    <s v="Sent as one CS Letter with same Des #. All related to Pleasant Run Golf Course and one new DES # DES 1383193 .  Modified Permit Numbers -orig permittee responsibility - IDEM email changing all mitig to INT."/>
  </r>
  <r>
    <d v="2022-04-06T00:00:00"/>
    <s v="April"/>
    <n v="2022"/>
    <x v="9"/>
    <n v="-960"/>
    <x v="1"/>
    <n v="432000"/>
    <n v="299"/>
    <x v="1"/>
    <s v="Int"/>
    <n v="389"/>
    <s v="INDOT"/>
    <s v="LRL-2012-89-sjk"/>
    <s v="2012-066-06-JWR-A"/>
    <m/>
    <s v="Boone"/>
    <n v="40.040529999999997"/>
    <n v="-86.312359999999998"/>
    <s v="Transportation"/>
    <m/>
    <s v="No"/>
    <m/>
    <n v="64800"/>
    <n v="302400"/>
    <n v="64800"/>
    <s v="L"/>
    <s v="J "/>
    <m/>
    <m/>
    <m/>
    <m/>
    <m/>
    <m/>
    <s v="Sent as one CS Letter with same Des #. Per INDOT IDEM 778 Corps 960. All related to Pleasant Run Golf Course and one new DES # DES 1383193 .  Modified Permit Numbers -orig permittee responsibility -IDEM email changing all mitig to INT."/>
  </r>
  <r>
    <d v="2022-04-12T00:00:00"/>
    <s v="April"/>
    <n v="2022"/>
    <x v="9"/>
    <n v="-0.41"/>
    <x v="0"/>
    <n v="32800"/>
    <n v="298"/>
    <x v="1"/>
    <s v="PEM"/>
    <n v="0.34"/>
    <s v="Midwest Logistics"/>
    <s v="LRL-2012-820-sjk"/>
    <s v="2021-1026-49-JWR"/>
    <m/>
    <s v="Marion"/>
    <n v="39.684100000000001"/>
    <n v="-86.317800000000005"/>
    <s v="Development"/>
    <m/>
    <s v="No"/>
    <m/>
    <n v="4920"/>
    <n v="22960"/>
    <n v="4920"/>
    <s v="L"/>
    <s v="J"/>
    <m/>
    <m/>
    <m/>
    <m/>
    <m/>
    <m/>
    <s v="This is the second half of project"/>
  </r>
  <r>
    <d v="2022-04-27T00:00:00"/>
    <s v="April"/>
    <n v="2022"/>
    <x v="9"/>
    <n v="-2.33"/>
    <x v="0"/>
    <n v="186400"/>
    <n v="306"/>
    <x v="2"/>
    <s v="PFO"/>
    <n v="0.93"/>
    <s v="OMPI"/>
    <s v="N/A"/>
    <s v="IWiP-2022-117-29-EKB"/>
    <m/>
    <s v="Hamilton"/>
    <n v="39.967770999999999"/>
    <n v="-85.994855999999999"/>
    <s v="Development"/>
    <m/>
    <s v="No"/>
    <m/>
    <n v="27960"/>
    <n v="130479.99999999999"/>
    <n v="27960"/>
    <s v="L"/>
    <s v="SI"/>
    <s v="2 FO"/>
    <m/>
    <m/>
    <m/>
    <m/>
    <m/>
    <m/>
  </r>
  <r>
    <d v="2022-04-27T00:00:00"/>
    <s v="April"/>
    <n v="2022"/>
    <x v="9"/>
    <n v="-0.66"/>
    <x v="0"/>
    <n v="52800"/>
    <n v="295"/>
    <x v="2"/>
    <s v="PEM"/>
    <n v="0.44"/>
    <s v="Duke Energy"/>
    <s v="N/A"/>
    <s v="IWIP 2022-15-32-ERL-A"/>
    <m/>
    <s v="Hendricks"/>
    <n v="39.832500000000003"/>
    <n v="-86.342399999999998"/>
    <s v="Development"/>
    <m/>
    <s v="No"/>
    <m/>
    <n v="7920"/>
    <n v="36960"/>
    <n v="7920"/>
    <s v="L"/>
    <s v="SI"/>
    <s v="2 NF"/>
    <m/>
    <m/>
    <m/>
    <m/>
    <m/>
    <m/>
  </r>
  <r>
    <d v="2022-04-27T00:00:00"/>
    <s v="April"/>
    <n v="2022"/>
    <x v="9"/>
    <n v="-0.32"/>
    <x v="0"/>
    <n v="25600"/>
    <n v="295"/>
    <x v="2"/>
    <s v="PFO"/>
    <n v="0.16"/>
    <s v="Duke Energy"/>
    <s v="N/A"/>
    <s v="IWIP 2022-15-32-ERL-A"/>
    <m/>
    <s v="Hendricks"/>
    <n v="39.832500000000003"/>
    <n v="-86.342399999999998"/>
    <s v="Development"/>
    <m/>
    <s v="No"/>
    <m/>
    <n v="3840"/>
    <n v="17920"/>
    <n v="3840"/>
    <s v="L"/>
    <s v="SI"/>
    <s v="2 FO"/>
    <m/>
    <m/>
    <m/>
    <m/>
    <m/>
    <m/>
  </r>
  <r>
    <d v="2022-05-16T00:00:00"/>
    <s v="May"/>
    <n v="2022"/>
    <x v="0"/>
    <n v="-0.05"/>
    <x v="0"/>
    <n v="4750"/>
    <n v="307"/>
    <x v="2"/>
    <s v="PFO"/>
    <n v="0.05"/>
    <s v="NIPSCO"/>
    <s v="N/A"/>
    <s v="IWIP-2022-26-45-MTM"/>
    <m/>
    <s v="Lake"/>
    <s v="41.420329     "/>
    <n v="-87.451724999999996"/>
    <s v="Energy Production"/>
    <m/>
    <s v="No"/>
    <m/>
    <n v="712.5"/>
    <n v="3325"/>
    <n v="712.5"/>
    <s v="C"/>
    <s v="SI"/>
    <s v="2 FO"/>
    <m/>
    <m/>
    <m/>
    <m/>
    <m/>
    <m/>
  </r>
  <r>
    <d v="2022-05-16T00:00:00"/>
    <s v="May"/>
    <n v="2022"/>
    <x v="1"/>
    <n v="-123"/>
    <x v="1"/>
    <n v="61500"/>
    <n v="302"/>
    <x v="1"/>
    <s v="Per"/>
    <n v="123"/>
    <s v="INDOT"/>
    <s v="LRE-2008-01048-156-R21"/>
    <s v="2021-712-56-JBT-A"/>
    <m/>
    <s v="Newton"/>
    <n v="40.865900000000003"/>
    <n v="-87.281000000000006"/>
    <s v="Transportation"/>
    <s v="Credit Refund to INDOT 1/31/2023"/>
    <s v="Yes"/>
    <d v="2023-01-31T00:00:00"/>
    <n v="9225"/>
    <n v="43050"/>
    <n v="9225"/>
    <s v="D"/>
    <s v="J"/>
    <m/>
    <m/>
    <s v="Credit Refund to INDOT"/>
    <m/>
    <m/>
    <m/>
    <s v="Corps verified no mitigation required. *Refund 1/31/24"/>
  </r>
  <r>
    <d v="2022-05-16T00:00:00"/>
    <s v="May"/>
    <n v="2022"/>
    <x v="1"/>
    <n v="-1.7999999999999999E-2"/>
    <x v="0"/>
    <n v="1710"/>
    <n v="302"/>
    <x v="1"/>
    <s v="PEM"/>
    <n v="8.9999999999999993E-3"/>
    <s v="INDOT"/>
    <s v="LRE-2008-01048-156-R21"/>
    <s v="2021-712-56-JBT-A"/>
    <m/>
    <s v="Newton"/>
    <n v="40.865900000000003"/>
    <n v="-87.281000000000006"/>
    <s v="Transportation"/>
    <s v="Credit Refund to INDOT 1/31/2023"/>
    <s v="Yes"/>
    <d v="2023-01-31T00:00:00"/>
    <n v="256.5"/>
    <n v="1197"/>
    <n v="256.5"/>
    <s v="D"/>
    <s v="J"/>
    <m/>
    <m/>
    <s v="Credit Refund to INDOT"/>
    <m/>
    <m/>
    <m/>
    <s v="Corps verified no mitigation required. *Refund 1/31/24"/>
  </r>
  <r>
    <d v="2022-05-16T00:00:00"/>
    <s v="May"/>
    <n v="2022"/>
    <x v="7"/>
    <n v="-17.68"/>
    <x v="0"/>
    <n v="1414400"/>
    <n v="301"/>
    <x v="1"/>
    <s v="PFO"/>
    <n v="17.68"/>
    <s v="INDOT"/>
    <s v="LRL-1990-568"/>
    <s v="1991-001-10-GPN-A"/>
    <s v="91-085"/>
    <s v="Clark"/>
    <n v="38.3459"/>
    <n v="-85.723299999999995"/>
    <s v="Transportation"/>
    <m/>
    <s v="No"/>
    <m/>
    <n v="212160"/>
    <n v="990079.99999999988"/>
    <n v="212160"/>
    <s v="L"/>
    <s v="J"/>
    <m/>
    <m/>
    <m/>
    <m/>
    <m/>
    <m/>
    <s v="INDOT Interstate-265 Mitigation - IDEM verified permits are one and the same and only using LRL-1990-568 now. . 1991-001-10-GPN-A had referenced a Corps permit number of 91-085.  However, the Corps permit I have for the I-265 project is LRL-1990-568-djd.  1902145"/>
  </r>
  <r>
    <d v="2022-05-18T00:00:00"/>
    <s v="May"/>
    <n v="2022"/>
    <x v="8"/>
    <n v="-0.4"/>
    <x v="0"/>
    <n v="32000"/>
    <n v="304"/>
    <x v="1"/>
    <s v="PFO"/>
    <n v="0.1"/>
    <s v="INDOT"/>
    <s v="LRL-2021-1089-scm"/>
    <s v="2019-602-00-JWR-A"/>
    <m/>
    <s v="Delaware"/>
    <n v="40.283152999999999"/>
    <n v="-85.309426000000002"/>
    <s v="Transportation"/>
    <m/>
    <s v="No"/>
    <m/>
    <n v="4800"/>
    <n v="22400"/>
    <n v="4800"/>
    <s v="L"/>
    <s v="J"/>
    <m/>
    <m/>
    <m/>
    <m/>
    <m/>
    <m/>
    <s v="1701336 - Corps required no mitigation "/>
  </r>
  <r>
    <d v="2022-05-18T00:00:00"/>
    <s v="May"/>
    <n v="2022"/>
    <x v="10"/>
    <n v="-110"/>
    <x v="1"/>
    <n v="44000"/>
    <n v="305"/>
    <x v="1"/>
    <s v="Int"/>
    <n v="796"/>
    <s v="INDOT"/>
    <s v="LRL-2020-973-scm"/>
    <s v="2021-477-30-JBT-A"/>
    <m/>
    <s v="Hancock"/>
    <s v="39.81146 to 39.82161"/>
    <s v="85.93942 to  -85.74089 "/>
    <s v="Transportation"/>
    <m/>
    <s v="No"/>
    <m/>
    <n v="6600"/>
    <n v="30799.999999999996"/>
    <n v="6600"/>
    <s v="L"/>
    <s v="COMB"/>
    <m/>
    <m/>
    <m/>
    <m/>
    <m/>
    <m/>
    <s v="Corps 0 - INDOT 1702919 - I 70 add travel lanes - INDOT 1702919"/>
  </r>
  <r>
    <d v="2022-05-18T00:00:00"/>
    <s v="May"/>
    <n v="2022"/>
    <x v="10"/>
    <n v="-359"/>
    <x v="1"/>
    <n v="143600"/>
    <n v="305"/>
    <x v="1"/>
    <s v="Per"/>
    <n v="399"/>
    <s v="INDOT"/>
    <s v="LRL-2020-973-scm"/>
    <s v="2021-477-30-JBT-A"/>
    <m/>
    <s v="Hancock"/>
    <s v="39.81146 to 39.82161"/>
    <s v="85.93942 to  -85.74089 "/>
    <s v="Transportation"/>
    <m/>
    <s v="No"/>
    <m/>
    <n v="21540"/>
    <n v="100520"/>
    <n v="21540"/>
    <s v="L"/>
    <s v="COMB"/>
    <m/>
    <m/>
    <m/>
    <m/>
    <m/>
    <m/>
    <s v="Corps 0 - INDOT 1702919 - I 70 add travel lanes - INDOT 1702919"/>
  </r>
  <r>
    <d v="2022-05-18T00:00:00"/>
    <s v="May"/>
    <n v="2022"/>
    <x v="10"/>
    <n v="-7.86"/>
    <x v="0"/>
    <n v="628800"/>
    <n v="305"/>
    <x v="1"/>
    <s v="PEM"/>
    <n v="3.93"/>
    <s v="INDOT"/>
    <s v="LRL-2020-973-scm"/>
    <s v="2021-477-30-JBT-A"/>
    <m/>
    <s v="Hancock"/>
    <s v="39.81146 to 39.82161"/>
    <s v="85.93942 to  -85.74089 "/>
    <s v="Transportation"/>
    <m/>
    <s v="No"/>
    <m/>
    <n v="94320"/>
    <n v="440160"/>
    <n v="94320"/>
    <s v="L"/>
    <s v="SOMB"/>
    <m/>
    <m/>
    <m/>
    <m/>
    <m/>
    <m/>
    <s v="Corps 3.7 - INDOT 1702919 - I 70 add travel lanes - INDOT 1702919"/>
  </r>
  <r>
    <d v="2022-05-18T00:00:00"/>
    <s v="May"/>
    <n v="2022"/>
    <x v="10"/>
    <n v="-1.6559999999999999"/>
    <x v="0"/>
    <n v="132480"/>
    <n v="305"/>
    <x v="1"/>
    <s v="PSS"/>
    <n v="0.55200000000000005"/>
    <s v="INDOT"/>
    <s v="LRL-2020-973-scm"/>
    <s v="2021-477-30-JBT-A"/>
    <m/>
    <s v="Hancock"/>
    <s v="39.81146 to 39.82161"/>
    <s v="85.93942 to  -85.74089 "/>
    <s v="Transportation"/>
    <m/>
    <s v="No"/>
    <m/>
    <n v="19872"/>
    <n v="92736"/>
    <n v="19872"/>
    <s v="L"/>
    <s v="COMB"/>
    <m/>
    <m/>
    <m/>
    <m/>
    <m/>
    <m/>
    <s v="Corps 1.33 - INDOT 1702919 - I 70 add travel lanes - INDOT 1702919"/>
  </r>
  <r>
    <d v="2022-05-18T00:00:00"/>
    <s v="May"/>
    <n v="2022"/>
    <x v="10"/>
    <n v="-11.32"/>
    <x v="0"/>
    <n v="905600"/>
    <n v="305"/>
    <x v="2"/>
    <s v="PEM"/>
    <n v="7.5469999999999997"/>
    <s v="INDOT"/>
    <s v="N/A"/>
    <s v="IWGP 2021-477-30-JBT-A"/>
    <m/>
    <s v="Hancock"/>
    <s v="39.81146 to 39.82161"/>
    <s v="85.93942 to  -85.74089 "/>
    <s v="Transportation"/>
    <m/>
    <s v="No"/>
    <m/>
    <n v="135840"/>
    <n v="633920"/>
    <n v="135840"/>
    <s v="L"/>
    <s v="COMB"/>
    <s v="1 NF"/>
    <m/>
    <m/>
    <m/>
    <m/>
    <m/>
    <s v="INDOT 1702919 - I 70 add travel lanes - INDOT 1702919"/>
  </r>
  <r>
    <d v="2022-05-18T00:00:00"/>
    <s v="May"/>
    <n v="2022"/>
    <x v="10"/>
    <n v="-1.06"/>
    <x v="0"/>
    <n v="84800"/>
    <n v="305"/>
    <x v="2"/>
    <s v="PFO"/>
    <n v="0.53"/>
    <s v="INDOT"/>
    <s v="N/A"/>
    <s v="IWGP 2021-477-30-JBT-A"/>
    <m/>
    <s v="Hancock"/>
    <s v="39.81146 to 39.82161"/>
    <s v="85.93942 to  -85.74089 "/>
    <s v="Transportation"/>
    <m/>
    <s v="No"/>
    <m/>
    <n v="12720"/>
    <n v="59359.999999999993"/>
    <n v="12720"/>
    <s v="L"/>
    <s v="COMB"/>
    <s v="1 FO"/>
    <m/>
    <m/>
    <m/>
    <m/>
    <m/>
    <s v="INDOT 1702919 - I 70 add travel lanes - INDOT 1702919"/>
  </r>
  <r>
    <d v="2022-06-06T00:00:00"/>
    <s v="June"/>
    <n v="2022"/>
    <x v="1"/>
    <n v="-0.48599999999999999"/>
    <x v="0"/>
    <n v="46170"/>
    <n v="314"/>
    <x v="1"/>
    <s v="PFO"/>
    <n v="0.20899999999999999"/>
    <s v="TC Energy"/>
    <s v="LRC-2020-128"/>
    <s v="2020-228-45-MTM-A, 2020-229-45-MTM-A"/>
    <m/>
    <s v="Lake"/>
    <n v="41.428739999999998"/>
    <n v="-87.508480000000006"/>
    <s v="Energy Production"/>
    <m/>
    <s v="No"/>
    <m/>
    <n v="6925.5"/>
    <n v="32318.999999999996"/>
    <n v="6925.5"/>
    <s v="C"/>
    <s v="J"/>
    <m/>
    <m/>
    <m/>
    <m/>
    <m/>
    <m/>
    <s v="Corps P1 required 0.209, P2 0.26 required (total 0.469)total,  IDEM required 0.26 in mod permit - but per Marty it’s a $26,315 which would be 0.277 credit purchase - consultant requested a purchase of 0.43.  Modified IDEM Permits for P1 and 2, so greatest total is P1 Corps at 0.209 and P2 0.277 IDEM. "/>
  </r>
  <r>
    <d v="2022-06-06T00:00:00"/>
    <s v="June "/>
    <n v="2022"/>
    <x v="5"/>
    <n v="-0.93"/>
    <x v="0"/>
    <n v="74400"/>
    <n v="101"/>
    <x v="1"/>
    <s v="PEM"/>
    <n v="1.44"/>
    <s v="Sun Energy"/>
    <s v="LRL-2019-645"/>
    <s v="General WQC NWP49"/>
    <s v="Mining Permit S-00376"/>
    <s v="Spencer"/>
    <n v="38.162215000000003"/>
    <n v="-86.951781999999994"/>
    <s v="Energy Production"/>
    <m/>
    <s v="No"/>
    <m/>
    <n v="11160"/>
    <n v="52080"/>
    <n v="11160"/>
    <s v="L"/>
    <s v="J"/>
    <m/>
    <m/>
    <m/>
    <m/>
    <m/>
    <m/>
    <s v=".51 of required Corps credit purchase is open water but to be classified under Emergent. IDEM did not require a credit purchase. "/>
  </r>
  <r>
    <d v="2022-06-06T00:00:00"/>
    <s v="June"/>
    <n v="2022"/>
    <x v="9"/>
    <n v="-0.68"/>
    <x v="0"/>
    <n v="54400.000000000007"/>
    <n v="309"/>
    <x v="2"/>
    <s v="PFO"/>
    <n v="0.34"/>
    <s v="COA Avon Landings"/>
    <s v="N/A"/>
    <s v="IWIP 2022-289-32-ERL-A"/>
    <m/>
    <s v="Hendricks"/>
    <n v="39.802050999999999"/>
    <n v="-86.352631000000002"/>
    <s v="Development"/>
    <m/>
    <s v="No"/>
    <m/>
    <n v="8160.0000000000009"/>
    <n v="38080"/>
    <n v="8160.0000000000009"/>
    <s v="L"/>
    <s v="SI "/>
    <s v="2 FO"/>
    <m/>
    <m/>
    <m/>
    <m/>
    <m/>
    <m/>
  </r>
  <r>
    <d v="2022-06-06T00:00:00"/>
    <s v="June"/>
    <n v="2022"/>
    <x v="10"/>
    <n v="-0.28000000000000003"/>
    <x v="0"/>
    <n v="22400.000000000004"/>
    <s v="313 C"/>
    <x v="1"/>
    <s v="PEM"/>
    <n v="0.14000000000000001"/>
    <s v="Arbor Homes"/>
    <s v="LRL-2022-110-sam"/>
    <s v="2022-311-49"/>
    <m/>
    <s v="Marion"/>
    <n v="39.743665"/>
    <n v="-85.971991000000003"/>
    <s v="Development"/>
    <m/>
    <s v="No"/>
    <m/>
    <n v="3360.0000000000005"/>
    <n v="15680.000000000002"/>
    <n v="3360.0000000000005"/>
    <s v="L"/>
    <s v="J"/>
    <m/>
    <m/>
    <m/>
    <m/>
    <m/>
    <m/>
    <s v="Corps did not require a credit purchase. "/>
  </r>
  <r>
    <d v="2022-06-06T00:00:00"/>
    <s v="June"/>
    <n v="2022"/>
    <x v="10"/>
    <n v="-0.06"/>
    <x v="0"/>
    <n v="4800"/>
    <s v="317 C"/>
    <x v="1"/>
    <s v="PEM"/>
    <n v="0.03"/>
    <s v="Arbor Homes"/>
    <s v="LRL-2022-110-sam"/>
    <s v="2022-311-49"/>
    <m/>
    <s v="Marion"/>
    <n v="39.743665"/>
    <n v="-85.971991000000003"/>
    <s v="Development"/>
    <m/>
    <s v="No"/>
    <m/>
    <n v="720"/>
    <n v="3360"/>
    <n v="720"/>
    <s v="L"/>
    <s v="J"/>
    <m/>
    <m/>
    <m/>
    <m/>
    <m/>
    <m/>
    <s v="Additional amount related to original credit purchase reflecting the increased amount of Corps over the required IDEM amount (0.34-0.28) Invoice changed to reflect incorrect SA identification in permit. "/>
  </r>
  <r>
    <d v="2022-06-13T00:00:00"/>
    <s v="June"/>
    <n v="2022"/>
    <x v="4"/>
    <n v="-0.04"/>
    <x v="0"/>
    <n v="3200"/>
    <n v="308"/>
    <x v="1"/>
    <s v="PEM"/>
    <n v="0.02"/>
    <s v="City of West Lafayette"/>
    <s v="LRL-2020-976-sjk"/>
    <s v="2021-268-79"/>
    <m/>
    <s v="Tippecanoe"/>
    <n v="40.453299999999999"/>
    <n v="-86.895799999999994"/>
    <s v="Transportation"/>
    <m/>
    <s v="No"/>
    <m/>
    <n v="480"/>
    <n v="2240"/>
    <n v="480"/>
    <s v="L"/>
    <s v="J"/>
    <m/>
    <m/>
    <m/>
    <m/>
    <m/>
    <m/>
    <s v="Corps did not require mitigation"/>
  </r>
  <r>
    <d v="2022-06-13T00:00:00"/>
    <s v="June"/>
    <n v="2022"/>
    <x v="4"/>
    <n v="-228"/>
    <x v="1"/>
    <n v="91200"/>
    <n v="308"/>
    <x v="1"/>
    <s v="Int"/>
    <n v="228"/>
    <s v="City of West Lafayette"/>
    <s v="LRL-2020-976-sjk"/>
    <s v="2021-268-79"/>
    <m/>
    <s v="Tippecanoe"/>
    <n v="40.453299999999999"/>
    <n v="-86.895799999999994"/>
    <s v="Transportation"/>
    <m/>
    <s v="No"/>
    <m/>
    <n v="13680"/>
    <n v="63839.999999999993"/>
    <n v="13680"/>
    <s v="L"/>
    <s v="J"/>
    <m/>
    <m/>
    <m/>
    <m/>
    <m/>
    <m/>
    <s v="Corps did not require mitigation"/>
  </r>
  <r>
    <d v="2022-06-13T00:00:00"/>
    <s v="June"/>
    <n v="2022"/>
    <x v="10"/>
    <n v="-2153"/>
    <x v="1"/>
    <n v="861200"/>
    <n v="318"/>
    <x v="1"/>
    <s v="Int"/>
    <n v="1794"/>
    <s v="Arbor Homes"/>
    <s v="LRL-2021-845-sjk"/>
    <s v="2022-198-30-EKB-A"/>
    <m/>
    <s v="Hancock"/>
    <n v="39.789845"/>
    <n v="-85.818917999999996"/>
    <s v="Development"/>
    <m/>
    <s v="No"/>
    <m/>
    <n v="129180"/>
    <n v="602840"/>
    <n v="129180"/>
    <s v="L"/>
    <s v="J"/>
    <m/>
    <m/>
    <m/>
    <m/>
    <m/>
    <m/>
    <s v="IDEM Permit mod to change SA. Corps required 2153 and IDEM required 1794 INT. "/>
  </r>
  <r>
    <d v="2022-06-23T00:00:00"/>
    <s v="June"/>
    <n v="2022"/>
    <x v="8"/>
    <n v="-0.78"/>
    <x v="0"/>
    <n v="62400"/>
    <n v="315"/>
    <x v="2"/>
    <s v="PFO"/>
    <n v="0.39"/>
    <s v="Oakmont Development"/>
    <s v="N/A"/>
    <s v="2022-261-2-WLR"/>
    <m/>
    <s v="Allen"/>
    <n v="41.065807999999997"/>
    <n v="-85.303758999999999"/>
    <s v="Development"/>
    <m/>
    <s v="No"/>
    <m/>
    <n v="9360"/>
    <n v="43680"/>
    <n v="9360"/>
    <s v="D"/>
    <s v="SI"/>
    <s v="2 FO"/>
    <m/>
    <m/>
    <m/>
    <m/>
    <m/>
    <m/>
  </r>
  <r>
    <d v="2022-06-23T00:00:00"/>
    <s v="June"/>
    <n v="2022"/>
    <x v="10"/>
    <n v="-0.375"/>
    <x v="0"/>
    <n v="30000"/>
    <n v="320"/>
    <x v="2"/>
    <s v="PFO"/>
    <n v="0.15"/>
    <s v="Arbor Homes"/>
    <s v="N/A"/>
    <s v="IWIP-2022-311-49"/>
    <m/>
    <s v="Marion"/>
    <n v="39.743665"/>
    <n v="-85.971991000000003"/>
    <s v="Development"/>
    <m/>
    <s v="No"/>
    <m/>
    <n v="4500"/>
    <n v="21000"/>
    <n v="4500"/>
    <s v="L"/>
    <s v="SI"/>
    <s v="3 FO"/>
    <m/>
    <m/>
    <m/>
    <m/>
    <m/>
    <s v="Changed SA Upper White to WWEF in Permit "/>
  </r>
  <r>
    <d v="2022-07-01T00:00:00"/>
    <s v="July"/>
    <n v="2022"/>
    <x v="3"/>
    <n v="-3"/>
    <x v="0"/>
    <n v="240000"/>
    <n v="311"/>
    <x v="1"/>
    <s v="PFO"/>
    <n v="1.29"/>
    <s v="AEP"/>
    <s v="LRE-2021-01169-117-N21"/>
    <s v="2022-3-17-WLR-A"/>
    <m/>
    <s v="Dekalb"/>
    <n v="41.427"/>
    <n v="-84.861999999999995"/>
    <s v="Energy Production"/>
    <m/>
    <s v="No"/>
    <m/>
    <n v="36000"/>
    <n v="168000"/>
    <n v="36000"/>
    <s v="D"/>
    <s v="J"/>
    <m/>
    <m/>
    <m/>
    <m/>
    <m/>
    <m/>
    <s v="Corps did not require any credit purchase"/>
  </r>
  <r>
    <d v="2022-07-21T00:00:00"/>
    <s v="July"/>
    <n v="2022"/>
    <x v="10"/>
    <n v="-0.41899999999999998"/>
    <x v="0"/>
    <n v="33520"/>
    <n v="321"/>
    <x v="2"/>
    <s v="PFO"/>
    <n v="0.27900000000000003"/>
    <s v="AEP  "/>
    <s v="N/A"/>
    <s v="IWIP-2022-210-68-EKB-A"/>
    <m/>
    <s v="Randolph"/>
    <n v="40.077447999999997"/>
    <n v="-84.955867999999995"/>
    <s v="Energy Production"/>
    <m/>
    <s v="No"/>
    <m/>
    <n v="5028"/>
    <n v="23464"/>
    <n v="5028"/>
    <s v="L"/>
    <s v="SI"/>
    <s v="3 FO"/>
    <m/>
    <m/>
    <m/>
    <m/>
    <m/>
    <s v="Initiatlly recorded as being in Upper White SA. GPS points check put it in Whitewater. Confirmation with IDEM as Whitewater so it was changed."/>
  </r>
  <r>
    <d v="2022-07-25T00:00:00"/>
    <s v="July"/>
    <n v="2022"/>
    <x v="4"/>
    <n v="-0.12"/>
    <x v="0"/>
    <n v="9600"/>
    <n v="325"/>
    <x v="2"/>
    <s v="PEM"/>
    <n v="0.08"/>
    <s v="D.R. Horton"/>
    <s v="N/A"/>
    <s v="IWIP-2022-339-32-ERL"/>
    <m/>
    <s v="Hendricks"/>
    <n v="39.767499999999998"/>
    <n v="-86.546000000000006"/>
    <s v="Development"/>
    <m/>
    <s v="No"/>
    <m/>
    <n v="1440"/>
    <n v="6720"/>
    <n v="1440"/>
    <s v="L"/>
    <s v="SI"/>
    <s v="2 NF"/>
    <m/>
    <m/>
    <m/>
    <m/>
    <m/>
    <m/>
  </r>
  <r>
    <d v="2022-07-25T00:00:00"/>
    <s v="July"/>
    <n v="2022"/>
    <x v="9"/>
    <n v="-1255"/>
    <x v="1"/>
    <n v="564750"/>
    <n v="325"/>
    <x v="1"/>
    <s v="Eph"/>
    <n v="1045"/>
    <s v="D.R. Horton"/>
    <s v="LRL-2021-1093"/>
    <s v="2022-339-32-ERL"/>
    <m/>
    <s v="Hendricks"/>
    <n v="39.763013999999998"/>
    <n v="-86.539390999999995"/>
    <s v="Development"/>
    <m/>
    <s v="No"/>
    <m/>
    <n v="84712.5"/>
    <n v="395325"/>
    <n v="84712.5"/>
    <s v="L"/>
    <s v="J"/>
    <m/>
    <m/>
    <m/>
    <m/>
    <m/>
    <m/>
    <s v="IDEM required 1045 and Corps 1255"/>
  </r>
  <r>
    <d v="2022-08-04T00:00:00"/>
    <s v="August"/>
    <n v="2022"/>
    <x v="10"/>
    <n v="-520"/>
    <x v="1"/>
    <n v="208000"/>
    <n v="322"/>
    <x v="1"/>
    <s v="Eph"/>
    <n v="580"/>
    <s v="City of Seymour"/>
    <s v="LRL-2018-970-scm"/>
    <s v="2019-382-36-TMS-A"/>
    <m/>
    <s v="Jackson"/>
    <n v="38.946480000000001"/>
    <n v="-85.887319000000005"/>
    <s v="Transportation"/>
    <m/>
    <s v="No"/>
    <m/>
    <n v="31200"/>
    <n v="145600"/>
    <n v="31200"/>
    <s v="L"/>
    <s v="J"/>
    <m/>
    <m/>
    <m/>
    <m/>
    <m/>
    <m/>
    <s v="Burkhart Bypass - Corps required 312 EPH, state required 520 EPH and 691 INT. Note incorrect CORPS permit number listed on IDEM permit.  Correct Corps number verified.  DES 1600743 and 1601943"/>
  </r>
  <r>
    <d v="2022-08-04T00:00:00"/>
    <s v="August"/>
    <n v="2022"/>
    <x v="10"/>
    <n v="-1.27"/>
    <x v="0"/>
    <n v="101600"/>
    <n v="322"/>
    <x v="1"/>
    <s v="PEM"/>
    <n v="0.61199999999999999"/>
    <s v="City of Seymour"/>
    <s v="LRL-2018-970-scm"/>
    <s v="2019-382-36-TMS-A"/>
    <m/>
    <s v="Jackson"/>
    <n v="38.946480000000001"/>
    <n v="-85.887319000000005"/>
    <s v="Transportation"/>
    <m/>
    <s v="No"/>
    <m/>
    <n v="15240"/>
    <n v="71120"/>
    <n v="15240"/>
    <s v="L"/>
    <s v="J"/>
    <m/>
    <m/>
    <m/>
    <m/>
    <m/>
    <m/>
    <s v="Burkhart Bypass -Corps required 1.27 PEM -  state required 1.224 PEM and .004 FOR"/>
  </r>
  <r>
    <d v="2022-08-04T00:00:00"/>
    <s v="August"/>
    <n v="2022"/>
    <x v="10"/>
    <n v="-691"/>
    <x v="1"/>
    <n v="276400"/>
    <n v="322"/>
    <x v="1"/>
    <s v="Int"/>
    <n v="691"/>
    <s v="City of Seymour"/>
    <s v="LRL-2018-970-scm"/>
    <s v="2019-382-36-TMS-A"/>
    <m/>
    <s v="Jackson"/>
    <n v="38.946480000000001"/>
    <n v="-85.887319000000005"/>
    <s v="Transportation"/>
    <m/>
    <s v="No"/>
    <m/>
    <n v="41460"/>
    <n v="193480"/>
    <n v="41460"/>
    <s v="L"/>
    <s v="J"/>
    <m/>
    <m/>
    <m/>
    <m/>
    <m/>
    <m/>
    <s v="Burkhart Bypass - Corps required 312 EPH, state required 520 EPH and 691 INT"/>
  </r>
  <r>
    <d v="2022-08-04T00:00:00"/>
    <s v="August"/>
    <n v="2022"/>
    <x v="10"/>
    <n v="-4.0000000000000001E-3"/>
    <x v="0"/>
    <n v="320"/>
    <n v="322"/>
    <x v="1"/>
    <s v="PFO"/>
    <n v="1E-3"/>
    <s v="City of Seymour"/>
    <s v="LRL-2018-970-scm"/>
    <s v="2019-382-36-TMS-A"/>
    <m/>
    <s v="Jackson"/>
    <n v="38.946480000000001"/>
    <n v="-85.887319000000005"/>
    <s v="Transportation"/>
    <m/>
    <s v="No"/>
    <m/>
    <n v="48"/>
    <n v="224"/>
    <n v="48"/>
    <s v="L"/>
    <s v="J"/>
    <m/>
    <m/>
    <m/>
    <m/>
    <m/>
    <m/>
    <s v="Burkhart Bypass -Corps required 1.27 PEM -  state required 1.224 PEM and .004 FOR"/>
  </r>
  <r>
    <d v="2022-08-09T00:00:00"/>
    <s v="August"/>
    <n v="2022"/>
    <x v="6"/>
    <n v="-0.23"/>
    <x v="0"/>
    <n v="27600"/>
    <n v="300"/>
    <x v="1"/>
    <s v="PEM"/>
    <n v="0.23"/>
    <s v="AEP"/>
    <s v="LRE-2012-00268-120-N21"/>
    <s v="2021-693-20-JWR-A"/>
    <m/>
    <s v="Elkhart"/>
    <n v="41.693517"/>
    <n v="-85.965565999999995"/>
    <s v="Energy Production"/>
    <m/>
    <s v="No"/>
    <m/>
    <n v="4140"/>
    <n v="19320"/>
    <n v="4140"/>
    <s v="D"/>
    <s v="J"/>
    <m/>
    <m/>
    <m/>
    <m/>
    <m/>
    <m/>
    <s v="Open Water Impacts - Emergent wetland credits"/>
  </r>
  <r>
    <d v="2022-08-09T00:00:00"/>
    <s v="August"/>
    <n v="2022"/>
    <x v="9"/>
    <n v="-275"/>
    <x v="1"/>
    <n v="123750"/>
    <n v="303"/>
    <x v="1"/>
    <s v="Per"/>
    <n v="229"/>
    <s v="Lennar Homes "/>
    <s v="LRL-2017-334-sjk"/>
    <s v="2021-907-29-SCF-A"/>
    <m/>
    <s v="Hamilton"/>
    <n v="40.069056000000003"/>
    <n v="-86.065216000000007"/>
    <s v="Development"/>
    <m/>
    <s v="No"/>
    <m/>
    <n v="18562.5"/>
    <n v="86625"/>
    <n v="18562.5"/>
    <s v="L"/>
    <s v="J"/>
    <m/>
    <m/>
    <m/>
    <m/>
    <m/>
    <m/>
    <s v="IDEM 229 Corps 275"/>
  </r>
  <r>
    <d v="2022-08-09T00:00:00"/>
    <s v="August"/>
    <n v="2022"/>
    <x v="9"/>
    <n v="-0.216"/>
    <x v="0"/>
    <n v="17280"/>
    <n v="303"/>
    <x v="1"/>
    <s v="PFO"/>
    <n v="5.3999999999999999E-2"/>
    <s v="Lennar Homes "/>
    <s v="LRL-2017-334-sjk"/>
    <s v="2021-907-29-SCF-A"/>
    <m/>
    <s v="Hamilton"/>
    <n v="40.069056000000003"/>
    <n v="-86.065216000000007"/>
    <s v="Development"/>
    <m/>
    <s v="No"/>
    <m/>
    <n v="2592"/>
    <n v="12096"/>
    <n v="2592"/>
    <s v="L"/>
    <s v="J"/>
    <m/>
    <m/>
    <m/>
    <m/>
    <m/>
    <m/>
    <s v="IDEM .216 and Corps 0.19"/>
  </r>
  <r>
    <d v="2022-08-17T00:00:00"/>
    <s v="August "/>
    <n v="2022"/>
    <x v="9"/>
    <n v="-98"/>
    <x v="1"/>
    <n v="44100"/>
    <n v="324"/>
    <x v="1"/>
    <s v="Eph"/>
    <n v="98"/>
    <s v="Hendricks County Highway Department"/>
    <s v="LRL-2019-1083-jlt"/>
    <s v="2020-294-32-ERL-A"/>
    <m/>
    <s v="Hendricks"/>
    <n v="39.651600000000002"/>
    <n v="-86.462500000000006"/>
    <s v="Transportation"/>
    <m/>
    <s v="No"/>
    <m/>
    <n v="6615"/>
    <n v="30869.999999999996"/>
    <n v="6615"/>
    <s v="L"/>
    <s v="J"/>
    <m/>
    <m/>
    <m/>
    <m/>
    <m/>
    <m/>
    <m/>
  </r>
  <r>
    <d v="2022-08-18T00:00:00"/>
    <s v="August"/>
    <n v="2022"/>
    <x v="9"/>
    <n v="-6.0999999999999999E-2"/>
    <x v="0"/>
    <n v="4880"/>
    <n v="330"/>
    <x v="1"/>
    <s v="PEM"/>
    <n v="1.7999999999999999E-2"/>
    <s v="Indianapolis Department of Public Works"/>
    <s v="LRL-2019-22-sjk"/>
    <s v="2022-401-49-EKB-A"/>
    <m/>
    <s v="Marion"/>
    <n v="39.872276999999997"/>
    <n v="-86.308274999999995"/>
    <s v="Development"/>
    <m/>
    <s v="No"/>
    <m/>
    <n v="732"/>
    <n v="3416"/>
    <n v="732"/>
    <s v="L"/>
    <s v="J"/>
    <m/>
    <m/>
    <m/>
    <m/>
    <m/>
    <m/>
    <s v="Corps did not require mitigation"/>
  </r>
  <r>
    <d v="2022-08-22T00:00:00"/>
    <s v="August"/>
    <n v="2022"/>
    <x v="5"/>
    <n v="-671"/>
    <x v="1"/>
    <n v="268400"/>
    <s v="326C"/>
    <x v="1"/>
    <s v="Int"/>
    <n v="671"/>
    <s v="Center Point"/>
    <s v="N/A"/>
    <s v="2022-449-82-TMS"/>
    <m/>
    <s v="Vanderburgh"/>
    <n v="38.003590000000003"/>
    <n v="-87.628496999999996"/>
    <s v="Energy Production"/>
    <m/>
    <s v="No"/>
    <m/>
    <n v="40260"/>
    <n v="187880"/>
    <n v="40260"/>
    <s v="L"/>
    <s v="J"/>
    <m/>
    <m/>
    <m/>
    <m/>
    <m/>
    <m/>
    <s v="No Corps Permit Issued"/>
  </r>
  <r>
    <d v="2022-08-22T00:00:00"/>
    <s v="August"/>
    <n v="2022"/>
    <x v="5"/>
    <n v="-0.1"/>
    <x v="0"/>
    <n v="8000"/>
    <s v="326C"/>
    <x v="1"/>
    <s v="PEM"/>
    <n v="0.05"/>
    <s v="Center Point"/>
    <s v="N/A"/>
    <s v="2022-449-82-TMS"/>
    <m/>
    <s v="Vanderburgh"/>
    <n v="38.003590000000003"/>
    <n v="-87.628496999999996"/>
    <s v="Energy Production"/>
    <m/>
    <s v="No"/>
    <m/>
    <n v="1200"/>
    <n v="5600"/>
    <n v="1200"/>
    <s v="L"/>
    <s v="J"/>
    <m/>
    <m/>
    <m/>
    <m/>
    <m/>
    <m/>
    <s v="No Corps Permit Issued"/>
  </r>
  <r>
    <d v="2022-08-26T00:00:00"/>
    <s v="August"/>
    <n v="2022"/>
    <x v="1"/>
    <n v="-40.5"/>
    <x v="1"/>
    <n v="20250"/>
    <n v="329"/>
    <x v="1"/>
    <s v="Per"/>
    <n v="75.5"/>
    <s v="INDOT"/>
    <s v="LRE-2022-00212-146"/>
    <s v="2022-362-46-JBT"/>
    <m/>
    <s v="LaPorte"/>
    <n v="41.317303000000003"/>
    <n v="-86.896017000000001"/>
    <s v="Transportation"/>
    <m/>
    <s v="No"/>
    <m/>
    <n v="3037.5"/>
    <n v="14175"/>
    <n v="3037.5"/>
    <s v="C"/>
    <s v="J"/>
    <m/>
    <m/>
    <m/>
    <m/>
    <m/>
    <m/>
    <s v="Corps did not require mitigation. DES 1703002"/>
  </r>
  <r>
    <d v="2022-08-31T00:00:00"/>
    <s v="August"/>
    <n v="2022"/>
    <x v="5"/>
    <n v="-0.45"/>
    <x v="0"/>
    <n v="36000"/>
    <n v="333"/>
    <x v="1"/>
    <s v="PEM"/>
    <n v="0.187"/>
    <s v="INDOT"/>
    <s v="LRL-2018-840"/>
    <s v="2022-247-88-JBT"/>
    <m/>
    <s v="Vanderburgh"/>
    <n v="37.976823000000003"/>
    <n v="-87.444322999999997"/>
    <s v="Transportation"/>
    <m/>
    <s v="No"/>
    <m/>
    <n v="5400"/>
    <n v="25200"/>
    <n v="5400"/>
    <s v="L"/>
    <s v="J"/>
    <m/>
    <m/>
    <m/>
    <m/>
    <m/>
    <m/>
    <s v="INDOT DES 1400195 - Corps required 0.45 Emergent, IDEM 0.374 "/>
  </r>
  <r>
    <d v="2022-08-31T00:00:00"/>
    <s v="August"/>
    <n v="2022"/>
    <x v="5"/>
    <n v="-310"/>
    <x v="1"/>
    <n v="124000"/>
    <n v="333"/>
    <x v="1"/>
    <s v="Int"/>
    <n v="766"/>
    <s v="INDOT"/>
    <s v="LRL-2018-840"/>
    <s v="2022-247-88-JBT"/>
    <m/>
    <s v="Vanderburgh"/>
    <n v="37.976823000000003"/>
    <n v="-87.444322999999997"/>
    <s v="Transportation"/>
    <m/>
    <s v="No"/>
    <m/>
    <n v="18600"/>
    <n v="86800"/>
    <n v="18600"/>
    <s v="L"/>
    <s v="J"/>
    <m/>
    <m/>
    <m/>
    <m/>
    <m/>
    <m/>
    <s v="INDOT DES 1400195 - Corps required 284, IDEM required 310"/>
  </r>
  <r>
    <d v="2022-08-31T00:00:00"/>
    <s v="August"/>
    <n v="2022"/>
    <x v="10"/>
    <n v="-166"/>
    <x v="1"/>
    <n v="74700"/>
    <n v="334"/>
    <x v="1"/>
    <s v="Int"/>
    <n v="313"/>
    <s v="INDOT"/>
    <s v="LRL-2022-92-djd"/>
    <s v="2022-86-68-SCF-X"/>
    <m/>
    <s v="Randolph"/>
    <n v="40.04862"/>
    <n v="-84.968459999999993"/>
    <s v="Transportation"/>
    <m/>
    <s v="No"/>
    <m/>
    <n v="11205"/>
    <n v="52290"/>
    <n v="11205"/>
    <s v="L"/>
    <s v="J"/>
    <m/>
    <m/>
    <m/>
    <m/>
    <m/>
    <m/>
    <s v="INDOT DES 1702882, amount not in permit in email from IDEM. "/>
  </r>
  <r>
    <d v="2022-09-06T00:00:00"/>
    <s v="September"/>
    <n v="2022"/>
    <x v="4"/>
    <n v="-0.26"/>
    <x v="0"/>
    <n v="20800"/>
    <n v="336"/>
    <x v="1"/>
    <s v="PEM"/>
    <n v="0.11"/>
    <s v="Duke Energy"/>
    <s v="LRL-2022-708-sjk"/>
    <s v="2022-726-79-ERL-X"/>
    <m/>
    <s v="Tippecanoe"/>
    <n v="40.432400000000001"/>
    <n v="-86.943200000000004"/>
    <s v="Transportation"/>
    <m/>
    <s v="No"/>
    <m/>
    <n v="3120"/>
    <n v="14560"/>
    <n v="3120"/>
    <s v="L"/>
    <s v="J"/>
    <m/>
    <m/>
    <m/>
    <m/>
    <m/>
    <m/>
    <m/>
  </r>
  <r>
    <d v="2022-09-15T00:00:00"/>
    <s v="September"/>
    <n v="2022"/>
    <x v="7"/>
    <n v="-3908"/>
    <x v="1"/>
    <n v="1563200"/>
    <s v="280C"/>
    <x v="1"/>
    <s v="Int"/>
    <n v="1496"/>
    <s v="Harrison County"/>
    <s v="LRL-2021-30-MKD"/>
    <s v="2021-729-31-TMS-A"/>
    <m/>
    <s v="Harrison"/>
    <n v="38.293999999999997"/>
    <n v="-86.013999999999996"/>
    <s v="Transportation"/>
    <m/>
    <s v="No"/>
    <m/>
    <n v="234480"/>
    <n v="1094240"/>
    <n v="234480"/>
    <s v="L"/>
    <s v="J"/>
    <m/>
    <m/>
    <m/>
    <m/>
    <m/>
    <m/>
    <s v="INDOT DES 1702960 - Corps required more ILF mitigation credits than IDEM"/>
  </r>
  <r>
    <d v="2022-09-20T00:00:00"/>
    <s v="September"/>
    <n v="2022"/>
    <x v="7"/>
    <n v="-576"/>
    <x v="1"/>
    <n v="230400"/>
    <n v="338"/>
    <x v="1"/>
    <s v="Eph"/>
    <n v="1554"/>
    <s v="Clark County Board of Commissioners (Landfill)"/>
    <s v="LRL-2013-00374"/>
    <s v="2021-189-10-TMS-A"/>
    <m/>
    <s v="Clark"/>
    <n v="38.457000000000001"/>
    <n v="-85.847740000000002"/>
    <s v="Development"/>
    <m/>
    <s v="No"/>
    <m/>
    <n v="34560"/>
    <n v="161280"/>
    <n v="34560"/>
    <s v="L"/>
    <m/>
    <m/>
    <m/>
    <m/>
    <m/>
    <m/>
    <m/>
    <s v="Purchase 1 of 7 scheduled credit purchases per the 404 and 401"/>
  </r>
  <r>
    <d v="2022-09-20T00:00:00"/>
    <s v="September"/>
    <n v="2022"/>
    <x v="7"/>
    <n v="-1.3"/>
    <x v="0"/>
    <n v="104000"/>
    <n v="338"/>
    <x v="1"/>
    <s v="PEM"/>
    <n v="1.59"/>
    <s v="Clark County Board of Commissioners (Landfill)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m/>
    <m/>
    <m/>
    <m/>
    <m/>
    <m/>
    <m/>
    <s v="Purchase 1 of 7 scheduled credit purchases per the 404 and 401"/>
  </r>
  <r>
    <d v="2022-09-22T00:00:00"/>
    <s v="September"/>
    <n v="2022"/>
    <x v="3"/>
    <n v="-37.549999999999997"/>
    <x v="1"/>
    <n v="16898"/>
    <n v="332"/>
    <x v="1"/>
    <s v="Per"/>
    <n v="37.549999999999997"/>
    <s v="Steuben County Highway Department"/>
    <s v="LRE-2021-00264-176"/>
    <s v="2021-129-76-WRH-A"/>
    <m/>
    <s v="Steuben"/>
    <n v="41.645215999999998"/>
    <n v="-84.840986000000001"/>
    <s v="Transportation"/>
    <m/>
    <s v="No"/>
    <m/>
    <n v="2534.6999999999998"/>
    <n v="11828.599999999999"/>
    <n v="2534.6999999999998"/>
    <s v="D"/>
    <s v="J"/>
    <m/>
    <m/>
    <m/>
    <m/>
    <m/>
    <m/>
    <m/>
  </r>
  <r>
    <d v="2022-09-22T00:00:00"/>
    <s v="September"/>
    <n v="2022"/>
    <x v="7"/>
    <n v="-150"/>
    <x v="1"/>
    <n v="60000"/>
    <n v="335"/>
    <x v="1"/>
    <s v="Eph"/>
    <n v="250"/>
    <s v="Clayton Properties"/>
    <s v="LRL-2021-949-MKD"/>
    <s v="2022-430-22-JWR-A"/>
    <m/>
    <s v="Floyd"/>
    <n v="38.313028000000003"/>
    <n v="-85.902213000000003"/>
    <s v="Development"/>
    <m/>
    <s v="No"/>
    <m/>
    <n v="9000"/>
    <n v="42000"/>
    <n v="9000"/>
    <s v="L"/>
    <s v="J"/>
    <m/>
    <m/>
    <m/>
    <m/>
    <m/>
    <m/>
    <m/>
  </r>
  <r>
    <d v="2022-09-22T00:00:00"/>
    <s v="September"/>
    <n v="2022"/>
    <x v="7"/>
    <n v="-600"/>
    <x v="1"/>
    <n v="240000"/>
    <n v="335"/>
    <x v="1"/>
    <s v="Int"/>
    <n v="434"/>
    <s v="Clayton Properties"/>
    <s v="LRL-2021-949-MKD"/>
    <s v="2022-430-22-JWR-A"/>
    <m/>
    <s v="Floyd"/>
    <n v="38.313028000000003"/>
    <n v="-85.902213000000003"/>
    <s v="Development"/>
    <m/>
    <s v="No"/>
    <m/>
    <n v="36000"/>
    <n v="168000"/>
    <n v="36000"/>
    <s v="L"/>
    <s v="J"/>
    <m/>
    <m/>
    <m/>
    <m/>
    <m/>
    <m/>
    <m/>
  </r>
  <r>
    <d v="2022-09-22T00:00:00"/>
    <s v="September"/>
    <n v="2022"/>
    <x v="7"/>
    <n v="-4.1000000000000002E-2"/>
    <x v="0"/>
    <n v="3280"/>
    <n v="335"/>
    <x v="1"/>
    <s v="PEM"/>
    <n v="1.6E-2"/>
    <s v="Clayton Properties"/>
    <s v="LRL-2021-949-MKD"/>
    <s v="2022-430-22-JWR-A"/>
    <m/>
    <s v="Floyd"/>
    <n v="38.313028000000003"/>
    <n v="-85.902213000000003"/>
    <s v="Development"/>
    <m/>
    <s v="No"/>
    <m/>
    <n v="492"/>
    <n v="2296"/>
    <n v="492"/>
    <s v="L"/>
    <s v="J"/>
    <m/>
    <m/>
    <m/>
    <m/>
    <m/>
    <m/>
    <m/>
  </r>
  <r>
    <d v="2022-09-22T00:00:00"/>
    <s v="September"/>
    <n v="2022"/>
    <x v="7"/>
    <n v="-5.8999999999999997E-2"/>
    <x v="0"/>
    <n v="4720"/>
    <n v="335"/>
    <x v="1"/>
    <s v="PSS"/>
    <n v="0.02"/>
    <s v="Clayton Properties"/>
    <s v="LRL-2021-949-MKD"/>
    <s v="2022-430-22-JWR-A"/>
    <m/>
    <s v="Floyd"/>
    <n v="38.313028000000003"/>
    <n v="-85.902213000000003"/>
    <s v="Development"/>
    <m/>
    <s v="No"/>
    <m/>
    <n v="708"/>
    <n v="3304"/>
    <n v="708"/>
    <s v="L"/>
    <s v="J"/>
    <m/>
    <m/>
    <m/>
    <m/>
    <m/>
    <m/>
    <m/>
  </r>
  <r>
    <d v="2022-09-22T00:00:00"/>
    <s v="September"/>
    <n v="2022"/>
    <x v="9"/>
    <n v="-0.34100000000000003"/>
    <x v="0"/>
    <n v="27280"/>
    <s v="86C"/>
    <x v="2"/>
    <s v="PEM"/>
    <n v="0.34100000000000003"/>
    <s v="The Club at Holiday Farms, LLP"/>
    <s v="N/A"/>
    <s v="IWIP 2018-728-06-JMK"/>
    <m/>
    <s v="Boone"/>
    <n v="39.983576999999997"/>
    <n v="-86.265264999999999"/>
    <s v="Development"/>
    <m/>
    <s v="No"/>
    <m/>
    <n v="4092"/>
    <n v="19096"/>
    <n v="4092"/>
    <s v="L"/>
    <s v="SI"/>
    <s v="1 NF"/>
    <m/>
    <m/>
    <m/>
    <m/>
    <m/>
    <s v="Revised Permit and Invoice - new invoice 86C 0 Class I Non-Forested (PEM)"/>
  </r>
  <r>
    <d v="2022-09-22T00:00:00"/>
    <s v="September"/>
    <n v="2022"/>
    <x v="9"/>
    <n v="-0.51500000000000001"/>
    <x v="0"/>
    <n v="41200"/>
    <s v="86C"/>
    <x v="2"/>
    <s v="PFO"/>
    <n v="0.25700000000000001"/>
    <s v="The Club at Holiday Farms, LLP"/>
    <s v="N/A"/>
    <s v="IWIP 2018-728-06-JMK"/>
    <m/>
    <s v="Boone"/>
    <n v="39.983576999999997"/>
    <n v="-86.265264999999999"/>
    <s v="Development"/>
    <m/>
    <s v="No"/>
    <m/>
    <n v="6180"/>
    <n v="28839.999999999996"/>
    <n v="6180"/>
    <s v="L"/>
    <s v="SI"/>
    <s v="2 FO"/>
    <m/>
    <m/>
    <m/>
    <m/>
    <m/>
    <s v="Revised Permit and Invoice - new invoice 86C- Class II Forested - Revised amount"/>
  </r>
  <r>
    <d v="2022-09-22T00:00:00"/>
    <s v="September"/>
    <n v="2022"/>
    <x v="9"/>
    <n v="-1309"/>
    <x v="1"/>
    <n v="589050"/>
    <s v="86C"/>
    <x v="1"/>
    <s v="Int"/>
    <n v="1091"/>
    <s v="The Club at Holiday Farms, LLP"/>
    <s v="LRL-2017-1101-lcl"/>
    <s v="2018-728-06-JMK-A"/>
    <m/>
    <s v="Boone"/>
    <n v="39.983576999999997"/>
    <n v="-86.265264999999999"/>
    <s v="Development"/>
    <m/>
    <s v="No"/>
    <m/>
    <n v="88357.5"/>
    <n v="412335"/>
    <n v="88357.5"/>
    <s v="L"/>
    <s v="J"/>
    <m/>
    <m/>
    <m/>
    <m/>
    <m/>
    <m/>
    <s v="Revised Permit and Invoice - new invoice 86C- Revised Permit - 401 Requirements same as the Corps"/>
  </r>
  <r>
    <d v="2022-09-22T00:00:00"/>
    <s v="September"/>
    <n v="2022"/>
    <x v="9"/>
    <n v="-2.87"/>
    <x v="0"/>
    <n v="229600"/>
    <s v="86C"/>
    <x v="1"/>
    <s v="PFO"/>
    <n v="1.64"/>
    <s v="The Club at Holiday Farms, LLP"/>
    <s v="LRL-2017-1101-lcl"/>
    <s v="2018-728-06-JMK-A"/>
    <m/>
    <s v="Boone"/>
    <n v="39.983576999999997"/>
    <n v="-86.265264999999999"/>
    <s v="Development"/>
    <m/>
    <s v="No"/>
    <m/>
    <n v="34440"/>
    <n v="160720"/>
    <n v="34440"/>
    <s v="L"/>
    <s v="J"/>
    <m/>
    <m/>
    <m/>
    <m/>
    <m/>
    <m/>
    <s v="Revised Permit and Invoice - new invoice 86C- Revised Permit - 401 Requirements same as the Corps"/>
  </r>
  <r>
    <d v="2022-09-22T00:00:00"/>
    <s v="September"/>
    <n v="2022"/>
    <x v="9"/>
    <n v="-2.161"/>
    <x v="0"/>
    <n v="172880"/>
    <n v="337"/>
    <x v="1"/>
    <s v="PSS"/>
    <n v="0.76400000000000001"/>
    <s v="Pulte Homes of Indiana"/>
    <s v="LRL-2022-467"/>
    <s v="2022-411-32"/>
    <m/>
    <s v="Hendricks"/>
    <n v="39.667650000000002"/>
    <n v="-86.410212999999999"/>
    <s v="Development"/>
    <m/>
    <s v="No"/>
    <m/>
    <n v="25932"/>
    <n v="121015.99999999999"/>
    <n v="25932"/>
    <s v="L"/>
    <s v="J"/>
    <m/>
    <m/>
    <m/>
    <m/>
    <m/>
    <m/>
    <s v="IDEM Required 2.161, Corps 1.82"/>
  </r>
  <r>
    <d v="2022-09-26T00:00:00"/>
    <s v="September"/>
    <n v="2022"/>
    <x v="7"/>
    <n v="-1.1000000000000001"/>
    <x v="0"/>
    <n v="88000"/>
    <n v="346"/>
    <x v="1"/>
    <s v="PEM"/>
    <n v="0.629"/>
    <s v="New Albany Senior Partners, LLC"/>
    <s v="LRL-2017-94-MKD"/>
    <s v="2022-471-22-TMS-A"/>
    <m/>
    <s v="Floyd"/>
    <n v="38.358026000000002"/>
    <n v="-85.815745000000007"/>
    <s v="Development"/>
    <m/>
    <s v="No"/>
    <m/>
    <n v="13200"/>
    <n v="61599.999999999993"/>
    <n v="13200"/>
    <s v="L"/>
    <s v="J"/>
    <m/>
    <m/>
    <m/>
    <m/>
    <m/>
    <m/>
    <m/>
  </r>
  <r>
    <d v="2022-09-26T00:00:00"/>
    <s v="September"/>
    <n v="2022"/>
    <x v="7"/>
    <n v="-74.400000000000006"/>
    <x v="1"/>
    <n v="29760.000000000004"/>
    <n v="346"/>
    <x v="1"/>
    <s v="Eph"/>
    <n v="124"/>
    <s v="New Albany Senior Partners, LLC"/>
    <s v="LRL-2017-94-MKD"/>
    <s v="2022-471-22-TMS-A"/>
    <m/>
    <s v="Floyd"/>
    <n v="38.358026000000002"/>
    <n v="-85.815745000000007"/>
    <s v="Development"/>
    <m/>
    <s v="No"/>
    <m/>
    <n v="4464"/>
    <n v="20832"/>
    <n v="4464"/>
    <s v="L"/>
    <s v="J"/>
    <m/>
    <m/>
    <m/>
    <m/>
    <m/>
    <m/>
    <m/>
  </r>
  <r>
    <d v="2022-09-27T00:00:00"/>
    <s v="September"/>
    <n v="2022"/>
    <x v="9"/>
    <n v="-0.15"/>
    <x v="0"/>
    <n v="12000"/>
    <n v="340"/>
    <x v="2"/>
    <s v="PFO"/>
    <n v="0.15"/>
    <s v="Browning Investment, Inc."/>
    <s v="N/A"/>
    <s v="IWIP 2022-549-32-ERL-A"/>
    <m/>
    <s v="Hendricks"/>
    <n v="39.852600000000002"/>
    <n v="-86.418139999999994"/>
    <s v="Development"/>
    <m/>
    <s v="No"/>
    <m/>
    <n v="1800"/>
    <n v="8400"/>
    <n v="1800"/>
    <s v="L"/>
    <s v="SI"/>
    <s v="3 FO"/>
    <m/>
    <m/>
    <m/>
    <m/>
    <m/>
    <m/>
  </r>
  <r>
    <d v="2022-10-06T00:00:00"/>
    <s v="October"/>
    <n v="2022"/>
    <x v="1"/>
    <n v="-2.2000000000000002"/>
    <x v="0"/>
    <n v="209000"/>
    <n v="347"/>
    <x v="2"/>
    <s v="PEM"/>
    <n v="2.2000000000000002"/>
    <s v="CDS Mixers &amp; Parts"/>
    <s v="N/A"/>
    <s v="IWIP 2022-871-50-SCF-A"/>
    <m/>
    <s v="Marshall"/>
    <n v="41.364803999999999"/>
    <n v="-86.319647000000003"/>
    <s v="Development"/>
    <m/>
    <s v="No"/>
    <m/>
    <n v="31350"/>
    <n v="146300"/>
    <n v="31350"/>
    <s v="D"/>
    <s v="SI"/>
    <s v="2 NF"/>
    <m/>
    <m/>
    <m/>
    <m/>
    <m/>
    <m/>
  </r>
  <r>
    <d v="2022-10-06T00:00:00"/>
    <s v="October"/>
    <n v="2022"/>
    <x v="9"/>
    <n v="-0.499"/>
    <x v="0"/>
    <n v="39320"/>
    <n v="327"/>
    <x v="1"/>
    <s v="PEM"/>
    <n v="0.499"/>
    <s v="City of Noblesville"/>
    <s v="LRL-2022-108-sjk"/>
    <s v="2022-444-29-EJW-A"/>
    <m/>
    <s v="Hamilton"/>
    <n v="40.090819000000003"/>
    <n v="-86.071279000000004"/>
    <s v="Transportation"/>
    <m/>
    <s v="No"/>
    <m/>
    <n v="5898"/>
    <n v="27524"/>
    <n v="5898"/>
    <s v="L"/>
    <s v="J"/>
    <m/>
    <m/>
    <m/>
    <m/>
    <m/>
    <m/>
    <s v="Corps did not require mitigation"/>
  </r>
  <r>
    <d v="2022-10-26T00:00:00"/>
    <s v="October"/>
    <n v="2022"/>
    <x v="0"/>
    <n v="-0.40649999999999997"/>
    <x v="0"/>
    <n v="38617.51"/>
    <n v="349"/>
    <x v="2"/>
    <s v="PEM"/>
    <n v="0.27100000000000002"/>
    <s v="Maple Leaf Crossing, LLC"/>
    <s v="N/A"/>
    <s v="IWIP 2022-689-45-MTM-A"/>
    <m/>
    <s v="Lake"/>
    <n v="41.543187000000003"/>
    <n v="-87.511863000000005"/>
    <s v="Development"/>
    <m/>
    <s v="No"/>
    <m/>
    <n v="5792.63"/>
    <n v="27032.25"/>
    <n v="5792.63"/>
    <s v="C"/>
    <s v="SI"/>
    <s v="2 NF"/>
    <m/>
    <m/>
    <m/>
    <m/>
    <m/>
    <m/>
  </r>
  <r>
    <d v="2022-11-09T00:00:00"/>
    <s v="November "/>
    <n v="2022"/>
    <x v="0"/>
    <n v="-1.39"/>
    <x v="0"/>
    <n v="132050"/>
    <n v="331"/>
    <x v="2"/>
    <s v="PEM"/>
    <n v="0.86"/>
    <s v="VJW Basin, Inc."/>
    <s v="N/A"/>
    <s v="IWIP 2019-871-64-MTM-A"/>
    <m/>
    <s v="Porter"/>
    <n v="41.496250000000003"/>
    <n v="-87.080566000000005"/>
    <s v="Development"/>
    <m/>
    <s v="No"/>
    <m/>
    <n v="19807.5"/>
    <n v="92435"/>
    <n v="19807.5"/>
    <s v="C"/>
    <s v="SI"/>
    <s v="2 NF"/>
    <m/>
    <m/>
    <m/>
    <m/>
    <m/>
    <m/>
  </r>
  <r>
    <d v="2022-11-09T00:00:00"/>
    <s v="November "/>
    <n v="2022"/>
    <x v="0"/>
    <n v="-418"/>
    <x v="1"/>
    <n v="250800"/>
    <n v="331"/>
    <x v="1"/>
    <s v="Per"/>
    <n v="275"/>
    <s v="VJW Basin, Inc."/>
    <s v="LRC-2018-217"/>
    <s v="2019-871-64-MTM-A"/>
    <m/>
    <s v="Porter"/>
    <n v="41.496250000000003"/>
    <n v="-87.080566000000005"/>
    <s v="Development"/>
    <m/>
    <s v="No"/>
    <m/>
    <n v="37620"/>
    <n v="175560"/>
    <n v="37620"/>
    <s v="C"/>
    <m/>
    <m/>
    <m/>
    <m/>
    <m/>
    <m/>
    <m/>
    <m/>
  </r>
  <r>
    <d v="2022-11-09T00:00:00"/>
    <s v="November "/>
    <n v="2022"/>
    <x v="5"/>
    <n v="-58"/>
    <x v="1"/>
    <n v="23200"/>
    <n v="342"/>
    <x v="1"/>
    <s v="Int"/>
    <n v="56"/>
    <s v="CenterPoint Energy Indiana South"/>
    <s v="N/A"/>
    <s v="2022-795-82-TMS-X"/>
    <m/>
    <s v="Vanderburgh"/>
    <n v="38.012479999999996"/>
    <n v="-87.640253999999999"/>
    <s v="Energy Production"/>
    <m/>
    <s v="No"/>
    <m/>
    <n v="3480"/>
    <n v="16239.999999999998"/>
    <n v="3480"/>
    <s v="L"/>
    <s v="J"/>
    <m/>
    <m/>
    <m/>
    <m/>
    <m/>
    <m/>
    <s v="NWP - Corps did not require mitigation - No Corps 404 No."/>
  </r>
  <r>
    <d v="2022-11-09T00:00:00"/>
    <s v="November "/>
    <n v="2022"/>
    <x v="8"/>
    <n v="-210"/>
    <x v="1"/>
    <n v="84000"/>
    <n v="350"/>
    <x v="1"/>
    <s v="Int"/>
    <n v="175"/>
    <s v="INDOT"/>
    <s v="LRL-2022-285-djd"/>
    <s v="2022-556-08-JBT-A"/>
    <m/>
    <s v="Carroll"/>
    <n v="40.464647999999997"/>
    <n v="-86.636566000000002"/>
    <s v="Transportation"/>
    <m/>
    <s v="No"/>
    <m/>
    <n v="12600"/>
    <n v="58799.999999999993"/>
    <n v="12600"/>
    <s v="L"/>
    <s v="J"/>
    <m/>
    <m/>
    <m/>
    <m/>
    <m/>
    <m/>
    <m/>
  </r>
  <r>
    <d v="2022-11-09T00:00:00"/>
    <s v="November "/>
    <n v="2022"/>
    <x v="8"/>
    <n v="-66"/>
    <x v="1"/>
    <n v="26400"/>
    <n v="350"/>
    <x v="1"/>
    <s v="Per"/>
    <n v="101"/>
    <s v="INDOT"/>
    <s v="LRL-2022-285-djd"/>
    <s v="2022-556-08-JBT-A"/>
    <m/>
    <s v="Carroll"/>
    <n v="40.464647999999997"/>
    <n v="-86.636566000000002"/>
    <s v="Transportation"/>
    <m/>
    <s v="No"/>
    <m/>
    <n v="3960"/>
    <n v="18480"/>
    <n v="3960"/>
    <s v="L"/>
    <s v="J"/>
    <m/>
    <m/>
    <m/>
    <m/>
    <m/>
    <m/>
    <m/>
  </r>
  <r>
    <d v="2022-11-09T00:00:00"/>
    <s v="November "/>
    <n v="2022"/>
    <x v="8"/>
    <n v="-0.18"/>
    <x v="0"/>
    <n v="14400"/>
    <n v="350"/>
    <x v="1"/>
    <s v="PEM"/>
    <n v="7.5999999999999998E-2"/>
    <s v="INDOT"/>
    <s v="LRL-2022-285-djd"/>
    <s v="2022-556-08-JBT-A"/>
    <m/>
    <s v="Carroll"/>
    <n v="40.464647999999997"/>
    <n v="-86.636566000000002"/>
    <s v="Transportation"/>
    <m/>
    <s v="No"/>
    <m/>
    <n v="2160"/>
    <n v="10080"/>
    <n v="2160"/>
    <s v="L"/>
    <s v="J"/>
    <m/>
    <m/>
    <m/>
    <m/>
    <m/>
    <m/>
    <m/>
  </r>
  <r>
    <d v="2022-11-09T00:00:00"/>
    <s v="November "/>
    <n v="2022"/>
    <x v="8"/>
    <n v="-0.14000000000000001"/>
    <x v="0"/>
    <n v="11200"/>
    <n v="350"/>
    <x v="1"/>
    <s v="PFO"/>
    <n v="0.04"/>
    <s v="INDOT"/>
    <s v="LRL-2022-285-djd"/>
    <s v="2022-556-08-JBT-A"/>
    <m/>
    <s v="Carroll"/>
    <n v="40.464647999999997"/>
    <n v="-86.636566000000002"/>
    <s v="Transportation"/>
    <m/>
    <s v="No"/>
    <m/>
    <n v="1680"/>
    <n v="7839.9999999999991"/>
    <n v="1680"/>
    <s v="L"/>
    <s v="J"/>
    <m/>
    <m/>
    <m/>
    <m/>
    <m/>
    <m/>
    <m/>
  </r>
  <r>
    <d v="2022-11-09T00:00:00"/>
    <s v="November "/>
    <n v="2022"/>
    <x v="10"/>
    <n v="-1.431"/>
    <x v="0"/>
    <n v="114480"/>
    <n v="341"/>
    <x v="2"/>
    <s v="PEM"/>
    <n v="0.95399999999999996"/>
    <s v="Lennar Homes of Indiana "/>
    <s v="N/A"/>
    <s v="IWIP 2022-681-41-JWR-A"/>
    <m/>
    <s v="Johnson"/>
    <n v="39.591644000000002"/>
    <n v="-86.077051999999995"/>
    <s v="Development"/>
    <m/>
    <s v="No"/>
    <m/>
    <n v="17172"/>
    <n v="80136"/>
    <n v="17172"/>
    <s v="L"/>
    <s v="SI"/>
    <s v="2 NF"/>
    <m/>
    <m/>
    <m/>
    <m/>
    <m/>
    <m/>
  </r>
  <r>
    <d v="2022-11-09T00:00:00"/>
    <s v="November "/>
    <n v="2022"/>
    <x v="10"/>
    <n v="-0.13400000000000001"/>
    <x v="0"/>
    <n v="10720"/>
    <n v="341"/>
    <x v="2"/>
    <s v="PFO"/>
    <n v="6.7000000000000004E-2"/>
    <s v="Lennar Homes of Indiana "/>
    <s v="N/A"/>
    <s v="IWIP 2022-681-41-JWR-A"/>
    <m/>
    <s v="Johnson"/>
    <n v="39.591644000000002"/>
    <n v="-86.077051999999995"/>
    <s v="Development"/>
    <m/>
    <s v="No"/>
    <m/>
    <n v="1608"/>
    <n v="7503.9999999999991"/>
    <n v="1608"/>
    <s v="L"/>
    <s v="SI"/>
    <s v="2 FO"/>
    <m/>
    <m/>
    <m/>
    <m/>
    <m/>
    <m/>
  </r>
  <r>
    <d v="2022-11-21T00:00:00"/>
    <s v="November "/>
    <n v="2022"/>
    <x v="7"/>
    <n v="-0.54"/>
    <x v="0"/>
    <n v="43200"/>
    <n v="354"/>
    <x v="2"/>
    <s v="PEM"/>
    <n v="0.35899999999999999"/>
    <s v="Holmans Crossing, LLC"/>
    <s v="N/A"/>
    <s v="IWIP 2022-826-10-JWR-A"/>
    <m/>
    <s v="Clark"/>
    <n v="38.328194000000003"/>
    <n v="-85.718721000000002"/>
    <s v="Development"/>
    <m/>
    <s v="No"/>
    <m/>
    <n v="6480"/>
    <n v="30239.999999999996"/>
    <n v="6480"/>
    <s v="L"/>
    <s v="SI"/>
    <s v="2 NF"/>
    <m/>
    <m/>
    <m/>
    <m/>
    <m/>
    <m/>
  </r>
  <r>
    <d v="2022-11-21T00:00:00"/>
    <s v="November "/>
    <n v="2022"/>
    <x v="9"/>
    <n v="-1271"/>
    <x v="1"/>
    <n v="571950"/>
    <n v="339"/>
    <x v="1"/>
    <s v="Int"/>
    <n v="1059"/>
    <s v="Lawrence Central High School"/>
    <s v="LRL-2021-444-sjk"/>
    <s v="2022-421-49-JWR-A"/>
    <m/>
    <s v="Marion"/>
    <n v="39.859699999999997"/>
    <n v="-86.039199999999994"/>
    <s v="Development"/>
    <m/>
    <s v="No"/>
    <m/>
    <n v="85792.5"/>
    <n v="400365"/>
    <n v="85792.5"/>
    <s v="L"/>
    <s v="J"/>
    <m/>
    <m/>
    <m/>
    <m/>
    <m/>
    <m/>
    <s v="IDEM - 1059, Corps 1271"/>
  </r>
  <r>
    <d v="2022-11-21T00:00:00"/>
    <s v="November "/>
    <n v="2022"/>
    <x v="9"/>
    <n v="-315"/>
    <x v="1"/>
    <n v="141750"/>
    <n v="339"/>
    <x v="1"/>
    <s v="Eph"/>
    <n v="263"/>
    <s v="Lawrence Central High School"/>
    <s v="LRL-2021-444-sjk"/>
    <s v="2022-421-49-JWR-A"/>
    <m/>
    <s v="Marion"/>
    <n v="39.859699999999997"/>
    <n v="-86.039199999999994"/>
    <s v="Development"/>
    <m/>
    <s v="No"/>
    <m/>
    <n v="21262.5"/>
    <n v="99225"/>
    <n v="21262.5"/>
    <s v="L"/>
    <s v="J"/>
    <m/>
    <m/>
    <m/>
    <m/>
    <m/>
    <m/>
    <s v="IDEM -263, Corps - 315"/>
  </r>
  <r>
    <d v="2022-11-21T00:00:00"/>
    <s v="November "/>
    <n v="2022"/>
    <x v="9"/>
    <n v="-0.2"/>
    <x v="0"/>
    <n v="16000"/>
    <n v="352"/>
    <x v="2"/>
    <s v="PEM"/>
    <n v="0.2"/>
    <s v="Commercial Links, LLC"/>
    <s v="N/A"/>
    <s v="IWGP 2020-691-29-ALF-A"/>
    <m/>
    <s v="Hamilton"/>
    <n v="40.042999999999999"/>
    <n v="-86.161900000000003"/>
    <s v="Development"/>
    <m/>
    <s v="No"/>
    <m/>
    <n v="2400"/>
    <n v="11200"/>
    <n v="2400"/>
    <s v="L"/>
    <s v="SI"/>
    <s v="1 NF"/>
    <m/>
    <m/>
    <m/>
    <m/>
    <m/>
    <m/>
  </r>
  <r>
    <d v="2022-12-06T00:00:00"/>
    <s v="December"/>
    <n v="2022"/>
    <x v="4"/>
    <n v="-80.5"/>
    <x v="1"/>
    <n v="32200"/>
    <n v="344"/>
    <x v="1"/>
    <s v="Eph"/>
    <n v="80.5"/>
    <s v="Duke Energy"/>
    <s v="LRL-2019-576-MKD "/>
    <s v="2019-559-84-ALF-A "/>
    <m/>
    <s v="Vigo"/>
    <n v="39.557079999999999"/>
    <n v="-87.438710999999998"/>
    <s v="Energy Production"/>
    <m/>
    <s v="No"/>
    <m/>
    <n v="4830"/>
    <n v="22540"/>
    <n v="4830"/>
    <s v="L"/>
    <s v="J"/>
    <m/>
    <m/>
    <m/>
    <m/>
    <m/>
    <m/>
    <s v="Corps did not require mitigation"/>
  </r>
  <r>
    <d v="2022-12-06T00:00:00"/>
    <s v="December"/>
    <n v="2022"/>
    <x v="4"/>
    <n v="-0.53"/>
    <x v="0"/>
    <n v="42400"/>
    <n v="344"/>
    <x v="1"/>
    <s v="PEM"/>
    <n v="0.53"/>
    <s v="Duke Energy"/>
    <s v="LRL-2019-576-MKD "/>
    <s v="2019-559-84-ALF-A "/>
    <m/>
    <s v="Vigo"/>
    <n v="39.557079999999999"/>
    <n v="-87.438710999999998"/>
    <s v="Energy Production"/>
    <m/>
    <s v="No"/>
    <m/>
    <n v="6360"/>
    <n v="29679.999999999996"/>
    <n v="6360"/>
    <s v="L"/>
    <s v="J"/>
    <m/>
    <m/>
    <m/>
    <m/>
    <m/>
    <m/>
    <s v="Corps did not require mitigation"/>
  </r>
  <r>
    <d v="2022-12-15T00:00:00"/>
    <s v="December"/>
    <n v="2022"/>
    <x v="3"/>
    <n v="-6.9420000000000002"/>
    <x v="0"/>
    <n v="555360"/>
    <n v="365"/>
    <x v="2"/>
    <s v="PFO"/>
    <n v="3.4710000000000001"/>
    <s v="Auburn Holdings, LLC"/>
    <s v="N/A"/>
    <s v="IWIP 2022-905-17-EJW-A"/>
    <m/>
    <s v="DeKalb"/>
    <n v="41.368189000000001"/>
    <n v="-85.079463000000004"/>
    <s v="Development"/>
    <m/>
    <s v="No"/>
    <m/>
    <n v="83304"/>
    <n v="388752"/>
    <n v="83304"/>
    <s v="D"/>
    <s v="SI"/>
    <s v="2 FO"/>
    <m/>
    <m/>
    <m/>
    <m/>
    <m/>
    <m/>
  </r>
  <r>
    <d v="2022-12-19T00:00:00"/>
    <s v="December"/>
    <n v="2022"/>
    <x v="9"/>
    <n v="-1.875"/>
    <x v="0"/>
    <n v="150000"/>
    <n v="359"/>
    <x v="2"/>
    <s v="PFO"/>
    <n v="0.75"/>
    <s v="D.R. Horton"/>
    <s v="N/A"/>
    <s v="IWIP 2022-852-49-EKB-A"/>
    <m/>
    <s v="Marion"/>
    <n v="39.679664000000002"/>
    <n v="-86.277248"/>
    <s v="Development"/>
    <m/>
    <s v="No"/>
    <m/>
    <n v="22500"/>
    <n v="105000"/>
    <n v="22500"/>
    <s v="L"/>
    <s v="SI"/>
    <s v="3 FO"/>
    <m/>
    <m/>
    <m/>
    <m/>
    <m/>
    <m/>
  </r>
  <r>
    <d v="2022-12-19T00:00:00"/>
    <s v="December"/>
    <n v="2022"/>
    <x v="9"/>
    <n v="-158"/>
    <x v="1"/>
    <n v="71100"/>
    <n v="359"/>
    <x v="1"/>
    <s v="Eph"/>
    <n v="132"/>
    <s v="D.R. Horton"/>
    <s v="LRL-2021-681-sam"/>
    <s v="2022-852-49-EKB-A"/>
    <m/>
    <s v="Marion"/>
    <n v="39.673189999999998"/>
    <n v="-86.279008000000005"/>
    <s v="Development"/>
    <m/>
    <s v="No"/>
    <m/>
    <n v="10665"/>
    <n v="49770"/>
    <n v="10665"/>
    <s v="L"/>
    <s v="J"/>
    <m/>
    <m/>
    <m/>
    <m/>
    <m/>
    <m/>
    <m/>
  </r>
  <r>
    <d v="2022-12-19T00:00:00"/>
    <s v="December"/>
    <n v="2022"/>
    <x v="9"/>
    <n v="-0.31"/>
    <x v="0"/>
    <n v="24800"/>
    <n v="359"/>
    <x v="1"/>
    <s v="PEM"/>
    <n v="0.13"/>
    <s v="D.R. Horton"/>
    <s v="LRL-2021-681-sam"/>
    <s v="2022-852-49-EKB-A"/>
    <m/>
    <s v="Marion"/>
    <n v="39.673189999999998"/>
    <n v="-86.279008000000005"/>
    <s v="Development"/>
    <m/>
    <s v="No"/>
    <m/>
    <n v="3720"/>
    <n v="17360"/>
    <n v="3720"/>
    <s v="L"/>
    <s v="J"/>
    <m/>
    <m/>
    <m/>
    <m/>
    <m/>
    <m/>
    <m/>
  </r>
  <r>
    <d v="2022-12-19T00:00:00"/>
    <s v="December"/>
    <n v="2022"/>
    <x v="9"/>
    <n v="-0.14399999999999999"/>
    <x v="0"/>
    <n v="11520"/>
    <n v="358"/>
    <x v="1"/>
    <s v="PFO"/>
    <n v="3.5999999999999997E-2"/>
    <s v="Hamilton County Highway Department"/>
    <s v="LRL-2022-362-sam"/>
    <s v="2022-437-29-EKB-A"/>
    <m/>
    <s v="Hamilton"/>
    <n v="40.000300000000003"/>
    <n v="-86.019300000000001"/>
    <s v="Transportation"/>
    <m/>
    <s v="No"/>
    <m/>
    <n v="1728"/>
    <n v="8063.9999999999991"/>
    <n v="1728"/>
    <s v="L"/>
    <s v="J"/>
    <m/>
    <m/>
    <m/>
    <m/>
    <m/>
    <m/>
    <m/>
  </r>
  <r>
    <d v="2022-12-19T00:00:00"/>
    <s v="December"/>
    <n v="2022"/>
    <x v="9"/>
    <n v="-61"/>
    <x v="1"/>
    <n v="27450"/>
    <n v="358"/>
    <x v="1"/>
    <s v="Per"/>
    <n v="51"/>
    <s v="Hamilton County Highway Department"/>
    <s v="LRL-2022-362-sam"/>
    <s v="2022-437-29-EKB-A"/>
    <m/>
    <s v="Hamilton"/>
    <n v="40.000300000000003"/>
    <n v="-86.019300000000001"/>
    <s v="Transportation"/>
    <m/>
    <s v="No"/>
    <m/>
    <n v="4117.5"/>
    <n v="19215"/>
    <n v="4117.5"/>
    <s v="L"/>
    <s v="J"/>
    <m/>
    <m/>
    <m/>
    <m/>
    <m/>
    <m/>
    <m/>
  </r>
  <r>
    <d v="2022-12-27T00:00:00"/>
    <s v="December"/>
    <n v="2022"/>
    <x v="4"/>
    <n v="-0.42"/>
    <x v="0"/>
    <n v="33600"/>
    <n v="360"/>
    <x v="1"/>
    <s v="PEM"/>
    <n v="0.36"/>
    <s v="City of Lafayette"/>
    <s v="LRL-2000-864-sam"/>
    <s v="2000-201-79-MTM-A"/>
    <m/>
    <s v="Tippecanoe"/>
    <n v="40.441000000000003"/>
    <n v="-86.885599999999997"/>
    <s v="Transportation"/>
    <m/>
    <s v="No"/>
    <m/>
    <n v="5040"/>
    <n v="23520"/>
    <n v="5040"/>
    <s v="L"/>
    <s v="J"/>
    <m/>
    <m/>
    <m/>
    <m/>
    <m/>
    <m/>
    <m/>
  </r>
  <r>
    <d v="2022-12-30T00:00:00"/>
    <s v="December"/>
    <n v="2022"/>
    <x v="0"/>
    <n v="-0.62"/>
    <x v="0"/>
    <n v="58900"/>
    <n v="362"/>
    <x v="1"/>
    <s v="PEM"/>
    <n v="0.31"/>
    <s v="INDOT"/>
    <s v="LRC-2022-00418"/>
    <s v="2022-1052-64-JBT-X"/>
    <m/>
    <s v="Porter"/>
    <n v="41.616900000000001"/>
    <n v="-87.041520000000006"/>
    <s v="Transportation"/>
    <m/>
    <s v="No"/>
    <m/>
    <n v="8835"/>
    <n v="41230"/>
    <n v="8835"/>
    <s v="C"/>
    <s v="J"/>
    <m/>
    <m/>
    <m/>
    <m/>
    <m/>
    <m/>
    <s v="IDEM required more mitgation than the Corps"/>
  </r>
  <r>
    <d v="2022-12-30T00:00:00"/>
    <s v="December"/>
    <n v="2022"/>
    <x v="7"/>
    <n v="-1370"/>
    <x v="1"/>
    <n v="548000"/>
    <n v="364"/>
    <x v="1"/>
    <s v="Per"/>
    <n v="1370"/>
    <s v="INDOT"/>
    <s v="LRL-2022-223-scm"/>
    <s v="2022-477-78-SCF-A"/>
    <m/>
    <s v="Switzerland"/>
    <n v="38.792222000000002"/>
    <n v="-84.902221999999995"/>
    <s v="Transportation"/>
    <m/>
    <s v="No"/>
    <m/>
    <n v="82200"/>
    <n v="383600"/>
    <n v="82200"/>
    <s v="L"/>
    <s v="J"/>
    <m/>
    <m/>
    <m/>
    <m/>
    <m/>
    <m/>
    <s v="Corps did not require mitigation"/>
  </r>
  <r>
    <d v="2022-12-30T00:00:00"/>
    <s v="December"/>
    <n v="2022"/>
    <x v="8"/>
    <n v="-50"/>
    <x v="1"/>
    <n v="20000"/>
    <n v="355"/>
    <x v="1"/>
    <s v="Eph"/>
    <n v="50"/>
    <s v="INDOT"/>
    <s v="LRL-2021-608-djd"/>
    <s v="2022-482-27-SCF-A"/>
    <m/>
    <s v="Grant"/>
    <n v="40.449575000000003"/>
    <n v="-85.546802999999997"/>
    <s v="Transportation"/>
    <m/>
    <s v="No"/>
    <m/>
    <n v="3000"/>
    <n v="14000"/>
    <n v="3000"/>
    <s v="L"/>
    <s v="J"/>
    <m/>
    <m/>
    <m/>
    <m/>
    <m/>
    <m/>
    <m/>
  </r>
  <r>
    <d v="2022-12-30T00:00:00"/>
    <s v="December"/>
    <n v="2022"/>
    <x v="9"/>
    <n v="-50"/>
    <x v="1"/>
    <n v="22500"/>
    <n v="363"/>
    <x v="1"/>
    <s v="Per"/>
    <n v="50"/>
    <s v="INDOT"/>
    <s v="LRL-2022-749-scm"/>
    <s v="2022-836-55-JBT-A"/>
    <m/>
    <s v="Morgan"/>
    <n v="39.566926000000002"/>
    <n v="-86.255801000000005"/>
    <s v="Transportation"/>
    <m/>
    <s v="No"/>
    <m/>
    <n v="3375"/>
    <n v="15749.999999999998"/>
    <n v="3375"/>
    <s v="L"/>
    <s v="J"/>
    <m/>
    <m/>
    <m/>
    <m/>
    <m/>
    <m/>
    <m/>
  </r>
  <r>
    <d v="2022-12-30T00:00:00"/>
    <s v="December"/>
    <n v="2022"/>
    <x v="9"/>
    <n v="-1.46"/>
    <x v="0"/>
    <n v="116800"/>
    <n v="363"/>
    <x v="1"/>
    <s v="PEM"/>
    <n v="0.60499999999999998"/>
    <s v="INDOT"/>
    <s v="LRL-2022-749-scm"/>
    <s v="2022-836-55-JBT-A"/>
    <m/>
    <s v="Morgan"/>
    <n v="39.566926000000002"/>
    <n v="-86.255801000000005"/>
    <s v="Transportation"/>
    <m/>
    <s v="No"/>
    <m/>
    <n v="17520"/>
    <n v="81760"/>
    <n v="17520"/>
    <s v="L"/>
    <s v="J"/>
    <m/>
    <m/>
    <m/>
    <m/>
    <m/>
    <m/>
    <m/>
  </r>
  <r>
    <d v="2022-12-30T00:00:00"/>
    <s v="December"/>
    <n v="2022"/>
    <x v="9"/>
    <n v="-1.004"/>
    <x v="0"/>
    <n v="80320"/>
    <n v="363"/>
    <x v="1"/>
    <s v="PFO"/>
    <n v="0.251"/>
    <s v="INDOT"/>
    <s v="LRL-2022-749-scm"/>
    <s v="2022-836-55-JBT-A"/>
    <m/>
    <s v="Morgan"/>
    <n v="39.566926000000002"/>
    <n v="-86.255801000000005"/>
    <s v="Transportation"/>
    <m/>
    <s v="No"/>
    <m/>
    <n v="12048"/>
    <n v="56224"/>
    <n v="12048"/>
    <s v="L"/>
    <s v="J"/>
    <m/>
    <m/>
    <m/>
    <m/>
    <m/>
    <m/>
    <m/>
  </r>
  <r>
    <d v="2022-12-30T00:00:00"/>
    <s v="December"/>
    <n v="2022"/>
    <x v="10"/>
    <n v="-110"/>
    <x v="1"/>
    <n v="44000"/>
    <n v="357"/>
    <x v="1"/>
    <s v="Per"/>
    <n v="110"/>
    <s v="INDOT"/>
    <s v="LRL-2022-869-djd"/>
    <s v="2022-965-15-JBT-X"/>
    <m/>
    <s v="Dearborn"/>
    <n v="39.280039000000002"/>
    <n v="-84.874027999999996"/>
    <s v="Transportation"/>
    <m/>
    <s v="No"/>
    <m/>
    <n v="6600"/>
    <n v="30799.999999999996"/>
    <n v="6600"/>
    <s v="L"/>
    <s v="J"/>
    <m/>
    <m/>
    <m/>
    <m/>
    <m/>
    <m/>
    <s v="Corps did not require mitigation"/>
  </r>
  <r>
    <m/>
    <m/>
    <m/>
    <x v="11"/>
    <m/>
    <x v="2"/>
    <m/>
    <m/>
    <x v="0"/>
    <m/>
    <m/>
    <m/>
    <m/>
    <m/>
    <m/>
    <m/>
    <m/>
    <m/>
    <m/>
    <m/>
    <m/>
    <m/>
    <m/>
    <m/>
    <m/>
    <m/>
    <m/>
    <m/>
    <m/>
    <m/>
    <m/>
    <m/>
    <m/>
    <m/>
  </r>
  <r>
    <d v="2023-01-23T00:00:00"/>
    <s v="January"/>
    <n v="2023"/>
    <x v="9"/>
    <n v="-330.5"/>
    <x v="1"/>
    <n v="148725"/>
    <n v="356"/>
    <x v="1"/>
    <s v="Per"/>
    <n v="330.5"/>
    <s v="City of Noblesville"/>
    <s v="LRL-2020-699-sjk"/>
    <s v="2021-0428-29-JBT-A"/>
    <m/>
    <s v="Hamilton"/>
    <n v="40.040700000000001"/>
    <n v="-86.025099999999995"/>
    <s v="Transportation"/>
    <m/>
    <s v="No"/>
    <m/>
    <n v="22308.75"/>
    <n v="104107.5"/>
    <n v="22308.75"/>
    <s v="L"/>
    <s v="J"/>
    <m/>
    <m/>
    <m/>
    <m/>
    <m/>
    <m/>
    <s v="Corps did not require mitigation"/>
  </r>
  <r>
    <d v="2023-01-30T00:00:00"/>
    <s v="January"/>
    <n v="2023"/>
    <x v="0"/>
    <n v="-0.15"/>
    <x v="0"/>
    <n v="14250"/>
    <n v="367"/>
    <x v="2"/>
    <s v="PFO"/>
    <n v="0.14699999999999999"/>
    <s v="ANR Pipeline Company"/>
    <s v="N/A"/>
    <s v="IWIP 2022-1040-46-MTM-A"/>
    <m/>
    <s v="LaPorte"/>
    <n v="41.653461"/>
    <n v="-86.894983999999994"/>
    <s v="Energy Production"/>
    <m/>
    <s v="No"/>
    <m/>
    <n v="2137.5"/>
    <n v="9975"/>
    <n v="2137.5"/>
    <s v="C"/>
    <s v="SI"/>
    <s v="2 FO"/>
    <m/>
    <m/>
    <m/>
    <m/>
    <m/>
    <m/>
  </r>
  <r>
    <d v="2023-02-02T00:00:00"/>
    <s v="February"/>
    <n v="2023"/>
    <x v="9"/>
    <n v="-0.02"/>
    <x v="0"/>
    <n v="1600"/>
    <n v="292"/>
    <x v="2"/>
    <s v="PEM"/>
    <n v="0.02"/>
    <s v="Strategic Capital Partners, LLC"/>
    <s v="N/A"/>
    <s v="IWGP 2021-327-06-ERL-A"/>
    <m/>
    <s v="Boone"/>
    <n v="39.954666000000003"/>
    <n v="-86.358998999999997"/>
    <s v="Development"/>
    <m/>
    <s v="No"/>
    <m/>
    <n v="240"/>
    <n v="1120"/>
    <n v="240"/>
    <s v="L"/>
    <s v="SI"/>
    <s v="1 NF"/>
    <m/>
    <m/>
    <m/>
    <m/>
    <m/>
    <m/>
  </r>
  <r>
    <d v="2023-02-07T00:00:00"/>
    <s v="February"/>
    <n v="2023"/>
    <x v="0"/>
    <n v="-2"/>
    <x v="0"/>
    <n v="190000"/>
    <n v="316"/>
    <x v="1"/>
    <s v="PEM"/>
    <n v="2"/>
    <s v="USACE Chicago District"/>
    <s v="N/A"/>
    <s v="2004-354-45-MTM-A"/>
    <m/>
    <s v="Lake"/>
    <n v="-87.417884000000001"/>
    <n v="41.560015999999997"/>
    <s v="Dam"/>
    <m/>
    <s v="No"/>
    <m/>
    <n v="28500"/>
    <n v="133000"/>
    <n v="28500"/>
    <s v="C"/>
    <s v="J"/>
    <m/>
    <m/>
    <m/>
    <m/>
    <m/>
    <m/>
    <s v="401 Modification"/>
  </r>
  <r>
    <d v="2023-02-09T00:00:00"/>
    <s v="February"/>
    <n v="2023"/>
    <x v="5"/>
    <n v="-151"/>
    <x v="1"/>
    <n v="60400"/>
    <n v="343"/>
    <x v="1"/>
    <s v="Int"/>
    <n v="126"/>
    <s v="Evansville Water and Sewer Utility"/>
    <s v="LRL-2021-00537"/>
    <s v="2022-552-82-TMS-A"/>
    <m/>
    <s v="Vanderburg"/>
    <n v="38.010286000000001"/>
    <n v="-87.548895999999999"/>
    <s v="Energy Production"/>
    <m/>
    <s v="No"/>
    <m/>
    <n v="9060"/>
    <n v="42280"/>
    <n v="9060"/>
    <s v="L"/>
    <s v="J"/>
    <m/>
    <m/>
    <m/>
    <m/>
    <m/>
    <m/>
    <s v="Corps required more mitigation than IDEM"/>
  </r>
  <r>
    <d v="2023-02-09T00:00:00"/>
    <s v="February"/>
    <n v="2023"/>
    <x v="5"/>
    <n v="-48"/>
    <x v="1"/>
    <n v="19200"/>
    <n v="343"/>
    <x v="1"/>
    <s v="Per"/>
    <n v="40"/>
    <s v="Evansville Water and Sewer Utility"/>
    <s v="LRL-2021-00537"/>
    <s v="2022-552-82-TMS-A"/>
    <m/>
    <s v="Vanderburg"/>
    <n v="38.010286000000001"/>
    <n v="-87.548895999999999"/>
    <s v="Energy Production"/>
    <m/>
    <s v="No"/>
    <m/>
    <n v="2880"/>
    <n v="13440"/>
    <n v="2880"/>
    <s v="L"/>
    <s v="J"/>
    <m/>
    <m/>
    <m/>
    <m/>
    <m/>
    <m/>
    <s v="Corps required more mitigation than IDEM"/>
  </r>
  <r>
    <d v="2023-02-16T00:00:00"/>
    <s v="February"/>
    <n v="2023"/>
    <x v="9"/>
    <n v="-5.3999999999999999E-2"/>
    <x v="0"/>
    <n v="4320"/>
    <n v="378"/>
    <x v="2"/>
    <s v="PFO"/>
    <n v="2.7E-2"/>
    <s v="Argo Family Stoarage"/>
    <s v="N/A"/>
    <s v="IWIP 2022-1108-30-EKB-A"/>
    <m/>
    <s v="Hancock"/>
    <n v="39.831012000000001"/>
    <n v="-85.952631999999994"/>
    <s v="Development"/>
    <m/>
    <s v="No"/>
    <m/>
    <n v="648"/>
    <n v="3024"/>
    <n v="648"/>
    <s v="L"/>
    <s v="SI"/>
    <s v="2 FO"/>
    <m/>
    <m/>
    <m/>
    <m/>
    <m/>
    <m/>
  </r>
  <r>
    <d v="2023-02-16T00:00:00"/>
    <s v="February"/>
    <n v="2023"/>
    <x v="9"/>
    <n v="-0.1095"/>
    <x v="0"/>
    <n v="8760"/>
    <n v="378"/>
    <x v="2"/>
    <s v="PEM"/>
    <n v="7.2999999999999995E-2"/>
    <s v="Argo Family Stoarage"/>
    <s v="N/A"/>
    <s v="IWIP 2022-1108-30-EKB-A"/>
    <m/>
    <s v="Hancock"/>
    <n v="39.831012000000001"/>
    <n v="-85.952631999999994"/>
    <s v="Development"/>
    <m/>
    <s v="No"/>
    <m/>
    <n v="1314"/>
    <n v="6132"/>
    <n v="1314"/>
    <s v="L"/>
    <s v="SI"/>
    <s v="2 NF"/>
    <m/>
    <m/>
    <m/>
    <m/>
    <m/>
    <m/>
  </r>
  <r>
    <d v="2023-02-20T00:00:00"/>
    <s v="February"/>
    <n v="2023"/>
    <x v="2"/>
    <n v="-79"/>
    <x v="1"/>
    <n v="31600"/>
    <n v="369"/>
    <x v="1"/>
    <s v="Int"/>
    <n v="79"/>
    <s v="INDOT"/>
    <s v="LRL-2021-374-scm"/>
    <s v="2022-120-36-SCF-X"/>
    <m/>
    <s v="Jackson"/>
    <n v="39.008249999999997"/>
    <n v="-86.090530000000001"/>
    <s v="Transportation"/>
    <m/>
    <s v="No"/>
    <m/>
    <n v="4740"/>
    <n v="22120"/>
    <n v="4740"/>
    <s v="L"/>
    <s v="J"/>
    <m/>
    <m/>
    <m/>
    <m/>
    <m/>
    <m/>
    <m/>
  </r>
  <r>
    <d v="2023-02-20T00:00:00"/>
    <s v="February"/>
    <n v="2023"/>
    <x v="2"/>
    <n v="-16"/>
    <x v="1"/>
    <n v="6400"/>
    <n v="369"/>
    <x v="1"/>
    <s v="Eph"/>
    <n v="16"/>
    <s v="INDOT"/>
    <s v="LRL-2021-374-scm"/>
    <s v="2022-120-36-SCF-X"/>
    <m/>
    <s v="Jackson"/>
    <n v="39.008249999999997"/>
    <n v="-86.090530000000001"/>
    <s v="Transportation"/>
    <m/>
    <s v="No"/>
    <m/>
    <n v="960"/>
    <n v="4480"/>
    <n v="960"/>
    <s v="L"/>
    <s v="J"/>
    <m/>
    <m/>
    <m/>
    <m/>
    <m/>
    <m/>
    <m/>
  </r>
  <r>
    <d v="2023-02-20T00:00:00"/>
    <s v="February"/>
    <n v="2023"/>
    <x v="2"/>
    <n v="-266"/>
    <x v="1"/>
    <n v="106400"/>
    <n v="376"/>
    <x v="1"/>
    <s v="Eph"/>
    <n v="266"/>
    <s v="INDOT"/>
    <s v="LRL-2022-170-scm"/>
    <s v="2022-942-19-JBT-A"/>
    <m/>
    <s v="Dubois"/>
    <n v="38.285024999999997"/>
    <n v="-86.959277"/>
    <s v="Transportation"/>
    <m/>
    <s v="No"/>
    <m/>
    <n v="15960"/>
    <n v="74480"/>
    <n v="15960"/>
    <s v="L"/>
    <s v="J"/>
    <m/>
    <m/>
    <m/>
    <m/>
    <m/>
    <m/>
    <m/>
  </r>
  <r>
    <d v="2023-02-20T00:00:00"/>
    <s v="February"/>
    <n v="2023"/>
    <x v="8"/>
    <n v="-918"/>
    <x v="1"/>
    <n v="367200"/>
    <n v="370"/>
    <x v="1"/>
    <s v="Int"/>
    <n v="918"/>
    <s v="INDOT"/>
    <s v="LRL-2022-395-dds"/>
    <s v="2022-766-35-JBT-A"/>
    <m/>
    <s v="Huntington"/>
    <n v="40.919710000000002"/>
    <n v="-85.533929999999998"/>
    <s v="Transportation"/>
    <m/>
    <s v="No"/>
    <m/>
    <n v="55080"/>
    <n v="257039.99999999997"/>
    <n v="55080"/>
    <s v="L"/>
    <s v="J"/>
    <m/>
    <m/>
    <m/>
    <m/>
    <m/>
    <m/>
    <m/>
  </r>
  <r>
    <d v="2023-02-20T00:00:00"/>
    <s v="February"/>
    <n v="2023"/>
    <x v="8"/>
    <n v="-199.4"/>
    <x v="1"/>
    <n v="79760"/>
    <n v="370"/>
    <x v="1"/>
    <s v="Per"/>
    <n v="250.6"/>
    <s v="INDOT"/>
    <s v="LRL-2022-395-dds"/>
    <s v="2022-766-35-JBT-A"/>
    <m/>
    <s v="Huntington"/>
    <n v="40.919710000000002"/>
    <n v="-85.533929999999998"/>
    <s v="Transportation"/>
    <m/>
    <s v="No"/>
    <m/>
    <n v="11964"/>
    <n v="55832"/>
    <n v="11964"/>
    <s v="L"/>
    <s v="J"/>
    <m/>
    <m/>
    <m/>
    <m/>
    <m/>
    <m/>
    <m/>
  </r>
  <r>
    <d v="2023-02-20T00:00:00"/>
    <s v="February"/>
    <n v="2023"/>
    <x v="8"/>
    <n v="-3.55"/>
    <x v="0"/>
    <n v="284000"/>
    <n v="370"/>
    <x v="1"/>
    <s v="PFO"/>
    <n v="0.89"/>
    <s v="INDOT"/>
    <s v="LRL-2022-395-dds"/>
    <s v="2022-766-35-JBT-A"/>
    <m/>
    <s v="Huntington"/>
    <n v="40.919710000000002"/>
    <n v="-85.533929999999998"/>
    <s v="Transportation"/>
    <m/>
    <s v="No"/>
    <m/>
    <n v="42600"/>
    <n v="198800"/>
    <n v="42600"/>
    <s v="L"/>
    <s v="J"/>
    <m/>
    <m/>
    <m/>
    <m/>
    <m/>
    <m/>
    <m/>
  </r>
  <r>
    <d v="2023-02-20T00:00:00"/>
    <s v="February"/>
    <n v="2023"/>
    <x v="9"/>
    <n v="-0.153"/>
    <x v="0"/>
    <n v="12240"/>
    <n v="368"/>
    <x v="2"/>
    <s v="PEM"/>
    <n v="0.10199999999999999"/>
    <s v="INDOT"/>
    <s v="N/A"/>
    <s v="IWIP 2022-918-29-SCF-A"/>
    <m/>
    <s v="Hamilton"/>
    <n v="40.118119999999998"/>
    <n v="-86.123689999999996"/>
    <s v="Transportation"/>
    <m/>
    <s v="No"/>
    <m/>
    <n v="1836"/>
    <n v="8568"/>
    <n v="1836"/>
    <s v="L"/>
    <s v="SI"/>
    <s v="2 NF"/>
    <m/>
    <m/>
    <m/>
    <m/>
    <m/>
    <m/>
  </r>
  <r>
    <d v="2023-02-20T00:00:00"/>
    <s v="February"/>
    <n v="2023"/>
    <x v="10"/>
    <n v="-320"/>
    <x v="1"/>
    <n v="128000"/>
    <n v="375"/>
    <x v="1"/>
    <s v="Int"/>
    <n v="382"/>
    <s v="INDOT"/>
    <s v="LRL-2022-874-scm"/>
    <s v="2022-923-36-JBT-A"/>
    <m/>
    <s v="Jackson"/>
    <n v="38.851390000000002"/>
    <n v="-85.885660000000001"/>
    <s v="Transportation"/>
    <m/>
    <s v="No"/>
    <m/>
    <n v="19200"/>
    <n v="89600"/>
    <n v="19200"/>
    <s v="L"/>
    <s v="J"/>
    <m/>
    <m/>
    <m/>
    <m/>
    <m/>
    <m/>
    <m/>
  </r>
  <r>
    <d v="2023-02-20T00:00:00"/>
    <s v="February"/>
    <n v="2023"/>
    <x v="10"/>
    <n v="-0.51"/>
    <x v="0"/>
    <n v="40800"/>
    <n v="375"/>
    <x v="1"/>
    <s v="PEM"/>
    <n v="0.21"/>
    <s v="INDOT"/>
    <s v="LRL-2022-874-scm"/>
    <s v="2022-923-36-JBT-A"/>
    <m/>
    <s v="Jackson"/>
    <n v="38.851390000000002"/>
    <n v="-85.885660000000001"/>
    <s v="Transportation"/>
    <m/>
    <s v="No"/>
    <m/>
    <n v="6120"/>
    <n v="28560"/>
    <n v="6120"/>
    <s v="L"/>
    <s v="J"/>
    <m/>
    <m/>
    <m/>
    <m/>
    <m/>
    <m/>
    <m/>
  </r>
  <r>
    <d v="2023-02-20T00:00:00"/>
    <s v="February"/>
    <n v="2023"/>
    <x v="10"/>
    <n v="-0.21"/>
    <x v="0"/>
    <n v="16800"/>
    <n v="375"/>
    <x v="1"/>
    <s v="PFO"/>
    <n v="5.6000000000000001E-2"/>
    <s v="INDOT"/>
    <s v="LRL-2022-874-scm"/>
    <s v="2022-923-36-JBT-A"/>
    <m/>
    <s v="Jackson"/>
    <n v="38.851390000000002"/>
    <n v="-85.885660000000001"/>
    <s v="Transportation"/>
    <m/>
    <s v="No"/>
    <m/>
    <n v="2520"/>
    <n v="11760"/>
    <n v="2520"/>
    <s v="L"/>
    <s v="J"/>
    <m/>
    <m/>
    <m/>
    <m/>
    <m/>
    <m/>
    <m/>
  </r>
  <r>
    <d v="2023-02-27T00:00:00"/>
    <s v="February"/>
    <n v="2023"/>
    <x v="4"/>
    <n v="-0.20300000000000001"/>
    <x v="0"/>
    <n v="16240"/>
    <n v="384"/>
    <x v="2"/>
    <s v="PEM"/>
    <n v="0.13500000000000001"/>
    <s v="INDOT"/>
    <s v="N/A"/>
    <s v="IWIP 2022-789-79-JBT-A"/>
    <m/>
    <s v="Tippecanoe and Montgomery"/>
    <n v="40.224794000000003"/>
    <n v="-86.904089999999997"/>
    <s v="Transportation"/>
    <m/>
    <s v="No"/>
    <m/>
    <n v="2436"/>
    <n v="11368"/>
    <n v="2436"/>
    <s v="L"/>
    <s v="SI"/>
    <s v="2 NF"/>
    <m/>
    <m/>
    <m/>
    <m/>
    <m/>
    <m/>
  </r>
  <r>
    <d v="2023-02-27T00:00:00"/>
    <s v="February"/>
    <n v="2023"/>
    <x v="5"/>
    <n v="-139"/>
    <x v="1"/>
    <n v="55600"/>
    <n v="383"/>
    <x v="1"/>
    <s v="Eph"/>
    <n v="139"/>
    <s v="INDOT"/>
    <s v="LRL-2022-39-djd"/>
    <s v="2022-233-87-JBT-A"/>
    <m/>
    <s v="Warrick"/>
    <n v="38.039859999999997"/>
    <n v="-87.192059999999998"/>
    <s v="Transportation"/>
    <m/>
    <s v="No"/>
    <m/>
    <n v="8340"/>
    <n v="38920"/>
    <n v="8340"/>
    <s v="L"/>
    <s v="J"/>
    <m/>
    <m/>
    <m/>
    <m/>
    <m/>
    <m/>
    <s v="USACE did not require mitigation"/>
  </r>
  <r>
    <d v="2023-02-27T00:00:00"/>
    <s v="February"/>
    <n v="2023"/>
    <x v="5"/>
    <n v="-41"/>
    <x v="1"/>
    <n v="16400"/>
    <n v="383"/>
    <x v="1"/>
    <s v="Int"/>
    <n v="41"/>
    <s v="INDOT"/>
    <s v="LRL-2022-39-djd"/>
    <s v="2022-233-87-JBT-A"/>
    <m/>
    <s v="Warrick"/>
    <n v="38.039859999999997"/>
    <n v="-87.192059999999998"/>
    <s v="Transportation"/>
    <m/>
    <s v="No"/>
    <m/>
    <n v="2460"/>
    <n v="11480"/>
    <n v="2460"/>
    <s v="L"/>
    <s v="J"/>
    <m/>
    <m/>
    <m/>
    <m/>
    <m/>
    <m/>
    <s v="USACE did not require mitigation"/>
  </r>
  <r>
    <d v="2023-02-27T00:00:00"/>
    <s v="February"/>
    <n v="2023"/>
    <x v="9"/>
    <n v="-0.20399999999999999"/>
    <x v="0"/>
    <n v="16320"/>
    <n v="379"/>
    <x v="1"/>
    <s v="PSS"/>
    <n v="6.8000000000000005E-2"/>
    <s v="Meijer"/>
    <s v="LRL-2023-00072-jde"/>
    <s v="2022-1330-29-EKB-X"/>
    <m/>
    <s v="Hamilton"/>
    <n v="40.045099999999998"/>
    <n v="-86.069100000000006"/>
    <s v="Development"/>
    <m/>
    <s v="No"/>
    <m/>
    <n v="2448"/>
    <n v="11424"/>
    <n v="2448"/>
    <s v="L"/>
    <s v="J"/>
    <m/>
    <m/>
    <m/>
    <m/>
    <m/>
    <m/>
    <m/>
  </r>
  <r>
    <d v="2023-02-27T00:00:00"/>
    <s v="February"/>
    <n v="2023"/>
    <x v="10"/>
    <n v="-0.22500000000000001"/>
    <x v="0"/>
    <n v="18000"/>
    <n v="386"/>
    <x v="2"/>
    <s v="PFO"/>
    <n v="0.09"/>
    <s v="Shear GF1, LLC"/>
    <s v="N/A"/>
    <s v="IWIP 2022-955-30-EKB-A"/>
    <m/>
    <s v="Hancock"/>
    <n v="39.822262000000002"/>
    <n v="-85.790085000000005"/>
    <s v="Development"/>
    <m/>
    <s v="No"/>
    <m/>
    <n v="2700"/>
    <n v="12600"/>
    <n v="2700"/>
    <s v="L"/>
    <s v="SI"/>
    <s v="3 FO"/>
    <m/>
    <m/>
    <m/>
    <m/>
    <m/>
    <m/>
  </r>
  <r>
    <d v="2023-03-13T00:00:00"/>
    <s v="March"/>
    <n v="2023"/>
    <x v="10"/>
    <n v="-0.16200000000000001"/>
    <x v="0"/>
    <n v="12960"/>
    <n v="381"/>
    <x v="1"/>
    <s v="PEM"/>
    <n v="8.1000000000000003E-2"/>
    <s v="INDOT"/>
    <s v="LRL-2022-815-djd"/>
    <s v="2022-1065-36-JBT-A"/>
    <m/>
    <s v="Jackson"/>
    <n v="38.979213000000001"/>
    <n v="-86.021602000000001"/>
    <s v="Transportation"/>
    <m/>
    <s v="No"/>
    <m/>
    <n v="1944"/>
    <n v="9072"/>
    <n v="1944"/>
    <s v="L"/>
    <s v="J"/>
    <m/>
    <m/>
    <m/>
    <m/>
    <m/>
    <m/>
    <m/>
  </r>
  <r>
    <d v="2023-03-13T00:00:00"/>
    <s v="March"/>
    <n v="2023"/>
    <x v="10"/>
    <n v="-780"/>
    <x v="1"/>
    <n v="312000"/>
    <n v="381"/>
    <x v="1"/>
    <s v="Eph"/>
    <n v="780"/>
    <s v="INDOT"/>
    <s v="LRL-2022-815-djd"/>
    <s v="2022-1065-36-JBT-A"/>
    <m/>
    <s v="Jackson"/>
    <n v="38.979213000000001"/>
    <n v="-86.021602000000001"/>
    <s v="Transportation"/>
    <m/>
    <s v="No"/>
    <m/>
    <n v="46800"/>
    <n v="218400"/>
    <n v="46800"/>
    <s v="L"/>
    <s v="J"/>
    <m/>
    <m/>
    <m/>
    <m/>
    <m/>
    <m/>
    <m/>
  </r>
  <r>
    <d v="2023-03-13T00:00:00"/>
    <s v="March"/>
    <n v="2023"/>
    <x v="10"/>
    <n v="-17"/>
    <x v="1"/>
    <n v="6800"/>
    <n v="381"/>
    <x v="1"/>
    <s v="Per"/>
    <n v="17"/>
    <s v="INDOT"/>
    <s v="LRL-2022-815-djd"/>
    <s v="2022-1065-36-JBT-A"/>
    <m/>
    <s v="Jackson"/>
    <n v="38.979213000000001"/>
    <n v="-86.021602000000001"/>
    <s v="Transportation"/>
    <m/>
    <s v="No"/>
    <m/>
    <n v="1020"/>
    <n v="4760"/>
    <n v="1020"/>
    <s v="L"/>
    <s v="J"/>
    <m/>
    <m/>
    <m/>
    <m/>
    <m/>
    <m/>
    <m/>
  </r>
  <r>
    <d v="2023-03-14T00:00:00"/>
    <s v="March"/>
    <n v="2023"/>
    <x v="7"/>
    <n v="-0.38"/>
    <x v="0"/>
    <n v="30400"/>
    <n v="372"/>
    <x v="1"/>
    <s v="PEM"/>
    <n v="0.19"/>
    <s v="Floyd County"/>
    <s v="N/A"/>
    <s v="2022-691-22-JWR-X"/>
    <m/>
    <s v="Floyd"/>
    <n v="38.316153"/>
    <n v="-85.901615000000007"/>
    <s v="Development"/>
    <m/>
    <s v="No"/>
    <m/>
    <n v="4560"/>
    <n v="21280"/>
    <n v="4560"/>
    <s v="L"/>
    <s v="J"/>
    <m/>
    <m/>
    <m/>
    <m/>
    <m/>
    <m/>
    <m/>
  </r>
  <r>
    <d v="2023-03-23T00:00:00"/>
    <s v="March"/>
    <n v="2023"/>
    <x v="0"/>
    <n v="-0.93799999999999994"/>
    <x v="0"/>
    <n v="89110"/>
    <n v="348"/>
    <x v="1"/>
    <s v="PEM"/>
    <n v="0.93799999999999994"/>
    <s v="North Porter County Conservation Club"/>
    <s v="LRC-2021-130"/>
    <s v="2022-305-64-MTM-A"/>
    <m/>
    <s v="Porter"/>
    <n v="41.569047126842499"/>
    <n v="87.042424098139605"/>
    <s v="Development"/>
    <m/>
    <s v="No"/>
    <m/>
    <n v="13366.5"/>
    <n v="62376.999999999993"/>
    <n v="13366.5"/>
    <s v="C"/>
    <s v="J"/>
    <m/>
    <m/>
    <m/>
    <m/>
    <m/>
    <m/>
    <s v="Required ILF credit purchased over two (2) payment instrallments - authorized by Corps and IDEM($50,000 paid in 2022, and 39,110 paid in 2023)"/>
  </r>
  <r>
    <d v="2023-03-27T00:00:00"/>
    <s v="March"/>
    <n v="2023"/>
    <x v="9"/>
    <n v="-385"/>
    <x v="1"/>
    <n v="173250"/>
    <n v="265"/>
    <x v="1"/>
    <s v="Int"/>
    <n v="321"/>
    <s v="Schoolcraft Development Company"/>
    <s v="LRL-2014-608-lcl"/>
    <s v="2020-767-49-ALF-A"/>
    <m/>
    <s v="Marion"/>
    <n v="39.640099999999997"/>
    <n v="-86.130799999999994"/>
    <s v="Development"/>
    <m/>
    <s v="No"/>
    <m/>
    <n v="25987.5"/>
    <n v="121274.99999999999"/>
    <n v="25987.5"/>
    <s v="L"/>
    <s v="J"/>
    <m/>
    <m/>
    <m/>
    <m/>
    <m/>
    <m/>
    <s v="Corps required more ILF stream credit than IDEM - IDEM 321"/>
  </r>
  <r>
    <d v="2023-03-27T00:00:00"/>
    <s v="March"/>
    <n v="2023"/>
    <x v="9"/>
    <n v="-0.42"/>
    <x v="0"/>
    <n v="33600"/>
    <n v="265"/>
    <x v="1"/>
    <s v="PSS"/>
    <n v="0.14000000000000001"/>
    <s v="Schoolcraft Development Company"/>
    <s v="LRL-2014-608-lcl"/>
    <s v="2020-767-49-ALF-A"/>
    <m/>
    <s v="Marion"/>
    <n v="39.640099999999997"/>
    <n v="-86.130799999999994"/>
    <s v="Development"/>
    <m/>
    <s v="No"/>
    <m/>
    <n v="5040"/>
    <n v="23520"/>
    <n v="5040"/>
    <s v="L"/>
    <s v="J"/>
    <m/>
    <m/>
    <m/>
    <m/>
    <m/>
    <m/>
    <s v="IDEM required more ILF wetland credit than Corps - corps required .34 SS"/>
  </r>
  <r>
    <d v="2023-03-27T00:00:00"/>
    <s v="March"/>
    <n v="2023"/>
    <x v="9"/>
    <n v="-0.52"/>
    <x v="0"/>
    <n v="41600"/>
    <n v="265"/>
    <x v="1"/>
    <s v="PEM"/>
    <n v="0.14000000000000001"/>
    <s v="Schoolcraft Development Company"/>
    <s v="LRL-2014-608-lcl"/>
    <s v="2020-767-49-ALF-A"/>
    <m/>
    <s v="Marion"/>
    <n v="39.640099999999997"/>
    <n v="-86.130799999999994"/>
    <s v="Development"/>
    <m/>
    <s v="No"/>
    <m/>
    <n v="6240"/>
    <n v="29119.999999999996"/>
    <n v="6240"/>
    <s v="L"/>
    <s v="J"/>
    <m/>
    <m/>
    <m/>
    <m/>
    <m/>
    <m/>
    <s v="Corps didn't require any PEM - ILF required for 0.14 open water impacts? - not listed in table. "/>
  </r>
  <r>
    <d v="2023-03-27T00:00:00"/>
    <s v="March"/>
    <n v="2023"/>
    <x v="9"/>
    <n v="-245"/>
    <x v="1"/>
    <n v="110250"/>
    <n v="389"/>
    <x v="1"/>
    <s v="Int"/>
    <n v="329"/>
    <s v="Old Town Development"/>
    <s v="LRL-2021-00804-ddc"/>
    <s v="2021-746-29-JBT-A"/>
    <m/>
    <s v="Hamilton"/>
    <n v="40.042230000000004"/>
    <n v="-86.128630000000001"/>
    <s v="Development"/>
    <m/>
    <s v="No"/>
    <m/>
    <n v="16537.5"/>
    <n v="77175"/>
    <n v="16537.5"/>
    <s v="L"/>
    <s v="J"/>
    <m/>
    <m/>
    <m/>
    <m/>
    <m/>
    <m/>
    <s v="Corps did not require mitigation"/>
  </r>
  <r>
    <d v="2023-04-18T00:00:00"/>
    <s v="April"/>
    <n v="2023"/>
    <x v="0"/>
    <n v="-1"/>
    <x v="0"/>
    <n v="95000"/>
    <n v="337"/>
    <x v="1"/>
    <s v="PEM"/>
    <n v="8.3000000000000004E-2"/>
    <s v="Atlantic Richfield Company"/>
    <s v="LRC-2022-00195"/>
    <s v="2022-904-45-MTM-A"/>
    <m/>
    <s v="Lake"/>
    <n v="41.646259000000001"/>
    <n v="-87.484943000000001"/>
    <s v="Development"/>
    <m/>
    <s v="No"/>
    <m/>
    <n v="14250"/>
    <n v="66500"/>
    <n v="14250"/>
    <s v="C"/>
    <s v="J"/>
    <m/>
    <m/>
    <m/>
    <m/>
    <m/>
    <m/>
    <m/>
  </r>
  <r>
    <d v="2023-04-18T00:00:00"/>
    <s v="April"/>
    <n v="2023"/>
    <x v="0"/>
    <n v="-0.48599999999999999"/>
    <x v="0"/>
    <n v="46170"/>
    <n v="402"/>
    <x v="1"/>
    <s v="PEM"/>
    <n v="0.27"/>
    <s v="Porter County"/>
    <s v="LRC-2022-00039"/>
    <s v="2022-13-64-MTM-A"/>
    <m/>
    <s v="Porter"/>
    <n v="41.560267000000003"/>
    <n v="-87.104940999999997"/>
    <s v="Development"/>
    <m/>
    <s v="No"/>
    <m/>
    <n v="6925.5"/>
    <n v="32318.999999999996"/>
    <n v="6925.5"/>
    <s v="C"/>
    <s v="J"/>
    <m/>
    <m/>
    <m/>
    <m/>
    <m/>
    <m/>
    <s v="IDEM 0.405 Corps .486"/>
  </r>
  <r>
    <d v="2023-04-18T00:00:00"/>
    <s v="April"/>
    <n v="2023"/>
    <x v="0"/>
    <n v="-0.14399999999999999"/>
    <x v="0"/>
    <n v="13680"/>
    <n v="402"/>
    <x v="1"/>
    <s v="PSS"/>
    <n v="0.14399999999999999"/>
    <s v="Porter County"/>
    <s v="LRC-2022-00039"/>
    <s v="2022-13-64-MTM-A"/>
    <m/>
    <s v="Porter"/>
    <n v="41.560267000000003"/>
    <n v="-87.104940999999997"/>
    <s v="Development"/>
    <m/>
    <s v="No"/>
    <m/>
    <n v="2052"/>
    <n v="9576"/>
    <n v="2052"/>
    <s v="C"/>
    <s v="J"/>
    <m/>
    <m/>
    <m/>
    <m/>
    <m/>
    <m/>
    <s v="IDEM 0.182 Corps 0.144"/>
  </r>
  <r>
    <d v="2023-04-18T00:00:00"/>
    <s v="April"/>
    <n v="2023"/>
    <x v="0"/>
    <n v="-0.22"/>
    <x v="0"/>
    <n v="20900"/>
    <n v="380"/>
    <x v="1"/>
    <s v="PEM"/>
    <n v="0.12"/>
    <s v="SP/DSP Portage Owner, LLC"/>
    <s v="LRC-2021-00756"/>
    <s v="2022-1088-64-MTM-A"/>
    <m/>
    <s v="Porter"/>
    <n v="41.598882000000003"/>
    <n v="-87.191326000000004"/>
    <s v="Development"/>
    <m/>
    <s v="No"/>
    <m/>
    <n v="3135"/>
    <n v="14629.999999999998"/>
    <n v="3135"/>
    <s v="C"/>
    <s v="J"/>
    <m/>
    <m/>
    <m/>
    <m/>
    <m/>
    <m/>
    <m/>
  </r>
  <r>
    <d v="2023-04-18T00:00:00"/>
    <s v="April"/>
    <n v="2023"/>
    <x v="0"/>
    <n v="-1.33"/>
    <x v="0"/>
    <n v="126350"/>
    <n v="380"/>
    <x v="1"/>
    <s v="PFO"/>
    <n v="0.37"/>
    <s v="SP/DSP Portage Owner, LLC"/>
    <s v="LRC-2021-00756"/>
    <s v="2022-1088-64-MTM-A"/>
    <m/>
    <s v="Porter"/>
    <n v="41.598882000000003"/>
    <n v="-87.191326000000004"/>
    <s v="Development"/>
    <m/>
    <s v="No"/>
    <m/>
    <n v="18952.5"/>
    <n v="88445"/>
    <n v="18952.5"/>
    <s v="C"/>
    <s v="J"/>
    <m/>
    <m/>
    <m/>
    <m/>
    <m/>
    <m/>
    <m/>
  </r>
  <r>
    <d v="2023-04-18T00:00:00"/>
    <s v="April"/>
    <n v="2023"/>
    <x v="5"/>
    <n v="-494"/>
    <x v="1"/>
    <n v="197600"/>
    <n v="398"/>
    <x v="1"/>
    <s v="Int"/>
    <n v="412"/>
    <s v="Evansville-Vanderburgh Airport Authority"/>
    <s v="LRL-2022-547-tmb"/>
    <s v="2022-640-82-TMS"/>
    <m/>
    <s v="Vanderburgh"/>
    <n v="38.045692000000003"/>
    <n v="-87.529272000000006"/>
    <s v="Development"/>
    <m/>
    <s v="No"/>
    <m/>
    <n v="29640"/>
    <n v="138320"/>
    <n v="29640"/>
    <s v="L"/>
    <s v="J"/>
    <m/>
    <m/>
    <m/>
    <m/>
    <m/>
    <m/>
    <s v="Corps required 494, IDEM 412"/>
  </r>
  <r>
    <d v="2023-04-18T00:00:00"/>
    <s v="April"/>
    <n v="2023"/>
    <x v="7"/>
    <n v="-288"/>
    <x v="1"/>
    <n v="115200"/>
    <n v="400"/>
    <x v="1"/>
    <s v="Eph"/>
    <n v="288"/>
    <s v="Clark County Board of Commissioners"/>
    <s v="LRL-2013-00374"/>
    <s v="2021-189-10-TMS-A"/>
    <m/>
    <s v="Clark"/>
    <n v="38.457000000000001"/>
    <n v="-85.847740000000002"/>
    <s v="Development"/>
    <m/>
    <s v="No"/>
    <m/>
    <n v="17280"/>
    <n v="80640"/>
    <n v="17280"/>
    <s v="L"/>
    <s v="J"/>
    <m/>
    <m/>
    <m/>
    <m/>
    <m/>
    <m/>
    <s v="Purchase 2 of 7 required by 404 and 401"/>
  </r>
  <r>
    <d v="2023-04-18T00:00:00"/>
    <s v="April"/>
    <n v="2023"/>
    <x v="7"/>
    <n v="-1.3"/>
    <x v="0"/>
    <n v="104000"/>
    <n v="400"/>
    <x v="1"/>
    <s v="PEM"/>
    <n v="1.3"/>
    <s v="Clark County Board of Commissioners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s v="J"/>
    <m/>
    <m/>
    <m/>
    <m/>
    <m/>
    <m/>
    <s v="Purchase 2 of 7 required by 404 and 401"/>
  </r>
  <r>
    <d v="2023-04-18T00:00:00"/>
    <s v="April"/>
    <n v="2023"/>
    <x v="9"/>
    <n v="-17"/>
    <x v="1"/>
    <n v="7650"/>
    <n v="387"/>
    <x v="1"/>
    <s v="Int"/>
    <n v="14"/>
    <s v="GSR Ground A, LLC"/>
    <s v="LRL-2022-942-DDC"/>
    <s v="2022-1034-49-EKB-X"/>
    <m/>
    <s v="Marion"/>
    <n v="39.757373000000001"/>
    <n v="-86.294821999999996"/>
    <s v="Development"/>
    <m/>
    <s v="No"/>
    <m/>
    <n v="1147.5"/>
    <n v="5355"/>
    <n v="1147.5"/>
    <s v="L"/>
    <s v="J"/>
    <m/>
    <m/>
    <m/>
    <m/>
    <m/>
    <m/>
    <m/>
  </r>
  <r>
    <d v="2023-04-18T00:00:00"/>
    <s v="April"/>
    <n v="2023"/>
    <x v="9"/>
    <n v="-0.32400000000000001"/>
    <x v="0"/>
    <n v="25920"/>
    <n v="387"/>
    <x v="1"/>
    <s v="PSS"/>
    <n v="0.09"/>
    <s v="GSR Ground A, LLC"/>
    <s v="LRL-2022-942-DDC"/>
    <s v="2022-1034-49-EKB-X"/>
    <m/>
    <s v="Marion"/>
    <n v="39.757373000000001"/>
    <n v="-86.294821999999996"/>
    <s v="Development"/>
    <m/>
    <s v="No"/>
    <m/>
    <n v="3888"/>
    <n v="18144"/>
    <n v="3888"/>
    <s v="L"/>
    <s v="J"/>
    <m/>
    <m/>
    <m/>
    <m/>
    <m/>
    <m/>
    <m/>
  </r>
  <r>
    <d v="2023-04-18T00:00:00"/>
    <s v="April"/>
    <n v="2023"/>
    <x v="9"/>
    <n v="-7.6799999999999993E-2"/>
    <x v="0"/>
    <n v="6144"/>
    <n v="387"/>
    <x v="1"/>
    <s v="PFO"/>
    <n v="1.6E-2"/>
    <s v="GSR Ground A, LLC"/>
    <s v="LRL-2022-942-DDC"/>
    <s v="2022-1034-49-EKB-X"/>
    <m/>
    <s v="Marion"/>
    <n v="39.757373000000001"/>
    <n v="-86.294821999999996"/>
    <s v="Development"/>
    <m/>
    <s v="No"/>
    <m/>
    <n v="921.59999999999991"/>
    <n v="4300.7999999999993"/>
    <n v="921.59999999999991"/>
    <s v="L"/>
    <s v="J"/>
    <m/>
    <m/>
    <m/>
    <m/>
    <m/>
    <m/>
    <m/>
  </r>
  <r>
    <d v="2023-04-18T00:00:00"/>
    <s v="April"/>
    <n v="2023"/>
    <x v="9"/>
    <n v="-3.42"/>
    <x v="0"/>
    <n v="273600"/>
    <s v="391 and 399"/>
    <x v="2"/>
    <s v="PEM"/>
    <n v="2.13"/>
    <s v="Henke Development Group, LLC"/>
    <s v="N/A"/>
    <s v="IWIP 2023-35-29-SCF-A"/>
    <m/>
    <s v="Hamilton"/>
    <n v="40.078893000000001"/>
    <n v="-86.129283999999998"/>
    <s v="Development"/>
    <m/>
    <s v="No"/>
    <m/>
    <n v="41040"/>
    <n v="191520"/>
    <n v="41040"/>
    <s v="L"/>
    <s v="SI"/>
    <s v="2 NF"/>
    <m/>
    <m/>
    <m/>
    <m/>
    <m/>
    <m/>
  </r>
  <r>
    <d v="2023-04-24T00:00:00"/>
    <s v="April"/>
    <n v="2023"/>
    <x v="8"/>
    <n v="-0.7"/>
    <x v="0"/>
    <n v="56000"/>
    <n v="403"/>
    <x v="1"/>
    <s v="PFO"/>
    <n v="0.2"/>
    <s v="New Venture Development Corp"/>
    <s v="LRE-2022-00515-102-N22"/>
    <s v="2022-1018-EJW-X"/>
    <m/>
    <s v="Allen"/>
    <n v="41.199486999999998"/>
    <n v="-85.202242999999996"/>
    <s v="Development"/>
    <m/>
    <s v="No"/>
    <m/>
    <n v="8400"/>
    <n v="39200"/>
    <n v="8400"/>
    <s v="D"/>
    <s v="J"/>
    <m/>
    <m/>
    <m/>
    <m/>
    <m/>
    <m/>
    <m/>
  </r>
  <r>
    <d v="2023-04-25T00:00:00"/>
    <s v="April"/>
    <n v="2023"/>
    <x v="7"/>
    <n v="-0.72"/>
    <x v="0"/>
    <n v="57600"/>
    <n v="388"/>
    <x v="1"/>
    <s v="PEM"/>
    <n v="0.29799999999999999"/>
    <s v="The Flats on 10th, LLC"/>
    <s v="LRL-2022-0823-kjs"/>
    <s v="2022-936-10-JWR-A"/>
    <m/>
    <s v="Clark"/>
    <n v="38.338082999999997"/>
    <n v="-85.712626"/>
    <s v="Development"/>
    <m/>
    <s v="No"/>
    <m/>
    <n v="8640"/>
    <n v="40320"/>
    <n v="8640"/>
    <s v="L"/>
    <s v="J"/>
    <m/>
    <m/>
    <m/>
    <m/>
    <m/>
    <m/>
    <m/>
  </r>
  <r>
    <d v="2023-04-26T00:00:00"/>
    <s v="April"/>
    <n v="2023"/>
    <x v="1"/>
    <n v="-1.74"/>
    <x v="0"/>
    <n v="165300"/>
    <n v="396"/>
    <x v="2"/>
    <s v="PFO"/>
    <n v="0.57999999999999996"/>
    <s v="NIPSCO"/>
    <s v="N/A"/>
    <s v="IWIP 2022-813-37-MTM-A"/>
    <m/>
    <s v="Jasper"/>
    <n v="41.217205"/>
    <n v="-87.005990999999995"/>
    <s v="Energy Production"/>
    <m/>
    <s v="No"/>
    <m/>
    <n v="24795"/>
    <n v="115709.99999999999"/>
    <n v="24795"/>
    <s v="D"/>
    <s v="SI"/>
    <s v="3 FO"/>
    <m/>
    <m/>
    <m/>
    <m/>
    <m/>
    <m/>
  </r>
  <r>
    <d v="2023-04-26T00:00:00"/>
    <s v="April"/>
    <n v="2023"/>
    <x v="4"/>
    <n v="-0.6"/>
    <x v="0"/>
    <n v="48000"/>
    <n v="408"/>
    <x v="1"/>
    <s v="PEM"/>
    <n v="0.25"/>
    <s v="Duke Energy"/>
    <s v="LRL-2022-0051-jde"/>
    <s v="2023-279-84-ERL-X"/>
    <m/>
    <s v="Vigo"/>
    <n v="39.397624"/>
    <n v="-87.479951"/>
    <s v="Transportation"/>
    <m/>
    <s v="No"/>
    <m/>
    <n v="7200"/>
    <n v="33600"/>
    <n v="7200"/>
    <s v="L"/>
    <s v="J"/>
    <m/>
    <m/>
    <m/>
    <m/>
    <m/>
    <m/>
    <m/>
  </r>
  <r>
    <d v="2023-04-26T00:00:00"/>
    <s v="April"/>
    <n v="2023"/>
    <x v="7"/>
    <n v="-113"/>
    <x v="1"/>
    <n v="45200"/>
    <n v="406"/>
    <x v="1"/>
    <s v="Int"/>
    <n v="113"/>
    <s v="INDOT"/>
    <s v="LRL-2022-1041-djd"/>
    <s v="2023-91-78-SCF-A"/>
    <m/>
    <s v="Switzerland"/>
    <n v="38.892364999999998"/>
    <n v="-84.811717999999999"/>
    <s v="Transportation"/>
    <m/>
    <s v="No"/>
    <m/>
    <n v="6780"/>
    <n v="31639.999999999996"/>
    <n v="6780"/>
    <s v="L"/>
    <s v="J"/>
    <m/>
    <m/>
    <m/>
    <m/>
    <m/>
    <m/>
    <m/>
  </r>
  <r>
    <d v="2023-04-26T00:00:00"/>
    <s v="April"/>
    <n v="2023"/>
    <x v="7"/>
    <n v="-488"/>
    <x v="1"/>
    <n v="195200"/>
    <n v="406"/>
    <x v="1"/>
    <s v="Per"/>
    <n v="488"/>
    <s v="INDOT"/>
    <s v="LRL-2022-1041-djd"/>
    <s v="2023-91-78-SCF-A"/>
    <m/>
    <s v="Switzerland"/>
    <n v="38.892364999999998"/>
    <n v="-84.811717999999999"/>
    <s v="Transportation"/>
    <m/>
    <s v="No"/>
    <m/>
    <n v="29280"/>
    <n v="136640"/>
    <n v="29280"/>
    <s v="L"/>
    <s v="J"/>
    <m/>
    <m/>
    <m/>
    <m/>
    <m/>
    <m/>
    <m/>
  </r>
  <r>
    <d v="2023-04-26T00:00:00"/>
    <s v="April"/>
    <n v="2023"/>
    <x v="7"/>
    <n v="-6.8000000000000005E-2"/>
    <x v="0"/>
    <n v="5440"/>
    <n v="406"/>
    <x v="1"/>
    <s v="PFO"/>
    <n v="1.7000000000000001E-2"/>
    <s v="INDOT"/>
    <s v="LRL-2022-1041-djd"/>
    <s v="2023-91-78-SCF-A"/>
    <m/>
    <s v="Switzerland"/>
    <n v="38.892364999999998"/>
    <n v="-84.811717999999999"/>
    <s v="Transportation"/>
    <m/>
    <s v="No"/>
    <m/>
    <n v="816"/>
    <n v="3807.9999999999995"/>
    <n v="816"/>
    <s v="L"/>
    <s v="J"/>
    <m/>
    <m/>
    <m/>
    <m/>
    <m/>
    <m/>
    <m/>
  </r>
  <r>
    <d v="2023-04-26T00:00:00"/>
    <s v="April"/>
    <n v="2023"/>
    <x v="8"/>
    <n v="-0.63"/>
    <x v="0"/>
    <n v="50400"/>
    <n v="345"/>
    <x v="1"/>
    <s v="PEM"/>
    <n v="0.26"/>
    <s v="City of Delphi"/>
    <s v="LRL-2022-318-sjk"/>
    <s v="2022-204-8-SCF"/>
    <m/>
    <s v="Carroll"/>
    <n v="40.580204000000002"/>
    <n v="-86.679981999999995"/>
    <s v="Development"/>
    <m/>
    <s v="No"/>
    <m/>
    <n v="7560"/>
    <n v="35280"/>
    <n v="7560"/>
    <s v="L"/>
    <s v="J"/>
    <m/>
    <m/>
    <m/>
    <m/>
    <m/>
    <m/>
    <s v="0.52 IDEM, 0.63 Corps"/>
  </r>
  <r>
    <d v="2023-04-26T00:00:00"/>
    <s v="April"/>
    <n v="2023"/>
    <x v="8"/>
    <n v="-0.36"/>
    <x v="0"/>
    <n v="28800"/>
    <n v="345"/>
    <x v="1"/>
    <s v="PFO"/>
    <n v="0.09"/>
    <s v="City of Delphi"/>
    <s v="LRL-2022-318-sjk"/>
    <s v="2022-204-8-SCF"/>
    <m/>
    <s v="Carroll"/>
    <n v="40.580204000000002"/>
    <n v="-86.679981999999995"/>
    <s v="Development"/>
    <m/>
    <s v="No"/>
    <m/>
    <n v="4320"/>
    <n v="20160"/>
    <n v="4320"/>
    <s v="L"/>
    <s v="J"/>
    <m/>
    <m/>
    <m/>
    <m/>
    <m/>
    <m/>
    <s v="0.36 IDEM, 0.32 Corps"/>
  </r>
  <r>
    <d v="2023-04-26T00:00:00"/>
    <s v="April"/>
    <n v="2023"/>
    <x v="9"/>
    <n v="-0.28749999999999998"/>
    <x v="0"/>
    <n v="23000"/>
    <n v="405"/>
    <x v="2"/>
    <s v="PFO"/>
    <n v="0.115"/>
    <s v="MSD of Wayne Township"/>
    <s v="N/A"/>
    <s v="IWIP 2023-105-49-EKB-A"/>
    <m/>
    <s v="Marion"/>
    <n v="39.774169999999998"/>
    <n v="-86.273200000000003"/>
    <s v="Development"/>
    <m/>
    <s v="No"/>
    <m/>
    <n v="3450"/>
    <n v="16099.999999999998"/>
    <n v="3450"/>
    <s v="L"/>
    <s v="SI"/>
    <s v="3 FO"/>
    <m/>
    <m/>
    <m/>
    <m/>
    <m/>
    <m/>
  </r>
  <r>
    <d v="2023-04-26T00:00:00"/>
    <s v="April"/>
    <n v="2023"/>
    <x v="9"/>
    <n v="-498"/>
    <x v="1"/>
    <n v="224100"/>
    <n v="393"/>
    <x v="1"/>
    <s v="Eph"/>
    <n v="415"/>
    <s v="Rise Commercial District"/>
    <s v="LRL-2022-536-sam"/>
    <s v="2022-742-32-ERL-A"/>
    <m/>
    <s v="Hendricks"/>
    <n v="39.739699999999999"/>
    <n v="-86.337599999999995"/>
    <s v="Development"/>
    <m/>
    <s v="No"/>
    <m/>
    <n v="33615"/>
    <n v="156870"/>
    <n v="33615"/>
    <s v="L"/>
    <s v="J"/>
    <m/>
    <m/>
    <m/>
    <m/>
    <m/>
    <m/>
    <s v="Corps required more stream"/>
  </r>
  <r>
    <d v="2023-04-26T00:00:00"/>
    <s v="April"/>
    <n v="2023"/>
    <x v="9"/>
    <n v="-7.0000000000000007E-2"/>
    <x v="0"/>
    <n v="5600"/>
    <n v="393"/>
    <x v="1"/>
    <s v="PEM"/>
    <n v="0.03"/>
    <s v="Rise Commercial District"/>
    <s v="LRL-2022-536-sam"/>
    <s v="2022-742-32-ERL-A"/>
    <m/>
    <s v="Hendricks"/>
    <n v="39.739699999999999"/>
    <n v="-86.337599999999995"/>
    <s v="Development"/>
    <m/>
    <s v="No"/>
    <m/>
    <n v="840"/>
    <n v="3919.9999999999995"/>
    <n v="840"/>
    <s v="L"/>
    <s v="J"/>
    <m/>
    <m/>
    <m/>
    <m/>
    <m/>
    <m/>
    <s v="Corps required more for PEM credit"/>
  </r>
  <r>
    <d v="2023-04-26T00:00:00"/>
    <s v="April"/>
    <n v="2023"/>
    <x v="9"/>
    <n v="-4.8000000000000001E-2"/>
    <x v="0"/>
    <n v="3840"/>
    <n v="393"/>
    <x v="1"/>
    <s v="PSS"/>
    <n v="1.6E-2"/>
    <s v="Rise Commercial District"/>
    <s v="LRL-2022-536-sam"/>
    <s v="2022-742-32-ERL-A"/>
    <m/>
    <s v="Hendricks"/>
    <n v="39.739699999999999"/>
    <n v="-86.337599999999995"/>
    <s v="Development"/>
    <m/>
    <s v="No"/>
    <m/>
    <n v="576"/>
    <n v="2688"/>
    <n v="576"/>
    <s v="L"/>
    <s v="J"/>
    <m/>
    <m/>
    <m/>
    <m/>
    <m/>
    <m/>
    <s v="IDEM required more for PSS credit"/>
  </r>
  <r>
    <d v="2023-04-26T00:00:00"/>
    <s v="April"/>
    <n v="2023"/>
    <x v="9"/>
    <n v="-0.26"/>
    <x v="0"/>
    <n v="20800"/>
    <n v="393"/>
    <x v="1"/>
    <s v="PFO"/>
    <n v="6.5000000000000002E-2"/>
    <s v="Rise Commercial District"/>
    <s v="LRL-2022-536-sam"/>
    <s v="2022-742-32-ERL-A"/>
    <m/>
    <s v="Hendricks"/>
    <n v="39.739699999999999"/>
    <n v="-86.337599999999995"/>
    <s v="Development"/>
    <m/>
    <s v="No"/>
    <m/>
    <n v="3120"/>
    <n v="14559.999999999998"/>
    <n v="3120"/>
    <s v="L"/>
    <s v="J"/>
    <m/>
    <m/>
    <m/>
    <m/>
    <m/>
    <m/>
    <s v="IDEM required more for PFO credit"/>
  </r>
  <r>
    <d v="2023-04-26T00:00:00"/>
    <s v="April"/>
    <n v="2023"/>
    <x v="9"/>
    <n v="-22"/>
    <x v="1"/>
    <n v="9900"/>
    <n v="407"/>
    <x v="1"/>
    <s v="Eph"/>
    <n v="22"/>
    <s v="INDOT"/>
    <s v="LRL-2022-946-scm"/>
    <s v="2022-1372-55-JBT-X"/>
    <m/>
    <s v="Morgan"/>
    <n v="39.53875"/>
    <n v="-86.383160000000004"/>
    <s v="Transportation"/>
    <m/>
    <s v="No"/>
    <m/>
    <n v="1485"/>
    <n v="6930"/>
    <n v="1485"/>
    <s v="L"/>
    <s v="J"/>
    <m/>
    <m/>
    <m/>
    <m/>
    <m/>
    <m/>
    <m/>
  </r>
  <r>
    <d v="2023-04-27T00:00:00"/>
    <s v="April"/>
    <n v="2023"/>
    <x v="6"/>
    <n v="-0.26"/>
    <x v="0"/>
    <n v="31200"/>
    <n v="394"/>
    <x v="1"/>
    <s v="PFO"/>
    <n v="0.22"/>
    <s v="NIPSCO"/>
    <s v="LRE-2022-00816-176-N22"/>
    <s v="2022-1148-76-EJW-X"/>
    <m/>
    <s v="Steuben"/>
    <n v="41.656427999999998"/>
    <n v="-85.101192999999995"/>
    <s v="Energy Production"/>
    <m/>
    <s v="No"/>
    <m/>
    <n v="4680"/>
    <n v="21840"/>
    <n v="4680"/>
    <s v="D"/>
    <s v="J"/>
    <m/>
    <m/>
    <m/>
    <m/>
    <m/>
    <m/>
    <m/>
  </r>
  <r>
    <d v="2023-05-15T00:00:00"/>
    <s v="May"/>
    <n v="2023"/>
    <x v="1"/>
    <n v="-0.39"/>
    <x v="0"/>
    <n v="97050"/>
    <n v="418"/>
    <x v="1"/>
    <s v="PSS"/>
    <n v="0.13"/>
    <s v="NIPSCO"/>
    <s v="LRE-2011-00199-137-S22"/>
    <s v="2022-813-37-MTM-A"/>
    <m/>
    <s v="Jasper"/>
    <n v="41.217205"/>
    <n v="-87.005990999999995"/>
    <s v="Energy Production"/>
    <m/>
    <s v="No"/>
    <m/>
    <n v="14557.5"/>
    <n v="67935"/>
    <n v="14557.5"/>
    <s v="D"/>
    <s v="J"/>
    <m/>
    <m/>
    <m/>
    <m/>
    <m/>
    <m/>
    <m/>
  </r>
  <r>
    <d v="2023-05-23T00:00:00"/>
    <s v="May"/>
    <n v="2023"/>
    <x v="9"/>
    <n v="-7"/>
    <x v="1"/>
    <n v="3150"/>
    <n v="413"/>
    <x v="1"/>
    <s v="Eph"/>
    <n v="6"/>
    <s v="Epcon Communities"/>
    <s v="LRL-2023-24-sjk"/>
    <s v="2023-130-29-GCW-A"/>
    <m/>
    <s v="Hamilton"/>
    <n v="39.956277"/>
    <n v="-85.874542000000005"/>
    <s v="Development"/>
    <m/>
    <s v="No"/>
    <m/>
    <n v="472.5"/>
    <n v="2205"/>
    <n v="472.5"/>
    <s v="L"/>
    <s v="J"/>
    <m/>
    <m/>
    <m/>
    <m/>
    <m/>
    <m/>
    <m/>
  </r>
  <r>
    <d v="2023-05-23T00:00:00"/>
    <s v="May"/>
    <n v="2023"/>
    <x v="9"/>
    <n v="-0.36"/>
    <x v="0"/>
    <n v="28800"/>
    <n v="413"/>
    <x v="1"/>
    <s v="PEM"/>
    <n v="0.11"/>
    <s v="Epcon Communities"/>
    <s v="LRL-2023-24-sjk"/>
    <s v="2023-130-29-GCW-A"/>
    <m/>
    <s v="Hamilton"/>
    <n v="39.956277"/>
    <n v="-85.874542000000005"/>
    <s v="Development"/>
    <m/>
    <s v="No"/>
    <m/>
    <n v="4320"/>
    <n v="20160"/>
    <n v="4320"/>
    <s v="L"/>
    <s v="J"/>
    <m/>
    <m/>
    <m/>
    <m/>
    <m/>
    <m/>
    <m/>
  </r>
  <r>
    <d v="2023-05-23T00:00:00"/>
    <s v="May"/>
    <n v="2023"/>
    <x v="9"/>
    <n v="-3"/>
    <x v="0"/>
    <n v="240000"/>
    <n v="413"/>
    <x v="1"/>
    <s v="PFO"/>
    <n v="0.75"/>
    <s v="Epcon Communities"/>
    <s v="LRL-2023-24-sjk"/>
    <s v="2023-130-29-GCW-A"/>
    <m/>
    <s v="Hamilton"/>
    <n v="39.956277"/>
    <n v="-85.874542000000005"/>
    <s v="Development"/>
    <m/>
    <s v="No"/>
    <m/>
    <n v="36000"/>
    <n v="168000"/>
    <n v="36000"/>
    <s v="L"/>
    <s v="J"/>
    <m/>
    <m/>
    <m/>
    <m/>
    <m/>
    <m/>
    <m/>
  </r>
  <r>
    <d v="2023-06-13T00:00:00"/>
    <s v="June"/>
    <n v="2023"/>
    <x v="3"/>
    <n v="-0.216"/>
    <x v="0"/>
    <n v="17280"/>
    <n v="401"/>
    <x v="1"/>
    <s v="PFO"/>
    <n v="0.09"/>
    <s v="DeKalb County Board of Commissioners"/>
    <s v="LRE-2005-1170220-N23"/>
    <s v="2023-24-17-EJW-X"/>
    <m/>
    <s v="DeKalb"/>
    <n v="41.323115999999999"/>
    <n v="-85.124328000000006"/>
    <s v="Transportation"/>
    <m/>
    <s v="No"/>
    <m/>
    <n v="2592"/>
    <n v="12096"/>
    <n v="2592"/>
    <s v="D"/>
    <s v="J"/>
    <m/>
    <m/>
    <m/>
    <m/>
    <m/>
    <m/>
    <m/>
  </r>
  <r>
    <d v="2023-06-13T00:00:00"/>
    <s v="June"/>
    <n v="2023"/>
    <x v="9"/>
    <n v="-1.575"/>
    <x v="0"/>
    <n v="126000"/>
    <n v="404"/>
    <x v="2"/>
    <s v="PFO"/>
    <n v="0.63"/>
    <s v="Hoosier Valley Development, LLC"/>
    <s v="N/A"/>
    <s v="IWIP 2022-986-32-ERL-A"/>
    <m/>
    <s v="Hendricks"/>
    <n v="39.820008000000001"/>
    <n v="-86.371840000000006"/>
    <s v="Development"/>
    <m/>
    <s v="No"/>
    <m/>
    <n v="18900"/>
    <n v="88200"/>
    <n v="18900"/>
    <s v="L"/>
    <s v="SI"/>
    <s v="3 FO"/>
    <m/>
    <m/>
    <m/>
    <m/>
    <m/>
    <m/>
  </r>
  <r>
    <d v="2023-06-14T00:00:00"/>
    <s v="June"/>
    <n v="2023"/>
    <x v="1"/>
    <n v="-0.121"/>
    <x v="0"/>
    <n v="11495"/>
    <n v="420"/>
    <x v="1"/>
    <s v="PEM"/>
    <n v="0.121"/>
    <s v="Graythorne Development"/>
    <s v="LRC-2019-190"/>
    <s v="2021-92-45-MTM-A"/>
    <m/>
    <s v="Lake"/>
    <n v="41.315891999999998"/>
    <n v="-87.387343000000001"/>
    <s v="Development"/>
    <m/>
    <s v="No"/>
    <m/>
    <n v="1724.25"/>
    <n v="8046.4999999999991"/>
    <n v="1724.25"/>
    <s v="C"/>
    <s v="J"/>
    <m/>
    <m/>
    <m/>
    <m/>
    <m/>
    <m/>
    <m/>
  </r>
  <r>
    <d v="2023-06-14T00:00:00"/>
    <s v="June"/>
    <n v="2023"/>
    <x v="3"/>
    <n v="-12.5"/>
    <x v="1"/>
    <n v="5625"/>
    <n v="416"/>
    <x v="1"/>
    <s v="Int"/>
    <n v="500"/>
    <s v="INDOT"/>
    <s v="LRE-2022-00697-176-N22"/>
    <s v="2022-954-76-JBT-A"/>
    <m/>
    <s v="Steuben"/>
    <n v="41.558332999999998"/>
    <n v="-84.859443999999996"/>
    <s v="Transportation"/>
    <m/>
    <s v="No"/>
    <m/>
    <n v="843.75"/>
    <n v="3937.4999999999995"/>
    <n v="843.75"/>
    <s v="D"/>
    <s v="J"/>
    <m/>
    <m/>
    <m/>
    <m/>
    <m/>
    <m/>
    <m/>
  </r>
  <r>
    <d v="2023-06-14T00:00:00"/>
    <s v="June"/>
    <n v="2023"/>
    <x v="3"/>
    <n v="-111"/>
    <x v="1"/>
    <n v="49950"/>
    <n v="416"/>
    <x v="1"/>
    <s v="Per"/>
    <n v="200"/>
    <s v="INDOT"/>
    <s v="LRE-2022-00697-176-N22"/>
    <s v="2022-954-76-JBT-A"/>
    <m/>
    <s v="Steuben"/>
    <n v="41.558332999999998"/>
    <n v="-84.859443999999996"/>
    <s v="Transportation"/>
    <m/>
    <s v="No"/>
    <m/>
    <n v="7492.5"/>
    <n v="34965"/>
    <n v="7492.5"/>
    <s v="D"/>
    <s v="J"/>
    <m/>
    <m/>
    <m/>
    <m/>
    <m/>
    <m/>
    <m/>
  </r>
  <r>
    <d v="2023-06-14T00:00:00"/>
    <s v="June"/>
    <n v="2023"/>
    <x v="3"/>
    <n v="-2.5"/>
    <x v="0"/>
    <n v="200000"/>
    <n v="414"/>
    <x v="2"/>
    <s v="PFO"/>
    <n v="1"/>
    <s v="INDOT"/>
    <s v="N/A"/>
    <s v="IWIP 2022-736-2-SCF-A"/>
    <m/>
    <s v="Allen"/>
    <n v="41.084394000000003"/>
    <n v="-84.995245999999995"/>
    <s v="Transportation"/>
    <m/>
    <s v="No"/>
    <m/>
    <n v="30000"/>
    <n v="140000"/>
    <n v="30000"/>
    <s v="D"/>
    <s v="SI"/>
    <s v="2 FO"/>
    <m/>
    <m/>
    <m/>
    <m/>
    <m/>
    <m/>
  </r>
  <r>
    <d v="2023-06-14T00:00:00"/>
    <s v="June"/>
    <n v="2023"/>
    <x v="4"/>
    <n v="-305"/>
    <x v="1"/>
    <n v="122000"/>
    <n v="417"/>
    <x v="1"/>
    <s v="Int"/>
    <n v="305"/>
    <s v="INDOT"/>
    <s v="LRL-2022-701-djd"/>
    <s v="2023-153-55-SCF-A"/>
    <m/>
    <s v="Morgan"/>
    <n v="39.578830000000004"/>
    <n v="-86.504829999999998"/>
    <s v="Transportation"/>
    <m/>
    <s v="No"/>
    <m/>
    <n v="18300"/>
    <n v="85400"/>
    <n v="18300"/>
    <s v="L"/>
    <s v="J"/>
    <m/>
    <m/>
    <m/>
    <m/>
    <m/>
    <m/>
    <m/>
  </r>
  <r>
    <d v="2023-06-14T00:00:00"/>
    <s v="June"/>
    <n v="2023"/>
    <x v="4"/>
    <n v="-98"/>
    <x v="1"/>
    <n v="39200"/>
    <n v="417"/>
    <x v="1"/>
    <s v="Per"/>
    <n v="98"/>
    <s v="INDOT"/>
    <s v="LRL-2022-701-djd"/>
    <s v="2023-153-55-SCF-A"/>
    <m/>
    <s v="Morgan"/>
    <n v="39.578830000000004"/>
    <n v="-86.504829999999998"/>
    <s v="Transportation"/>
    <m/>
    <s v="No"/>
    <m/>
    <n v="5880"/>
    <n v="27440"/>
    <n v="5880"/>
    <s v="L"/>
    <s v="J"/>
    <m/>
    <m/>
    <m/>
    <m/>
    <m/>
    <m/>
    <m/>
  </r>
  <r>
    <d v="2023-06-14T00:00:00"/>
    <s v="June"/>
    <n v="2023"/>
    <x v="4"/>
    <n v="-4.0000000000000001E-3"/>
    <x v="0"/>
    <n v="320"/>
    <n v="417"/>
    <x v="1"/>
    <s v="PEM"/>
    <n v="2E-3"/>
    <s v="INDOT"/>
    <s v="LRL-2022-701-djd"/>
    <s v="2023-153-55-SCF-A"/>
    <m/>
    <s v="Morgan"/>
    <n v="39.578830000000004"/>
    <n v="-86.504829999999998"/>
    <s v="Transportation"/>
    <m/>
    <s v="No"/>
    <m/>
    <n v="48"/>
    <n v="224"/>
    <n v="48"/>
    <s v="L"/>
    <s v="J"/>
    <m/>
    <m/>
    <m/>
    <m/>
    <m/>
    <m/>
    <m/>
  </r>
  <r>
    <d v="2023-06-14T00:00:00"/>
    <s v="June"/>
    <n v="2023"/>
    <x v="4"/>
    <n v="-2.4E-2"/>
    <x v="0"/>
    <n v="1920"/>
    <n v="417"/>
    <x v="2"/>
    <s v="PEM"/>
    <n v="1.6E-2"/>
    <s v="INDOT"/>
    <s v="N/A"/>
    <s v="IWIP 2023-153-55-SCF-A"/>
    <m/>
    <s v="Morgan"/>
    <n v="39.578830000000004"/>
    <n v="-86.504829999999998"/>
    <s v="Transportation"/>
    <m/>
    <s v="No"/>
    <m/>
    <n v="288"/>
    <n v="1344"/>
    <n v="288"/>
    <s v="L"/>
    <s v="SI"/>
    <s v="2 NF"/>
    <m/>
    <m/>
    <m/>
    <m/>
    <m/>
    <m/>
  </r>
  <r>
    <d v="2023-06-15T00:00:00"/>
    <s v="June"/>
    <n v="2023"/>
    <x v="10"/>
    <n v="-2.42"/>
    <x v="0"/>
    <n v="193600"/>
    <n v="421"/>
    <x v="1"/>
    <s v="PEM"/>
    <n v="1.01"/>
    <s v="INDOT"/>
    <s v="LRL-2014-621-sam"/>
    <s v="2022-858-40-SCF-A"/>
    <m/>
    <s v="Jennings"/>
    <n v="39.021799999999999"/>
    <n v="-85.620199999999997"/>
    <s v="Transportation"/>
    <m/>
    <s v="No"/>
    <m/>
    <n v="29040"/>
    <n v="135520"/>
    <n v="29040"/>
    <s v="L"/>
    <s v="J"/>
    <m/>
    <m/>
    <m/>
    <m/>
    <m/>
    <m/>
    <m/>
  </r>
  <r>
    <d v="2023-06-15T00:00:00"/>
    <s v="June"/>
    <n v="2023"/>
    <x v="10"/>
    <n v="-0.57999999999999996"/>
    <x v="0"/>
    <n v="46400"/>
    <n v="421"/>
    <x v="1"/>
    <s v="PFO"/>
    <n v="0.16"/>
    <s v="INDOT"/>
    <s v="LRL-2014-621-sam"/>
    <s v="2022-858-40-SCF-A"/>
    <m/>
    <s v="Jennings"/>
    <n v="39.021799999999999"/>
    <n v="-85.620199999999997"/>
    <s v="Transportation"/>
    <m/>
    <s v="No"/>
    <m/>
    <n v="6960"/>
    <n v="32479.999999999996"/>
    <n v="6960"/>
    <s v="L"/>
    <s v="J"/>
    <m/>
    <m/>
    <m/>
    <m/>
    <m/>
    <m/>
    <m/>
  </r>
  <r>
    <d v="2023-06-16T00:00:00"/>
    <s v="June"/>
    <n v="2023"/>
    <x v="9"/>
    <n v="-114"/>
    <x v="1"/>
    <n v="51300"/>
    <n v="412"/>
    <x v="1"/>
    <s v="Int"/>
    <n v="114"/>
    <s v="Town of Plainfield"/>
    <s v="LRL-2021-01015-DDC"/>
    <s v="2021-990-32-ERL-A"/>
    <m/>
    <s v="Hendricks"/>
    <n v="39.771281999999999"/>
    <n v="-86.463390000000004"/>
    <s v="Transportation"/>
    <m/>
    <s v="No"/>
    <m/>
    <n v="7695"/>
    <n v="35910"/>
    <n v="7695"/>
    <s v="L"/>
    <s v="J"/>
    <m/>
    <m/>
    <m/>
    <m/>
    <m/>
    <m/>
    <m/>
  </r>
  <r>
    <d v="2023-06-27T00:00:00"/>
    <s v="June"/>
    <n v="2023"/>
    <x v="1"/>
    <n v="-2.9000000000000001E-2"/>
    <x v="0"/>
    <n v="2755"/>
    <n v="423"/>
    <x v="1"/>
    <s v="PEM"/>
    <n v="2.9000000000000001E-2"/>
    <s v="Graythorne Development"/>
    <s v="LRC-2019-190"/>
    <s v="2021-92-45-MTM-A"/>
    <m/>
    <s v="Lake"/>
    <n v="41.315891999999998"/>
    <n v="-87.387343000000001"/>
    <s v="Development"/>
    <m/>
    <s v="No"/>
    <m/>
    <n v="413.25"/>
    <n v="1928.4999999999998"/>
    <n v="413.25"/>
    <s v="C"/>
    <s v="J"/>
    <m/>
    <m/>
    <m/>
    <m/>
    <m/>
    <m/>
    <m/>
  </r>
  <r>
    <d v="2023-07-17T00:00:00"/>
    <s v="July"/>
    <n v="2023"/>
    <x v="4"/>
    <n v="-0.158"/>
    <x v="0"/>
    <n v="12640"/>
    <n v="419"/>
    <x v="2"/>
    <s v="PEM"/>
    <n v="0.105"/>
    <s v="INDOT"/>
    <s v="N/A"/>
    <s v="IWIP 2023-160-06-JBT-A"/>
    <m/>
    <s v="Boone"/>
    <n v="40.158392999999997"/>
    <n v="-86.539592999999996"/>
    <s v="Transportation"/>
    <m/>
    <s v="No"/>
    <m/>
    <n v="1896"/>
    <n v="8848"/>
    <n v="1896"/>
    <s v="L"/>
    <s v="SI"/>
    <s v="2 NF"/>
    <m/>
    <m/>
    <m/>
    <m/>
    <m/>
    <m/>
  </r>
  <r>
    <d v="2023-07-17T00:00:00"/>
    <s v="July"/>
    <n v="2023"/>
    <x v="4"/>
    <n v="-0.12"/>
    <x v="0"/>
    <n v="9600"/>
    <n v="353"/>
    <x v="1"/>
    <s v="PEM"/>
    <n v="5.3999999999999999E-2"/>
    <s v="T.J. Cole"/>
    <s v="LRL-2022-361-sam"/>
    <s v="2022-777-32-ERL-A"/>
    <m/>
    <s v="Hendricks"/>
    <n v="39.832208000000001"/>
    <n v="-86.664096999999998"/>
    <s v="Development"/>
    <m/>
    <s v="No"/>
    <m/>
    <n v="1440"/>
    <n v="6720"/>
    <n v="1440"/>
    <s v="L"/>
    <s v="J"/>
    <m/>
    <m/>
    <m/>
    <m/>
    <m/>
    <m/>
    <m/>
  </r>
  <r>
    <d v="2023-07-17T00:00:00"/>
    <s v="July"/>
    <n v="2023"/>
    <x v="4"/>
    <n v="-1.02"/>
    <x v="0"/>
    <n v="81600"/>
    <n v="353"/>
    <x v="1"/>
    <s v="PFO"/>
    <n v="0.255"/>
    <s v="T.J. Cole"/>
    <s v="LRL-2022-361-sam"/>
    <s v="2022-777-32-ERL-A"/>
    <m/>
    <s v="Hendricks"/>
    <n v="39.832208000000001"/>
    <n v="-86.664096999999998"/>
    <s v="Development"/>
    <m/>
    <s v="No"/>
    <m/>
    <n v="12240"/>
    <n v="57120"/>
    <n v="12240"/>
    <s v="L"/>
    <s v="J"/>
    <m/>
    <m/>
    <m/>
    <m/>
    <m/>
    <m/>
    <m/>
  </r>
  <r>
    <d v="2023-07-25T00:00:00"/>
    <s v="July"/>
    <n v="2023"/>
    <x v="9"/>
    <n v="-2.15"/>
    <x v="0"/>
    <n v="172000"/>
    <n v="422"/>
    <x v="2"/>
    <s v="PFO"/>
    <n v="0.86"/>
    <s v="Pedcor Community Development Corporation"/>
    <s v="N/A"/>
    <s v="IWIP 2023-367-29-GCW-A"/>
    <m/>
    <s v="Hamilton"/>
    <n v="39.951985999999998"/>
    <n v="-86.152573000000004"/>
    <s v="Development"/>
    <m/>
    <s v="No"/>
    <m/>
    <n v="25800"/>
    <n v="120399.99999999999"/>
    <n v="25800"/>
    <s v="L"/>
    <s v="SI"/>
    <s v="3 FO"/>
    <m/>
    <m/>
    <m/>
    <m/>
    <m/>
    <m/>
  </r>
  <r>
    <d v="2023-08-08T00:00:00"/>
    <s v="August"/>
    <n v="2023"/>
    <x v="8"/>
    <n v="-0.4"/>
    <x v="0"/>
    <n v="32000"/>
    <n v="409"/>
    <x v="2"/>
    <s v="PFO"/>
    <n v="0.16"/>
    <s v="Wildcat Resources, LLC"/>
    <s v="N/A"/>
    <s v="IWIP 2022-1000-12-ERL-A"/>
    <m/>
    <s v="Clinton"/>
    <n v="40.271099999999997"/>
    <n v="-86.492800000000003"/>
    <s v="Development"/>
    <m/>
    <s v="No"/>
    <m/>
    <n v="4800"/>
    <n v="22400"/>
    <n v="4800"/>
    <s v="L"/>
    <s v="SI"/>
    <s v="3 FO"/>
    <m/>
    <m/>
    <m/>
    <m/>
    <m/>
    <m/>
  </r>
  <r>
    <d v="2023-08-15T00:00:00"/>
    <s v="August"/>
    <n v="2023"/>
    <x v="7"/>
    <n v="-0.4"/>
    <x v="0"/>
    <n v="32000"/>
    <n v="426"/>
    <x v="1"/>
    <s v="PEM"/>
    <n v="0.34200000000000003"/>
    <s v="Blue Lick Development LLC"/>
    <s v="LRL-2022-00133"/>
    <s v="2023-396-10-ERL-A"/>
    <m/>
    <s v="Clark"/>
    <n v="38.423999999999999"/>
    <n v="-85.671000000000006"/>
    <s v="Development"/>
    <m/>
    <s v="No"/>
    <m/>
    <n v="4800"/>
    <n v="22400"/>
    <n v="4800"/>
    <s v="L"/>
    <s v="J"/>
    <m/>
    <m/>
    <m/>
    <m/>
    <m/>
    <m/>
    <m/>
  </r>
  <r>
    <d v="2023-08-15T00:00:00"/>
    <s v="August"/>
    <n v="2023"/>
    <x v="9"/>
    <n v="-0.6"/>
    <x v="0"/>
    <n v="48000"/>
    <n v="431"/>
    <x v="2"/>
    <s v="PEM"/>
    <n v="0.4"/>
    <s v="Strategic Capital Partners, LLC"/>
    <s v="N/A"/>
    <s v="IWIP 2023-76-49-EKB-A"/>
    <m/>
    <s v="Marion"/>
    <n v="39.665360999999997"/>
    <n v="-86.302817000000005"/>
    <s v="Development"/>
    <m/>
    <s v="No"/>
    <m/>
    <n v="7200"/>
    <n v="33600"/>
    <n v="7200"/>
    <s v="L"/>
    <s v="SI"/>
    <s v="2 NF"/>
    <m/>
    <m/>
    <m/>
    <m/>
    <m/>
    <m/>
  </r>
  <r>
    <d v="2023-08-21T00:00:00"/>
    <s v="August"/>
    <n v="2023"/>
    <x v="7"/>
    <n v="-0.2"/>
    <x v="0"/>
    <n v="16000"/>
    <n v="425"/>
    <x v="1"/>
    <s v="PSS"/>
    <n v="0.51100000000000001"/>
    <s v="Clark County Board of Commissioners"/>
    <s v="LRL-1994-01330-A"/>
    <s v="2023-422-10-JWR-A"/>
    <m/>
    <s v="Clark"/>
    <n v="38.458959999999998"/>
    <n v="-85.843382000000005"/>
    <s v="Development"/>
    <m/>
    <s v="No"/>
    <m/>
    <n v="2400"/>
    <n v="11200"/>
    <n v="2400"/>
    <s v="L"/>
    <s v="J"/>
    <m/>
    <m/>
    <m/>
    <m/>
    <m/>
    <m/>
    <s v="Phase I of 2 purchase requirements"/>
  </r>
  <r>
    <d v="2023-08-21T00:00:00"/>
    <s v="August"/>
    <n v="2023"/>
    <x v="7"/>
    <n v="-5.7"/>
    <x v="0"/>
    <n v="456000"/>
    <n v="425"/>
    <x v="1"/>
    <s v="PFO"/>
    <n v="1.4259999999999999"/>
    <s v="Clark County Board of Commissioners"/>
    <s v="LRL-1994-01330-A"/>
    <s v="2023-422-10-JWR-A"/>
    <m/>
    <s v="Clark"/>
    <n v="38.458959999999998"/>
    <n v="-85.843382000000005"/>
    <s v="Development"/>
    <m/>
    <s v="No"/>
    <m/>
    <n v="68400"/>
    <n v="319200"/>
    <n v="68400"/>
    <s v="L"/>
    <s v="J"/>
    <m/>
    <m/>
    <m/>
    <m/>
    <m/>
    <m/>
    <s v="Phase I of 2 purchase requirements"/>
  </r>
  <r>
    <d v="2023-08-25T00:00:00"/>
    <s v="August"/>
    <n v="2023"/>
    <x v="3"/>
    <n v="-76"/>
    <x v="1"/>
    <n v="34200"/>
    <n v="424"/>
    <x v="1"/>
    <s v="Int"/>
    <n v="76"/>
    <s v="Allen County Highway Department"/>
    <s v="LRE-2022-00332-102"/>
    <s v="2021-963-2-WLR-X"/>
    <m/>
    <s v="Allen"/>
    <n v="41.200370999999997"/>
    <n v="-85.068593000000007"/>
    <s v="Transportation"/>
    <m/>
    <s v="No"/>
    <m/>
    <n v="5130"/>
    <n v="23940"/>
    <n v="5130"/>
    <s v="D"/>
    <s v="J"/>
    <m/>
    <m/>
    <m/>
    <m/>
    <m/>
    <m/>
    <m/>
  </r>
  <r>
    <d v="2023-08-25T00:00:00"/>
    <s v="August"/>
    <n v="2023"/>
    <x v="3"/>
    <n v="-0.28000000000000003"/>
    <x v="0"/>
    <n v="22400.000000000004"/>
    <n v="424"/>
    <x v="1"/>
    <s v="PEM"/>
    <n v="0.14000000000000001"/>
    <s v="Allen County Highway Department"/>
    <s v="LRE-2022-00332-102"/>
    <s v="2021-963-2-WLR-X"/>
    <m/>
    <s v="Allen"/>
    <n v="41.200370999999997"/>
    <n v="-85.068593000000007"/>
    <s v="Transportation"/>
    <m/>
    <s v="No"/>
    <m/>
    <n v="3360.0000000000005"/>
    <n v="15680.000000000002"/>
    <n v="3360.0000000000005"/>
    <s v="D"/>
    <s v="J"/>
    <m/>
    <m/>
    <m/>
    <m/>
    <m/>
    <m/>
    <m/>
  </r>
  <r>
    <d v="2023-08-25T00:00:00"/>
    <s v="August"/>
    <n v="2023"/>
    <x v="3"/>
    <n v="-0.32"/>
    <x v="0"/>
    <n v="25600"/>
    <n v="424"/>
    <x v="1"/>
    <s v="PFO"/>
    <n v="0.08"/>
    <s v="Allen County Highway Department"/>
    <s v="LRE-2022-00332-102"/>
    <s v="2021-963-2-WLR-X"/>
    <m/>
    <s v="Allen"/>
    <n v="41.200370999999997"/>
    <n v="-85.068593000000007"/>
    <s v="Transportation"/>
    <m/>
    <s v="No"/>
    <m/>
    <n v="3840"/>
    <n v="17920"/>
    <n v="3840"/>
    <s v="D"/>
    <s v="J"/>
    <m/>
    <m/>
    <m/>
    <m/>
    <m/>
    <m/>
    <m/>
  </r>
  <r>
    <d v="2023-08-28T00:00:00"/>
    <s v="August"/>
    <n v="2023"/>
    <x v="8"/>
    <n v="-88"/>
    <x v="1"/>
    <n v="35200"/>
    <n v="428"/>
    <x v="1"/>
    <s v="Per"/>
    <n v="88"/>
    <s v="INDOT"/>
    <s v="LRL-2023-303-djd"/>
    <s v="2023-327-90-MPY-A"/>
    <m/>
    <s v="Wells"/>
    <n v="40.654705999999997"/>
    <n v="-85.191113000000001"/>
    <s v="Transportation"/>
    <m/>
    <s v="No"/>
    <m/>
    <n v="5280"/>
    <n v="24640"/>
    <n v="5280"/>
    <s v="L"/>
    <s v="J"/>
    <m/>
    <m/>
    <m/>
    <m/>
    <m/>
    <m/>
    <m/>
  </r>
  <r>
    <d v="2023-09-06T00:00:00"/>
    <s v="September"/>
    <n v="2023"/>
    <x v="10"/>
    <n v="-1.48"/>
    <x v="0"/>
    <n v="118400"/>
    <n v="437"/>
    <x v="1"/>
    <s v="PEM"/>
    <n v="1.23"/>
    <s v="CGS Services, Incorporated"/>
    <s v="LRL-2022-1015-sam"/>
    <s v="2023-226-73-ERL-A"/>
    <m/>
    <s v="Shelby"/>
    <n v="39.681652999999997"/>
    <n v="-85.719256999999999"/>
    <s v="Development"/>
    <m/>
    <s v="No"/>
    <m/>
    <n v="17760"/>
    <n v="82880"/>
    <n v="17760"/>
    <s v="L"/>
    <s v="J"/>
    <m/>
    <m/>
    <m/>
    <m/>
    <m/>
    <m/>
    <m/>
  </r>
  <r>
    <d v="2023-10-24T00:00:00"/>
    <s v="October"/>
    <n v="2023"/>
    <x v="9"/>
    <n v="-522"/>
    <x v="1"/>
    <n v="234900"/>
    <n v="453"/>
    <x v="1"/>
    <s v="Int"/>
    <n v="870"/>
    <s v="Harris &amp; Ford LLC"/>
    <s v="LRL-2021-00027-sjk"/>
    <s v="2021-183-49-ALF-A"/>
    <m/>
    <s v="Marion"/>
    <n v="39.854599999999998"/>
    <n v="-86.001599999999996"/>
    <s v="Development"/>
    <m/>
    <s v="No"/>
    <m/>
    <n v="35235"/>
    <n v="164430"/>
    <n v="35235"/>
    <s v="L"/>
    <s v="J"/>
    <m/>
    <m/>
    <m/>
    <m/>
    <m/>
    <m/>
    <m/>
  </r>
  <r>
    <d v="2023-10-25T00:00:00"/>
    <s v="October"/>
    <n v="2023"/>
    <x v="6"/>
    <n v="-49.5"/>
    <x v="1"/>
    <n v="29700"/>
    <n v="429"/>
    <x v="1"/>
    <s v="Per"/>
    <n v="49.5"/>
    <s v="INDOT"/>
    <s v="LRE-2023-00201-176-N23"/>
    <s v="2023-559-76-JBT-A"/>
    <m/>
    <s v="Steuben"/>
    <n v="41.664169000000001"/>
    <n v="-85.030517000000003"/>
    <s v="Transportation"/>
    <m/>
    <s v="No"/>
    <m/>
    <n v="4455"/>
    <n v="20790"/>
    <n v="4455"/>
    <s v="D"/>
    <s v="J"/>
    <m/>
    <m/>
    <m/>
    <m/>
    <m/>
    <m/>
    <m/>
  </r>
  <r>
    <d v="2023-10-25T00:00:00"/>
    <s v="October"/>
    <n v="2023"/>
    <x v="6"/>
    <n v="-2.8000000000000001E-2"/>
    <x v="0"/>
    <n v="3360"/>
    <n v="429"/>
    <x v="1"/>
    <s v="PEM"/>
    <n v="1.4E-2"/>
    <s v="INDOT"/>
    <s v="LRE-2023-00201-176-N23"/>
    <s v="2023-559-76-JBT-A"/>
    <m/>
    <s v="Steuben"/>
    <n v="41.664169000000001"/>
    <n v="-85.030517000000003"/>
    <s v="Transportation"/>
    <m/>
    <s v="No"/>
    <m/>
    <n v="504"/>
    <n v="2352"/>
    <n v="504"/>
    <s v="D"/>
    <s v="J"/>
    <m/>
    <m/>
    <m/>
    <m/>
    <m/>
    <m/>
    <m/>
  </r>
  <r>
    <d v="2023-10-25T00:00:00"/>
    <s v="October"/>
    <n v="2023"/>
    <x v="10"/>
    <n v="-0.16400000000000001"/>
    <x v="0"/>
    <n v="13120"/>
    <n v="430"/>
    <x v="2"/>
    <s v="PEM"/>
    <n v="8.2000000000000003E-2"/>
    <s v="INDOT"/>
    <s v="N/A"/>
    <s v="IWIP 2023-380-41-JBT-A"/>
    <m/>
    <s v="Johnson"/>
    <n v="39.463856"/>
    <n v="-86.053636999999995"/>
    <s v="Transportation"/>
    <m/>
    <s v="No"/>
    <m/>
    <n v="1968"/>
    <n v="9184"/>
    <n v="1968"/>
    <s v="L"/>
    <s v="SI"/>
    <s v="2 NF"/>
    <m/>
    <m/>
    <m/>
    <m/>
    <m/>
    <s v="INDOT DES No. 1800082"/>
  </r>
  <r>
    <d v="2023-11-01T00:00:00"/>
    <s v="November"/>
    <n v="2023"/>
    <x v="0"/>
    <n v="-1.22"/>
    <x v="0"/>
    <n v="115900"/>
    <n v="374"/>
    <x v="1"/>
    <s v="PFO"/>
    <n v="0.45"/>
    <s v="Viking Built Homes, LLC"/>
    <s v="LRC-2017-00132"/>
    <s v="2021-622-64-MTM-A"/>
    <m/>
    <s v="Porter"/>
    <n v="41.605400000000003"/>
    <n v="-87.028000000000006"/>
    <s v="Development"/>
    <m/>
    <s v="No"/>
    <m/>
    <n v="17385"/>
    <n v="81130"/>
    <n v="17385"/>
    <s v="C"/>
    <s v="J"/>
    <m/>
    <m/>
    <m/>
    <m/>
    <m/>
    <m/>
    <m/>
  </r>
  <r>
    <d v="2023-11-01T00:00:00"/>
    <s v="November"/>
    <n v="2023"/>
    <x v="3"/>
    <n v="-52"/>
    <x v="1"/>
    <n v="23400"/>
    <n v="433"/>
    <x v="1"/>
    <s v="Int"/>
    <n v="52"/>
    <s v="INDOT"/>
    <s v="LRE-2023-00289-157-N23"/>
    <s v="2023-563-57-JWR-X"/>
    <m/>
    <s v="Noble"/>
    <n v="41.366273999999997"/>
    <n v="-85.221453999999994"/>
    <s v="Transportation"/>
    <m/>
    <s v="No"/>
    <m/>
    <n v="3510"/>
    <n v="16379.999999999998"/>
    <n v="3510"/>
    <s v="D"/>
    <s v="J"/>
    <m/>
    <m/>
    <m/>
    <m/>
    <m/>
    <m/>
    <s v="INDOT DES 2002226"/>
  </r>
  <r>
    <d v="2023-11-01T00:00:00"/>
    <s v="November"/>
    <n v="2023"/>
    <x v="5"/>
    <n v="-0.38"/>
    <x v="0"/>
    <n v="30400"/>
    <n v="371"/>
    <x v="1"/>
    <s v="PEM"/>
    <n v="0.38"/>
    <s v="INDOT"/>
    <s v="LRL-2008-00889-goc"/>
    <s v="2008-404-87-JWR-A "/>
    <m/>
    <s v="Warrick"/>
    <n v="38.194000000000003"/>
    <n v="-87.295000000000002"/>
    <s v="Transportation"/>
    <m/>
    <s v="No"/>
    <m/>
    <n v="4560"/>
    <n v="21280"/>
    <n v="4560"/>
    <s v="L"/>
    <s v="J"/>
    <m/>
    <m/>
    <m/>
    <m/>
    <m/>
    <m/>
    <m/>
  </r>
  <r>
    <d v="2023-11-01T00:00:00"/>
    <s v="November"/>
    <n v="2023"/>
    <x v="8"/>
    <n v="-67"/>
    <x v="1"/>
    <n v="26800"/>
    <n v="432"/>
    <x v="1"/>
    <s v="Int"/>
    <n v="371"/>
    <s v="INDOT"/>
    <s v="LRL-2023-115-dds"/>
    <s v="2023-315-52-JBT-A"/>
    <m/>
    <s v="Miami"/>
    <n v="40.804890999999998"/>
    <n v="-86.023870000000002"/>
    <s v="Transportation"/>
    <m/>
    <s v="No"/>
    <m/>
    <n v="4020"/>
    <n v="18760"/>
    <n v="4020"/>
    <s v="L"/>
    <s v="J"/>
    <m/>
    <m/>
    <m/>
    <m/>
    <m/>
    <m/>
    <s v="INDOT DES 1900079"/>
  </r>
  <r>
    <d v="2023-11-01T00:00:00"/>
    <s v="November"/>
    <n v="2023"/>
    <x v="8"/>
    <n v="-0.1"/>
    <x v="0"/>
    <n v="8000"/>
    <n v="432"/>
    <x v="1"/>
    <s v="PFO"/>
    <n v="2.5000000000000001E-2"/>
    <s v="INDOT"/>
    <s v="LRL-2023-115-dds"/>
    <s v="2023-315-52-JBT-A"/>
    <m/>
    <s v="Miami"/>
    <n v="40.804890999999998"/>
    <n v="-86.023870000000002"/>
    <s v="Transportation"/>
    <m/>
    <s v="No"/>
    <m/>
    <n v="1200"/>
    <n v="5600"/>
    <n v="1200"/>
    <s v="L"/>
    <s v="J"/>
    <m/>
    <m/>
    <m/>
    <m/>
    <m/>
    <m/>
    <s v="INDOT DES 1900079"/>
  </r>
  <r>
    <d v="2023-11-07T00:00:00"/>
    <s v="November"/>
    <n v="2023"/>
    <x v="9"/>
    <n v="-0.13500000000000001"/>
    <x v="0"/>
    <n v="10800"/>
    <n v="427"/>
    <x v="2"/>
    <s v="PFO"/>
    <n v="5.3999999999999999E-2"/>
    <s v="Secure Holdings, LLC"/>
    <s v="N/A"/>
    <s v="IWIP 2023-551-29-WLR-A"/>
    <m/>
    <s v="Hamilton"/>
    <n v="40.04"/>
    <n v="-86.07"/>
    <s v="Development"/>
    <m/>
    <s v="No"/>
    <m/>
    <n v="1620"/>
    <n v="7559.9999999999991"/>
    <n v="1620"/>
    <s v="L"/>
    <s v="SI"/>
    <s v="3 FO"/>
    <m/>
    <m/>
    <m/>
    <m/>
    <m/>
    <m/>
  </r>
  <r>
    <d v="2023-11-07T00:00:00"/>
    <s v="November"/>
    <n v="2023"/>
    <x v="9"/>
    <n v="-0.45600000000000002"/>
    <x v="0"/>
    <n v="36000"/>
    <n v="434"/>
    <x v="2"/>
    <s v="PFO"/>
    <n v="0.18"/>
    <s v="Pulte Homes of Indiana"/>
    <s v="N/A"/>
    <s v="IWIP 2023-576-32-MPY-A"/>
    <m/>
    <s v="Hendricks"/>
    <n v="39.87256"/>
    <n v="-86.383250000000004"/>
    <s v="Development"/>
    <m/>
    <s v="No"/>
    <m/>
    <n v="5400"/>
    <n v="25200"/>
    <n v="5400"/>
    <s v="L"/>
    <s v="SI"/>
    <s v="3 FO"/>
    <m/>
    <m/>
    <m/>
    <m/>
    <m/>
    <m/>
  </r>
  <r>
    <d v="2023-11-08T00:00:00"/>
    <s v="November"/>
    <n v="2023"/>
    <x v="0"/>
    <n v="-0.39800000000000002"/>
    <x v="0"/>
    <n v="37810"/>
    <n v="382"/>
    <x v="1"/>
    <s v="PEM"/>
    <n v="0.33200000000000002"/>
    <s v="City of Hobart - US 30"/>
    <s v="LRC-2021-1116"/>
    <s v="2021-529-45-MTM-A"/>
    <m/>
    <s v="Lake"/>
    <n v="41.470463000000002"/>
    <n v="-87.297078999999997"/>
    <s v="Transportation"/>
    <m/>
    <s v="No"/>
    <m/>
    <n v="5671.5"/>
    <n v="26467"/>
    <n v="5671.5"/>
    <s v="C"/>
    <s v="J"/>
    <m/>
    <m/>
    <m/>
    <m/>
    <m/>
    <m/>
    <m/>
  </r>
  <r>
    <d v="2023-11-08T00:00:00"/>
    <s v="November"/>
    <n v="2023"/>
    <x v="2"/>
    <n v="-2E-3"/>
    <x v="0"/>
    <n v="160"/>
    <n v="444"/>
    <x v="1"/>
    <s v="PEM"/>
    <n v="2E-3"/>
    <s v="Monroe County Highway Department"/>
    <s v="LRL-2022-139-sjk"/>
    <s v="2022-131-53-TMS-X"/>
    <m/>
    <s v="Monroe"/>
    <n v="39.122239999999998"/>
    <n v="-86.544452000000007"/>
    <s v="Transportation"/>
    <m/>
    <s v="No"/>
    <m/>
    <n v="24"/>
    <n v="112"/>
    <n v="24"/>
    <s v="L"/>
    <s v="J"/>
    <m/>
    <m/>
    <m/>
    <m/>
    <m/>
    <m/>
    <m/>
  </r>
  <r>
    <d v="2023-11-08T00:00:00"/>
    <s v="November"/>
    <n v="2023"/>
    <x v="2"/>
    <n v="-6.3E-2"/>
    <x v="0"/>
    <n v="5040"/>
    <n v="444"/>
    <x v="1"/>
    <s v="PSS"/>
    <n v="0.02"/>
    <s v="Monroe County Highway Department"/>
    <s v="LRL-2022-139-sjk"/>
    <s v="2022-131-53-TMS-X"/>
    <m/>
    <s v="Monroe"/>
    <n v="39.122239999999998"/>
    <n v="-86.544452000000007"/>
    <s v="Transportation"/>
    <m/>
    <s v="No"/>
    <m/>
    <n v="756"/>
    <n v="3528"/>
    <n v="756"/>
    <s v="L"/>
    <s v="J"/>
    <m/>
    <m/>
    <m/>
    <m/>
    <m/>
    <m/>
    <m/>
  </r>
  <r>
    <d v="2023-11-08T00:00:00"/>
    <s v="November"/>
    <n v="2023"/>
    <x v="3"/>
    <n v="-108"/>
    <x v="1"/>
    <n v="48600"/>
    <n v="439"/>
    <x v="1"/>
    <s v="Per"/>
    <n v="379"/>
    <s v="INDOT"/>
    <s v="LRE-2023-00345-157-N23"/>
    <s v="2023-681-57-JWR-X"/>
    <m/>
    <s v="Noble"/>
    <n v="41.372635000000002"/>
    <n v="-85.221468000000002"/>
    <s v="Transportation"/>
    <m/>
    <s v="No"/>
    <m/>
    <n v="7290"/>
    <n v="34020"/>
    <n v="7290"/>
    <s v="D"/>
    <s v="J"/>
    <m/>
    <m/>
    <m/>
    <m/>
    <m/>
    <m/>
    <s v="INDOT DES 2002217"/>
  </r>
  <r>
    <d v="2023-11-08T00:00:00"/>
    <s v="November"/>
    <n v="2023"/>
    <x v="4"/>
    <n v="-222"/>
    <x v="1"/>
    <n v="88800"/>
    <n v="411"/>
    <x v="1"/>
    <s v="Eph"/>
    <n v="222"/>
    <s v="INDOT"/>
    <s v="LRL-2023-66-djd"/>
    <s v="2023-107-79-WLR-A"/>
    <m/>
    <s v="Tippecanoe"/>
    <n v="40.445473999999997"/>
    <n v="-87.024084999999999"/>
    <s v="Transportation"/>
    <m/>
    <s v="No"/>
    <m/>
    <n v="13320"/>
    <n v="62159.999999999993"/>
    <n v="13320"/>
    <s v="L"/>
    <s v="J"/>
    <m/>
    <m/>
    <m/>
    <m/>
    <m/>
    <m/>
    <m/>
  </r>
  <r>
    <d v="2023-11-08T00:00:00"/>
    <s v="November"/>
    <n v="2023"/>
    <x v="4"/>
    <n v="-270"/>
    <x v="1"/>
    <n v="108000"/>
    <n v="411"/>
    <x v="1"/>
    <s v="Int"/>
    <n v="270"/>
    <s v="INDOT"/>
    <s v="LRL-2023-66-djd"/>
    <s v="2023-107-79-WLR-A"/>
    <m/>
    <s v="Tippecanoe"/>
    <n v="40.445473999999997"/>
    <n v="-87.024084999999999"/>
    <s v="Transportation"/>
    <m/>
    <s v="No"/>
    <m/>
    <n v="16200"/>
    <n v="75600"/>
    <n v="16200"/>
    <s v="L"/>
    <s v="J"/>
    <m/>
    <m/>
    <m/>
    <m/>
    <m/>
    <m/>
    <m/>
  </r>
  <r>
    <d v="2023-11-08T00:00:00"/>
    <s v="November"/>
    <n v="2023"/>
    <x v="4"/>
    <n v="-120"/>
    <x v="1"/>
    <n v="48000"/>
    <n v="411"/>
    <x v="1"/>
    <s v="Per"/>
    <n v="120"/>
    <s v="INDOT"/>
    <s v="LRL-2023-66-djd"/>
    <s v="2023-107-79-WLR-A"/>
    <m/>
    <s v="Tippecanoe"/>
    <n v="40.445473999999997"/>
    <n v="-87.024084999999999"/>
    <s v="Transportation"/>
    <m/>
    <s v="No"/>
    <m/>
    <n v="7200"/>
    <n v="33600"/>
    <n v="7200"/>
    <s v="L"/>
    <s v="J"/>
    <m/>
    <m/>
    <m/>
    <m/>
    <m/>
    <m/>
    <m/>
  </r>
  <r>
    <d v="2023-11-08T00:00:00"/>
    <s v="November"/>
    <n v="2023"/>
    <x v="5"/>
    <n v="-0.95"/>
    <x v="0"/>
    <n v="76000"/>
    <n v="443"/>
    <x v="1"/>
    <s v="PEM"/>
    <n v="0.39"/>
    <s v="Duke Energy"/>
    <s v="LRL-2022-00905"/>
    <s v="2023-444-26-WLR-A"/>
    <m/>
    <s v="Gibson"/>
    <n v="38.334499999999998"/>
    <n v="-87.787700000000001"/>
    <s v="Energy Production"/>
    <m/>
    <s v="No"/>
    <m/>
    <n v="11400"/>
    <n v="53200"/>
    <n v="11400"/>
    <s v="L"/>
    <s v="J"/>
    <m/>
    <m/>
    <m/>
    <m/>
    <m/>
    <m/>
    <m/>
  </r>
  <r>
    <d v="2023-11-08T00:00:00"/>
    <s v="November"/>
    <n v="2023"/>
    <x v="8"/>
    <n v="-83"/>
    <x v="1"/>
    <n v="33200"/>
    <n v="438"/>
    <x v="1"/>
    <s v="Per"/>
    <n v="348"/>
    <s v="INDOT"/>
    <s v="LRE-2023-00342-102-N23"/>
    <s v="2023-663-2-JWR-X"/>
    <m/>
    <s v="Allen"/>
    <n v="41.013164000000003"/>
    <n v="-85.255988000000002"/>
    <s v="Transportation"/>
    <m/>
    <s v="No"/>
    <m/>
    <n v="4980"/>
    <n v="23240"/>
    <n v="4980"/>
    <s v="D"/>
    <s v="J"/>
    <m/>
    <m/>
    <m/>
    <m/>
    <m/>
    <m/>
    <s v="INDOT DES 2002214"/>
  </r>
  <r>
    <d v="2023-11-08T00:00:00"/>
    <s v="November"/>
    <n v="2023"/>
    <x v="9"/>
    <n v="-0.14000000000000001"/>
    <x v="0"/>
    <n v="11200"/>
    <n v="410"/>
    <x v="1"/>
    <s v="PEM"/>
    <n v="7.0000000000000007E-2"/>
    <s v="Indianapolis Department of Public Works"/>
    <s v="N/A"/>
    <s v="2023-170-49-GCW-X"/>
    <m/>
    <s v="Marion"/>
    <n v="39.759799999999998"/>
    <n v="-86.173699999999997"/>
    <s v="Transportation"/>
    <m/>
    <s v="No"/>
    <m/>
    <n v="1680"/>
    <n v="7839.9999999999991"/>
    <n v="1680"/>
    <s v="L"/>
    <s v="J"/>
    <m/>
    <m/>
    <m/>
    <m/>
    <m/>
    <m/>
    <m/>
  </r>
  <r>
    <d v="2023-11-08T00:00:00"/>
    <s v="November"/>
    <n v="2023"/>
    <x v="9"/>
    <n v="-0.96"/>
    <x v="0"/>
    <n v="76800"/>
    <n v="436"/>
    <x v="2"/>
    <s v="PFO"/>
    <n v="0.64"/>
    <s v="Citimark Realty Partners, LLC"/>
    <s v="N/A"/>
    <s v="IWIP 2023-554-06-ERL-A"/>
    <m/>
    <s v="Boone"/>
    <n v="39.991"/>
    <n v="-86.388000000000005"/>
    <s v="Development"/>
    <m/>
    <s v="No"/>
    <m/>
    <n v="11520"/>
    <n v="53760"/>
    <n v="11520"/>
    <s v="L"/>
    <s v="SI"/>
    <s v="3 FO"/>
    <m/>
    <m/>
    <m/>
    <m/>
    <m/>
    <m/>
  </r>
  <r>
    <d v="2023-11-08T00:00:00"/>
    <s v="November"/>
    <n v="2023"/>
    <x v="9"/>
    <n v="-257"/>
    <x v="1"/>
    <n v="115650"/>
    <n v="446"/>
    <x v="1"/>
    <s v="Int"/>
    <n v="413"/>
    <s v="INDOT"/>
    <s v="LRL-2022-953-sam"/>
    <s v="2022-1064-32-ERL-A"/>
    <m/>
    <s v="Hendricks"/>
    <n v="39.741576000000002"/>
    <n v="-86.380613999999994"/>
    <s v="Transportation"/>
    <m/>
    <s v="No"/>
    <m/>
    <n v="17347.5"/>
    <n v="80955"/>
    <n v="17347.5"/>
    <s v="L"/>
    <s v="J"/>
    <m/>
    <m/>
    <m/>
    <m/>
    <m/>
    <m/>
    <m/>
  </r>
  <r>
    <d v="2023-11-08T00:00:00"/>
    <s v="November"/>
    <n v="2023"/>
    <x v="9"/>
    <n v="-6.5000000000000002E-2"/>
    <x v="0"/>
    <n v="5200"/>
    <n v="446"/>
    <x v="1"/>
    <s v="PSS"/>
    <n v="1.7999999999999999E-2"/>
    <s v="INDOT"/>
    <s v="LRL-2022-953-sam"/>
    <s v="2022-1064-32-ERL-A"/>
    <m/>
    <s v="Hendricks"/>
    <n v="39.741576000000002"/>
    <n v="-86.380613999999994"/>
    <s v="Transportation"/>
    <m/>
    <s v="No"/>
    <m/>
    <n v="780"/>
    <n v="3639.9999999999995"/>
    <n v="780"/>
    <s v="L"/>
    <s v="J"/>
    <m/>
    <m/>
    <m/>
    <m/>
    <m/>
    <m/>
    <m/>
  </r>
  <r>
    <d v="2023-11-08T00:00:00"/>
    <s v="November"/>
    <n v="2023"/>
    <x v="9"/>
    <n v="-5.7999999999999996E-3"/>
    <x v="0"/>
    <n v="464"/>
    <n v="446"/>
    <x v="1"/>
    <s v="PFO"/>
    <n v="1.1999999999999999E-3"/>
    <s v="INDOT"/>
    <s v="LRL-2022-953-sam"/>
    <s v="2022-1064-32-ERL-A"/>
    <m/>
    <s v="Hendricks"/>
    <n v="39.741576000000002"/>
    <n v="-86.380613999999994"/>
    <s v="Transportation"/>
    <m/>
    <s v="No"/>
    <m/>
    <n v="69.599999999999994"/>
    <n v="324.79999999999995"/>
    <n v="69.599999999999994"/>
    <s v="L"/>
    <s v="J"/>
    <m/>
    <m/>
    <m/>
    <m/>
    <m/>
    <m/>
    <m/>
  </r>
  <r>
    <d v="2023-11-08T00:00:00"/>
    <s v="November"/>
    <n v="2023"/>
    <x v="10"/>
    <n v="-0.14699999999999999"/>
    <x v="0"/>
    <n v="11760"/>
    <n v="435"/>
    <x v="1"/>
    <s v="PEM"/>
    <n v="0.14699999999999999"/>
    <s v="INDOT"/>
    <s v="LRL-2015-76-sam"/>
    <s v="2015-032-15-JWR-A"/>
    <m/>
    <s v="Dearborn"/>
    <n v="39.293591999999997"/>
    <n v="-84.878966000000005"/>
    <s v="Transportation"/>
    <m/>
    <s v="No"/>
    <m/>
    <n v="1764"/>
    <n v="8232"/>
    <n v="1764"/>
    <s v="L"/>
    <s v="J"/>
    <m/>
    <m/>
    <m/>
    <m/>
    <m/>
    <m/>
    <s v="For failed mitigation"/>
  </r>
  <r>
    <d v="2023-11-09T00:00:00"/>
    <s v="November"/>
    <n v="2023"/>
    <x v="0"/>
    <n v="-46.8"/>
    <x v="1"/>
    <n v="28080"/>
    <n v="445"/>
    <x v="1"/>
    <s v="Int"/>
    <n v="39"/>
    <s v="Town of Chesterton"/>
    <s v="LRC-2021-107"/>
    <s v="2023-69-64-MTM-X"/>
    <m/>
    <s v="Porter"/>
    <n v="41.593614000000002"/>
    <n v="-87.053072999999998"/>
    <s v="Transportation"/>
    <m/>
    <s v="No"/>
    <m/>
    <n v="4212"/>
    <n v="19656"/>
    <n v="4212"/>
    <s v="C"/>
    <s v="J"/>
    <m/>
    <m/>
    <m/>
    <m/>
    <m/>
    <m/>
    <m/>
  </r>
  <r>
    <d v="2023-11-09T00:00:00"/>
    <s v="November"/>
    <n v="2023"/>
    <x v="0"/>
    <n v="-6"/>
    <x v="1"/>
    <n v="3600"/>
    <n v="445"/>
    <x v="1"/>
    <s v="Per"/>
    <n v="5"/>
    <s v="Town of Chesterton"/>
    <s v="LRC-2021-107"/>
    <s v="2023-69-64-MTM-X"/>
    <m/>
    <s v="Porter"/>
    <n v="41.593614000000002"/>
    <n v="-87.053072999999998"/>
    <s v="Transportation"/>
    <m/>
    <s v="No"/>
    <m/>
    <n v="540"/>
    <n v="2520"/>
    <n v="540"/>
    <s v="C"/>
    <s v="J"/>
    <m/>
    <m/>
    <m/>
    <m/>
    <m/>
    <m/>
    <m/>
  </r>
  <r>
    <d v="2023-11-09T00:00:00"/>
    <s v="November"/>
    <n v="2023"/>
    <x v="0"/>
    <n v="-6.5280000000000005E-2"/>
    <x v="0"/>
    <n v="6202"/>
    <n v="445"/>
    <x v="1"/>
    <s v="PEM"/>
    <n v="2.7199999999999998E-2"/>
    <s v="Town of Chesterton"/>
    <s v="LRC-2021-107"/>
    <s v="2023-69-64-MTM-X"/>
    <m/>
    <s v="Porter"/>
    <n v="41.593614000000002"/>
    <n v="-87.053072999999998"/>
    <s v="Transportation"/>
    <m/>
    <s v="No"/>
    <m/>
    <n v="930.3"/>
    <n v="4341.3999999999996"/>
    <n v="930.3"/>
    <s v="C"/>
    <s v="J"/>
    <m/>
    <m/>
    <m/>
    <m/>
    <m/>
    <m/>
    <m/>
  </r>
  <r>
    <d v="2023-11-09T00:00:00"/>
    <s v="November"/>
    <n v="2023"/>
    <x v="0"/>
    <n v="-0.39410000000000001"/>
    <x v="0"/>
    <n v="37440"/>
    <n v="445"/>
    <x v="1"/>
    <s v="PFO"/>
    <n v="0.39410000000000001"/>
    <s v="Town of Chesterton"/>
    <s v="LRC-2021-107"/>
    <s v="2023-69-64-MTM-X"/>
    <m/>
    <s v="Porter"/>
    <n v="41.593614000000002"/>
    <n v="-87.053072999999998"/>
    <s v="Transportation"/>
    <m/>
    <s v="No"/>
    <m/>
    <n v="5616"/>
    <n v="26208"/>
    <n v="5616"/>
    <s v="C"/>
    <s v="J"/>
    <m/>
    <m/>
    <m/>
    <m/>
    <m/>
    <m/>
    <m/>
  </r>
  <r>
    <d v="2023-11-13T00:00:00"/>
    <s v="November"/>
    <n v="2023"/>
    <x v="0"/>
    <n v="-0.77"/>
    <x v="0"/>
    <n v="73150"/>
    <n v="366"/>
    <x v="2"/>
    <s v="PFO"/>
    <n v="0.38500000000000001"/>
    <s v="SPIN Munster"/>
    <s v="N/A"/>
    <s v="IWIP-2022-725-45-MTM-A"/>
    <m/>
    <s v="Lake"/>
    <n v="41.549857000000003"/>
    <n v="-87.520040100000003"/>
    <s v="Development"/>
    <m/>
    <s v="No"/>
    <m/>
    <n v="10972.5"/>
    <n v="51205"/>
    <n v="10972.5"/>
    <s v="C"/>
    <s v="SI"/>
    <s v="2 F"/>
    <m/>
    <m/>
    <m/>
    <m/>
    <m/>
    <m/>
  </r>
  <r>
    <d v="2023-11-13T00:00:00"/>
    <s v="November"/>
    <n v="2023"/>
    <x v="0"/>
    <n v="-2.0710000000000002"/>
    <x v="0"/>
    <n v="196745"/>
    <n v="366"/>
    <x v="2"/>
    <s v="PEM"/>
    <n v="1.381"/>
    <s v="SPIN Munster"/>
    <s v="N/A"/>
    <s v="IWIP-2022-725-45-MTM-A"/>
    <m/>
    <s v="Lake"/>
    <n v="41.549857000000003"/>
    <n v="-87.520040100000003"/>
    <s v="Development"/>
    <m/>
    <s v="No"/>
    <m/>
    <n v="29511.75"/>
    <n v="137721.5"/>
    <n v="29511.75"/>
    <s v="C"/>
    <s v="SI"/>
    <s v="2 NF"/>
    <m/>
    <m/>
    <m/>
    <m/>
    <m/>
    <m/>
  </r>
  <r>
    <d v="2023-11-30T00:00:00"/>
    <s v="November"/>
    <n v="2023"/>
    <x v="3"/>
    <n v="-1.4339999999999999"/>
    <x v="0"/>
    <n v="114720"/>
    <n v="440"/>
    <x v="1"/>
    <s v="PFO"/>
    <n v="0.47799999999999998"/>
    <s v="M.A. Mortenson Company"/>
    <s v="LRE-2023-00194-102-N23"/>
    <s v="2023-350-2-EJW-A"/>
    <m/>
    <s v="Allen"/>
    <n v="41.168756999999999"/>
    <n v="-85.095179999999999"/>
    <s v="Transportation"/>
    <m/>
    <s v="No"/>
    <m/>
    <n v="17208"/>
    <n v="80304"/>
    <n v="17208"/>
    <s v="D"/>
    <s v="J"/>
    <m/>
    <m/>
    <m/>
    <m/>
    <m/>
    <m/>
    <s v="Service Corridor"/>
  </r>
  <r>
    <d v="2023-11-30T00:00:00"/>
    <s v="November"/>
    <n v="2023"/>
    <x v="3"/>
    <n v="-6.0000000000000001E-3"/>
    <x v="0"/>
    <n v="480"/>
    <n v="440"/>
    <x v="1"/>
    <s v="PEM"/>
    <n v="3.0000000000000001E-3"/>
    <s v="M.A. Mortenson Company"/>
    <s v="LRE-2023-00194-102-N23"/>
    <s v="2023-350-2-EJW-A"/>
    <m/>
    <s v="Allen"/>
    <n v="41.168756999999999"/>
    <n v="-85.095179999999999"/>
    <s v="Transportation"/>
    <m/>
    <s v="No"/>
    <m/>
    <n v="72"/>
    <n v="336"/>
    <n v="72"/>
    <s v="D"/>
    <s v="J"/>
    <m/>
    <m/>
    <m/>
    <m/>
    <m/>
    <m/>
    <s v="Service Corridor"/>
  </r>
  <r>
    <d v="2023-11-30T00:00:00"/>
    <s v="November"/>
    <n v="2023"/>
    <x v="7"/>
    <n v="-76"/>
    <x v="1"/>
    <n v="30400"/>
    <n v="454"/>
    <x v="1"/>
    <s v="Eph"/>
    <n v="127"/>
    <s v="Clark County Board of Commissioners"/>
    <s v="LRL-1994-1330-gjd"/>
    <s v="2023-422-10-JWR-A"/>
    <m/>
    <s v="Clark"/>
    <n v="38.46"/>
    <n v="-85.831199999999995"/>
    <s v="Development"/>
    <m/>
    <s v="No"/>
    <m/>
    <n v="4560"/>
    <n v="21280"/>
    <n v="4560"/>
    <s v="L"/>
    <s v="J"/>
    <m/>
    <m/>
    <m/>
    <m/>
    <m/>
    <m/>
    <m/>
  </r>
  <r>
    <d v="2023-11-30T00:00:00"/>
    <s v="November"/>
    <n v="2023"/>
    <x v="7"/>
    <n v="-1.67"/>
    <x v="0"/>
    <n v="133600"/>
    <n v="454"/>
    <x v="1"/>
    <s v="PSS"/>
    <n v="0.623"/>
    <s v="Clark County Board of Commissioners"/>
    <s v="LRL-1994-1330-gjd"/>
    <s v="2023-422-10-JWR-A"/>
    <m/>
    <s v="Clark"/>
    <n v="38.46"/>
    <n v="-85.831199999999995"/>
    <s v="Development"/>
    <m/>
    <s v="No"/>
    <m/>
    <n v="20040"/>
    <n v="93520"/>
    <n v="20040"/>
    <s v="L"/>
    <s v="J"/>
    <m/>
    <m/>
    <m/>
    <m/>
    <m/>
    <m/>
    <m/>
  </r>
  <r>
    <d v="2023-11-30T00:00:00"/>
    <s v="November"/>
    <n v="2023"/>
    <x v="7"/>
    <n v="-1.63"/>
    <x v="0"/>
    <n v="130400"/>
    <n v="454"/>
    <x v="1"/>
    <s v="PEM"/>
    <n v="0.77300000000000002"/>
    <s v="Clark County Board of Commissioners"/>
    <s v="LRL-1994-1330-gjd"/>
    <s v="2023-422-10-JWR-A"/>
    <m/>
    <s v="Clark"/>
    <n v="38.46"/>
    <n v="-85.831199999999995"/>
    <s v="Development"/>
    <m/>
    <s v="No"/>
    <m/>
    <n v="19560"/>
    <n v="91280"/>
    <n v="19560"/>
    <s v="L"/>
    <s v="J"/>
    <m/>
    <m/>
    <m/>
    <m/>
    <m/>
    <m/>
    <m/>
  </r>
  <r>
    <d v="2023-11-30T00:00:00"/>
    <s v="November"/>
    <n v="2023"/>
    <x v="10"/>
    <n v="-0.248"/>
    <x v="0"/>
    <n v="19840"/>
    <n v="456"/>
    <x v="2"/>
    <s v="PFO"/>
    <n v="0.124"/>
    <s v="Shelby County Higthway Department"/>
    <s v="N/A"/>
    <s v="IWIP 2023-303-73-WLR-A"/>
    <m/>
    <s v="Shelby"/>
    <n v="39.652476"/>
    <n v="-85.942843999999994"/>
    <s v="Transportation"/>
    <m/>
    <s v="No"/>
    <m/>
    <n v="2976"/>
    <n v="13888"/>
    <n v="2976"/>
    <s v="L"/>
    <s v="SI"/>
    <s v="2 FO"/>
    <m/>
    <m/>
    <m/>
    <m/>
    <m/>
    <m/>
  </r>
  <r>
    <d v="2023-12-04T00:00:00"/>
    <s v="December"/>
    <n v="2023"/>
    <x v="1"/>
    <n v="-456.6"/>
    <x v="1"/>
    <n v="273960"/>
    <n v="449"/>
    <x v="1"/>
    <s v="Per"/>
    <n v="456.6"/>
    <s v="INDOT"/>
    <s v="LRC-2022-818"/>
    <s v="2022-1359-64-JBT-X"/>
    <m/>
    <s v="Porter"/>
    <n v="41.439463000000003"/>
    <n v="-86.962601000000006"/>
    <s v="Transportation"/>
    <m/>
    <s v="No"/>
    <m/>
    <n v="41094"/>
    <n v="191772"/>
    <n v="41094"/>
    <s v="C"/>
    <s v="J"/>
    <m/>
    <m/>
    <m/>
    <m/>
    <m/>
    <m/>
    <s v="1703005 Was sold as Calumet-Dunes - needs to be corrected in INRF and determine either refund or credit with INDOT"/>
  </r>
  <r>
    <d v="2023-12-04T00:00:00"/>
    <s v="December"/>
    <n v="2023"/>
    <x v="1"/>
    <n v="-0.312"/>
    <x v="0"/>
    <n v="29640"/>
    <n v="449"/>
    <x v="1"/>
    <s v="PEM"/>
    <n v="0.13"/>
    <s v="INDOT"/>
    <s v="LRC-2022-818"/>
    <s v="2022-1359-64-JBT-X"/>
    <m/>
    <s v="Porter"/>
    <n v="41.439463000000003"/>
    <n v="-86.962601000000006"/>
    <s v="Transportation"/>
    <m/>
    <s v="No"/>
    <m/>
    <n v="4446"/>
    <n v="20748"/>
    <n v="4446"/>
    <s v="C"/>
    <s v="J"/>
    <m/>
    <m/>
    <m/>
    <m/>
    <m/>
    <m/>
    <s v="1703005 Same credit price as Calumet-Dunes, so just need to fix in INRF record as with above"/>
  </r>
  <r>
    <d v="2023-12-04T00:00:00"/>
    <s v="December"/>
    <n v="2023"/>
    <x v="8"/>
    <n v="-129"/>
    <x v="1"/>
    <n v="51600"/>
    <n v="448"/>
    <x v="1"/>
    <s v="Int"/>
    <n v="129"/>
    <s v="INDOT"/>
    <s v="LRL-2022-936"/>
    <s v="2022-1007-35-JBT-X"/>
    <m/>
    <s v="Huntington"/>
    <n v="40.741500000000002"/>
    <n v="-85.565899999999999"/>
    <s v="Transportation"/>
    <m/>
    <s v="No"/>
    <m/>
    <n v="7740"/>
    <n v="36120"/>
    <n v="7740"/>
    <s v="L"/>
    <s v="J"/>
    <m/>
    <m/>
    <m/>
    <m/>
    <m/>
    <m/>
    <s v="1900242 and 1900241"/>
  </r>
  <r>
    <d v="2023-12-04T00:00:00"/>
    <s v="December"/>
    <n v="2023"/>
    <x v="9"/>
    <n v="-0.74"/>
    <x v="0"/>
    <n v="59200"/>
    <n v="459"/>
    <x v="2"/>
    <s v="PEM"/>
    <n v="0.49"/>
    <s v="Bastian Solutions LLC"/>
    <s v="N/A"/>
    <s v="IWIP 2023-781-29-GCW-A"/>
    <m/>
    <s v="Hamilton"/>
    <n v="39.997776999999999"/>
    <n v="-85.956790999999996"/>
    <s v="Development"/>
    <m/>
    <s v="No"/>
    <m/>
    <n v="8880"/>
    <n v="41440"/>
    <n v="8880"/>
    <s v="L"/>
    <s v="I"/>
    <s v="2 NF"/>
    <m/>
    <m/>
    <m/>
    <m/>
    <m/>
    <m/>
  </r>
  <r>
    <d v="2023-12-15T00:00:00"/>
    <s v="December"/>
    <n v="2023"/>
    <x v="0"/>
    <n v="-88"/>
    <x v="1"/>
    <n v="52800"/>
    <n v="450"/>
    <x v="1"/>
    <s v="Per"/>
    <n v="88"/>
    <s v="INDOT"/>
    <s v="LRC-2023-0054"/>
    <s v="2023-111-45-GCW-X"/>
    <m/>
    <s v="Lake"/>
    <n v="41.499713"/>
    <n v="-87.258708999999996"/>
    <s v="Transportation"/>
    <m/>
    <s v="No"/>
    <m/>
    <n v="7920"/>
    <n v="36960"/>
    <n v="7920"/>
    <s v="C"/>
    <s v="J"/>
    <m/>
    <m/>
    <m/>
    <m/>
    <m/>
    <m/>
    <n v="1703043"/>
  </r>
  <r>
    <d v="2023-12-15T00:00:00"/>
    <s v="December"/>
    <n v="2023"/>
    <x v="0"/>
    <n v="-0.16600000000000001"/>
    <x v="0"/>
    <n v="15770"/>
    <n v="450"/>
    <x v="1"/>
    <s v="PEM"/>
    <n v="8.2799999999999999E-2"/>
    <s v="INDOT"/>
    <s v="LRC-2023-0054"/>
    <s v="2023-111-45-GCW-X"/>
    <m/>
    <s v="Lake"/>
    <n v="41.499713"/>
    <n v="-87.258708999999996"/>
    <s v="Transportation"/>
    <m/>
    <s v="No"/>
    <m/>
    <n v="2365.5"/>
    <n v="11039"/>
    <n v="2365.5"/>
    <s v="C"/>
    <s v="J"/>
    <m/>
    <m/>
    <m/>
    <m/>
    <m/>
    <m/>
    <n v="1703043"/>
  </r>
  <r>
    <d v="2023-12-15T00:00:00"/>
    <s v="December"/>
    <n v="2023"/>
    <x v="6"/>
    <n v="-313"/>
    <x v="1"/>
    <n v="187800"/>
    <n v="461"/>
    <x v="1"/>
    <s v="Int"/>
    <n v="261"/>
    <s v="INDOT"/>
    <s v="LRE-2022-00522-157-N23"/>
    <s v="2023-684-57-JWR-A"/>
    <m/>
    <s v="Noble"/>
    <n v="41.425072999999998"/>
    <n v="-85.268182999999993"/>
    <s v="Transportation"/>
    <m/>
    <s v="No"/>
    <m/>
    <n v="28170"/>
    <n v="131460"/>
    <n v="28170"/>
    <s v="D"/>
    <s v="J"/>
    <m/>
    <m/>
    <m/>
    <m/>
    <m/>
    <m/>
    <s v="DES No. 1900138"/>
  </r>
  <r>
    <d v="2023-12-15T00:00:00"/>
    <s v="December"/>
    <n v="2023"/>
    <x v="6"/>
    <n v="-0.7"/>
    <x v="0"/>
    <n v="84000"/>
    <n v="461"/>
    <x v="1"/>
    <s v="PEM"/>
    <n v="0.28999999999999998"/>
    <s v="INDOT"/>
    <s v="LRE-2022-00522-157-N23"/>
    <s v="2023-684-57-JWR-A"/>
    <m/>
    <s v="Noble"/>
    <n v="41.425072999999998"/>
    <n v="-85.268182999999993"/>
    <s v="Transportation"/>
    <m/>
    <s v="No"/>
    <m/>
    <n v="12600"/>
    <n v="58799.999999999993"/>
    <n v="12600"/>
    <s v="D"/>
    <s v="J"/>
    <m/>
    <m/>
    <m/>
    <m/>
    <m/>
    <m/>
    <s v="DES No. 1900138"/>
  </r>
  <r>
    <d v="2023-12-15T00:00:00"/>
    <s v="December"/>
    <n v="2023"/>
    <x v="7"/>
    <n v="-104"/>
    <x v="1"/>
    <n v="41600"/>
    <n v="455"/>
    <x v="1"/>
    <s v="Eph"/>
    <n v="890"/>
    <s v="INDOT"/>
    <s v="LRL-2023-200-dds"/>
    <s v="2023-190-15-JBT-A"/>
    <m/>
    <s v="Dearborn, Ripley, Crawford"/>
    <n v="39.107306000000001"/>
    <n v="-85.047321999999994"/>
    <s v="Transportation"/>
    <m/>
    <s v="No"/>
    <m/>
    <n v="6240"/>
    <n v="29119.999999999996"/>
    <n v="6240"/>
    <s v="L"/>
    <s v="J"/>
    <m/>
    <m/>
    <m/>
    <m/>
    <m/>
    <m/>
    <s v="Linear project with several points. DES No. 2000516"/>
  </r>
  <r>
    <d v="2023-12-15T00:00:00"/>
    <s v="December"/>
    <n v="2023"/>
    <x v="8"/>
    <n v="-0.04"/>
    <x v="0"/>
    <n v="3200"/>
    <n v="451"/>
    <x v="1"/>
    <s v="PFO"/>
    <n v="0.01"/>
    <s v="INDOT"/>
    <s v="LRL-2022-118"/>
    <s v="2021-168-27-JBT-A"/>
    <m/>
    <s v="Grant "/>
    <n v="40.614331"/>
    <n v="-85.693918999999994"/>
    <s v="Transportation"/>
    <m/>
    <s v="No"/>
    <m/>
    <n v="480"/>
    <n v="2240"/>
    <n v="480"/>
    <s v="L"/>
    <s v="J"/>
    <m/>
    <m/>
    <m/>
    <m/>
    <m/>
    <m/>
    <s v="DES 2001581"/>
  </r>
  <r>
    <d v="2023-12-15T00:00:00"/>
    <s v="December"/>
    <n v="2023"/>
    <x v="8"/>
    <n v="-178"/>
    <x v="1"/>
    <n v="71200"/>
    <n v="451"/>
    <x v="1"/>
    <s v="Int"/>
    <n v="175"/>
    <s v="INDOT"/>
    <s v="LRL-2022-118"/>
    <s v="2021-168-27-JBT-A"/>
    <m/>
    <s v="Grant "/>
    <n v="40.614331"/>
    <n v="-85.693918999999994"/>
    <s v="Transportation"/>
    <m/>
    <s v="No"/>
    <m/>
    <n v="10680"/>
    <n v="49840"/>
    <n v="10680"/>
    <s v="L"/>
    <s v="J"/>
    <m/>
    <m/>
    <m/>
    <m/>
    <m/>
    <m/>
    <s v="DES 2001581"/>
  </r>
  <r>
    <d v="2023-12-15T00:00:00"/>
    <s v="December"/>
    <n v="2023"/>
    <x v="10"/>
    <n v="-4"/>
    <x v="1"/>
    <n v="1600"/>
    <n v="447"/>
    <x v="1"/>
    <s v="Eph"/>
    <n v="4"/>
    <s v="INDOT"/>
    <s v="LRL-2022-898-scm"/>
    <s v="2022-1112-15-JBT-A"/>
    <m/>
    <s v="Dearborn"/>
    <s v="39.277158,"/>
    <n v="-84.903295"/>
    <s v="Transportation"/>
    <m/>
    <s v="No"/>
    <m/>
    <n v="240"/>
    <n v="1120"/>
    <n v="240"/>
    <s v="L"/>
    <s v="J"/>
    <m/>
    <m/>
    <m/>
    <m/>
    <m/>
    <m/>
    <n v="1600539"/>
  </r>
  <r>
    <d v="2023-12-15T00:00:00"/>
    <s v="December"/>
    <n v="2023"/>
    <x v="10"/>
    <n v="-314"/>
    <x v="1"/>
    <n v="125600"/>
    <n v="447"/>
    <x v="1"/>
    <s v="Per"/>
    <n v="314"/>
    <s v="INDOT"/>
    <s v="LRL-2022-898-scm"/>
    <s v="2022-1112-15-JBT-A"/>
    <m/>
    <s v="Dearborn"/>
    <s v="39.277158,"/>
    <n v="-84.903295"/>
    <s v="Transportation"/>
    <m/>
    <s v="No"/>
    <m/>
    <n v="18840"/>
    <n v="87920"/>
    <n v="18840"/>
    <s v="L"/>
    <s v="J"/>
    <m/>
    <m/>
    <m/>
    <m/>
    <m/>
    <m/>
    <n v="1600539"/>
  </r>
  <r>
    <d v="2023-12-21T00:00:00"/>
    <s v="December"/>
    <n v="2023"/>
    <x v="8"/>
    <n v="-5.5999999999999999E-3"/>
    <x v="0"/>
    <n v="448"/>
    <n v="441"/>
    <x v="1"/>
    <s v="PEM"/>
    <n v="2.8E-3"/>
    <s v="Kiewit Power Constructors Co."/>
    <s v="LRL-2023-00195-jde"/>
    <s v="2023-203-27-EJW-A"/>
    <m/>
    <s v="Grant"/>
    <n v="40.574525999999999"/>
    <n v="-85.655218000000005"/>
    <s v="Transportation"/>
    <m/>
    <s v="No"/>
    <m/>
    <n v="67.2"/>
    <n v="313.59999999999997"/>
    <n v="67.2"/>
    <s v="L"/>
    <s v="J"/>
    <m/>
    <m/>
    <m/>
    <m/>
    <m/>
    <m/>
    <s v="Lat/Long start location of linear project"/>
  </r>
  <r>
    <d v="2023-12-21T00:00:00"/>
    <s v="December"/>
    <n v="2023"/>
    <x v="8"/>
    <n v="-2.3999999999999998E-3"/>
    <x v="0"/>
    <n v="192"/>
    <n v="441"/>
    <x v="1"/>
    <s v="PSS"/>
    <n v="8.0000000000000004E-4"/>
    <s v="Kiewit Power Constructors Co."/>
    <s v="LRL-2023-00195-jde"/>
    <s v="2023-203-27-EJW-A"/>
    <m/>
    <s v="Grant"/>
    <n v="40.574525999999999"/>
    <n v="-85.655218000000005"/>
    <s v="Transportation"/>
    <m/>
    <s v="No"/>
    <m/>
    <n v="28.799999999999997"/>
    <n v="134.39999999999998"/>
    <n v="28.799999999999997"/>
    <s v="L"/>
    <s v="J"/>
    <m/>
    <m/>
    <m/>
    <m/>
    <m/>
    <m/>
    <s v="Lat/Long start location of linear project"/>
  </r>
  <r>
    <d v="2023-12-21T00:00:00"/>
    <s v="December"/>
    <n v="2023"/>
    <x v="8"/>
    <n v="-1.26"/>
    <x v="0"/>
    <n v="100800"/>
    <n v="441"/>
    <x v="1"/>
    <s v="PFO"/>
    <n v="0.42"/>
    <s v="Kiewit Power Constructors Co."/>
    <s v="LRL-2023-00195-jde"/>
    <s v="2023-203-27-EJW-A"/>
    <m/>
    <s v="Grant"/>
    <n v="40.574525999999999"/>
    <n v="-85.655218000000005"/>
    <s v="Transportation"/>
    <m/>
    <s v="No"/>
    <m/>
    <n v="15120"/>
    <n v="70560"/>
    <n v="15120"/>
    <s v="L"/>
    <s v="J"/>
    <m/>
    <m/>
    <m/>
    <m/>
    <m/>
    <m/>
    <s v="Lat/Long start location of linear project"/>
  </r>
  <r>
    <d v="2023-12-22T00:00:00"/>
    <s v="December"/>
    <n v="2023"/>
    <x v="5"/>
    <n v="-180"/>
    <x v="1"/>
    <n v="72000"/>
    <n v="457"/>
    <x v="1"/>
    <s v="Eph"/>
    <n v="471"/>
    <s v="Vanderburgh County"/>
    <s v="LRL-2022-1077-tmb"/>
    <s v="2022-1362-82-JWR"/>
    <m/>
    <s v="Vanderburgh"/>
    <n v="38.042512000000002"/>
    <n v="-87.509769000000006"/>
    <s v="Transportation"/>
    <m/>
    <s v="No"/>
    <m/>
    <n v="10800"/>
    <n v="50400"/>
    <n v="10800"/>
    <s v="L"/>
    <s v="J"/>
    <m/>
    <m/>
    <m/>
    <m/>
    <m/>
    <m/>
    <m/>
  </r>
  <r>
    <d v="2023-12-22T00:00:00"/>
    <s v="December"/>
    <n v="2023"/>
    <x v="5"/>
    <n v="-154"/>
    <x v="1"/>
    <n v="61600"/>
    <n v="457"/>
    <x v="1"/>
    <s v="Int"/>
    <n v="593"/>
    <s v="Vanderburgh County"/>
    <s v="LRL-2022-1077-tmb"/>
    <s v="2022-1362-82-JWR"/>
    <m/>
    <s v="Vanderburgh"/>
    <n v="38.042512000000002"/>
    <n v="-87.509769000000006"/>
    <s v="Transportation"/>
    <m/>
    <s v="No"/>
    <m/>
    <n v="9240"/>
    <n v="43120"/>
    <n v="9240"/>
    <s v="L"/>
    <s v="J"/>
    <m/>
    <m/>
    <m/>
    <m/>
    <m/>
    <m/>
    <m/>
  </r>
  <r>
    <d v="2023-12-22T00:00:00"/>
    <s v="December"/>
    <n v="2023"/>
    <x v="5"/>
    <n v="-257.5"/>
    <x v="1"/>
    <n v="103000"/>
    <n v="458"/>
    <x v="1"/>
    <s v="Eph"/>
    <n v="896.5"/>
    <s v="Vanderburgh County"/>
    <s v="LRL-2023-00275-dsp "/>
    <s v="2023-445-82-WLR-A"/>
    <m/>
    <s v="Vanderburgh"/>
    <n v="38.085591999999998"/>
    <n v="-87.505643000000006"/>
    <s v="Transportation"/>
    <m/>
    <s v="No"/>
    <m/>
    <n v="15450"/>
    <n v="72100"/>
    <n v="15450"/>
    <s v="L"/>
    <s v="J"/>
    <m/>
    <m/>
    <m/>
    <m/>
    <m/>
    <m/>
    <m/>
  </r>
  <r>
    <d v="2023-12-22T00:00:00"/>
    <s v="December"/>
    <n v="2023"/>
    <x v="5"/>
    <n v="-258"/>
    <x v="1"/>
    <n v="103200"/>
    <n v="458"/>
    <x v="1"/>
    <s v="Int"/>
    <n v="335"/>
    <s v="Vanderburgh County"/>
    <s v="LRL-2023-00275-dsp "/>
    <s v="2023-445-82-WLR-A"/>
    <m/>
    <s v="Vanderburgh"/>
    <n v="38.085591999999998"/>
    <n v="-87.505643000000006"/>
    <s v="Transportation"/>
    <m/>
    <s v="No"/>
    <m/>
    <n v="15480"/>
    <n v="72240"/>
    <n v="15480"/>
    <s v="L"/>
    <s v="J"/>
    <m/>
    <m/>
    <m/>
    <m/>
    <m/>
    <m/>
    <m/>
  </r>
  <r>
    <d v="2023-12-22T00:00:00"/>
    <s v="December"/>
    <n v="2023"/>
    <x v="5"/>
    <n v="-0.16900000000000001"/>
    <x v="0"/>
    <n v="13520"/>
    <n v="458"/>
    <x v="1"/>
    <s v="PEM"/>
    <n v="8.4500000000000006E-2"/>
    <s v="Vanderburgh County"/>
    <s v="LRL-2023-00275-dsp "/>
    <s v="2023-445-82-WLR-A"/>
    <m/>
    <s v="Vanderburgh"/>
    <n v="38.085591999999998"/>
    <n v="-87.505643000000006"/>
    <s v="Transportation"/>
    <m/>
    <s v="No"/>
    <m/>
    <n v="2028"/>
    <n v="9464"/>
    <n v="2028"/>
    <s v="L"/>
    <s v="J"/>
    <m/>
    <m/>
    <m/>
    <m/>
    <m/>
    <m/>
    <m/>
  </r>
  <r>
    <d v="2023-12-22T00:00:00"/>
    <s v="December"/>
    <n v="2023"/>
    <x v="7"/>
    <n v="-68"/>
    <x v="1"/>
    <n v="27200"/>
    <n v="467"/>
    <x v="1"/>
    <s v="Eph"/>
    <n v="68"/>
    <s v="Clark County Board of Commissioners"/>
    <s v="LRL-2013-00374"/>
    <s v="2021-189-10-TMS-A"/>
    <m/>
    <s v="Clark"/>
    <n v="38.457000000000001"/>
    <n v="-85.847740000000002"/>
    <s v="Development"/>
    <m/>
    <s v="No"/>
    <m/>
    <n v="4080"/>
    <n v="19040"/>
    <n v="4080"/>
    <s v="L"/>
    <s v="SI"/>
    <m/>
    <m/>
    <m/>
    <m/>
    <m/>
    <m/>
    <s v="3 of 7"/>
  </r>
  <r>
    <d v="2023-12-22T00:00:00"/>
    <s v="December"/>
    <n v="2023"/>
    <x v="7"/>
    <n v="-220"/>
    <x v="1"/>
    <n v="88000"/>
    <n v="467"/>
    <x v="1"/>
    <s v="Int"/>
    <n v="220"/>
    <s v="Clark County Board of Commissioners"/>
    <s v="LRL-2013-00374"/>
    <s v="2021-189-10-TMS-A"/>
    <m/>
    <s v="Clark"/>
    <n v="38.457000000000001"/>
    <n v="-85.847740000000002"/>
    <s v="Development"/>
    <m/>
    <s v="No"/>
    <m/>
    <n v="13200"/>
    <n v="61599.999999999993"/>
    <n v="13200"/>
    <s v="L"/>
    <s v="SI"/>
    <m/>
    <m/>
    <m/>
    <m/>
    <m/>
    <m/>
    <s v="3 of 7"/>
  </r>
  <r>
    <d v="2023-12-22T00:00:00"/>
    <s v="December"/>
    <n v="2023"/>
    <x v="7"/>
    <n v="-1.2"/>
    <x v="0"/>
    <n v="96000"/>
    <n v="467"/>
    <x v="1"/>
    <s v="PEM"/>
    <n v="1.2"/>
    <s v="Clark County Board of Commissioners"/>
    <s v="LRL-2013-00374"/>
    <s v="2021-189-10-TMS-A"/>
    <m/>
    <s v="Clark"/>
    <n v="38.457000000000001"/>
    <n v="-85.847740000000002"/>
    <s v="Development"/>
    <m/>
    <s v="No"/>
    <m/>
    <n v="14400"/>
    <n v="67200"/>
    <n v="14400"/>
    <s v="L"/>
    <s v="SI"/>
    <m/>
    <m/>
    <m/>
    <m/>
    <m/>
    <m/>
    <s v="3 of 7"/>
  </r>
  <r>
    <d v="2023-12-22T00:00:00"/>
    <s v="December"/>
    <n v="2023"/>
    <x v="7"/>
    <n v="-0.1"/>
    <x v="0"/>
    <n v="8000"/>
    <n v="467"/>
    <x v="1"/>
    <s v="PFO"/>
    <n v="0.1"/>
    <s v="Clark County Board of Commissioners"/>
    <s v="LRL-2013-00374"/>
    <s v="2021-189-10-TMS-A"/>
    <m/>
    <s v="Clark"/>
    <n v="38.457000000000001"/>
    <n v="-85.847740000000002"/>
    <s v="Development"/>
    <m/>
    <s v="No"/>
    <m/>
    <n v="1200"/>
    <n v="5600"/>
    <n v="1200"/>
    <s v="L"/>
    <s v="SI"/>
    <m/>
    <m/>
    <m/>
    <m/>
    <m/>
    <m/>
    <s v="3 of 7"/>
  </r>
  <r>
    <d v="2023-12-22T00:00:00"/>
    <s v="December"/>
    <n v="2023"/>
    <x v="8"/>
    <n v="-37"/>
    <x v="1"/>
    <n v="14800"/>
    <n v="462"/>
    <x v="1"/>
    <s v="Int"/>
    <n v="37"/>
    <s v="INDOT"/>
    <s v="LRL-2023-00493-DDC "/>
    <s v="2023-613-85-JWR-X "/>
    <m/>
    <s v="Wabash"/>
    <n v="40.803916000000001"/>
    <n v="-85.903412000000003"/>
    <s v="Transportation"/>
    <m/>
    <s v="No"/>
    <m/>
    <n v="2220"/>
    <n v="10360"/>
    <n v="2220"/>
    <s v="L"/>
    <s v="J"/>
    <m/>
    <m/>
    <m/>
    <m/>
    <m/>
    <m/>
    <n v="1900080"/>
  </r>
  <r>
    <d v="2023-12-22T00:00:00"/>
    <s v="December"/>
    <n v="2023"/>
    <x v="9"/>
    <n v="-0.02"/>
    <x v="0"/>
    <n v="160"/>
    <n v="452"/>
    <x v="2"/>
    <s v="PEM"/>
    <n v="1E-3"/>
    <s v="INDOT"/>
    <s v="N/A"/>
    <s v="IWIP 2023-460-35-JBT-A"/>
    <m/>
    <s v="Hendricks"/>
    <n v="39.7577"/>
    <n v="-86.457887999999997"/>
    <s v="Transportation"/>
    <m/>
    <s v="No"/>
    <m/>
    <n v="24"/>
    <n v="112"/>
    <n v="24"/>
    <s v="L"/>
    <s v="I"/>
    <m/>
    <m/>
    <m/>
    <m/>
    <m/>
    <m/>
    <n v="1900357"/>
  </r>
  <r>
    <m/>
    <m/>
    <m/>
    <x v="11"/>
    <m/>
    <x v="2"/>
    <m/>
    <m/>
    <x v="0"/>
    <m/>
    <m/>
    <m/>
    <m/>
    <m/>
    <m/>
    <m/>
    <m/>
    <m/>
    <m/>
    <m/>
    <m/>
    <m/>
    <m/>
    <m/>
    <m/>
    <m/>
    <m/>
    <m/>
    <m/>
    <m/>
    <m/>
    <m/>
    <m/>
    <m/>
  </r>
  <r>
    <d v="2024-01-12T00:00:00"/>
    <s v="January"/>
    <n v="2024"/>
    <x v="0"/>
    <n v="-1.38"/>
    <x v="0"/>
    <n v="131100"/>
    <n v="460"/>
    <x v="1"/>
    <s v="PEM"/>
    <n v="0.9"/>
    <s v="Mississippi Parkway Partners"/>
    <s v="LRC-2022-00250"/>
    <s v="2022-662-45-MTM-A"/>
    <m/>
    <s v="Lake"/>
    <n v="41.375649000000003"/>
    <n v="-87.312011999999996"/>
    <s v="Development"/>
    <m/>
    <s v="No"/>
    <m/>
    <n v="19665"/>
    <n v="91770"/>
    <n v="19665"/>
    <s v="C"/>
    <s v="J"/>
    <m/>
    <m/>
    <m/>
    <m/>
    <m/>
    <m/>
    <m/>
  </r>
  <r>
    <d v="2024-01-12T00:00:00"/>
    <s v="January"/>
    <n v="2024"/>
    <x v="0"/>
    <n v="-0.65"/>
    <x v="0"/>
    <n v="61750"/>
    <n v="465"/>
    <x v="2"/>
    <s v="PEM"/>
    <n v="0.65"/>
    <s v="Gary Material Supply"/>
    <s v="N/A"/>
    <s v="IWIP 2022-32-45-MTM-A"/>
    <m/>
    <s v="Lake"/>
    <n v="41.592683000000001"/>
    <n v="-87.425911999999997"/>
    <s v="Development"/>
    <m/>
    <s v="No"/>
    <m/>
    <n v="9262.5"/>
    <n v="43225"/>
    <n v="9262.5"/>
    <s v="C"/>
    <s v="SI"/>
    <s v="3 NF"/>
    <m/>
    <m/>
    <m/>
    <m/>
    <m/>
    <m/>
  </r>
  <r>
    <d v="2024-01-12T00:00:00"/>
    <s v="January"/>
    <n v="2024"/>
    <x v="8"/>
    <n v="-0.5"/>
    <x v="0"/>
    <n v="40000"/>
    <n v="466"/>
    <x v="1"/>
    <s v="PFO"/>
    <n v="0.5"/>
    <s v="Taylor University"/>
    <s v="LRL-2013-00869-sjk"/>
    <s v="2013-506-27-HAP-V"/>
    <m/>
    <s v="Grant"/>
    <n v="40.452800000000003"/>
    <n v="-85.499099999999999"/>
    <s v="Development"/>
    <m/>
    <s v="No"/>
    <m/>
    <n v="6000"/>
    <n v="28000"/>
    <n v="6000"/>
    <s v="L"/>
    <s v="J"/>
    <m/>
    <m/>
    <m/>
    <m/>
    <m/>
    <m/>
    <m/>
  </r>
  <r>
    <d v="2024-01-12T00:00:00"/>
    <s v="January"/>
    <n v="2024"/>
    <x v="9"/>
    <n v="-1.7250000000000001"/>
    <x v="0"/>
    <n v="138000"/>
    <n v="468"/>
    <x v="2"/>
    <s v="PFO"/>
    <n v="1.7250000000000001"/>
    <s v="Chill Land, LLC"/>
    <s v="N/A"/>
    <s v="IWIP 2023-280-6-ERL-A"/>
    <m/>
    <s v="Boone"/>
    <n v="39.947789"/>
    <n v="-86.384957"/>
    <s v="Development"/>
    <m/>
    <s v="No"/>
    <m/>
    <n v="20700"/>
    <n v="96600"/>
    <n v="20700"/>
    <s v="L"/>
    <s v="SI"/>
    <s v="3 FO"/>
    <m/>
    <m/>
    <m/>
    <m/>
    <m/>
    <m/>
  </r>
  <r>
    <d v="2024-01-26T00:00:00"/>
    <s v="January"/>
    <n v="2024"/>
    <x v="9"/>
    <n v="-153.5"/>
    <x v="1"/>
    <n v="69075"/>
    <n v="469"/>
    <x v="1"/>
    <s v="Per"/>
    <n v="155"/>
    <s v="Epcon Communities"/>
    <s v="LRL-2016-00893-jde"/>
    <s v="2023-509-6-MRP-A"/>
    <m/>
    <s v="Boone"/>
    <n v="39.947549000000002"/>
    <n v="-86.294589000000002"/>
    <s v="Development"/>
    <m/>
    <s v="No"/>
    <m/>
    <n v="10361.25"/>
    <n v="48352.5"/>
    <n v="10361.25"/>
    <s v="L"/>
    <s v="J"/>
    <m/>
    <m/>
    <m/>
    <m/>
    <m/>
    <m/>
    <m/>
  </r>
  <r>
    <d v="2024-01-31T00:00:00"/>
    <s v="January"/>
    <n v="2024"/>
    <x v="1"/>
    <n v="123"/>
    <x v="1"/>
    <n v="-61500"/>
    <n v="302"/>
    <x v="1"/>
    <s v="Per"/>
    <n v="123"/>
    <s v="INDOT"/>
    <s v="LRE-2008-01048-156-R21"/>
    <s v="2021-712-56-JBT-A"/>
    <m/>
    <s v="Newton"/>
    <n v="40.865900000000003"/>
    <n v="-87.281000000000006"/>
    <s v="Transportation"/>
    <s v="Credit Refund to INDOT 1/31/2023"/>
    <s v="n/a"/>
    <d v="2023-01-31T00:00:00"/>
    <n v="-9225"/>
    <n v="-43050"/>
    <n v="-9225"/>
    <s v="D"/>
    <s v="J"/>
    <m/>
    <m/>
    <s v="Credit Refund to INDOT"/>
    <m/>
    <m/>
    <m/>
    <s v="Corps verified no mitigation required. *Refund 1/31/24"/>
  </r>
  <r>
    <d v="2024-01-31T00:00:00"/>
    <s v="January"/>
    <n v="2024"/>
    <x v="1"/>
    <n v="1.7999999999999999E-2"/>
    <x v="0"/>
    <n v="-1710"/>
    <n v="302"/>
    <x v="1"/>
    <s v="PEM"/>
    <n v="8.9999999999999993E-3"/>
    <s v="INDOT"/>
    <s v="LRE-2008-01048-156-R21"/>
    <s v="2021-712-56-JBT-A"/>
    <m/>
    <s v="Newton"/>
    <n v="40.865900000000003"/>
    <n v="-87.281000000000006"/>
    <s v="Transportation"/>
    <s v="Credit Refund to INDOT 1/31/2023"/>
    <s v="n/a"/>
    <d v="2023-01-31T00:00:00"/>
    <n v="-256.5"/>
    <n v="-1197"/>
    <n v="-256.5"/>
    <s v="D"/>
    <s v="J"/>
    <m/>
    <m/>
    <s v="Credit Refund to INDOT"/>
    <m/>
    <m/>
    <m/>
    <s v="Corps verified no mitigation required. *Refund 1/31/24"/>
  </r>
  <r>
    <d v="2024-02-05T00:00:00"/>
    <s v="February"/>
    <n v="2024"/>
    <x v="9"/>
    <n v="-1.36"/>
    <x v="0"/>
    <n v="108800"/>
    <n v="477"/>
    <x v="2"/>
    <s v="PEM"/>
    <n v="0.68"/>
    <s v="BHI Senior Living"/>
    <s v="N/A"/>
    <s v="IWIP 2023-800-6-MPY-A"/>
    <m/>
    <s v="Boone"/>
    <n v="39.930031"/>
    <n v="-86.247806999999995"/>
    <s v="Development"/>
    <m/>
    <s v="No"/>
    <m/>
    <n v="16320"/>
    <n v="76160"/>
    <n v="16320"/>
    <s v="L"/>
    <s v="SI"/>
    <s v="3 FO"/>
    <m/>
    <m/>
    <m/>
    <m/>
    <m/>
    <m/>
  </r>
  <r>
    <d v="2024-02-05T00:00:00"/>
    <s v="February"/>
    <n v="2024"/>
    <x v="9"/>
    <n v="-0.67"/>
    <x v="0"/>
    <n v="53600"/>
    <n v="477"/>
    <x v="2"/>
    <s v="PFO"/>
    <n v="0.27"/>
    <s v="BHI Senior Living"/>
    <s v="N/A"/>
    <s v="IWIP 2023-800-6-MPY-A"/>
    <m/>
    <s v="Boone"/>
    <n v="39.930031"/>
    <n v="-86.247806999999995"/>
    <s v="Development"/>
    <m/>
    <s v="No"/>
    <m/>
    <n v="8040"/>
    <n v="37520"/>
    <n v="8040"/>
    <s v="L"/>
    <s v="SI"/>
    <s v="3 FO"/>
    <m/>
    <m/>
    <m/>
    <m/>
    <m/>
    <m/>
  </r>
  <r>
    <d v="2024-02-07T00:00:00"/>
    <s v="February"/>
    <n v="2024"/>
    <x v="8"/>
    <n v="-47"/>
    <x v="1"/>
    <n v="18800"/>
    <n v="471"/>
    <x v="1"/>
    <s v="Int"/>
    <n v="47"/>
    <s v="INDOT"/>
    <s v="LRL-2023-915-djd"/>
    <s v="2023-1098-90-GCW-X"/>
    <m/>
    <s v="Wells"/>
    <n v="40.822166000000003"/>
    <n v="-85.311150999999995"/>
    <s v="Transportation"/>
    <m/>
    <s v="No"/>
    <m/>
    <n v="2820"/>
    <n v="13160"/>
    <n v="2820"/>
    <s v="L"/>
    <s v="J"/>
    <m/>
    <m/>
    <m/>
    <m/>
    <m/>
    <m/>
    <m/>
  </r>
  <r>
    <d v="2024-02-07T00:00:00"/>
    <s v="February"/>
    <n v="2024"/>
    <x v="8"/>
    <n v="-0.64"/>
    <x v="0"/>
    <n v="51200"/>
    <n v="471"/>
    <x v="1"/>
    <s v="PFO"/>
    <n v="0.16"/>
    <s v="INDOT"/>
    <s v="LRL-2023-915-djd"/>
    <s v="2023-1098-90-GCW-X"/>
    <m/>
    <s v="Wells"/>
    <n v="40.822166000000003"/>
    <n v="-85.311150999999995"/>
    <s v="Transportation"/>
    <m/>
    <s v="No"/>
    <m/>
    <n v="7680"/>
    <n v="35840"/>
    <n v="7680"/>
    <s v="L"/>
    <s v="J"/>
    <m/>
    <m/>
    <m/>
    <m/>
    <m/>
    <m/>
    <m/>
  </r>
  <r>
    <d v="2024-02-16T00:00:00"/>
    <s v="February"/>
    <n v="2024"/>
    <x v="8"/>
    <n v="-1.5"/>
    <x v="0"/>
    <n v="120000"/>
    <n v="463"/>
    <x v="2"/>
    <s v="PEM"/>
    <n v="1.5"/>
    <s v="Van Rooy Properties"/>
    <s v="N/A"/>
    <s v="IWIP 2023-644-79-MPY-A"/>
    <m/>
    <s v="Tippecanoe"/>
    <n v="40.411695999999999"/>
    <n v="-86.825644999999994"/>
    <s v="Development"/>
    <m/>
    <s v="No"/>
    <m/>
    <n v="18000"/>
    <n v="84000"/>
    <n v="18000"/>
    <s v="L"/>
    <s v="SI"/>
    <m/>
    <m/>
    <m/>
    <m/>
    <m/>
    <m/>
    <m/>
  </r>
  <r>
    <d v="2024-02-20T00:00:00"/>
    <s v="February"/>
    <n v="2024"/>
    <x v="9"/>
    <n v="-8.4250000000000007"/>
    <x v="0"/>
    <n v="674000"/>
    <n v="482"/>
    <x v="2"/>
    <s v="PFO"/>
    <n v="3.37"/>
    <s v="Gershman Partners"/>
    <s v="N/A"/>
    <s v="IWIP 2023-430-49-WLR-A"/>
    <m/>
    <s v="Marion"/>
    <n v="39.641040699999998"/>
    <n v="-86.066323299999993"/>
    <s v="Development"/>
    <m/>
    <s v="No"/>
    <m/>
    <n v="101100"/>
    <n v="471799.99999999994"/>
    <n v="101100"/>
    <s v="L"/>
    <s v="SI"/>
    <s v="3 FO"/>
    <m/>
    <m/>
    <m/>
    <m/>
    <m/>
    <m/>
  </r>
  <r>
    <d v="2024-02-20T00:00:00"/>
    <s v="February"/>
    <n v="2024"/>
    <x v="10"/>
    <n v="-12"/>
    <x v="1"/>
    <n v="4800"/>
    <n v="472"/>
    <x v="1"/>
    <s v="Int"/>
    <n v="10"/>
    <s v="Heritage Estates, LLC"/>
    <s v="LRL:2023-00969-sea"/>
    <s v="2023-865-40-JLB-A"/>
    <m/>
    <s v="Jennings"/>
    <n v="38.997250000000001"/>
    <n v="-85.650336999999993"/>
    <s v="Development"/>
    <m/>
    <s v="No"/>
    <m/>
    <n v="720"/>
    <n v="3360"/>
    <n v="720"/>
    <s v="L"/>
    <s v="J"/>
    <m/>
    <m/>
    <m/>
    <m/>
    <m/>
    <m/>
    <m/>
  </r>
  <r>
    <d v="2024-02-20T00:00:00"/>
    <s v="February"/>
    <n v="2024"/>
    <x v="10"/>
    <n v="-1.2"/>
    <x v="0"/>
    <n v="96000"/>
    <n v="472"/>
    <x v="1"/>
    <s v="PSS"/>
    <n v="0.48"/>
    <s v="Heritage Estates, LLC"/>
    <s v="LRL:2023-00969-sea"/>
    <s v="2023-865-40-JLB-A"/>
    <m/>
    <s v="Jennings"/>
    <n v="38.997250000000001"/>
    <n v="-85.650336999999993"/>
    <s v="Development"/>
    <m/>
    <s v="No"/>
    <m/>
    <n v="14400"/>
    <n v="67200"/>
    <n v="14400"/>
    <s v="L"/>
    <s v="J"/>
    <m/>
    <m/>
    <m/>
    <m/>
    <m/>
    <m/>
    <m/>
  </r>
  <r>
    <d v="2024-02-23T00:00:00"/>
    <s v="February"/>
    <n v="2024"/>
    <x v="9"/>
    <n v="-3.9350000000000001"/>
    <x v="0"/>
    <n v="314800"/>
    <n v="475"/>
    <x v="1"/>
    <s v="PFO"/>
    <n v="0.67800000000000005"/>
    <s v="City of Noblesville"/>
    <s v="LRL-2021-01807-DDC"/>
    <s v="2022-784-29-EKB-A"/>
    <m/>
    <s v="Hamilton"/>
    <n v="40.028688000000002"/>
    <n v="-86.009584000000004"/>
    <s v="Energy"/>
    <m/>
    <s v="No"/>
    <m/>
    <n v="47220"/>
    <n v="220360"/>
    <n v="47220"/>
    <s v="L"/>
    <s v="J"/>
    <m/>
    <m/>
    <m/>
    <m/>
    <m/>
    <m/>
    <m/>
  </r>
  <r>
    <d v="2024-03-07T00:00:00"/>
    <s v="March"/>
    <n v="2024"/>
    <x v="4"/>
    <n v="-43"/>
    <x v="1"/>
    <n v="17200"/>
    <n v="473"/>
    <x v="1"/>
    <s v="Int"/>
    <n v="383"/>
    <s v="INDOT"/>
    <s v="LRL-2022-1036-scm"/>
    <s v="2022-1376-83-JBT-X"/>
    <m/>
    <s v="Vermillion "/>
    <n v="40.117241999999997"/>
    <n v="-87.452340000000007"/>
    <s v="Transportation"/>
    <m/>
    <s v="No"/>
    <m/>
    <n v="2580"/>
    <n v="12040"/>
    <n v="2580"/>
    <s v="L"/>
    <s v="J"/>
    <m/>
    <m/>
    <m/>
    <m/>
    <m/>
    <m/>
    <s v="DES NO: 1800187"/>
  </r>
  <r>
    <d v="2024-03-07T00:00:00"/>
    <s v="March"/>
    <n v="2024"/>
    <x v="6"/>
    <n v="-4.3339999999999996"/>
    <x v="0"/>
    <n v="520080"/>
    <n v="487"/>
    <x v="2"/>
    <s v="PEM"/>
    <n v="3.044"/>
    <s v="Universal Guaranty Company"/>
    <s v="N/A"/>
    <s v="IWIP 2023-1175-20-SCF-A"/>
    <m/>
    <s v="Elkhart"/>
    <n v="41.662261999999998"/>
    <n v="-86.022976999999997"/>
    <s v="Development"/>
    <m/>
    <s v="No"/>
    <m/>
    <n v="78012"/>
    <n v="364056"/>
    <n v="78012"/>
    <s v="D"/>
    <s v="SI"/>
    <s v="2 NF"/>
    <m/>
    <m/>
    <m/>
    <m/>
    <m/>
    <m/>
  </r>
  <r>
    <d v="2024-03-07T00:00:00"/>
    <s v="March"/>
    <n v="2024"/>
    <x v="6"/>
    <n v="-0.79500000000000004"/>
    <x v="0"/>
    <n v="95400"/>
    <n v="487"/>
    <x v="2"/>
    <s v="PFO"/>
    <n v="0.53"/>
    <s v="Universal Guaranty Company"/>
    <s v="N/A"/>
    <s v="IWIP 2023-1175-20-SCF-A"/>
    <m/>
    <s v="Elkhart"/>
    <n v="41.662261999999998"/>
    <n v="-86.022976999999997"/>
    <s v="Development"/>
    <m/>
    <s v="No"/>
    <m/>
    <n v="14310"/>
    <n v="66780"/>
    <n v="14310"/>
    <s v="D"/>
    <s v="SI"/>
    <s v="2 FO"/>
    <m/>
    <m/>
    <m/>
    <m/>
    <m/>
    <m/>
  </r>
  <r>
    <d v="2024-03-11T00:00:00"/>
    <s v="March"/>
    <n v="2024"/>
    <x v="9"/>
    <n v="-89"/>
    <x v="1"/>
    <n v="40050"/>
    <n v="484"/>
    <x v="1"/>
    <s v="Per"/>
    <n v="74"/>
    <s v="City of Carmel"/>
    <s v="LRL-2012-00375-ajk"/>
    <s v="2013-017-29-HAP-A"/>
    <m/>
    <s v="Hamilton"/>
    <n v="39.961959999999998"/>
    <n v="-86.100110000000001"/>
    <s v="Development"/>
    <m/>
    <s v="No"/>
    <m/>
    <n v="6007.5"/>
    <n v="28035"/>
    <n v="6007.5"/>
    <s v="L"/>
    <s v="J"/>
    <m/>
    <m/>
    <m/>
    <m/>
    <m/>
    <m/>
    <s v="Failed Mitigation at Brookshire Golf Course"/>
  </r>
  <r>
    <d v="2024-03-12T00:00:00"/>
    <s v="March"/>
    <n v="2024"/>
    <x v="0"/>
    <n v="-39"/>
    <x v="1"/>
    <n v="23400"/>
    <n v="474"/>
    <x v="1"/>
    <s v="Int"/>
    <n v="450"/>
    <s v="INDOT"/>
    <s v="LRC-2023-00478"/>
    <s v="2023-990-45-GCW-A"/>
    <m/>
    <s v="Lake"/>
    <n v="41.583077000000003"/>
    <n v="-87.240280999999996"/>
    <s v=" Transportation"/>
    <m/>
    <s v="No"/>
    <m/>
    <n v="3510"/>
    <n v="16379.999999999998"/>
    <n v="3510"/>
    <s v="C"/>
    <s v="J"/>
    <m/>
    <m/>
    <m/>
    <m/>
    <m/>
    <m/>
    <s v="DES NO. 1800257"/>
  </r>
  <r>
    <d v="2024-03-12T00:00:00"/>
    <s v="March"/>
    <n v="2024"/>
    <x v="0"/>
    <n v="-0.27960000000000002"/>
    <x v="0"/>
    <n v="26562"/>
    <n v="474"/>
    <x v="1"/>
    <s v="PEM"/>
    <n v="0.11650000000000001"/>
    <s v="INDOT"/>
    <s v="LRC-2023-00478"/>
    <s v="2023-990-45-GCW-A"/>
    <m/>
    <s v="Lake"/>
    <n v="41.583077000000003"/>
    <n v="-87.240280999999996"/>
    <s v="Transportation"/>
    <m/>
    <s v="No"/>
    <m/>
    <n v="3984.2999999999997"/>
    <n v="18593.399999999998"/>
    <n v="3984.2999999999997"/>
    <s v="C"/>
    <s v="J"/>
    <m/>
    <m/>
    <m/>
    <m/>
    <m/>
    <m/>
    <s v="DES NO. 1800257"/>
  </r>
  <r>
    <d v="2024-03-12T00:00:00"/>
    <s v="March"/>
    <n v="2024"/>
    <x v="8"/>
    <n v="-44"/>
    <x v="1"/>
    <n v="4800"/>
    <n v="483"/>
    <x v="1"/>
    <s v="Per"/>
    <n v="10"/>
    <s v="INDOT"/>
    <s v="LRL-2024-39-DJD"/>
    <s v="2024-15-90-GCW-X "/>
    <m/>
    <s v="Wells"/>
    <n v="40.821666999999998"/>
    <n v="-85.309443999999999"/>
    <s v="Transportation"/>
    <m/>
    <s v="No"/>
    <m/>
    <n v="720"/>
    <n v="3360"/>
    <n v="720"/>
    <s v="L"/>
    <s v="J"/>
    <m/>
    <m/>
    <m/>
    <m/>
    <m/>
    <m/>
    <s v="DES NO 2002246"/>
  </r>
  <r>
    <d v="2024-03-12T00:00:00"/>
    <s v="March"/>
    <n v="2024"/>
    <x v="8"/>
    <n v="-0.11"/>
    <x v="0"/>
    <n v="7200"/>
    <n v="483"/>
    <x v="1"/>
    <s v="PEM"/>
    <n v="3.7999999999999999E-2"/>
    <s v="INDOT"/>
    <s v="LRL-2024-39-DJD"/>
    <s v="2024-15-90-GCW-X "/>
    <m/>
    <s v="Wells"/>
    <n v="40.821666999999998"/>
    <n v="-85.309443999999999"/>
    <s v="Transportation"/>
    <m/>
    <s v="No"/>
    <m/>
    <n v="1080"/>
    <n v="5040"/>
    <n v="1080"/>
    <s v="L"/>
    <s v="J"/>
    <m/>
    <m/>
    <m/>
    <m/>
    <m/>
    <m/>
    <s v="DES NO 2002246"/>
  </r>
  <r>
    <d v="2024-03-12T00:00:00"/>
    <s v="March"/>
    <n v="2024"/>
    <x v="8"/>
    <n v="-0.32"/>
    <x v="0"/>
    <n v="25600"/>
    <n v="483"/>
    <x v="1"/>
    <s v="PFO"/>
    <n v="8.8999999999999996E-2"/>
    <s v="INDOT"/>
    <s v="LRL-2024-39-DJD"/>
    <s v="2024-15-90-GCW-X "/>
    <m/>
    <s v="Wells"/>
    <n v="40.821666999999998"/>
    <n v="-85.309443999999999"/>
    <s v="Transportation"/>
    <m/>
    <s v="No"/>
    <m/>
    <n v="3840"/>
    <n v="17920"/>
    <n v="3840"/>
    <s v="L"/>
    <s v="J"/>
    <m/>
    <m/>
    <m/>
    <m/>
    <m/>
    <m/>
    <s v="DES NO 2002246"/>
  </r>
  <r>
    <d v="2024-03-14T00:00:00"/>
    <s v="March"/>
    <n v="2024"/>
    <x v="6"/>
    <n v="-107"/>
    <x v="1"/>
    <n v="64200"/>
    <n v="486"/>
    <x v="1"/>
    <s v="Per"/>
    <n v="107"/>
    <s v="INDOT"/>
    <s v="LRE-2023-00677-144-N23"/>
    <s v="2023-1095-44-GCW-X"/>
    <m/>
    <s v="LaGrange"/>
    <n v="41.554699999999997"/>
    <n v="-85.366699999999994"/>
    <s v="Transportation"/>
    <m/>
    <s v="No"/>
    <m/>
    <n v="9630"/>
    <n v="44940"/>
    <n v="9630"/>
    <s v="D"/>
    <s v="J"/>
    <m/>
    <m/>
    <m/>
    <m/>
    <m/>
    <m/>
    <s v="DES NO 2002233"/>
  </r>
  <r>
    <d v="2024-03-14T00:00:00"/>
    <s v="March"/>
    <n v="2024"/>
    <x v="6"/>
    <n v="-0.184"/>
    <x v="0"/>
    <n v="22080"/>
    <n v="486"/>
    <x v="1"/>
    <s v="PEM"/>
    <n v="9.1999999999999998E-2"/>
    <s v="INDOT"/>
    <s v="LRE-2023-00677-144-N23"/>
    <s v="2023-1095-44-GCW-X"/>
    <m/>
    <s v="LaGrange"/>
    <n v="41.554699999999997"/>
    <n v="-85.366699999999994"/>
    <s v="Transportation"/>
    <m/>
    <s v="No"/>
    <m/>
    <n v="3312"/>
    <n v="15455.999999999998"/>
    <n v="3312"/>
    <s v="D"/>
    <s v="J"/>
    <m/>
    <m/>
    <m/>
    <m/>
    <m/>
    <m/>
    <s v="DES NO 2002233"/>
  </r>
  <r>
    <d v="2024-03-14T00:00:00"/>
    <s v="March"/>
    <n v="2024"/>
    <x v="6"/>
    <n v="-0.16200000000000001"/>
    <x v="0"/>
    <n v="19440"/>
    <n v="486"/>
    <x v="1"/>
    <s v="PSS"/>
    <n v="5.3999999999999999E-2"/>
    <s v="INDOT"/>
    <s v="LRE-2023-00677-144-N23"/>
    <s v="2023-1095-44-GCW-X"/>
    <m/>
    <s v="LaGrange"/>
    <n v="41.554699999999997"/>
    <n v="-85.366699999999994"/>
    <s v="Transportation"/>
    <m/>
    <s v="No"/>
    <m/>
    <n v="2916"/>
    <n v="13608"/>
    <n v="2916"/>
    <s v="D"/>
    <s v="J"/>
    <m/>
    <m/>
    <m/>
    <m/>
    <m/>
    <m/>
    <s v="DES NO 2002233"/>
  </r>
  <r>
    <d v="2024-03-14T00:00:00"/>
    <s v="March"/>
    <n v="2024"/>
    <x v="6"/>
    <n v="-0.14799999999999999"/>
    <x v="0"/>
    <n v="17760"/>
    <n v="486"/>
    <x v="1"/>
    <s v="PFO"/>
    <n v="3.6999999999999998E-2"/>
    <s v="INDOT"/>
    <s v="LRE-2023-00677-144-N23"/>
    <s v="2023-1095-44-GCW-X"/>
    <m/>
    <s v="LaGrange"/>
    <n v="41.554699999999997"/>
    <n v="-85.366699999999994"/>
    <s v="Transportation"/>
    <m/>
    <s v="No"/>
    <m/>
    <n v="2664"/>
    <n v="12432"/>
    <n v="2664"/>
    <s v="D"/>
    <s v="J"/>
    <m/>
    <m/>
    <m/>
    <m/>
    <m/>
    <m/>
    <s v="DES NO 2002233"/>
  </r>
  <r>
    <d v="2024-03-18T00:00:00"/>
    <s v="March"/>
    <n v="2024"/>
    <x v="9"/>
    <n v="-85"/>
    <x v="1"/>
    <n v="38250"/>
    <n v="492"/>
    <x v="1"/>
    <s v="Per"/>
    <n v="71"/>
    <s v="Town of Brownsburg"/>
    <s v="LRL-2023-00432-sjk"/>
    <s v="2023-642-32-MPY-A"/>
    <m/>
    <s v="Hendricks"/>
    <n v="39.822271000000001"/>
    <n v="-86.352035000000001"/>
    <s v="Transportation"/>
    <m/>
    <s v="No"/>
    <m/>
    <n v="5737.5"/>
    <n v="26775"/>
    <n v="5737.5"/>
    <s v="L"/>
    <s v="J"/>
    <m/>
    <m/>
    <m/>
    <m/>
    <m/>
    <m/>
    <m/>
  </r>
  <r>
    <d v="2024-03-20T00:00:00"/>
    <s v="March"/>
    <n v="2024"/>
    <x v="6"/>
    <n v="-0.42"/>
    <x v="0"/>
    <n v="50400"/>
    <n v="480"/>
    <x v="1"/>
    <s v="PEM"/>
    <n v="0.21"/>
    <s v="IDNR-DFW"/>
    <s v="LRE-2001-1440560-C23"/>
    <s v="2023-399-44-EJW-A"/>
    <m/>
    <s v="LaGrange"/>
    <n v="41.695641000000002"/>
    <n v="-85.322911000000005"/>
    <s v="Development"/>
    <m/>
    <s v="No"/>
    <m/>
    <n v="7560"/>
    <n v="35280"/>
    <n v="7560"/>
    <s v="D"/>
    <s v="J"/>
    <m/>
    <m/>
    <m/>
    <m/>
    <m/>
    <m/>
    <m/>
  </r>
  <r>
    <d v="2024-03-20T00:00:00"/>
    <s v="March"/>
    <n v="2024"/>
    <x v="6"/>
    <n v="-0.16"/>
    <x v="0"/>
    <n v="19200"/>
    <n v="480"/>
    <x v="1"/>
    <s v="PFO"/>
    <n v="0.04"/>
    <s v="IDNR-DFW"/>
    <s v="LRE-2001-1440560-C23"/>
    <s v="2023-399-44-EJW-A"/>
    <m/>
    <s v="LaGrange"/>
    <n v="41.695641000000002"/>
    <n v="-85.322911000000005"/>
    <s v="Development"/>
    <m/>
    <s v="No"/>
    <m/>
    <n v="2880"/>
    <n v="13440"/>
    <n v="2880"/>
    <s v="D"/>
    <s v="J"/>
    <m/>
    <m/>
    <m/>
    <m/>
    <m/>
    <m/>
    <m/>
  </r>
  <r>
    <d v="2024-03-21T00:00:00"/>
    <s v="March"/>
    <n v="2024"/>
    <x v="10"/>
    <n v="-1.425"/>
    <x v="0"/>
    <n v="114000"/>
    <n v="481"/>
    <x v="2"/>
    <s v="PEM"/>
    <n v="0.95"/>
    <s v="Forestar"/>
    <s v="N/A"/>
    <s v="IWIP-2022-637-41"/>
    <m/>
    <s v="Johnson"/>
    <n v="39.155188000000003"/>
    <n v="-86.041409999999999"/>
    <s v="Development"/>
    <m/>
    <s v="No"/>
    <m/>
    <n v="17100"/>
    <n v="79800"/>
    <n v="17100"/>
    <s v="L"/>
    <s v="SI "/>
    <s v="2 NF"/>
    <m/>
    <m/>
    <m/>
    <m/>
    <m/>
    <m/>
  </r>
  <r>
    <d v="2024-03-25T00:00:00"/>
    <s v="March"/>
    <n v="2024"/>
    <x v="5"/>
    <n v="-0.02"/>
    <x v="0"/>
    <n v="1600"/>
    <n v="494"/>
    <x v="1"/>
    <s v="PEM"/>
    <n v="0.02"/>
    <s v="Posey County Board of Commissioners"/>
    <s v="LRL-2020-1106-A"/>
    <s v="2022-989-65-TMS-X"/>
    <m/>
    <s v="Posey"/>
    <n v="37.946016"/>
    <n v="-87.925535999999994"/>
    <s v="Transportation"/>
    <m/>
    <s v="No"/>
    <m/>
    <n v="240"/>
    <n v="1120"/>
    <n v="240"/>
    <s v="L"/>
    <s v="J"/>
    <m/>
    <m/>
    <m/>
    <m/>
    <m/>
    <m/>
    <m/>
  </r>
  <r>
    <d v="2024-03-25T00:00:00"/>
    <s v="March"/>
    <n v="2024"/>
    <x v="5"/>
    <n v="-68"/>
    <x v="1"/>
    <n v="27200"/>
    <n v="494"/>
    <x v="1"/>
    <s v="Eph"/>
    <n v="68"/>
    <s v="Posey County Board of Commissioners"/>
    <s v="LRL-2020-1106-A"/>
    <s v="2022-989-65-TMS-X"/>
    <m/>
    <s v="Posey"/>
    <n v="37.946016"/>
    <n v="-87.925535999999994"/>
    <s v="Transportation"/>
    <m/>
    <s v="No"/>
    <m/>
    <n v="4080"/>
    <n v="19040"/>
    <n v="4080"/>
    <s v="L"/>
    <s v="J"/>
    <m/>
    <m/>
    <m/>
    <m/>
    <m/>
    <m/>
    <m/>
  </r>
  <r>
    <d v="2024-03-25T00:00:00"/>
    <s v="March"/>
    <n v="2024"/>
    <x v="5"/>
    <n v="-55"/>
    <x v="1"/>
    <n v="22000"/>
    <n v="494"/>
    <x v="1"/>
    <s v="Int"/>
    <n v="122"/>
    <s v="Posey County Board of Commissioners"/>
    <s v="LRL-2020-1106-A"/>
    <s v="2022-989-65-TMS-X"/>
    <m/>
    <s v="Posey"/>
    <n v="37.946016"/>
    <n v="-87.925535999999994"/>
    <s v="Transportation"/>
    <m/>
    <s v="No"/>
    <m/>
    <n v="3300"/>
    <n v="15399.999999999998"/>
    <n v="3300"/>
    <s v="L"/>
    <s v="J"/>
    <m/>
    <m/>
    <m/>
    <m/>
    <m/>
    <m/>
    <m/>
  </r>
  <r>
    <d v="2024-03-26T00:00:00"/>
    <s v="March"/>
    <n v="2024"/>
    <x v="6"/>
    <n v="-99"/>
    <x v="1"/>
    <n v="59400"/>
    <n v="490"/>
    <x v="1"/>
    <s v="Int"/>
    <n v="155"/>
    <s v="INDOT"/>
    <s v="LRE-2023-00634-157-N23"/>
    <s v="2023-1017-57-GCW-A"/>
    <m/>
    <s v="Noble"/>
    <n v="41.395462000000002"/>
    <n v="-85.342841000000007"/>
    <s v="Transportation"/>
    <m/>
    <s v="No"/>
    <m/>
    <n v="8910"/>
    <n v="41580"/>
    <n v="8910"/>
    <s v="D"/>
    <s v="J"/>
    <m/>
    <m/>
    <m/>
    <m/>
    <m/>
    <m/>
    <s v="INDOT DES NO 2002234"/>
  </r>
  <r>
    <d v="2024-03-26T00:00:00"/>
    <s v="March"/>
    <n v="2024"/>
    <x v="6"/>
    <n v="-0.27"/>
    <x v="0"/>
    <n v="32400"/>
    <n v="490"/>
    <x v="1"/>
    <s v="PEM"/>
    <n v="0.13400000000000001"/>
    <s v="INDOT"/>
    <s v="LRE-2023-00634-157-N23"/>
    <s v="2023-1017-57-GCW-A"/>
    <m/>
    <s v="Noble"/>
    <n v="41.395462000000002"/>
    <n v="-85.342841000000007"/>
    <s v="Transportation"/>
    <m/>
    <s v="No"/>
    <m/>
    <n v="4860"/>
    <n v="22680"/>
    <n v="4860"/>
    <s v="D"/>
    <s v="J"/>
    <m/>
    <m/>
    <m/>
    <m/>
    <m/>
    <m/>
    <m/>
  </r>
  <r>
    <d v="2024-04-05T00:00:00"/>
    <s v="April"/>
    <n v="2024"/>
    <x v="7"/>
    <n v="-560"/>
    <x v="1"/>
    <n v="224000"/>
    <n v="470"/>
    <x v="1"/>
    <s v="Int"/>
    <n v="467"/>
    <s v="Theineman Group"/>
    <s v="LRL-2023-00651-amw"/>
    <s v="2023-720-22-ERL-A"/>
    <m/>
    <s v="Floyd"/>
    <n v="38.315209000000003"/>
    <n v="-85.901707999999999"/>
    <s v="Development"/>
    <m/>
    <s v="No"/>
    <m/>
    <n v="33600"/>
    <n v="156800"/>
    <n v="33600"/>
    <s v="L"/>
    <s v="J"/>
    <m/>
    <m/>
    <m/>
    <m/>
    <m/>
    <m/>
    <m/>
  </r>
  <r>
    <d v="2024-04-12T00:00:00"/>
    <s v="April"/>
    <n v="2024"/>
    <x v="8"/>
    <n v="-0.3"/>
    <x v="0"/>
    <n v="24000"/>
    <n v="488"/>
    <x v="1"/>
    <s v="PEM"/>
    <n v="0.3"/>
    <s v="INDOT"/>
    <s v="LRL-2006-140-djd"/>
    <s v="2006-44-50-EME-A"/>
    <m/>
    <s v="Fulton"/>
    <n v="41.171959999999999"/>
    <n v="-86.313370000000006"/>
    <s v="Transportation"/>
    <m/>
    <s v="No"/>
    <m/>
    <n v="3600"/>
    <n v="16800"/>
    <n v="3600"/>
    <s v="L"/>
    <s v="J"/>
    <m/>
    <m/>
    <m/>
    <m/>
    <m/>
    <m/>
    <s v="DES NO 9800120 for failed mitigation"/>
  </r>
  <r>
    <d v="2024-04-12T00:00:00"/>
    <s v="April"/>
    <n v="2024"/>
    <x v="5"/>
    <n v="-326"/>
    <x v="1"/>
    <n v="130400"/>
    <n v="493"/>
    <x v="1"/>
    <s v="Per"/>
    <n v="496"/>
    <s v="INDOT"/>
    <s v="LRL-2023-947-djd"/>
    <s v="2023-1106-87-GCW-A"/>
    <m/>
    <s v="Warrick"/>
    <n v="38.198149999999998"/>
    <n v="-87.292640000000006"/>
    <s v="Transportation"/>
    <m/>
    <s v="No"/>
    <m/>
    <n v="19560"/>
    <n v="91280"/>
    <n v="19560"/>
    <s v="L"/>
    <s v="J"/>
    <m/>
    <m/>
    <m/>
    <m/>
    <m/>
    <m/>
    <s v="INDOT DES No  2002063"/>
  </r>
  <r>
    <d v="2024-04-30T00:00:00"/>
    <s v="April"/>
    <n v="2024"/>
    <x v="9"/>
    <n v="-1.1499999999999999"/>
    <x v="0"/>
    <n v="92000"/>
    <n v="496"/>
    <x v="1"/>
    <s v="PEM"/>
    <n v="0.48"/>
    <s v="Indianapolis Airport Authority"/>
    <s v="LRL-2023-00743-jde"/>
    <s v="2024-47-32-MPY-A"/>
    <m/>
    <s v="Hendricks"/>
    <n v="39.739019999999996"/>
    <n v="-86.474185000000006"/>
    <s v="Development"/>
    <m/>
    <s v="No"/>
    <m/>
    <n v="13800"/>
    <n v="64399.999999999993"/>
    <n v="13800"/>
    <s v="L"/>
    <s v="J"/>
    <m/>
    <m/>
    <m/>
    <m/>
    <m/>
    <m/>
    <m/>
  </r>
  <r>
    <d v="2024-05-08T00:00:00"/>
    <s v="May"/>
    <n v="2024"/>
    <x v="9"/>
    <n v="-0.64"/>
    <x v="0"/>
    <n v="51200"/>
    <n v="505"/>
    <x v="1"/>
    <s v="PFO"/>
    <n v="0.16"/>
    <s v="Pace Property Holding, LLC"/>
    <s v="LRL-2023-00978-sjk"/>
    <s v="2023-1163-32-MPY-X"/>
    <m/>
    <s v="Hendricks"/>
    <n v="39.722900000000003"/>
    <n v="-86.330699999999993"/>
    <s v="Development"/>
    <m/>
    <s v="No"/>
    <m/>
    <n v="7680"/>
    <n v="35840"/>
    <n v="7680"/>
    <s v="L"/>
    <s v="J"/>
    <m/>
    <m/>
    <m/>
    <m/>
    <m/>
    <m/>
    <m/>
  </r>
  <r>
    <d v="2024-05-08T00:00:00"/>
    <s v="May"/>
    <n v="2024"/>
    <x v="9"/>
    <n v="-74"/>
    <x v="1"/>
    <n v="33300"/>
    <n v="505"/>
    <x v="1"/>
    <s v="Int"/>
    <n v="61.6"/>
    <s v="Pace Property Holding, LLC"/>
    <s v="LRL-2023-00978-sjk"/>
    <s v="2023-1163-32-MPY-X"/>
    <m/>
    <s v="Hendricks"/>
    <n v="39.722900000000003"/>
    <n v="-86.330699999999993"/>
    <s v="Development"/>
    <m/>
    <s v="No"/>
    <m/>
    <n v="4995"/>
    <n v="23310"/>
    <n v="4995"/>
    <s v="L"/>
    <s v="J"/>
    <m/>
    <m/>
    <m/>
    <m/>
    <m/>
    <m/>
    <m/>
  </r>
  <r>
    <d v="2024-05-21T00:00:00"/>
    <s v="May"/>
    <n v="2024"/>
    <x v="4"/>
    <n v="-1.6"/>
    <x v="0"/>
    <n v="128000"/>
    <n v="479"/>
    <x v="1"/>
    <s v="PFO"/>
    <n v="0.4"/>
    <s v="Western Indiana Comm"/>
    <s v="LRL-2019-638"/>
    <s v="2022-590-23-ERL"/>
    <m/>
    <s v="Fountain"/>
    <n v="40.146002000000003"/>
    <n v="-87.402583000000007"/>
    <s v="Transportation"/>
    <m/>
    <s v="No"/>
    <m/>
    <n v="19200"/>
    <n v="89600"/>
    <n v="19200"/>
    <s v="L"/>
    <s v="J"/>
    <m/>
    <m/>
    <m/>
    <m/>
    <m/>
    <m/>
    <m/>
  </r>
  <r>
    <d v="2024-05-21T00:00:00"/>
    <s v="May"/>
    <n v="2024"/>
    <x v="8"/>
    <n v="-322"/>
    <x v="1"/>
    <n v="128800"/>
    <n v="476"/>
    <x v="1"/>
    <s v="Int"/>
    <n v="1475"/>
    <s v="IU Health"/>
    <s v="LRE-2022-00180-102-N23"/>
    <s v="2023-969-2-EJW-A"/>
    <m/>
    <s v="Allen"/>
    <n v="40.995683999999997"/>
    <n v="-85.271597999999997"/>
    <s v="Transportation"/>
    <m/>
    <s v="No"/>
    <m/>
    <n v="19320"/>
    <n v="90160"/>
    <n v="19320"/>
    <s v="L"/>
    <s v="J"/>
    <m/>
    <m/>
    <m/>
    <m/>
    <m/>
    <m/>
    <m/>
  </r>
  <r>
    <d v="2024-05-21T00:00:00"/>
    <s v="May"/>
    <n v="2024"/>
    <x v="10"/>
    <n v="-1.4999999999999999E-2"/>
    <x v="0"/>
    <n v="1200"/>
    <n v="499"/>
    <x v="2"/>
    <s v="PEM"/>
    <n v="0.01"/>
    <s v="INDOT "/>
    <s v="N/A"/>
    <s v="IWIP 2024-123-30-GCW-A"/>
    <m/>
    <s v="Hancock"/>
    <n v="39.825046999999998"/>
    <n v="-85.712712999999994"/>
    <s v="Transportation"/>
    <m/>
    <s v="No"/>
    <m/>
    <n v="180"/>
    <n v="840"/>
    <n v="180"/>
    <s v="L"/>
    <s v="SI"/>
    <s v="2 NF"/>
    <m/>
    <m/>
    <m/>
    <m/>
    <m/>
    <m/>
  </r>
  <r>
    <d v="2024-05-21T00:00:00"/>
    <s v="May"/>
    <n v="2024"/>
    <x v="8"/>
    <n v="-33"/>
    <x v="1"/>
    <n v="13200"/>
    <n v="500"/>
    <x v="1"/>
    <s v="Int"/>
    <n v="33"/>
    <s v="INDOT"/>
    <s v="N/A"/>
    <s v="2024-232-90-GCW-X"/>
    <m/>
    <s v="Wells"/>
    <n v="40.713340000000002"/>
    <n v="-85.115110000000001"/>
    <s v="Transportation"/>
    <m/>
    <s v="No"/>
    <m/>
    <n v="1980"/>
    <n v="9240"/>
    <n v="1980"/>
    <s v="L"/>
    <s v="J"/>
    <m/>
    <m/>
    <m/>
    <m/>
    <m/>
    <m/>
    <m/>
  </r>
  <r>
    <d v="2024-05-22T00:00:00"/>
    <s v="May"/>
    <n v="2024"/>
    <x v="3"/>
    <n v="-3.51"/>
    <x v="0"/>
    <n v="280800"/>
    <n v="506"/>
    <x v="2"/>
    <s v="PFO"/>
    <n v="1.7549999999999999"/>
    <s v="Auburn Retial, LLC"/>
    <s v="N/A"/>
    <s v="IWIP 2024-130-17-EJW-A"/>
    <m/>
    <s v="DeKalb"/>
    <n v="41.370596999999997"/>
    <n v="-85.078412999999998"/>
    <s v="Development"/>
    <m/>
    <s v="No"/>
    <m/>
    <n v="42120"/>
    <n v="196560"/>
    <n v="42120"/>
    <s v="L"/>
    <s v="SI"/>
    <s v="2 FO"/>
    <m/>
    <m/>
    <m/>
    <m/>
    <m/>
    <m/>
  </r>
  <r>
    <d v="2024-05-28T00:00:00"/>
    <s v="May"/>
    <n v="2024"/>
    <x v="9"/>
    <n v="-3.55"/>
    <x v="0"/>
    <n v="284000"/>
    <n v="491"/>
    <x v="2"/>
    <s v="PFO"/>
    <n v="1.42"/>
    <s v="Indianapolis (86th St.) WW, LLC"/>
    <m/>
    <s v="IWIP 2023-564-49-GCW-A"/>
    <m/>
    <s v="Marion"/>
    <n v="39.911498000000002"/>
    <n v="-86.258311000000006"/>
    <s v="Development"/>
    <m/>
    <s v="No"/>
    <m/>
    <n v="42600"/>
    <n v="198800"/>
    <n v="42600"/>
    <s v="L"/>
    <s v="SI"/>
    <s v="3 FO"/>
    <m/>
    <m/>
    <m/>
    <m/>
    <m/>
    <m/>
  </r>
  <r>
    <d v="2024-05-29T00:00:00"/>
    <s v="May"/>
    <n v="2024"/>
    <x v="6"/>
    <n v="-1.1499999999999999"/>
    <x v="0"/>
    <n v="138000"/>
    <n v="502"/>
    <x v="1"/>
    <s v="PFO"/>
    <n v="0.47"/>
    <s v="Elkhart County Highway Department"/>
    <s v="LRE-2024-0053-120-SCG"/>
    <s v="2024-54-20-SCF-A"/>
    <m/>
    <s v="Elkhart"/>
    <n v="41.514781999999997"/>
    <n v="-85.847611000000001"/>
    <s v="Transportation"/>
    <m/>
    <s v="No"/>
    <m/>
    <n v="20700"/>
    <n v="96600"/>
    <n v="20700"/>
    <s v="D"/>
    <s v="J"/>
    <m/>
    <m/>
    <m/>
    <m/>
    <m/>
    <m/>
    <s v="INDOT DES No. 1900465"/>
  </r>
  <r>
    <d v="2024-05-29T00:00:00"/>
    <s v="May"/>
    <n v="2024"/>
    <x v="6"/>
    <n v="-89"/>
    <x v="1"/>
    <n v="53400"/>
    <n v="502"/>
    <x v="1"/>
    <s v="Per"/>
    <n v="184"/>
    <s v="Elkhart County Highway Department"/>
    <s v="LRE-2024-0053-120-SCG"/>
    <s v="2024-54-20-SCF-A"/>
    <m/>
    <s v="Elkhart"/>
    <n v="41.514781999999997"/>
    <n v="-85.847611000000001"/>
    <s v="Transportation"/>
    <m/>
    <s v="No"/>
    <m/>
    <n v="8010"/>
    <n v="37380"/>
    <n v="8010"/>
    <s v="D"/>
    <s v="J"/>
    <m/>
    <m/>
    <m/>
    <m/>
    <m/>
    <m/>
    <s v="INDOT DES No. 1900465"/>
  </r>
  <r>
    <d v="2024-05-29T00:00:00"/>
    <s v="May"/>
    <n v="2024"/>
    <x v="8"/>
    <n v="-153"/>
    <x v="1"/>
    <n v="61200"/>
    <n v="504"/>
    <x v="1"/>
    <s v="Per"/>
    <n v="196"/>
    <s v="INDOT"/>
    <s v="LRL-2023-00985-DDC"/>
    <s v="2023-1167-90-GCW-A"/>
    <m/>
    <s v="Wells"/>
    <n v="40.805700000000002"/>
    <n v="-85.227630000000005"/>
    <s v="Transportation"/>
    <m/>
    <s v="No"/>
    <m/>
    <n v="9180"/>
    <n v="42840"/>
    <n v="9180"/>
    <s v="L"/>
    <s v="J"/>
    <m/>
    <m/>
    <m/>
    <m/>
    <m/>
    <m/>
    <s v="INDOT DES No. 2002248"/>
  </r>
  <r>
    <d v="2024-05-29T00:00:00"/>
    <s v="May"/>
    <n v="2024"/>
    <x v="8"/>
    <n v="-0.02"/>
    <x v="0"/>
    <n v="1600"/>
    <n v="504"/>
    <x v="1"/>
    <s v="PEM"/>
    <n v="0.01"/>
    <s v="INDOT"/>
    <s v="LRL-2023-00985-DDC"/>
    <s v="2023-1167-90-GCW-A"/>
    <m/>
    <s v="Wells"/>
    <n v="40.805700000000002"/>
    <n v="-85.227630000000005"/>
    <s v="Transportation"/>
    <m/>
    <s v="No"/>
    <m/>
    <n v="240"/>
    <n v="1120"/>
    <n v="240"/>
    <s v="L"/>
    <s v="J"/>
    <m/>
    <m/>
    <m/>
    <m/>
    <m/>
    <m/>
    <s v="INDOT DES No. 2002248"/>
  </r>
  <r>
    <d v="2024-05-29T00:00:00"/>
    <s v="May"/>
    <n v="2024"/>
    <x v="8"/>
    <n v="-0.15"/>
    <x v="0"/>
    <n v="12000"/>
    <n v="507"/>
    <x v="2"/>
    <s v="PFO"/>
    <n v="0.05"/>
    <s v="JWA Co. LTC"/>
    <s v="N/A"/>
    <s v="IWIP 2024-144-34-MPY-A"/>
    <m/>
    <s v="Howard"/>
    <n v="40.512196000000003"/>
    <n v="-86.105057000000002"/>
    <s v="Development"/>
    <m/>
    <s v="No"/>
    <m/>
    <n v="1800"/>
    <n v="8400"/>
    <n v="1800"/>
    <s v="L"/>
    <s v="SI"/>
    <s v="3 FO"/>
    <m/>
    <m/>
    <m/>
    <m/>
    <m/>
    <m/>
  </r>
  <r>
    <d v="2024-05-29T00:00:00"/>
    <s v="May"/>
    <n v="2024"/>
    <x v="1"/>
    <n v="-496"/>
    <x v="1"/>
    <n v="248000"/>
    <n v="508"/>
    <x v="1"/>
    <s v="Per"/>
    <n v="496"/>
    <s v="IDOA"/>
    <s v="LRE-2023-00679-171-N24"/>
    <s v="2024-301-71-MPY-X"/>
    <s v="FW-32655-0"/>
    <s v="St. Joseph"/>
    <n v="41.544612000000001"/>
    <n v="-86.371112999999994"/>
    <s v="Development"/>
    <m/>
    <s v="No"/>
    <m/>
    <n v="37200"/>
    <n v="173600"/>
    <n v="37200"/>
    <s v="D"/>
    <s v="J"/>
    <m/>
    <m/>
    <m/>
    <m/>
    <m/>
    <m/>
    <s v="Potatoe Creek SP Lodge"/>
  </r>
  <r>
    <d v="2024-06-05T00:00:00"/>
    <s v="June"/>
    <n v="2024"/>
    <x v="2"/>
    <n v="-724"/>
    <x v="1"/>
    <n v="289600"/>
    <n v="503"/>
    <x v="1"/>
    <s v="Eph"/>
    <n v="2267"/>
    <s v="Origis Energy"/>
    <s v="LRL-2020-611-tmb"/>
    <s v="2023-453-42-JWR-A"/>
    <m/>
    <s v="Knox"/>
    <n v="38.701824999999999"/>
    <n v="-87.294898000000003"/>
    <s v="Energy Production"/>
    <m/>
    <s v="No"/>
    <m/>
    <n v="43440"/>
    <n v="202720"/>
    <n v="43440"/>
    <s v="L"/>
    <s v="J"/>
    <m/>
    <m/>
    <m/>
    <m/>
    <m/>
    <m/>
    <m/>
  </r>
  <r>
    <d v="2024-06-05T00:00:00"/>
    <s v="June"/>
    <n v="2024"/>
    <x v="1"/>
    <n v="-4.3999999999999997E-2"/>
    <x v="0"/>
    <n v="4180"/>
    <n v="501"/>
    <x v="2"/>
    <s v="PEM"/>
    <n v="2.9000000000000001E-2"/>
    <s v="INDOT"/>
    <s v="N/A"/>
    <s v="IWIP 2024-121-45-GCW-A"/>
    <m/>
    <s v="Lake"/>
    <n v="41.344695999999999"/>
    <n v="-87.469825"/>
    <s v="Transportation"/>
    <m/>
    <s v="No"/>
    <m/>
    <n v="627"/>
    <n v="2926"/>
    <n v="627"/>
    <s v="C"/>
    <s v="SI"/>
    <s v="2 NF"/>
    <m/>
    <m/>
    <m/>
    <m/>
    <m/>
    <s v="INDOT DES No. 2003098"/>
  </r>
  <r>
    <d v="2024-06-24T00:00:00"/>
    <s v="June"/>
    <n v="2024"/>
    <x v="9"/>
    <n v="-0.73"/>
    <x v="0"/>
    <n v="58400"/>
    <n v="512"/>
    <x v="2"/>
    <s v="PFO"/>
    <n v="0.28999999999999998"/>
    <s v="Laskey Properties"/>
    <s v="N/A"/>
    <s v="IWIP-2022-435-29"/>
    <m/>
    <s v="Hamilton"/>
    <n v="39.939"/>
    <n v="-86.022199999999998"/>
    <s v="Development"/>
    <m/>
    <s v="No"/>
    <m/>
    <n v="8760"/>
    <n v="40880"/>
    <n v="8760"/>
    <s v="L"/>
    <s v="SI"/>
    <s v="3 FO"/>
    <m/>
    <m/>
    <m/>
    <m/>
    <m/>
    <m/>
  </r>
  <r>
    <d v="2024-06-24T00:00:00"/>
    <s v="June"/>
    <n v="2024"/>
    <x v="10"/>
    <n v="-0.67"/>
    <x v="0"/>
    <n v="53600"/>
    <n v="509"/>
    <x v="1"/>
    <s v="PSS"/>
    <n v="0.222"/>
    <s v="Arbor Homes"/>
    <s v="LRL-2022-00973-sjk"/>
    <s v="2024-233-3-JLB-A"/>
    <m/>
    <s v="Bartholomew"/>
    <n v="39.232697999999999"/>
    <n v="-85.947812999999996"/>
    <s v="Development"/>
    <m/>
    <s v="No"/>
    <m/>
    <n v="8040"/>
    <n v="37520"/>
    <n v="8040"/>
    <s v="L"/>
    <s v="J"/>
    <m/>
    <m/>
    <m/>
    <m/>
    <m/>
    <m/>
    <m/>
  </r>
  <r>
    <d v="2024-07-17T00:00:00"/>
    <s v="July"/>
    <n v="2024"/>
    <x v="0"/>
    <n v="-0.62"/>
    <x v="0"/>
    <n v="58900"/>
    <n v="513"/>
    <x v="1"/>
    <s v="PEM"/>
    <n v="0.34"/>
    <s v="NIPSCO"/>
    <s v="LRC-2024-0076"/>
    <s v="2024-155-45-MTM-A"/>
    <m/>
    <s v="Lake"/>
    <n v="41.384211999999998"/>
    <n v="-87.317547000000005"/>
    <s v="Energy Production"/>
    <m/>
    <s v="No"/>
    <m/>
    <n v="8835"/>
    <n v="41230"/>
    <n v="8835"/>
    <s v="C"/>
    <s v="J"/>
    <m/>
    <m/>
    <m/>
    <m/>
    <m/>
    <m/>
    <m/>
  </r>
  <r>
    <d v="2024-07-17T00:00:00"/>
    <s v="July"/>
    <n v="2024"/>
    <x v="0"/>
    <n v="-1.08"/>
    <x v="0"/>
    <n v="102600"/>
    <n v="515"/>
    <x v="2"/>
    <s v="PFO"/>
    <n v="0.36"/>
    <s v="Love's Travel Stop"/>
    <s v="N/A"/>
    <s v="IWIP 2024-357-46-MTM-A"/>
    <m/>
    <s v="LaPorte"/>
    <n v="41.655430000000003"/>
    <n v="-86.898989999999998"/>
    <s v="Development"/>
    <m/>
    <s v="No"/>
    <m/>
    <n v="15390"/>
    <n v="71820"/>
    <n v="15390"/>
    <s v="C"/>
    <s v="SI"/>
    <s v="3 FO"/>
    <m/>
    <m/>
    <m/>
    <m/>
    <m/>
    <m/>
  </r>
  <r>
    <d v="2024-08-07T00:00:00"/>
    <s v="August"/>
    <n v="2024"/>
    <x v="4"/>
    <n v="-163"/>
    <x v="1"/>
    <n v="65200"/>
    <n v="511"/>
    <x v="1"/>
    <s v="Eph"/>
    <n v="800"/>
    <s v="Tippecanoe County Highway Department"/>
    <s v="LRL-2020-175-sjk"/>
    <s v="2020-218-79-ERL-A"/>
    <m/>
    <s v="Tippecanoe"/>
    <n v="40.487935"/>
    <n v="-86.874933999999996"/>
    <s v="Transportation"/>
    <m/>
    <s v="No"/>
    <m/>
    <n v="9780"/>
    <n v="45640"/>
    <n v="9780"/>
    <s v="L"/>
    <s v="J"/>
    <m/>
    <m/>
    <m/>
    <m/>
    <m/>
    <m/>
    <s v="INDOT DES No. 1401279"/>
  </r>
  <r>
    <d v="2024-08-07T00:00:00"/>
    <s v="August"/>
    <n v="2024"/>
    <x v="10"/>
    <n v="-605"/>
    <x v="1"/>
    <n v="2600"/>
    <n v="514"/>
    <x v="1"/>
    <s v="Eph"/>
    <n v="1270"/>
    <s v="INDOT"/>
    <s v="LRL-2022-77"/>
    <s v="2023-1024-89-GCW-A"/>
    <m/>
    <s v="Wayne"/>
    <n v="39.853189999999998"/>
    <n v="-85.172342999999998"/>
    <s v="Transportation"/>
    <m/>
    <s v="No"/>
    <m/>
    <n v="390"/>
    <n v="1819.9999999999998"/>
    <n v="390"/>
    <s v="L"/>
    <s v="J"/>
    <m/>
    <m/>
    <m/>
    <m/>
    <m/>
    <m/>
    <s v="INDOT DES No. 2002424"/>
  </r>
  <r>
    <d v="2024-08-07T00:00:00"/>
    <s v="August"/>
    <n v="2024"/>
    <x v="10"/>
    <n v="-1057"/>
    <x v="1"/>
    <n v="422800"/>
    <n v="514"/>
    <x v="1"/>
    <s v="Int"/>
    <n v="4027"/>
    <s v="INDOT"/>
    <s v="LRL-2022-77"/>
    <s v="2023-1024-89-GCW-A"/>
    <m/>
    <s v="Wayne"/>
    <n v="39.853189999999998"/>
    <n v="-85.172342999999998"/>
    <s v="Transportation"/>
    <m/>
    <s v="No"/>
    <m/>
    <n v="63420"/>
    <n v="295960"/>
    <n v="63420"/>
    <s v="L"/>
    <s v="J"/>
    <m/>
    <m/>
    <m/>
    <m/>
    <m/>
    <m/>
    <s v="DES No. 2002424"/>
  </r>
  <r>
    <d v="2024-08-07T00:00:00"/>
    <s v="August"/>
    <n v="2024"/>
    <x v="10"/>
    <n v="-1654"/>
    <x v="1"/>
    <n v="661600"/>
    <n v="514"/>
    <x v="1"/>
    <s v="Per"/>
    <n v="1654"/>
    <s v="INDOT"/>
    <s v="LRL-2022-77"/>
    <s v="2023-1024-89-GCW-A"/>
    <m/>
    <s v="Wayne"/>
    <n v="39.853189999999998"/>
    <n v="-85.172342999999998"/>
    <s v="Transportation"/>
    <m/>
    <s v="No"/>
    <m/>
    <n v="99240"/>
    <n v="463119.99999999994"/>
    <n v="99240"/>
    <s v="L"/>
    <s v="J"/>
    <m/>
    <m/>
    <m/>
    <m/>
    <m/>
    <m/>
    <s v="DES No. 2002424"/>
  </r>
  <r>
    <d v="2024-08-07T00:00:00"/>
    <s v="August"/>
    <n v="2024"/>
    <x v="10"/>
    <n v="-3.4"/>
    <x v="0"/>
    <n v="272000"/>
    <n v="514"/>
    <x v="1"/>
    <s v="PEM"/>
    <n v="1.698"/>
    <s v="INDOT"/>
    <s v="LRL-2022-77"/>
    <s v="2023-1024-89-GCW-A"/>
    <m/>
    <s v="Wayne"/>
    <n v="39.853189999999998"/>
    <n v="-85.172342999999998"/>
    <s v="Transportation"/>
    <m/>
    <s v="No"/>
    <m/>
    <n v="40800"/>
    <n v="190400"/>
    <n v="40800"/>
    <s v="L"/>
    <s v="J"/>
    <m/>
    <m/>
    <m/>
    <m/>
    <m/>
    <m/>
    <s v="DES No. 2002424"/>
  </r>
  <r>
    <d v="2024-08-07T00:00:00"/>
    <s v="August"/>
    <n v="2024"/>
    <x v="10"/>
    <n v="-0.76"/>
    <x v="0"/>
    <n v="60800"/>
    <n v="514"/>
    <x v="1"/>
    <s v="PSS"/>
    <n v="0.253"/>
    <s v="INDOT"/>
    <s v="LRL-2022-77"/>
    <s v="2023-1024-89-GCW-A"/>
    <m/>
    <s v="Wayne"/>
    <n v="39.853189999999998"/>
    <n v="-85.172342999999998"/>
    <s v="Transportation"/>
    <m/>
    <s v="No"/>
    <m/>
    <n v="9120"/>
    <n v="42560"/>
    <n v="9120"/>
    <s v="L"/>
    <s v="J"/>
    <m/>
    <m/>
    <m/>
    <m/>
    <m/>
    <m/>
    <s v="DES No. 2002424"/>
  </r>
  <r>
    <d v="2024-08-07T00:00:00"/>
    <s v="August"/>
    <n v="2024"/>
    <x v="10"/>
    <n v="-4.42"/>
    <x v="0"/>
    <n v="353600"/>
    <n v="514"/>
    <x v="1"/>
    <s v="PFO"/>
    <n v="1.1040000000000001"/>
    <s v="INDOT"/>
    <s v="LRL-2022-77"/>
    <s v="2023-1024-89-GCW-A"/>
    <m/>
    <s v="Wayne"/>
    <n v="39.853189999999998"/>
    <n v="-85.172342999999998"/>
    <s v="Transportation"/>
    <m/>
    <s v="No"/>
    <m/>
    <n v="53040"/>
    <n v="247519.99999999997"/>
    <n v="53040"/>
    <s v="L"/>
    <s v="J"/>
    <m/>
    <m/>
    <m/>
    <m/>
    <m/>
    <m/>
    <s v="DES No. 2002424"/>
  </r>
  <r>
    <d v="2024-08-07T00:00:00"/>
    <s v="August"/>
    <n v="2024"/>
    <x v="10"/>
    <n v="-0.97"/>
    <x v="0"/>
    <n v="77600"/>
    <n v="514"/>
    <x v="2"/>
    <s v="PEM"/>
    <n v="0.64800000000000002"/>
    <s v="INDOT"/>
    <s v="N/A"/>
    <s v="IWIP 2023-1024-89-GCW-A"/>
    <m/>
    <s v="Wayne"/>
    <n v="39.853189999999998"/>
    <n v="-85.172342999999998"/>
    <s v="Transportation"/>
    <m/>
    <s v="No"/>
    <m/>
    <n v="11640"/>
    <n v="54320"/>
    <n v="11640"/>
    <s v="L"/>
    <s v="SI"/>
    <s v="2 NF"/>
    <m/>
    <m/>
    <m/>
    <m/>
    <m/>
    <s v="INDOT DES No. 2002424 Revive I-70"/>
  </r>
  <r>
    <d v="2024-08-07T00:00:00"/>
    <s v="August"/>
    <n v="2024"/>
    <x v="3"/>
    <n v="-37.5"/>
    <x v="1"/>
    <n v="16875"/>
    <n v="521"/>
    <x v="1"/>
    <s v="Int"/>
    <n v="37.5"/>
    <s v="INDOT"/>
    <s v="N/A"/>
    <s v="2024-413-2-GCW-X"/>
    <m/>
    <s v="Allen"/>
    <n v="41.12491"/>
    <n v="-85.154899999999998"/>
    <s v="Energy Production"/>
    <m/>
    <s v="No"/>
    <m/>
    <n v="2531.25"/>
    <n v="11812.5"/>
    <n v="2531.25"/>
    <s v="D"/>
    <s v="J"/>
    <m/>
    <m/>
    <m/>
    <m/>
    <m/>
    <m/>
    <m/>
  </r>
  <r>
    <d v="2024-08-07T00:00:00"/>
    <s v="August"/>
    <n v="2024"/>
    <x v="3"/>
    <n v="-43"/>
    <x v="1"/>
    <n v="19350"/>
    <n v="521"/>
    <x v="1"/>
    <s v="Eph"/>
    <n v="43"/>
    <s v="INDOT"/>
    <s v="N/A"/>
    <s v="2024-413-2-GCW-X"/>
    <m/>
    <s v="Allen"/>
    <n v="41.12491"/>
    <n v="-85.154899999999998"/>
    <s v="Energy Production"/>
    <m/>
    <s v="No"/>
    <m/>
    <n v="2902.5"/>
    <n v="13545"/>
    <n v="2902.5"/>
    <s v="D"/>
    <s v="J"/>
    <m/>
    <m/>
    <m/>
    <m/>
    <m/>
    <m/>
    <m/>
  </r>
  <r>
    <d v="2024-08-07T00:00:00"/>
    <s v="August"/>
    <n v="2024"/>
    <x v="1"/>
    <n v="-0.41"/>
    <x v="0"/>
    <n v="38950"/>
    <n v="524"/>
    <x v="1"/>
    <s v="PEM"/>
    <n v="0.27"/>
    <s v="ANR Pipeline Company"/>
    <s v="N/A"/>
    <s v="2020-229-45-MTM-A"/>
    <m/>
    <s v="Lake"/>
    <n v="41.433889999999998"/>
    <n v="-87.490600000000001"/>
    <s v="Energy Production"/>
    <m/>
    <s v="No"/>
    <m/>
    <n v="5842.5"/>
    <n v="27265"/>
    <n v="5842.5"/>
    <s v="C"/>
    <s v="J"/>
    <m/>
    <m/>
    <m/>
    <m/>
    <m/>
    <m/>
    <s v="Mitigation for additional wetland impacts (See also 2020-228-45-MTM-A and invoice/credit sale letter 0314 5/2022)"/>
  </r>
  <r>
    <d v="2024-08-13T00:00:00"/>
    <s v="August"/>
    <n v="2024"/>
    <x v="9"/>
    <n v="-7.875"/>
    <x v="0"/>
    <n v="630000"/>
    <n v="525"/>
    <x v="2"/>
    <s v="PFO"/>
    <n v="3.15"/>
    <s v="Hendricks Regional Health"/>
    <s v="N/A"/>
    <s v="IWIP 2024-168-32-MPY-A"/>
    <m/>
    <s v="Hendricks"/>
    <n v="39.844289000000003"/>
    <n v="-86.359190999999996"/>
    <s v="Development"/>
    <m/>
    <s v="No"/>
    <m/>
    <n v="94500"/>
    <n v="441000"/>
    <n v="94500"/>
    <s v="L"/>
    <s v="SI"/>
    <s v="3 FO "/>
    <m/>
    <m/>
    <m/>
    <m/>
    <m/>
    <m/>
  </r>
  <r>
    <d v="2024-08-13T00:00:00"/>
    <s v="August"/>
    <n v="2024"/>
    <x v="8"/>
    <n v="-0.65"/>
    <x v="0"/>
    <n v="52000"/>
    <n v="516"/>
    <x v="1"/>
    <s v="PEM"/>
    <n v="0.29699999999999999"/>
    <s v="Prairie Creek Wind, LLC"/>
    <s v="LRL-2022-00508-sjk"/>
    <s v="2024-26-5-EJW-A"/>
    <m/>
    <s v="Blackford"/>
    <n v="40.557099999999998"/>
    <n v="-85.375500000000002"/>
    <s v="Energy Production"/>
    <m/>
    <s v="No"/>
    <m/>
    <n v="7800"/>
    <n v="36400"/>
    <n v="7800"/>
    <s v="L"/>
    <s v="J"/>
    <m/>
    <m/>
    <m/>
    <m/>
    <m/>
    <m/>
    <m/>
  </r>
  <r>
    <d v="2024-08-13T00:00:00"/>
    <s v="August"/>
    <n v="2024"/>
    <x v="8"/>
    <n v="-60.77"/>
    <x v="1"/>
    <n v="24308"/>
    <n v="516"/>
    <x v="1"/>
    <s v="Per"/>
    <n v="0.29699999999999999"/>
    <s v="Prairie Creek Wind, LLC"/>
    <s v="LRL-2022-00508-sjk"/>
    <s v="2024-26-5-EJW-A"/>
    <m/>
    <s v="Blackford"/>
    <n v="40.557099999999998"/>
    <n v="-85.375500000000002"/>
    <s v="Energy Production"/>
    <m/>
    <s v="No"/>
    <m/>
    <n v="3646.2"/>
    <n v="17015.599999999999"/>
    <n v="3646.2"/>
    <s v="L"/>
    <s v="J"/>
    <m/>
    <m/>
    <m/>
    <m/>
    <m/>
    <m/>
    <m/>
  </r>
  <r>
    <d v="2024-08-14T00:00:00"/>
    <s v="August"/>
    <n v="2024"/>
    <x v="0"/>
    <n v="-0.51749999999999996"/>
    <x v="0"/>
    <n v="49163"/>
    <n v="485"/>
    <x v="1"/>
    <s v="PEM"/>
    <n v="0.34499999999999997"/>
    <s v="Porter County Commissioner"/>
    <s v="LRC-2022-00523"/>
    <s v="2023-435-64-MTM-A"/>
    <m/>
    <s v="Porter"/>
    <n v="41.688896999999997"/>
    <n v="-86.950789"/>
    <s v="Transportation"/>
    <m/>
    <s v="No"/>
    <m/>
    <n v="7374.45"/>
    <n v="34414.1"/>
    <n v="7374.45"/>
    <s v="C"/>
    <s v="J"/>
    <m/>
    <m/>
    <m/>
    <m/>
    <m/>
    <m/>
    <s v="DES NO 1500419"/>
  </r>
  <r>
    <d v="2024-08-23T00:00:00"/>
    <s v="August"/>
    <n v="2024"/>
    <x v="8"/>
    <n v="-0.5"/>
    <x v="0"/>
    <n v="40000"/>
    <n v="520"/>
    <x v="1"/>
    <s v="PEM"/>
    <n v="0.21"/>
    <s v="AEP"/>
    <s v="LRL-2024-00436-cte"/>
    <s v="2024-528-68-LDC-X"/>
    <m/>
    <s v="Randolph"/>
    <n v="40.186599999999999"/>
    <n v="-84.863169999999997"/>
    <s v="Energy Production"/>
    <m/>
    <s v="No"/>
    <m/>
    <n v="6000"/>
    <n v="28000"/>
    <n v="6000"/>
    <s v="L"/>
    <s v="J"/>
    <m/>
    <m/>
    <m/>
    <m/>
    <m/>
    <m/>
    <m/>
  </r>
  <r>
    <d v="2024-08-23T00:00:00"/>
    <s v="August"/>
    <n v="2024"/>
    <x v="6"/>
    <n v="-80"/>
    <x v="1"/>
    <n v="48000"/>
    <n v="522"/>
    <x v="1"/>
    <s v="Int"/>
    <n v="80"/>
    <s v="INDOT"/>
    <s v="N/A"/>
    <s v="2024-352-71-GCW-X"/>
    <m/>
    <s v="St. Joseph"/>
    <n v="41.624862999999998"/>
    <n v="-86.174055999999993"/>
    <s v="Transportation"/>
    <m/>
    <s v="No"/>
    <m/>
    <n v="7200"/>
    <n v="33600"/>
    <n v="7200"/>
    <s v="D"/>
    <s v="J"/>
    <m/>
    <m/>
    <m/>
    <m/>
    <m/>
    <m/>
    <s v="INDOT DES NO 2100761"/>
  </r>
  <r>
    <d v="2024-08-23T00:00:00"/>
    <s v="August"/>
    <n v="2024"/>
    <x v="9"/>
    <n v="-5.47"/>
    <x v="0"/>
    <n v="437600"/>
    <n v="392"/>
    <x v="2"/>
    <s v="PFO"/>
    <n v="2.1880000000000002"/>
    <s v="Thursday Pools, LLC"/>
    <s v="N/A"/>
    <s v="IWIP 2023-5-30-EKB-A"/>
    <m/>
    <s v="Hancock"/>
    <n v="39.934790999999997"/>
    <n v="-85.833048000000005"/>
    <s v="Development"/>
    <m/>
    <s v="No"/>
    <m/>
    <n v="65640"/>
    <n v="306320"/>
    <n v="65640"/>
    <s v="L"/>
    <s v="SI"/>
    <s v="3 FO"/>
    <m/>
    <m/>
    <m/>
    <m/>
    <m/>
    <m/>
  </r>
  <r>
    <d v="2024-09-03T00:00:00"/>
    <s v="September"/>
    <n v="2024"/>
    <x v="9"/>
    <n v="-3"/>
    <x v="0"/>
    <n v="240000"/>
    <n v="390"/>
    <x v="2"/>
    <s v="PFO"/>
    <n v="1.2"/>
    <s v="Thompson Thrift"/>
    <s v="N/A"/>
    <s v="IWIP 2022-1199-29-EKB-A"/>
    <m/>
    <s v="Hamilton"/>
    <n v="39.947699999999998"/>
    <n v="-86.003900000000002"/>
    <s v="Development"/>
    <m/>
    <s v="No"/>
    <m/>
    <n v="36000"/>
    <n v="168000"/>
    <n v="36000"/>
    <s v="L"/>
    <s v="I"/>
    <s v="3 FO"/>
    <m/>
    <m/>
    <m/>
    <m/>
    <m/>
    <m/>
  </r>
  <r>
    <d v="2024-09-03T00:00:00"/>
    <s v="September"/>
    <n v="2024"/>
    <x v="9"/>
    <n v="-2"/>
    <x v="0"/>
    <n v="160000"/>
    <n v="390"/>
    <x v="2"/>
    <s v="PFO"/>
    <n v="1"/>
    <s v="Thompson Thrift"/>
    <s v="N/A"/>
    <s v="IWIP 2022-1199-29-EKB-A"/>
    <m/>
    <s v="Hamilton"/>
    <n v="39.947699999999998"/>
    <n v="-86.003900000000002"/>
    <s v="Development"/>
    <m/>
    <s v="No"/>
    <m/>
    <n v="24000"/>
    <n v="112000"/>
    <n v="24000"/>
    <s v="L"/>
    <s v="I"/>
    <s v="2 FO"/>
    <m/>
    <m/>
    <m/>
    <m/>
    <m/>
    <m/>
  </r>
  <r>
    <d v="2024-09-03T00:00:00"/>
    <s v="September"/>
    <n v="2024"/>
    <x v="9"/>
    <n v="-1.2"/>
    <x v="0"/>
    <n v="96000"/>
    <n v="390"/>
    <x v="2"/>
    <s v="PEM"/>
    <n v="0.8"/>
    <s v="Thompson Thrift"/>
    <s v="N/A"/>
    <s v="IWIP 2022-1199-29-EKB-A"/>
    <m/>
    <s v="Hamilton"/>
    <n v="39.947699999999998"/>
    <n v="-86.003900000000002"/>
    <s v="Development"/>
    <m/>
    <s v="No"/>
    <m/>
    <n v="14400"/>
    <n v="67200"/>
    <n v="14400"/>
    <s v="L"/>
    <s v="I"/>
    <s v="2 NF"/>
    <m/>
    <m/>
    <m/>
    <m/>
    <m/>
    <m/>
  </r>
  <r>
    <d v="2024-09-04T00:00:00"/>
    <s v="September"/>
    <n v="2024"/>
    <x v="9"/>
    <n v="-252"/>
    <x v="1"/>
    <n v="113400"/>
    <n v="523"/>
    <x v="1"/>
    <s v="Per"/>
    <n v="204"/>
    <s v="Lennar Homes of Indiana, LLC"/>
    <s v="LRL-2017-00334-sjk"/>
    <s v="2024-100-29-GCW-A"/>
    <m/>
    <s v="Hamilton"/>
    <n v="40.073878999999998"/>
    <n v="-86.064888999999994"/>
    <s v="Development"/>
    <m/>
    <s v="No"/>
    <m/>
    <n v="17010"/>
    <n v="79380"/>
    <n v="17010"/>
    <s v="L"/>
    <s v="J"/>
    <m/>
    <m/>
    <m/>
    <m/>
    <m/>
    <m/>
    <m/>
  </r>
  <r>
    <d v="2024-09-04T00:00:00"/>
    <s v="September"/>
    <n v="2024"/>
    <x v="9"/>
    <n v="-713"/>
    <x v="1"/>
    <n v="320850"/>
    <n v="523"/>
    <x v="1"/>
    <s v="Int"/>
    <n v="594"/>
    <s v="Lennar Homes of Indiana, LLC"/>
    <s v="LRL-2017-00334-sjk"/>
    <s v="2024-100-29-GCW-A"/>
    <m/>
    <s v="Hamilton"/>
    <n v="40.073878999999998"/>
    <n v="-86.064888999999994"/>
    <s v="Development"/>
    <m/>
    <s v="No"/>
    <m/>
    <n v="48127.5"/>
    <n v="224595"/>
    <n v="48127.5"/>
    <s v="L"/>
    <s v="J"/>
    <m/>
    <m/>
    <m/>
    <m/>
    <m/>
    <m/>
    <m/>
  </r>
  <r>
    <d v="2024-09-04T00:00:00"/>
    <s v="September"/>
    <n v="2024"/>
    <x v="9"/>
    <n v="-0.44400000000000001"/>
    <x v="0"/>
    <n v="35520"/>
    <n v="523"/>
    <x v="1"/>
    <s v="PFO"/>
    <n v="0.111"/>
    <s v="Lennar Homes of Indiana, LLC"/>
    <s v="LRL-2017-00334-sjk"/>
    <s v="2024-100-29-GCW-A"/>
    <m/>
    <s v="Hamilton"/>
    <n v="40.073878999999998"/>
    <n v="-86.064888999999994"/>
    <s v="Development"/>
    <m/>
    <s v="No"/>
    <m/>
    <n v="5328"/>
    <n v="24864"/>
    <n v="5328"/>
    <s v="L"/>
    <s v="J"/>
    <m/>
    <m/>
    <m/>
    <m/>
    <m/>
    <m/>
    <m/>
  </r>
  <r>
    <d v="2024-09-04T00:00:00"/>
    <s v="September"/>
    <n v="2024"/>
    <x v="9"/>
    <n v="-0.02"/>
    <x v="0"/>
    <n v="1600"/>
    <n v="523"/>
    <x v="2"/>
    <s v="PFO"/>
    <n v="6.0000000000000001E-3"/>
    <s v="Lennar Homes of Indiana, LLC"/>
    <s v="LRL-2017-00334-sjk"/>
    <s v="IWIP 2024-100-29-GCW-A"/>
    <m/>
    <s v="Hamilton"/>
    <n v="40.073878999999998"/>
    <n v="-86.064888999999994"/>
    <s v="Development"/>
    <m/>
    <s v="No"/>
    <m/>
    <n v="240"/>
    <n v="1120"/>
    <n v="240"/>
    <s v="L"/>
    <s v="SI"/>
    <m/>
    <m/>
    <m/>
    <m/>
    <m/>
    <m/>
    <m/>
  </r>
  <r>
    <d v="2024-09-04T00:00:00"/>
    <s v="September"/>
    <n v="2024"/>
    <x v="9"/>
    <n v="-0.5"/>
    <x v="0"/>
    <n v="40000"/>
    <n v="528"/>
    <x v="2"/>
    <s v="PFO"/>
    <n v="0.2"/>
    <s v="Drees Homes"/>
    <s v="N/A"/>
    <s v="IWIP 2024-376-32-MPY-A"/>
    <m/>
    <s v="Hendricks"/>
    <n v="39.790702000000003"/>
    <n v="-86.394506000000007"/>
    <s v="Development"/>
    <m/>
    <s v="No"/>
    <m/>
    <n v="6000"/>
    <n v="28000"/>
    <n v="6000"/>
    <s v="L"/>
    <s v="SI"/>
    <s v="3 FO"/>
    <m/>
    <m/>
    <m/>
    <m/>
    <m/>
    <m/>
  </r>
  <r>
    <d v="2024-09-04T00:00:00"/>
    <s v="September"/>
    <n v="2024"/>
    <x v="8"/>
    <n v="-3.39"/>
    <x v="0"/>
    <n v="271200"/>
    <n v="531"/>
    <x v="1"/>
    <s v="PSS"/>
    <n v="1.1299999999999999"/>
    <s v="Blackford County Surveyor's Office"/>
    <s v="LRL-2022-793-sam"/>
    <s v="2023-388-5-EJW-A"/>
    <m/>
    <s v="Blackford"/>
    <n v="40.453695000000003"/>
    <n v="-85.391816000000006"/>
    <s v="Development"/>
    <m/>
    <s v="No"/>
    <m/>
    <n v="40680"/>
    <n v="189840"/>
    <n v="40680"/>
    <s v="L"/>
    <s v="J"/>
    <m/>
    <m/>
    <m/>
    <m/>
    <m/>
    <m/>
    <m/>
  </r>
  <r>
    <d v="2024-09-12T00:00:00"/>
    <s v="September"/>
    <n v="2024"/>
    <x v="1"/>
    <n v="-260.39999999999998"/>
    <x v="1"/>
    <n v="130200"/>
    <n v="529"/>
    <x v="1"/>
    <s v="Eph"/>
    <n v="217"/>
    <s v="Venture One Acquisitions, LLC"/>
    <s v="LRC-2023-00602"/>
    <s v="2024-90-45-MTM-A"/>
    <m/>
    <s v="Lake"/>
    <n v="41.285615"/>
    <n v="-87.308537999999999"/>
    <s v="Development"/>
    <m/>
    <s v="No"/>
    <m/>
    <n v="19530"/>
    <n v="91140"/>
    <n v="19530"/>
    <s v="C"/>
    <s v="J"/>
    <m/>
    <m/>
    <m/>
    <m/>
    <m/>
    <m/>
    <m/>
  </r>
  <r>
    <d v="2024-09-18T00:00:00"/>
    <s v="September"/>
    <n v="2024"/>
    <x v="9"/>
    <n v="-1.53"/>
    <x v="0"/>
    <n v="122400"/>
    <n v="517"/>
    <x v="2"/>
    <s v="PFO"/>
    <n v="0.61"/>
    <s v="Archview Properties"/>
    <s v="N/A"/>
    <s v="IWIP 2024-294-30-EJW-A"/>
    <m/>
    <s v="Hancock"/>
    <n v="39.868284000000003"/>
    <n v="-85.919186999999994"/>
    <s v="Development"/>
    <m/>
    <s v="No"/>
    <m/>
    <n v="18360"/>
    <n v="85680"/>
    <n v="18360"/>
    <s v="L"/>
    <s v="SI"/>
    <s v="2 FO"/>
    <m/>
    <m/>
    <m/>
    <m/>
    <m/>
    <m/>
  </r>
  <r>
    <d v="2024-09-26T00:00:00"/>
    <s v="September"/>
    <n v="2024"/>
    <x v="8"/>
    <n v="-0.5"/>
    <x v="0"/>
    <n v="40000"/>
    <n v="532"/>
    <x v="1"/>
    <s v="PFO"/>
    <n v="0.5"/>
    <s v="David Feltman"/>
    <s v="LRE-2019-821-143-R24"/>
    <s v="2024-353-43-MPY-A"/>
    <m/>
    <s v="Kosciusko"/>
    <n v="41.295074"/>
    <n v="-85.741298"/>
    <s v="Development"/>
    <m/>
    <s v="No"/>
    <m/>
    <n v="6000"/>
    <n v="28000"/>
    <n v="6000"/>
    <s v="D"/>
    <s v="J"/>
    <m/>
    <m/>
    <m/>
    <m/>
    <m/>
    <m/>
    <m/>
  </r>
  <r>
    <d v="2024-10-04T00:00:00"/>
    <s v="October"/>
    <n v="2024"/>
    <x v="8"/>
    <n v="-13.5"/>
    <x v="1"/>
    <n v="5400"/>
    <n v="373"/>
    <x v="1"/>
    <s v="Per"/>
    <n v="13.5"/>
    <s v="INDOT"/>
    <s v="N/A"/>
    <s v="2023-15-2-WLR-X"/>
    <m/>
    <s v="Allen"/>
    <n v="41.013989000000002"/>
    <n v="-85.322722999999996"/>
    <s v="Agriculture"/>
    <m/>
    <s v="No"/>
    <m/>
    <n v="810"/>
    <n v="3779.9999999999995"/>
    <n v="810"/>
    <s v="D"/>
    <s v="J"/>
    <m/>
    <m/>
    <m/>
    <m/>
    <m/>
    <m/>
    <s v="1800058, 1800059, 1900070, 2000548"/>
  </r>
  <r>
    <d v="2024-10-04T00:00:00"/>
    <s v="October"/>
    <n v="2024"/>
    <x v="8"/>
    <n v="-86"/>
    <x v="1"/>
    <n v="34400"/>
    <n v="373"/>
    <x v="1"/>
    <s v="Int"/>
    <n v="86"/>
    <s v="INDOT"/>
    <s v="N/A"/>
    <s v="2023-15-2-WLR-X"/>
    <m/>
    <s v="Allen"/>
    <n v="41.013989000000002"/>
    <n v="-85.322722999999996"/>
    <s v="Transportation"/>
    <m/>
    <s v="No"/>
    <m/>
    <n v="5160"/>
    <n v="24080"/>
    <n v="5160"/>
    <s v="D"/>
    <s v="J"/>
    <m/>
    <m/>
    <m/>
    <m/>
    <m/>
    <m/>
    <s v="1800058, 1800059, 1900070, 2000548"/>
  </r>
  <r>
    <d v="2024-10-10T00:00:00"/>
    <s v="October"/>
    <n v="2024"/>
    <x v="9"/>
    <n v="-3.8"/>
    <x v="0"/>
    <n v="304000"/>
    <n v="527"/>
    <x v="2"/>
    <s v="PFO"/>
    <n v="1.52"/>
    <s v="Apex Realty Group"/>
    <s v="N/A"/>
    <s v="IWIP 2023-406-49-GCW-A"/>
    <m/>
    <s v="Marion"/>
    <n v="39.894140999999998"/>
    <n v="-86.210183000000001"/>
    <s v="Development"/>
    <m/>
    <s v="No"/>
    <m/>
    <n v="45600"/>
    <n v="212800"/>
    <n v="45600"/>
    <s v="L"/>
    <s v="J"/>
    <s v="3 FO"/>
    <m/>
    <m/>
    <m/>
    <m/>
    <m/>
    <m/>
  </r>
  <r>
    <d v="2024-10-10T00:00:00"/>
    <s v="October"/>
    <n v="2024"/>
    <x v="8"/>
    <n v="-26"/>
    <x v="1"/>
    <n v="10400"/>
    <n v="534"/>
    <x v="1"/>
    <s v="Int"/>
    <n v="26"/>
    <s v="INDOT"/>
    <s v="LRE-2024-00305-102-N24"/>
    <s v="2024-399-2-GCW-X"/>
    <m/>
    <s v="Allen"/>
    <n v="40.952199999999998"/>
    <n v="-85.258099999999999"/>
    <s v="Transportation"/>
    <m/>
    <s v="No"/>
    <m/>
    <n v="1560"/>
    <n v="7279.9999999999991"/>
    <n v="1560"/>
    <s v="D"/>
    <s v="J"/>
    <m/>
    <m/>
    <m/>
    <m/>
    <m/>
    <m/>
    <s v="INDOT DES No. 2002209"/>
  </r>
  <r>
    <d v="2024-10-10T00:00:00"/>
    <s v="October"/>
    <n v="2024"/>
    <x v="8"/>
    <n v="-2.4E-2"/>
    <x v="0"/>
    <n v="1920"/>
    <n v="534"/>
    <x v="1"/>
    <s v="PEM"/>
    <n v="1.2E-2"/>
    <s v="INDOT"/>
    <s v="LRE-2024-00305-102-N25"/>
    <s v="2024-399-2-GCW-X"/>
    <m/>
    <s v="Allen"/>
    <n v="40.952199999999998"/>
    <n v="-85.258099999999999"/>
    <s v="Transportation"/>
    <m/>
    <s v="No"/>
    <m/>
    <n v="288"/>
    <n v="1344"/>
    <n v="288"/>
    <s v="D"/>
    <s v="J"/>
    <m/>
    <m/>
    <m/>
    <m/>
    <m/>
    <m/>
    <s v="INDOT DES No. 2002209"/>
  </r>
  <r>
    <d v="2024-10-10T00:00:00"/>
    <s v="October"/>
    <n v="2024"/>
    <x v="0"/>
    <n v="-102"/>
    <x v="1"/>
    <n v="61200"/>
    <n v="535"/>
    <x v="1"/>
    <s v="Per"/>
    <n v="102"/>
    <s v="INDOT"/>
    <s v="LRC-2023-00564"/>
    <s v="2023-991-45-GCW-A"/>
    <m/>
    <s v="Lake"/>
    <n v="41.571116000000004"/>
    <n v="-87.239908999999997"/>
    <s v="Transportation"/>
    <m/>
    <s v="No"/>
    <m/>
    <n v="9180"/>
    <n v="42840"/>
    <n v="9180"/>
    <s v="C"/>
    <s v="J"/>
    <m/>
    <m/>
    <m/>
    <m/>
    <m/>
    <m/>
    <s v="INDOT DES No 1900012 US 6 Bridge Project over Muck Pocket"/>
  </r>
  <r>
    <d v="2024-10-10T00:00:00"/>
    <s v="October"/>
    <n v="2024"/>
    <x v="0"/>
    <n v="-0.51"/>
    <x v="0"/>
    <n v="48450"/>
    <n v="535"/>
    <x v="1"/>
    <s v="PEM"/>
    <n v="0.2"/>
    <s v="INDOT"/>
    <s v="LRC-2023-00564"/>
    <s v="2023-991-45-GCW-A"/>
    <m/>
    <s v="Lake"/>
    <n v="41.571116000000004"/>
    <n v="-87.239908999999997"/>
    <s v="Transportation"/>
    <m/>
    <s v="No"/>
    <m/>
    <n v="7267.5"/>
    <n v="33915"/>
    <n v="7267.5"/>
    <s v="C"/>
    <s v="J"/>
    <m/>
    <m/>
    <m/>
    <m/>
    <m/>
    <m/>
    <s v="INDOT DES No 1900012 US 6 Bridge Project over Muck Pocket"/>
  </r>
  <r>
    <d v="2024-10-10T00:00:00"/>
    <s v="October"/>
    <n v="2024"/>
    <x v="0"/>
    <n v="-0.43"/>
    <x v="0"/>
    <n v="40850"/>
    <n v="535"/>
    <x v="1"/>
    <s v="PSS"/>
    <n v="0.14399999999999999"/>
    <s v="INDOT"/>
    <s v="LRC-2023-00564"/>
    <s v="2023-991-45-GCW-A"/>
    <m/>
    <s v="Lake"/>
    <n v="41.571116000000004"/>
    <n v="-87.239908999999997"/>
    <s v="Transportation"/>
    <m/>
    <s v="No"/>
    <m/>
    <n v="6127.5"/>
    <n v="28595"/>
    <n v="6127.5"/>
    <s v="C"/>
    <s v="J"/>
    <m/>
    <m/>
    <m/>
    <m/>
    <m/>
    <m/>
    <s v="INDOT DES No 1900012 US 6 Bridge Project over Muck Pocket"/>
  </r>
  <r>
    <d v="2024-10-10T00:00:00"/>
    <s v="October"/>
    <n v="2024"/>
    <x v="2"/>
    <n v="-37.799999999999997"/>
    <x v="1"/>
    <n v="15120"/>
    <n v="536"/>
    <x v="1"/>
    <s v="Eph"/>
    <n v="96"/>
    <s v="INDOT"/>
    <s v="LRL-2023-104-dds"/>
    <s v="2023-314-47-JBT-A"/>
    <m/>
    <s v="Lawrence"/>
    <n v="38.903703700000001"/>
    <n v="-86.398320999999996"/>
    <s v="Transportation"/>
    <m/>
    <s v="No"/>
    <m/>
    <n v="2268"/>
    <n v="10584"/>
    <n v="2268"/>
    <s v="L"/>
    <s v="J"/>
    <m/>
    <m/>
    <m/>
    <m/>
    <m/>
    <m/>
    <s v="INDOT DES No 1900296 SR 58 Slide Correction"/>
  </r>
  <r>
    <d v="2024-10-10T00:00:00"/>
    <s v="October"/>
    <n v="2024"/>
    <x v="2"/>
    <n v="-744.1"/>
    <x v="1"/>
    <n v="297640"/>
    <n v="536"/>
    <x v="1"/>
    <s v="Int"/>
    <n v="744.1"/>
    <s v="INDOT"/>
    <s v="LRL-2023-104-dds"/>
    <s v="2023-314-47-JBT-A"/>
    <m/>
    <s v="Lawrence"/>
    <n v="38.903703700000001"/>
    <n v="-86.398320999999996"/>
    <s v="Transportation"/>
    <m/>
    <s v="No"/>
    <m/>
    <n v="44646"/>
    <n v="208348"/>
    <n v="44646"/>
    <s v="L"/>
    <s v="J"/>
    <m/>
    <m/>
    <m/>
    <m/>
    <m/>
    <m/>
    <s v="INDOT DES No 1900296 SR 58 Slide Correction"/>
  </r>
  <r>
    <d v="2024-10-31T00:00:00"/>
    <s v="October"/>
    <n v="2024"/>
    <x v="0"/>
    <n v="-0.23"/>
    <x v="0"/>
    <n v="21850"/>
    <n v="464"/>
    <x v="1"/>
    <s v="PEM"/>
    <n v="0.23"/>
    <s v="City of Crown Point"/>
    <s v="LRC-2022-00477"/>
    <s v="2022-760-45-MTM-A"/>
    <m/>
    <s v="Lake"/>
    <n v="41.410240999999999"/>
    <n v="-87.349329999999995"/>
    <s v="Development"/>
    <m/>
    <s v="No"/>
    <m/>
    <n v="3277.5"/>
    <n v="15294.999999999998"/>
    <n v="3277.5"/>
    <s v="C"/>
    <s v="J"/>
    <m/>
    <m/>
    <m/>
    <m/>
    <m/>
    <m/>
    <m/>
  </r>
  <r>
    <d v="2024-10-31T00:00:00"/>
    <s v="October"/>
    <n v="2024"/>
    <x v="9"/>
    <n v="-3.5999999999999997E-2"/>
    <x v="0"/>
    <n v="2880"/>
    <n v="537"/>
    <x v="1"/>
    <s v="PEM"/>
    <n v="1.7000000000000001E-2"/>
    <s v="INDOT"/>
    <s v="LRL-2023-683"/>
    <s v="2024-561-49-GCW"/>
    <m/>
    <s v="Wayne"/>
    <n v="39.726388999999998"/>
    <n v="-86.134444000000002"/>
    <s v="Transportation"/>
    <m/>
    <s v="No"/>
    <m/>
    <n v="432"/>
    <n v="2015.9999999999998"/>
    <n v="432"/>
    <s v="L"/>
    <s v="J"/>
    <m/>
    <m/>
    <m/>
    <m/>
    <m/>
    <m/>
    <s v="INDOT DES No. 1400073 I-65 Safety and Efficiency"/>
  </r>
  <r>
    <d v="2024-10-31T00:00:00"/>
    <s v="October"/>
    <n v="2024"/>
    <x v="9"/>
    <n v="-4.2000000000000003E-2"/>
    <x v="0"/>
    <n v="3360"/>
    <n v="537"/>
    <x v="1"/>
    <s v="PEM"/>
    <n v="1.4E-2"/>
    <s v="INDOT"/>
    <s v="LRL-2023-683"/>
    <s v="2024-561-49-GCW"/>
    <m/>
    <s v="Wayne"/>
    <n v="39.726388999999998"/>
    <n v="-86.134444000000002"/>
    <s v="Transportation"/>
    <m/>
    <s v="No"/>
    <m/>
    <n v="504"/>
    <n v="2352"/>
    <n v="504"/>
    <s v="L"/>
    <s v="J"/>
    <m/>
    <m/>
    <m/>
    <m/>
    <m/>
    <m/>
    <s v="INDOT DES No. 1400073 I-65 Safety and Efficiency"/>
  </r>
  <r>
    <d v="2024-10-31T00:00:00"/>
    <s v="October"/>
    <n v="2024"/>
    <x v="9"/>
    <n v="-786"/>
    <x v="1"/>
    <n v="353700"/>
    <n v="537"/>
    <x v="1"/>
    <s v="Per"/>
    <n v="1113.9000000000001"/>
    <s v="INDOT"/>
    <s v="LRL-2023-683"/>
    <s v="2024-561-49-GCW"/>
    <m/>
    <s v="Wayne"/>
    <n v="39.726388999999998"/>
    <n v="-86.134444000000002"/>
    <s v="Transportation"/>
    <m/>
    <s v="No"/>
    <m/>
    <n v="53055"/>
    <n v="247589.99999999997"/>
    <n v="53055"/>
    <s v="L"/>
    <s v="J"/>
    <m/>
    <m/>
    <m/>
    <m/>
    <m/>
    <m/>
    <s v="INDOT DES No. 1400073 I-65 Safety and Efficiency"/>
  </r>
  <r>
    <d v="2024-11-07T00:00:00"/>
    <s v="November"/>
    <n v="2024"/>
    <x v="9"/>
    <n v="-211"/>
    <x v="1"/>
    <n v="94950"/>
    <n v="489"/>
    <x v="1"/>
    <s v="Eph"/>
    <n v="408"/>
    <s v="City of Indianapolis DPW"/>
    <s v="LRL-2023-0150-jde"/>
    <s v="2023-507-49-GCW-A"/>
    <m/>
    <s v="Marion"/>
    <n v="39.764231000000002"/>
    <n v="-86.289077000000006"/>
    <s v="Transportation"/>
    <m/>
    <s v="No"/>
    <m/>
    <n v="14242.5"/>
    <n v="66465"/>
    <n v="14242.5"/>
    <s v="L"/>
    <s v="J"/>
    <m/>
    <m/>
    <m/>
    <m/>
    <m/>
    <m/>
    <m/>
  </r>
  <r>
    <d v="2024-11-14T00:00:00"/>
    <s v="November"/>
    <n v="2024"/>
    <x v="10"/>
    <n v="-0.26"/>
    <x v="0"/>
    <n v="20800"/>
    <n v="519"/>
    <x v="2"/>
    <s v="PEM"/>
    <n v="0.26"/>
    <s v="Duke Energy"/>
    <s v="N/A"/>
    <s v="IWIP 2024-114-3-JLB-A"/>
    <m/>
    <s v="Bartholomew"/>
    <n v="39.134900000000002"/>
    <n v="-85.949100000000001"/>
    <s v="Energy Production"/>
    <m/>
    <s v="No"/>
    <m/>
    <n v="3120"/>
    <n v="14559.999999999998"/>
    <n v="3120"/>
    <s v="L"/>
    <s v="SI"/>
    <s v="3 FO, 3NF"/>
    <m/>
    <m/>
    <m/>
    <m/>
    <m/>
    <m/>
  </r>
  <r>
    <d v="2024-11-14T00:00:00"/>
    <s v="November"/>
    <n v="2024"/>
    <x v="10"/>
    <n v="-2.84"/>
    <x v="0"/>
    <n v="227200"/>
    <n v="519"/>
    <x v="2"/>
    <s v="PFO"/>
    <n v="2.84"/>
    <s v="Duke Energy"/>
    <s v="N/A"/>
    <s v="IWIP 2024-114-3-JLB-A"/>
    <m/>
    <s v="Bartholomew"/>
    <n v="39.134900000000002"/>
    <n v="-85.949100000000001"/>
    <s v="Energy Production"/>
    <m/>
    <s v="No"/>
    <m/>
    <n v="34080"/>
    <n v="159040"/>
    <n v="34080"/>
    <s v="L"/>
    <s v="SI"/>
    <s v="3 FO, 3NF"/>
    <m/>
    <m/>
    <m/>
    <m/>
    <m/>
    <m/>
  </r>
  <r>
    <d v="2024-11-15T00:00:00"/>
    <s v="November"/>
    <n v="2024"/>
    <x v="7"/>
    <n v="-31"/>
    <x v="1"/>
    <n v="12400"/>
    <n v="539"/>
    <x v="1"/>
    <s v="Eph"/>
    <n v="118"/>
    <s v="INDOT"/>
    <s v="LRL-2021-85-djd"/>
    <s v="2022-448-72-JBT-A"/>
    <m/>
    <s v="Scott/Clark"/>
    <n v="38.71"/>
    <n v="-85.796199999999999"/>
    <s v="Transportation"/>
    <m/>
    <s v="No"/>
    <m/>
    <n v="1860"/>
    <n v="8680"/>
    <n v="1860"/>
    <s v="L"/>
    <s v="J"/>
    <m/>
    <m/>
    <m/>
    <m/>
    <m/>
    <m/>
    <s v=" INDOT DES No. 1700135 - includes several SA's - I-65 project"/>
  </r>
  <r>
    <d v="2024-11-15T00:00:00"/>
    <s v="November"/>
    <n v="2024"/>
    <x v="7"/>
    <n v="-30"/>
    <x v="1"/>
    <n v="12000"/>
    <n v="539"/>
    <x v="1"/>
    <s v="Int"/>
    <n v="710"/>
    <s v="INDOT"/>
    <s v="LRL-2021-85-djd"/>
    <s v="2022-448-72-JBT-A"/>
    <m/>
    <s v="Scott/Clark"/>
    <n v="38.71"/>
    <n v="-85.796199999999999"/>
    <s v="Transportation"/>
    <m/>
    <s v="No"/>
    <m/>
    <n v="1800"/>
    <n v="8400"/>
    <n v="1800"/>
    <s v="L"/>
    <s v="J"/>
    <m/>
    <m/>
    <m/>
    <m/>
    <m/>
    <m/>
    <s v=" INDOT DES No. 1700135 - includes several SA's - I-65 project"/>
  </r>
  <r>
    <d v="2024-11-15T00:00:00"/>
    <s v="November"/>
    <n v="2024"/>
    <x v="7"/>
    <n v="-171.9"/>
    <x v="1"/>
    <n v="68760"/>
    <n v="539"/>
    <x v="1"/>
    <s v="Per"/>
    <n v="625.9"/>
    <s v="INDOT"/>
    <s v="LRL-2021-85-djd"/>
    <s v="2022-448-72-JBT-A"/>
    <m/>
    <s v="Scott/Clark"/>
    <n v="38.71"/>
    <n v="-85.796199999999999"/>
    <s v="Transportation"/>
    <m/>
    <s v="No"/>
    <m/>
    <n v="10314"/>
    <n v="48132"/>
    <n v="10314"/>
    <s v="L"/>
    <s v="J"/>
    <m/>
    <m/>
    <m/>
    <m/>
    <m/>
    <m/>
    <s v=" INDOT DES No. 1700135 - includes several SA's - I-65 project"/>
  </r>
  <r>
    <d v="2024-11-15T00:00:00"/>
    <s v="November"/>
    <n v="2024"/>
    <x v="7"/>
    <n v="-6.0000000000000001E-3"/>
    <x v="0"/>
    <n v="480"/>
    <n v="539"/>
    <x v="1"/>
    <s v="PEM"/>
    <n v="3.0000000000000001E-3"/>
    <s v="INDOT"/>
    <s v="LRL-2021-85-djd"/>
    <s v="2022-448-72-JBT-A"/>
    <m/>
    <s v="Scott/Clark"/>
    <n v="38.71"/>
    <n v="-85.796199999999999"/>
    <s v="Transportation"/>
    <m/>
    <s v="No"/>
    <m/>
    <n v="72"/>
    <n v="336"/>
    <n v="72"/>
    <s v="L"/>
    <s v="J"/>
    <m/>
    <m/>
    <m/>
    <m/>
    <m/>
    <m/>
    <s v=" INDOT DES No. 1700135 - includes several SA's - I-65 project"/>
  </r>
  <r>
    <d v="2024-11-15T00:00:00"/>
    <s v="November"/>
    <n v="2024"/>
    <x v="7"/>
    <n v="-6.7599999999999993E-2"/>
    <x v="0"/>
    <n v="5408"/>
    <n v="539"/>
    <x v="1"/>
    <s v="PFO"/>
    <n v="1.6E-2"/>
    <s v="INDOT"/>
    <s v="LRL-2021-85-djd"/>
    <s v="2022-448-72-JBT-A"/>
    <m/>
    <s v="Scott/Clark"/>
    <n v="38.71"/>
    <n v="-85.796199999999999"/>
    <s v="Transportation"/>
    <m/>
    <s v="No"/>
    <m/>
    <n v="811.19999999999993"/>
    <n v="3785.6"/>
    <n v="811.19999999999993"/>
    <s v="L"/>
    <s v="J"/>
    <m/>
    <m/>
    <m/>
    <m/>
    <m/>
    <m/>
    <s v=" INDOT DES No. 1700135 - includes several SA's - I-65 project"/>
  </r>
  <r>
    <d v="2024-11-15T00:00:00"/>
    <s v="November"/>
    <n v="2024"/>
    <x v="10"/>
    <n v="-125"/>
    <x v="1"/>
    <n v="50000"/>
    <n v="539"/>
    <x v="1"/>
    <s v="Eph"/>
    <n v="895"/>
    <s v="INDOT"/>
    <s v="LRL-2021-85-djd"/>
    <s v="2022-448-72-JBT-A"/>
    <m/>
    <s v="Scott/Clark"/>
    <n v="38.71"/>
    <n v="-85.796199999999999"/>
    <s v="Transportation"/>
    <m/>
    <s v="No"/>
    <m/>
    <n v="7500"/>
    <n v="35000"/>
    <n v="7500"/>
    <s v="L"/>
    <s v="J"/>
    <m/>
    <m/>
    <m/>
    <m/>
    <m/>
    <m/>
    <s v=" INDOT DES No. 1700135 - includes several SA's - I-65 project"/>
  </r>
  <r>
    <d v="2024-11-15T00:00:00"/>
    <s v="November"/>
    <n v="2024"/>
    <x v="10"/>
    <n v="-52"/>
    <x v="1"/>
    <n v="20800"/>
    <n v="539"/>
    <x v="1"/>
    <s v="Int"/>
    <n v="847"/>
    <s v="INDOT"/>
    <s v="LRL-2021-85-djd"/>
    <s v="2022-448-72-JBT-A"/>
    <m/>
    <s v="Scott/Clark"/>
    <n v="38.71"/>
    <n v="-85.796199999999999"/>
    <s v="Transportation"/>
    <m/>
    <s v="No"/>
    <m/>
    <n v="3120"/>
    <n v="14559.999999999998"/>
    <n v="3120"/>
    <s v="L"/>
    <s v="J"/>
    <m/>
    <m/>
    <m/>
    <m/>
    <m/>
    <m/>
    <s v=" INDOT DES No. 1700135 - includes several SA's - I-65 project"/>
  </r>
  <r>
    <d v="2024-11-15T00:00:00"/>
    <s v="November"/>
    <n v="2024"/>
    <x v="10"/>
    <n v="-80"/>
    <x v="1"/>
    <n v="32000"/>
    <n v="539"/>
    <x v="1"/>
    <s v="Per"/>
    <n v="278.89999999999998"/>
    <s v="INDOT"/>
    <s v="LRL-2021-85-djd"/>
    <s v="2022-448-72-JBT-A"/>
    <m/>
    <s v="Scott/Clark"/>
    <n v="38.71"/>
    <n v="-85.796199999999999"/>
    <s v="Transportation"/>
    <m/>
    <s v="No"/>
    <m/>
    <n v="4800"/>
    <n v="22400"/>
    <n v="4800"/>
    <s v="L"/>
    <s v="J"/>
    <m/>
    <m/>
    <m/>
    <m/>
    <m/>
    <m/>
    <s v=" INDOT DES No. 1700135 - includes several SA's - I-65 project"/>
  </r>
  <r>
    <d v="2024-11-15T00:00:00"/>
    <s v="November"/>
    <n v="2024"/>
    <x v="10"/>
    <n v="-0.17460000000000001"/>
    <x v="0"/>
    <n v="13968"/>
    <n v="539"/>
    <x v="1"/>
    <s v="PEM"/>
    <n v="8.7300000000000003E-2"/>
    <s v="INDOT"/>
    <s v="LRL-2021-85-djd"/>
    <s v="2022-448-72-JBT-A"/>
    <m/>
    <s v="Scott/Clark"/>
    <n v="38.71"/>
    <n v="-85.796199999999999"/>
    <s v="Transportation"/>
    <m/>
    <s v="No"/>
    <m/>
    <n v="2095.1999999999998"/>
    <n v="9777.5999999999985"/>
    <n v="2095.1999999999998"/>
    <s v="L"/>
    <s v="J"/>
    <m/>
    <m/>
    <m/>
    <m/>
    <m/>
    <m/>
    <s v=" INDOT DES No. 1700135 - includes several SA's - I-65 project"/>
  </r>
  <r>
    <d v="2024-11-15T00:00:00"/>
    <s v="November"/>
    <n v="2024"/>
    <x v="10"/>
    <n v="-8.6999999999999994E-3"/>
    <x v="0"/>
    <n v="696"/>
    <n v="539"/>
    <x v="1"/>
    <s v="PSS"/>
    <n v="2.8999999999999998E-3"/>
    <s v="INDOT"/>
    <s v="LRL-2021-85-djd"/>
    <s v="2022-448-72-JBT-A"/>
    <m/>
    <s v="Scott/Clark"/>
    <n v="38.71"/>
    <n v="-85.796199999999999"/>
    <s v="Transportation"/>
    <m/>
    <s v="No"/>
    <m/>
    <n v="104.39999999999999"/>
    <n v="487.2"/>
    <n v="104.39999999999999"/>
    <s v="L"/>
    <s v="J"/>
    <m/>
    <m/>
    <m/>
    <m/>
    <m/>
    <m/>
    <s v=" INDOT DES No. 1700135 - includes several SA's - I-65 project"/>
  </r>
  <r>
    <d v="2024-11-15T00:00:00"/>
    <s v="November"/>
    <n v="2024"/>
    <x v="10"/>
    <n v="-1.7000000000000001E-2"/>
    <x v="0"/>
    <n v="1360"/>
    <n v="539"/>
    <x v="2"/>
    <s v="PEM"/>
    <n v="1.15E-2"/>
    <s v="INDOT"/>
    <s v="N/A"/>
    <s v="IWIP 2022-448-72-JBT-A"/>
    <m/>
    <s v="Scott/Clark"/>
    <n v="38.71"/>
    <n v="-85.796199999999999"/>
    <s v="Transportation"/>
    <m/>
    <s v="No"/>
    <m/>
    <n v="204"/>
    <n v="951.99999999999989"/>
    <n v="204"/>
    <s v="L"/>
    <s v="SI"/>
    <s v="2NF"/>
    <m/>
    <m/>
    <m/>
    <m/>
    <m/>
    <s v=" INDOT DES No. 1700135 - includes several SA's - I-65 project"/>
  </r>
  <r>
    <d v="2024-11-19T00:00:00"/>
    <s v="November"/>
    <n v="2024"/>
    <x v="8"/>
    <n v="-0.16"/>
    <x v="0"/>
    <n v="12800"/>
    <n v="541"/>
    <x v="2"/>
    <s v="PFO"/>
    <n v="0.08"/>
    <s v="AMS 2024 - BTS - Kokomo, IN LLC"/>
    <s v="N/A"/>
    <s v="IWIP 2024-718-34-ENH"/>
    <m/>
    <s v="Howard"/>
    <n v="40.499622000000002"/>
    <n v="-86.099383000000003"/>
    <s v="Development"/>
    <m/>
    <s v="No"/>
    <m/>
    <n v="1920"/>
    <n v="8960"/>
    <n v="1920"/>
    <s v="L"/>
    <s v="SI"/>
    <s v="2 FO"/>
    <m/>
    <m/>
    <m/>
    <m/>
    <m/>
    <m/>
  </r>
  <r>
    <d v="2024-11-22T00:00:00"/>
    <s v="November"/>
    <n v="2024"/>
    <x v="9"/>
    <n v="-0.45"/>
    <x v="0"/>
    <n v="36000"/>
    <n v="542"/>
    <x v="1"/>
    <s v="PEM"/>
    <n v="0.3"/>
    <s v="Pulte Homes of Indiana, LLC"/>
    <s v="LRL-2014-1033-JLT"/>
    <s v="2016-132-32-SKG-A"/>
    <m/>
    <s v="Hendricks"/>
    <n v="39.698504999999997"/>
    <n v="-86.434465000000003"/>
    <s v="Development"/>
    <m/>
    <s v="No"/>
    <m/>
    <n v="5400"/>
    <n v="25200"/>
    <n v="5400"/>
    <s v="L"/>
    <s v="J"/>
    <m/>
    <m/>
    <m/>
    <m/>
    <m/>
    <m/>
    <s v="401 Modification from previous 401 WQC"/>
  </r>
  <r>
    <d v="2024-12-09T00:00:00"/>
    <s v="December"/>
    <n v="2024"/>
    <x v="10"/>
    <n v="-218.5"/>
    <x v="1"/>
    <n v="87400"/>
    <n v="533"/>
    <x v="1"/>
    <s v="Per"/>
    <n v="374"/>
    <s v="INDOT"/>
    <s v="LRL-2023-00986"/>
    <s v="2024-485-70-GCW-A"/>
    <m/>
    <s v="Rush"/>
    <n v="39.786160000000002"/>
    <n v="-85.524439999999998"/>
    <s v="Transportation"/>
    <m/>
    <s v="No"/>
    <m/>
    <n v="13110"/>
    <n v="61179.999999999993"/>
    <n v="13110"/>
    <s v="L"/>
    <s v="J"/>
    <m/>
    <m/>
    <m/>
    <m/>
    <m/>
    <m/>
    <s v="INDOT DES No. 2002071 SR 140 over Big Blue River Bridge Replacement"/>
  </r>
  <r>
    <d v="2024-12-09T00:00:00"/>
    <s v="December"/>
    <n v="2024"/>
    <x v="0"/>
    <n v="-268"/>
    <x v="1"/>
    <n v="160800"/>
    <n v="538"/>
    <x v="1"/>
    <s v="Per"/>
    <n v="268"/>
    <s v="INDOT"/>
    <s v="LRC-2022-00816"/>
    <s v="2023-1133-64-MMR-A"/>
    <m/>
    <s v="Porter"/>
    <n v="41.612318999999999"/>
    <n v="-87.173468999999997"/>
    <s v="Transportation"/>
    <m/>
    <s v="No"/>
    <m/>
    <n v="24120"/>
    <n v="112560"/>
    <n v="24120"/>
    <s v="C"/>
    <s v="J"/>
    <m/>
    <m/>
    <m/>
    <m/>
    <m/>
    <m/>
    <s v="INDOT DES No 2002079 SR 249 over East Arm Little Calumet River in Porter County"/>
  </r>
  <r>
    <d v="2024-12-18T00:00:00"/>
    <s v="December"/>
    <n v="2024"/>
    <x v="0"/>
    <n v="-1.3"/>
    <x v="0"/>
    <n v="123500"/>
    <n v="540"/>
    <x v="2"/>
    <s v="PFO"/>
    <n v="0.65"/>
    <s v="Summer Street Partners, LLC"/>
    <s v="N/A"/>
    <s v="IWIP 2024-518-45-MTM-WQC"/>
    <m/>
    <s v="Lake"/>
    <n v="41.606717000000003"/>
    <n v="-87.490061100000005"/>
    <s v="Development"/>
    <m/>
    <s v="No"/>
    <m/>
    <n v="18525"/>
    <n v="86450"/>
    <n v="18525"/>
    <s v="C"/>
    <s v="SI"/>
    <s v="2 FO"/>
    <m/>
    <m/>
    <m/>
    <m/>
    <m/>
    <m/>
  </r>
  <r>
    <d v="2024-12-18T00:00:00"/>
    <s v="December"/>
    <n v="2024"/>
    <x v="0"/>
    <n v="-0.7"/>
    <x v="0"/>
    <n v="66500"/>
    <n v="540"/>
    <x v="2"/>
    <s v="PSS"/>
    <n v="0.7"/>
    <s v="Summer Street Partners, LLC"/>
    <s v="N/A"/>
    <s v="IWIP 2024-518-45-MTM-WQC"/>
    <m/>
    <s v="Lake"/>
    <n v="41.606717000000003"/>
    <n v="-87.490061100000005"/>
    <s v="Development"/>
    <m/>
    <s v="No"/>
    <m/>
    <n v="9975"/>
    <n v="46550"/>
    <n v="9975"/>
    <s v="C"/>
    <s v="SI"/>
    <s v="1 NF"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d v="2025-01-02T00:00:00"/>
    <s v="January"/>
    <n v="2025"/>
    <x v="3"/>
    <n v="-1.4"/>
    <x v="0"/>
    <n v="112000"/>
    <n v="526"/>
    <x v="1"/>
    <s v="PFO"/>
    <n v="0.48"/>
    <s v="Fort Wayne Parks and Recreation"/>
    <s v="LRE-2015-01011-102-N23"/>
    <s v="2023-22-2-EJW-A"/>
    <m/>
    <s v="Allen"/>
    <n v="41.083458"/>
    <n v="-85.143118000000001"/>
    <s v="Development"/>
    <m/>
    <s v="No"/>
    <m/>
    <n v="16800"/>
    <n v="78400"/>
    <n v="16800"/>
    <s v="D"/>
    <s v="J"/>
    <m/>
    <m/>
    <m/>
    <m/>
    <m/>
    <m/>
    <s v="Riverfront Project"/>
  </r>
  <r>
    <d v="2025-01-02T00:00:00"/>
    <s v="January"/>
    <n v="2025"/>
    <x v="3"/>
    <n v="-1000"/>
    <x v="1"/>
    <n v="450000"/>
    <n v="526"/>
    <x v="1"/>
    <s v="Per"/>
    <n v="1000"/>
    <s v="Fort Wayne Parks and Recreation"/>
    <s v="LRE-2015-01011-102-N23"/>
    <s v="2023-22-2-EJW-A"/>
    <m/>
    <s v="Allen"/>
    <n v="41.083458"/>
    <n v="-85.143118000000001"/>
    <s v="Development"/>
    <m/>
    <s v="No"/>
    <m/>
    <n v="67500"/>
    <n v="315000"/>
    <n v="67500"/>
    <s v="D"/>
    <s v="J"/>
    <m/>
    <m/>
    <m/>
    <m/>
    <m/>
    <m/>
    <s v="Riverfront Project"/>
  </r>
  <r>
    <d v="2025-01-02T00:00:00"/>
    <s v="January"/>
    <n v="2025"/>
    <x v="7"/>
    <n v="-65"/>
    <x v="1"/>
    <n v="26000"/>
    <n v="546"/>
    <x v="1"/>
    <s v="Int"/>
    <n v="65"/>
    <s v="Duke Energy"/>
    <s v="LRL-2023-00398"/>
    <s v="2024-853-10-JLB-WQC"/>
    <m/>
    <s v="Clark"/>
    <n v="38.596882999999998"/>
    <n v="-85.561622999999997"/>
    <s v="Energy Production"/>
    <m/>
    <s v="No"/>
    <m/>
    <n v="3900"/>
    <n v="18200"/>
    <n v="3900"/>
    <s v="L"/>
    <s v="J"/>
    <m/>
    <m/>
    <m/>
    <m/>
    <m/>
    <m/>
    <s v="Bank didn't have all the crdits needed to purchase, they purchased remainder +20% for temporal loss, 65 credits, through ILF"/>
  </r>
  <r>
    <d v="2025-01-03T00:00:00"/>
    <s v="January"/>
    <n v="2025"/>
    <x v="9"/>
    <n v="-0.6"/>
    <x v="0"/>
    <n v="48000"/>
    <n v="557"/>
    <x v="1"/>
    <s v="PSS"/>
    <n v="0.2"/>
    <s v="Republic Development LLC"/>
    <s v="LRL-2021-1063-SJK"/>
    <s v="2024-508-32-MPY-A"/>
    <m/>
    <s v="Hendricks"/>
    <n v="39.769466000000001"/>
    <n v="-86.425691999999998"/>
    <s v="Development"/>
    <m/>
    <s v="No"/>
    <m/>
    <n v="7200"/>
    <n v="33600"/>
    <n v="7200"/>
    <s v="L"/>
    <s v="J"/>
    <m/>
    <m/>
    <m/>
    <m/>
    <m/>
    <m/>
    <m/>
  </r>
  <r>
    <d v="2025-01-03T00:00:00"/>
    <s v="January"/>
    <n v="2025"/>
    <x v="9"/>
    <n v="-917"/>
    <x v="1"/>
    <n v="343800"/>
    <n v="557"/>
    <x v="1"/>
    <s v="Int"/>
    <n v="764"/>
    <s v="Republic Development LLC"/>
    <s v="LRL-2021-1063-SJK"/>
    <s v="2024-508-32-MPY-A"/>
    <m/>
    <s v="Hendricks"/>
    <n v="39.769466000000001"/>
    <n v="-86.425691999999998"/>
    <s v="Development"/>
    <m/>
    <s v="No"/>
    <m/>
    <n v="51570"/>
    <n v="240659.99999999997"/>
    <n v="51570"/>
    <s v="L"/>
    <s v="J"/>
    <m/>
    <m/>
    <m/>
    <m/>
    <m/>
    <m/>
    <m/>
  </r>
  <r>
    <d v="2025-01-03T00:00:00"/>
    <s v="January"/>
    <n v="2025"/>
    <x v="9"/>
    <n v="-42"/>
    <x v="1"/>
    <n v="15750"/>
    <n v="557"/>
    <x v="1"/>
    <s v="Per"/>
    <n v="35"/>
    <s v="Republic Development LLC"/>
    <s v="LRL-2021-1063-SJK"/>
    <s v="2024-508-32-MPY-A"/>
    <m/>
    <s v="Hendricks"/>
    <n v="39.769466000000001"/>
    <n v="-86.425691999999998"/>
    <s v="Development"/>
    <m/>
    <s v="No"/>
    <m/>
    <n v="2362.5"/>
    <n v="11025"/>
    <n v="2362.5"/>
    <s v="L"/>
    <s v="J"/>
    <m/>
    <m/>
    <m/>
    <m/>
    <m/>
    <m/>
    <m/>
  </r>
  <r>
    <d v="2025-01-03T00:00:00"/>
    <s v="January"/>
    <n v="2025"/>
    <x v="9"/>
    <n v="-2.4300000000000002"/>
    <x v="0"/>
    <n v="194400"/>
    <n v="557"/>
    <x v="2"/>
    <s v="PFO"/>
    <n v="1.405"/>
    <s v="Republic Development LLC"/>
    <s v="LRL-2021-1063-SJK"/>
    <s v="2024-508-32-MPY-A"/>
    <m/>
    <s v="Hendricks"/>
    <n v="39.769466000000001"/>
    <n v="-86.425691999999998"/>
    <s v="Development"/>
    <m/>
    <s v="No"/>
    <m/>
    <n v="29160"/>
    <n v="136080"/>
    <n v="29160"/>
    <s v="L"/>
    <s v="SI"/>
    <s v="2 NF"/>
    <m/>
    <m/>
    <m/>
    <m/>
    <m/>
    <m/>
  </r>
  <r>
    <d v="2025-01-08T00:00:00"/>
    <s v="January"/>
    <n v="2025"/>
    <x v="7"/>
    <n v="-288"/>
    <x v="1"/>
    <n v="115200"/>
    <n v="545"/>
    <x v="1"/>
    <s v="Int"/>
    <n v="288"/>
    <s v="Clark Floyd Landfill, LLC"/>
    <s v="LRL-2013-00374"/>
    <s v="2021-189-10-TMS-A"/>
    <m/>
    <s v="Clark"/>
    <n v="38.457000000000001"/>
    <n v="-85.847740000000002"/>
    <s v="Development"/>
    <m/>
    <s v="No"/>
    <m/>
    <n v="17280"/>
    <n v="80640"/>
    <n v="17280"/>
    <s v="L"/>
    <s v="J"/>
    <m/>
    <m/>
    <m/>
    <m/>
    <m/>
    <m/>
    <s v="Payment 4 of 7"/>
  </r>
  <r>
    <d v="2025-01-08T00:00:00"/>
    <s v="January"/>
    <n v="2025"/>
    <x v="7"/>
    <n v="-1.3"/>
    <x v="0"/>
    <n v="104000"/>
    <n v="545"/>
    <x v="1"/>
    <s v="PFO"/>
    <n v="1.3"/>
    <s v="Clark Floyd Landfill, LLC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s v="J"/>
    <m/>
    <m/>
    <m/>
    <m/>
    <m/>
    <m/>
    <s v="Payment 4 of 7"/>
  </r>
  <r>
    <d v="2025-01-09T00:00:00"/>
    <s v="January"/>
    <n v="2025"/>
    <x v="9"/>
    <n v="-0.22"/>
    <x v="0"/>
    <n v="17600"/>
    <n v="495"/>
    <x v="1"/>
    <s v="PEM"/>
    <n v="0.4"/>
    <s v="City of Indianapolis, DPW"/>
    <s v="LRL-2023-00628-jde"/>
    <s v="2023-1032-49-SCF-A"/>
    <m/>
    <s v="Marion"/>
    <n v="39.916629999999998"/>
    <n v="-86.150426999999993"/>
    <s v="Development"/>
    <m/>
    <s v="No"/>
    <m/>
    <n v="2640"/>
    <n v="12320"/>
    <n v="2640"/>
    <s v="L"/>
    <s v="J"/>
    <m/>
    <m/>
    <m/>
    <m/>
    <m/>
    <m/>
    <m/>
  </r>
  <r>
    <d v="2025-01-14T00:00:00"/>
    <s v="January"/>
    <n v="2025"/>
    <x v="9"/>
    <n v="-418"/>
    <x v="1"/>
    <n v="188100"/>
    <n v="549"/>
    <x v="1"/>
    <s v="Int"/>
    <n v="418"/>
    <s v="City of Fishers"/>
    <s v="LRL-2023-00882-sjk"/>
    <s v="2024-871-29-ENH-WQC"/>
    <m/>
    <s v="Hamilton"/>
    <n v="39.964627999999998"/>
    <n v="-85.965615"/>
    <s v="Transportation"/>
    <m/>
    <s v="No"/>
    <m/>
    <n v="28215"/>
    <n v="131670"/>
    <n v="28215"/>
    <s v="L"/>
    <s v="J"/>
    <m/>
    <m/>
    <m/>
    <m/>
    <m/>
    <m/>
    <m/>
  </r>
  <r>
    <d v="2025-01-15T00:00:00"/>
    <s v="January"/>
    <n v="2025"/>
    <x v="9"/>
    <n v="-12"/>
    <x v="1"/>
    <n v="5400"/>
    <n v="552"/>
    <x v="1"/>
    <s v="Int"/>
    <n v="10"/>
    <s v="Pulte Homes of Indiana, LLC"/>
    <s v="LRL-2024-00289-jde"/>
    <s v="2024-655-29-ENH-WQC"/>
    <m/>
    <s v="Hamilton"/>
    <n v="39.998823000000002"/>
    <n v="-86.093216999999996"/>
    <s v="Development"/>
    <m/>
    <s v="No"/>
    <m/>
    <n v="810"/>
    <n v="3779.9999999999995"/>
    <n v="810"/>
    <s v="L"/>
    <s v="J"/>
    <m/>
    <m/>
    <m/>
    <m/>
    <m/>
    <m/>
    <m/>
  </r>
  <r>
    <d v="2025-01-15T00:00:00"/>
    <s v="January"/>
    <n v="2025"/>
    <x v="9"/>
    <n v="-0.86"/>
    <x v="0"/>
    <n v="68800"/>
    <n v="552"/>
    <x v="1"/>
    <s v="PSS"/>
    <n v="0.24"/>
    <s v="Pulte Homes of Indiana, LLC"/>
    <s v="LRL-2024-00289-jde"/>
    <s v="2024-655-29-ENH-WQC"/>
    <m/>
    <s v="Hamilton"/>
    <n v="39.998823000000002"/>
    <n v="-86.093216999999996"/>
    <s v="Development"/>
    <m/>
    <s v="No"/>
    <m/>
    <n v="10320"/>
    <n v="48160"/>
    <n v="10320"/>
    <s v="L"/>
    <s v="J"/>
    <m/>
    <m/>
    <m/>
    <m/>
    <m/>
    <m/>
    <m/>
  </r>
  <r>
    <d v="2025-01-28T00:00:00"/>
    <s v="January"/>
    <n v="2025"/>
    <x v="9"/>
    <n v="-1037"/>
    <x v="1"/>
    <n v="388800"/>
    <n v="554"/>
    <x v="1"/>
    <s v="Int"/>
    <n v="864"/>
    <s v="QuickTrip Corporation"/>
    <s v="LRL-2024-431-SJK"/>
    <s v="2024-735-32-MPY-WQC"/>
    <m/>
    <s v="Hendricks"/>
    <n v="39.830840999999999"/>
    <n v="-86.354308000000003"/>
    <s v="Development"/>
    <m/>
    <s v="No"/>
    <m/>
    <n v="58320"/>
    <n v="272160"/>
    <n v="58320"/>
    <s v="L"/>
    <s v="J"/>
    <m/>
    <m/>
    <m/>
    <m/>
    <m/>
    <m/>
    <m/>
  </r>
  <r>
    <d v="2025-01-28T00:00:00"/>
    <s v="January"/>
    <n v="2025"/>
    <x v="10"/>
    <n v="-0.64400000000000002"/>
    <x v="0"/>
    <n v="44000"/>
    <s v="553C"/>
    <x v="2"/>
    <s v="PFO"/>
    <n v="0.27500000000000002"/>
    <s v="Lennar Homes of Indiana, Inc."/>
    <s v="N/A"/>
    <s v="2024-846-49-LDC-IWIP"/>
    <m/>
    <s v="Marion"/>
    <n v="39.692799999999998"/>
    <n v="-86.021000000000001"/>
    <s v="Development"/>
    <m/>
    <s v="No"/>
    <m/>
    <n v="6600"/>
    <n v="30799.999999999996"/>
    <n v="6600"/>
    <s v="L"/>
    <s v="SI"/>
    <s v="2 FO"/>
    <m/>
    <m/>
    <m/>
    <m/>
    <m/>
    <m/>
  </r>
  <r>
    <d v="2025-01-30T00:00:00"/>
    <s v="January"/>
    <n v="2025"/>
    <x v="9"/>
    <n v="-19.2"/>
    <x v="1"/>
    <n v="8640"/>
    <n v="555"/>
    <x v="1"/>
    <s v="Int"/>
    <n v="16"/>
    <s v="Westfield-Washington Schools"/>
    <s v="LRL-2024-00038-sjk"/>
    <s v="2024-903-29-ENH-NWP"/>
    <m/>
    <s v="Hamilton"/>
    <n v="40.042164999999997"/>
    <n v="-86.201814999999996"/>
    <s v="Transportation"/>
    <m/>
    <s v="No"/>
    <m/>
    <n v="1296"/>
    <n v="6048"/>
    <n v="1296"/>
    <s v="L"/>
    <s v="J"/>
    <m/>
    <m/>
    <m/>
    <m/>
    <m/>
    <m/>
    <m/>
  </r>
  <r>
    <d v="2025-01-30T00:00:00"/>
    <s v="January"/>
    <n v="2025"/>
    <x v="9"/>
    <n v="-0.44400000000000001"/>
    <x v="0"/>
    <n v="35520"/>
    <n v="555"/>
    <x v="1"/>
    <s v="PEM"/>
    <n v="0.185"/>
    <s v="Westfield-Washington Schools"/>
    <s v="LRL-2024-00038-sjk"/>
    <s v="2024-903-29-ENH-NWP"/>
    <m/>
    <s v="Hamilton"/>
    <n v="40.042164999999997"/>
    <n v="-86.201814999999996"/>
    <s v="Transportation"/>
    <m/>
    <s v="No"/>
    <m/>
    <n v="5328"/>
    <n v="24864"/>
    <n v="5328"/>
    <s v="L"/>
    <s v="J"/>
    <m/>
    <m/>
    <m/>
    <m/>
    <m/>
    <m/>
    <m/>
  </r>
  <r>
    <d v="2025-01-30T00:00:00"/>
    <s v="January"/>
    <n v="2025"/>
    <x v="9"/>
    <n v="-0.191"/>
    <x v="0"/>
    <n v="15280"/>
    <n v="555"/>
    <x v="1"/>
    <s v="PSS"/>
    <n v="5.2999999999999999E-2"/>
    <s v="Westfield-Washington Schools"/>
    <s v="LRL-2024-00038-sjk"/>
    <s v="2024-903-29-ENH-NWP"/>
    <m/>
    <s v="Hamilton"/>
    <n v="40.042164999999997"/>
    <n v="-86.201814999999996"/>
    <s v="Transportation"/>
    <m/>
    <s v="No"/>
    <m/>
    <n v="2292"/>
    <n v="10696"/>
    <n v="2292"/>
    <s v="L"/>
    <s v="J"/>
    <m/>
    <m/>
    <m/>
    <m/>
    <m/>
    <m/>
    <m/>
  </r>
  <r>
    <d v="2025-01-30T00:00:00"/>
    <s v="January"/>
    <n v="2025"/>
    <x v="9"/>
    <n v="-35"/>
    <x v="1"/>
    <n v="15750"/>
    <n v="559"/>
    <x v="1"/>
    <s v="Int"/>
    <n v="8.0000000000000002E-3"/>
    <s v="INDOT"/>
    <s v="LRL-2024-813"/>
    <s v="2024-916-49-GCW-NWP"/>
    <m/>
    <s v="Marion"/>
    <n v="39.764301000000003"/>
    <n v="-86.302840000000003"/>
    <s v="Transportation"/>
    <m/>
    <s v="No"/>
    <m/>
    <n v="2362.5"/>
    <n v="11025"/>
    <n v="2362.5"/>
    <s v="L"/>
    <s v="J"/>
    <m/>
    <m/>
    <m/>
    <m/>
    <m/>
    <m/>
    <s v="INDOT DES No 1800035"/>
  </r>
  <r>
    <d v="2025-01-30T00:00:00"/>
    <s v="January"/>
    <n v="2025"/>
    <x v="9"/>
    <n v="-125"/>
    <x v="1"/>
    <n v="56250"/>
    <n v="559"/>
    <x v="1"/>
    <s v="Per"/>
    <n v="8.0000000000000002E-3"/>
    <s v="INDOT"/>
    <s v="LRL-2024-813"/>
    <s v="2024-916-49-GCW-NWP"/>
    <m/>
    <s v="Marion"/>
    <n v="39.764301000000003"/>
    <n v="-86.302840000000003"/>
    <s v="Transportation"/>
    <m/>
    <s v="No"/>
    <m/>
    <n v="8437.5"/>
    <n v="39375"/>
    <n v="8437.5"/>
    <s v="L"/>
    <s v="J"/>
    <m/>
    <m/>
    <m/>
    <m/>
    <m/>
    <m/>
    <s v="INDOT DES No 1800035"/>
  </r>
  <r>
    <d v="2025-01-30T00:00:00"/>
    <s v="January"/>
    <n v="2025"/>
    <x v="0"/>
    <n v="-120.7"/>
    <x v="1"/>
    <n v="72420"/>
    <n v="560"/>
    <x v="1"/>
    <s v="Eph"/>
    <n v="100.6"/>
    <s v="INDOT"/>
    <s v="LRC-2023-00216"/>
    <s v="2023-1044-64-GCW-X"/>
    <m/>
    <s v="Porter"/>
    <n v="41.535998999999997"/>
    <n v="-87.033878000000001"/>
    <s v="Transportation"/>
    <m/>
    <s v="No"/>
    <m/>
    <n v="10863"/>
    <n v="50694"/>
    <n v="10863"/>
    <s v="C"/>
    <s v="J"/>
    <m/>
    <m/>
    <m/>
    <m/>
    <m/>
    <m/>
    <s v="INDOT DES No 2001935"/>
  </r>
  <r>
    <d v="2025-02-06T00:00:00"/>
    <s v="February"/>
    <n v="2025"/>
    <x v="10"/>
    <n v="-0.23"/>
    <x v="0"/>
    <n v="18400"/>
    <n v="544"/>
    <x v="2"/>
    <s v="PEM"/>
    <n v="0.152"/>
    <s v="INDOT"/>
    <s v="N/A"/>
    <s v="2024-664-89-GCW-SRGP"/>
    <m/>
    <s v="Wayne"/>
    <n v="39.860909999999997"/>
    <n v="-85.024882000000005"/>
    <s v="Development"/>
    <m/>
    <s v="No"/>
    <m/>
    <n v="2760"/>
    <n v="12880"/>
    <n v="2760"/>
    <s v="L"/>
    <s v="SI"/>
    <s v="2 NF"/>
    <m/>
    <m/>
    <m/>
    <m/>
    <m/>
    <s v="INDOT DES No. 2000500  I-70 Centerville Rest Area"/>
  </r>
  <r>
    <d v="2025-02-06T00:00:00"/>
    <s v="February"/>
    <n v="2025"/>
    <x v="10"/>
    <n v="-2028"/>
    <x v="1"/>
    <n v="811200"/>
    <n v="544"/>
    <x v="1"/>
    <s v="Eph"/>
    <n v="1950"/>
    <s v="INDOT"/>
    <s v="LRL-2023-942"/>
    <s v="2024-664-89-GCW-WQC"/>
    <m/>
    <s v="Wayne"/>
    <n v="39.860909999999997"/>
    <n v="-85.024882000000005"/>
    <s v="Development"/>
    <m/>
    <s v="No"/>
    <m/>
    <n v="121680"/>
    <n v="567840"/>
    <n v="121680"/>
    <s v="L"/>
    <s v="J"/>
    <m/>
    <m/>
    <m/>
    <m/>
    <m/>
    <m/>
    <s v="INDOT DES No. 2000500  I-70 Centerville Rest Area"/>
  </r>
  <r>
    <d v="2025-02-11T00:00:00"/>
    <s v="February"/>
    <n v="2025"/>
    <x v="9"/>
    <n v="-0.26"/>
    <x v="0"/>
    <n v="20800"/>
    <n v="563"/>
    <x v="2"/>
    <s v="PFO"/>
    <n v="0.13"/>
    <s v="JR Promotions, LLC"/>
    <s v="N/A"/>
    <s v="2024-938-48-EJW-SRGP"/>
    <m/>
    <s v="Madison"/>
    <n v="40.033898999999998"/>
    <n v="-85.737774000000002"/>
    <s v="Development"/>
    <m/>
    <s v="No"/>
    <m/>
    <n v="3120"/>
    <n v="14559.999999999998"/>
    <n v="3120"/>
    <s v="L"/>
    <s v="SI"/>
    <s v="2 FO"/>
    <m/>
    <m/>
    <m/>
    <m/>
    <m/>
    <m/>
  </r>
  <r>
    <d v="2025-02-11T00:00:00"/>
    <s v="February"/>
    <n v="2025"/>
    <x v="9"/>
    <n v="-0.04"/>
    <x v="0"/>
    <n v="3200"/>
    <n v="551"/>
    <x v="2"/>
    <s v="PFO"/>
    <n v="0.02"/>
    <s v="Henke Development Group"/>
    <s v="N/A"/>
    <s v="2018-728-6-JMK-A-IWIP"/>
    <m/>
    <s v="Boone"/>
    <n v="39.977179999999997"/>
    <n v="-86.258809999999997"/>
    <s v="Development"/>
    <m/>
    <s v="No"/>
    <m/>
    <n v="480"/>
    <n v="2240"/>
    <n v="480"/>
    <s v="L"/>
    <s v="SI"/>
    <s v="2 FO"/>
    <m/>
    <m/>
    <m/>
    <m/>
    <m/>
    <s v="Mitigation for additional impacts to aquatic resources."/>
  </r>
  <r>
    <d v="2025-02-21T00:00:00"/>
    <s v="February"/>
    <n v="2025"/>
    <x v="9"/>
    <n v="-680"/>
    <x v="1"/>
    <n v="306000"/>
    <n v="550"/>
    <x v="1"/>
    <s v="Per"/>
    <n v="758"/>
    <s v="INDOT"/>
    <s v="LRL-2020-1021-dds"/>
    <s v="2024-768-29-GCW-WQC"/>
    <m/>
    <s v="Hamilton"/>
    <n v="40.160269999999997"/>
    <n v="-86.127977000000001"/>
    <s v="Transportation"/>
    <m/>
    <s v="No"/>
    <m/>
    <n v="45900"/>
    <n v="214200"/>
    <n v="45900"/>
    <s v="L"/>
    <s v="J"/>
    <m/>
    <m/>
    <m/>
    <m/>
    <m/>
    <m/>
    <s v="INDOT DES No. 1900096"/>
  </r>
  <r>
    <d v="2025-02-21T00:00:00"/>
    <s v="February"/>
    <n v="2025"/>
    <x v="9"/>
    <n v="-0.1"/>
    <x v="0"/>
    <n v="8000"/>
    <n v="550"/>
    <x v="2"/>
    <s v="PEM"/>
    <n v="0.06"/>
    <s v="INDOT"/>
    <s v="N/A"/>
    <s v="2024-768-29-GCW-SRGP"/>
    <m/>
    <s v="Hamilton"/>
    <n v="40.160269999999997"/>
    <n v="-86.127977000000001"/>
    <s v="Transportation"/>
    <m/>
    <s v="No"/>
    <m/>
    <n v="1200"/>
    <n v="5600"/>
    <n v="1200"/>
    <s v="L"/>
    <s v="SI"/>
    <s v="2 NF"/>
    <m/>
    <m/>
    <m/>
    <m/>
    <m/>
    <s v="INDOT DES No. 1900096"/>
  </r>
  <r>
    <d v="2025-02-21T00:00:00"/>
    <s v="February"/>
    <n v="2025"/>
    <x v="0"/>
    <n v="-0.77"/>
    <x v="0"/>
    <n v="73150"/>
    <n v="442"/>
    <x v="1"/>
    <s v="PEM"/>
    <n v="0.4"/>
    <s v="CIT Trucks, LLC"/>
    <s v="LRC-2021-00738"/>
    <s v="2023-143-64-MTM-A"/>
    <m/>
    <s v="Porter"/>
    <n v="41.604331000000002"/>
    <n v="-87.117729999999995"/>
    <s v="Development"/>
    <m/>
    <s v="No"/>
    <m/>
    <n v="10972.5"/>
    <n v="51205"/>
    <n v="10972.5"/>
    <s v="C"/>
    <s v="J"/>
    <m/>
    <m/>
    <m/>
    <m/>
    <m/>
    <m/>
    <m/>
  </r>
  <r>
    <d v="2025-02-24T00:00:00"/>
    <s v="February"/>
    <n v="2025"/>
    <x v="0"/>
    <n v="-2.21"/>
    <x v="0"/>
    <n v="209950"/>
    <n v="567"/>
    <x v="1"/>
    <s v="PEM"/>
    <n v="1.0029999999999999"/>
    <s v="Town of Schererville"/>
    <s v="LRC-2022-00228"/>
    <s v="2024-533-45-MTM-WQC"/>
    <m/>
    <s v="Lake"/>
    <n v="41.501389000000003"/>
    <n v="-87.461388999999997"/>
    <s v="Transportation"/>
    <m/>
    <s v="No"/>
    <m/>
    <n v="31492.5"/>
    <n v="146965"/>
    <n v="31492.5"/>
    <s v="C"/>
    <s v="J"/>
    <m/>
    <m/>
    <m/>
    <m/>
    <m/>
    <m/>
    <m/>
  </r>
  <r>
    <d v="2025-02-24T00:00:00"/>
    <s v="February"/>
    <n v="2025"/>
    <x v="0"/>
    <n v="-0.26"/>
    <x v="0"/>
    <n v="24700"/>
    <n v="567"/>
    <x v="1"/>
    <s v="PSS"/>
    <n v="7.1999999999999995E-2"/>
    <s v="Town of Schererville"/>
    <s v="LRC-2022-00228"/>
    <s v="2024-533-45-MTM-WQC"/>
    <m/>
    <s v="Lake"/>
    <n v="41.501389000000003"/>
    <n v="-87.461388999999997"/>
    <s v="Transportation"/>
    <m/>
    <s v="No"/>
    <m/>
    <n v="3705"/>
    <n v="17290"/>
    <n v="3705"/>
    <s v="C"/>
    <s v="J"/>
    <m/>
    <m/>
    <m/>
    <m/>
    <m/>
    <m/>
    <m/>
  </r>
  <r>
    <d v="2025-02-24T00:00:00"/>
    <s v="February"/>
    <n v="2025"/>
    <x v="0"/>
    <n v="-43.4"/>
    <x v="1"/>
    <n v="26040"/>
    <n v="567"/>
    <x v="1"/>
    <s v="Per"/>
    <n v="43.4"/>
    <s v="Town of Schererville"/>
    <s v="LRC-2022-00228"/>
    <s v="2024-533-45-MTM-WQC"/>
    <m/>
    <s v="Lake"/>
    <n v="41.501389000000003"/>
    <n v="-87.461388999999997"/>
    <s v="Transportation"/>
    <m/>
    <s v="No"/>
    <m/>
    <n v="3906"/>
    <n v="18228"/>
    <n v="3906"/>
    <s v="C"/>
    <s v="J"/>
    <m/>
    <m/>
    <m/>
    <m/>
    <m/>
    <m/>
    <m/>
  </r>
  <r>
    <d v="2025-02-28T00:00:00"/>
    <s v="February"/>
    <n v="2025"/>
    <x v="3"/>
    <n v="-45"/>
    <x v="1"/>
    <n v="20250"/>
    <n v="564"/>
    <x v="1"/>
    <s v="Int"/>
    <n v="45"/>
    <s v="INDOT"/>
    <s v="LRE-2023-00120-102"/>
    <s v="2024-366-2-GCW-A"/>
    <m/>
    <s v="Allen"/>
    <n v="41.091819000000001"/>
    <n v="-84.994384999999994"/>
    <s v="Transportation"/>
    <m/>
    <s v="No"/>
    <m/>
    <n v="3037.5"/>
    <n v="14175"/>
    <n v="3037.5"/>
    <s v="D"/>
    <s v="J"/>
    <m/>
    <m/>
    <m/>
    <m/>
    <m/>
    <m/>
    <s v="INDOT DES No 2001843"/>
  </r>
  <r>
    <d v="2025-02-28T00:00:00"/>
    <s v="February"/>
    <n v="2025"/>
    <x v="8"/>
    <n v="-194"/>
    <x v="1"/>
    <n v="77600"/>
    <n v="566"/>
    <x v="1"/>
    <s v="Int"/>
    <n v="194"/>
    <s v="INDOT"/>
    <s v="LRL-2004-1112-sam"/>
    <s v="2009-063-35-EMP-A"/>
    <m/>
    <s v="Howard"/>
    <n v="40.505721999999999"/>
    <n v="-86.087444000000005"/>
    <s v="Transportation"/>
    <m/>
    <s v="No"/>
    <m/>
    <n v="11640"/>
    <n v="54320"/>
    <n v="11640"/>
    <s v="L"/>
    <s v="J"/>
    <m/>
    <m/>
    <m/>
    <m/>
    <m/>
    <m/>
    <s v="INDOT DES No 2400092"/>
  </r>
  <r>
    <d v="2025-03-12T00:00:00"/>
    <s v="March"/>
    <n v="2025"/>
    <x v="0"/>
    <n v="-1.1000000000000001"/>
    <x v="0"/>
    <n v="104500"/>
    <n v="569"/>
    <x v="2"/>
    <s v="PFO"/>
    <n v="0.54400000000000004"/>
    <s v="Michigan City"/>
    <s v="N/A"/>
    <s v="2024-420-45-MTM-IWIP"/>
    <m/>
    <s v="LaPorte"/>
    <n v="41.691755999999998"/>
    <n v="-86.833124999999995"/>
    <s v="Agriculture"/>
    <m/>
    <s v="No"/>
    <m/>
    <n v="15675"/>
    <n v="73150"/>
    <n v="15675"/>
    <s v="C"/>
    <s v="SI"/>
    <s v="2 FO"/>
    <m/>
    <m/>
    <m/>
    <m/>
    <m/>
    <m/>
  </r>
  <r>
    <d v="2025-03-14T00:00:00"/>
    <s v="March"/>
    <n v="2025"/>
    <x v="0"/>
    <n v="-1.73384"/>
    <x v="0"/>
    <n v="164715"/>
    <n v="543"/>
    <x v="2"/>
    <s v="PFO"/>
    <n v="1"/>
    <s v="IDEM"/>
    <s v="N/A"/>
    <s v="2017-166-45-MTM-V"/>
    <m/>
    <s v="Lake"/>
    <n v="41.431736000000001"/>
    <n v="-87.352220000000003"/>
    <s v="Development"/>
    <m/>
    <s v="No"/>
    <m/>
    <n v="24707.25"/>
    <n v="115300.49999999999"/>
    <n v="24707.25"/>
    <s v="C"/>
    <s v="SI"/>
    <s v="2 FO"/>
    <m/>
    <m/>
    <m/>
    <m/>
    <m/>
    <s v="Case No. 2017-24876-Q - IDEM purchasing with funds paid by violator "/>
  </r>
  <r>
    <d v="2025-03-18T00:00:00"/>
    <s v="March"/>
    <n v="2025"/>
    <x v="5"/>
    <n v="-3.17"/>
    <x v="0"/>
    <n v="253600"/>
    <n v="570"/>
    <x v="2"/>
    <s v="PEM"/>
    <n v="2.11"/>
    <s v="INDOT"/>
    <s v="N/A"/>
    <s v="2024-364-65-GCW-IWIP"/>
    <m/>
    <s v="Posey"/>
    <n v="37.941989999999997"/>
    <n v="-87.791889999999995"/>
    <s v="Transportation"/>
    <m/>
    <s v="No"/>
    <m/>
    <n v="38040"/>
    <n v="177520"/>
    <n v="38040"/>
    <s v="L"/>
    <s v="SI"/>
    <s v="2 NF"/>
    <m/>
    <m/>
    <m/>
    <m/>
    <m/>
    <s v="INDOT DES No 2002343"/>
  </r>
  <r>
    <d v="2025-03-27T00:00:00"/>
    <s v="March"/>
    <n v="2025"/>
    <x v="9"/>
    <n v="-1.02"/>
    <x v="0"/>
    <n v="230400"/>
    <n v="579"/>
    <x v="1"/>
    <s v="PEM"/>
    <n v="1.1499999999999999"/>
    <s v="Platinum Properties Management Company, LLC"/>
    <s v="LRL-2021-087-SJK"/>
    <s v="2024-638-6-MPY-WQC"/>
    <m/>
    <s v="Boone"/>
    <n v="40.009480000000003"/>
    <n v="-86.252889999999994"/>
    <s v="Development"/>
    <m/>
    <s v="No"/>
    <m/>
    <n v="34560"/>
    <n v="161280"/>
    <n v="34560"/>
    <s v="L"/>
    <s v="J"/>
    <m/>
    <m/>
    <m/>
    <m/>
    <m/>
    <m/>
    <m/>
  </r>
  <r>
    <d v="2025-03-27T00:00:00"/>
    <s v="March"/>
    <n v="2025"/>
    <x v="9"/>
    <n v="-0.57999999999999996"/>
    <x v="0"/>
    <n v="230400"/>
    <n v="579"/>
    <x v="1"/>
    <s v="PFO"/>
    <n v="1.77"/>
    <s v="Platinum Properties Management Company, LLC"/>
    <s v="LRL-2021-087-SJK"/>
    <s v="2024-638-6-MPY-WQC"/>
    <m/>
    <s v="Boone"/>
    <n v="40.009480000000003"/>
    <n v="-86.252889999999994"/>
    <s v="Development"/>
    <m/>
    <s v="No"/>
    <m/>
    <n v="34560"/>
    <n v="161280"/>
    <n v="34560"/>
    <s v="L"/>
    <s v="J"/>
    <m/>
    <m/>
    <m/>
    <m/>
    <m/>
    <m/>
    <m/>
  </r>
  <r>
    <d v="2025-03-27T00:00:00"/>
    <s v="March"/>
    <n v="2025"/>
    <x v="9"/>
    <n v="-1121"/>
    <x v="1"/>
    <n v="420300"/>
    <n v="579"/>
    <x v="1"/>
    <s v="Int"/>
    <n v="934"/>
    <s v="Platinum Properties Management Company, LLC"/>
    <s v="LRL-2021-087-SJK"/>
    <s v="2024-638-6-MPY-WQC"/>
    <m/>
    <s v="Boone"/>
    <n v="40.009480000000003"/>
    <n v="-86.252889999999994"/>
    <s v="Development"/>
    <m/>
    <s v="No"/>
    <m/>
    <n v="63045"/>
    <n v="294210"/>
    <n v="63045"/>
    <s v="L"/>
    <s v="J"/>
    <m/>
    <m/>
    <m/>
    <m/>
    <m/>
    <m/>
    <m/>
  </r>
  <r>
    <d v="2025-03-27T00:00:00"/>
    <s v="March"/>
    <n v="2025"/>
    <x v="9"/>
    <n v="-0.03"/>
    <x v="0"/>
    <n v="2400"/>
    <n v="579"/>
    <x v="2"/>
    <s v="PFO"/>
    <n v="0.02"/>
    <s v="Platinum Properties Management Company, LLC"/>
    <s v="N/A"/>
    <s v="2024-636-6-MPY-SRGP"/>
    <m/>
    <s v="Boone"/>
    <n v="40.009480000000003"/>
    <n v="-86.252889999999994"/>
    <s v="Development"/>
    <m/>
    <s v="No"/>
    <m/>
    <n v="360"/>
    <n v="1680"/>
    <n v="360"/>
    <s v="L"/>
    <s v="SI"/>
    <s v="2 FO"/>
    <m/>
    <m/>
    <m/>
    <m/>
    <m/>
    <s v="Union Woodlands (Caito Farms) Development"/>
  </r>
  <r>
    <d v="2025-03-28T00:00:00"/>
    <s v="March"/>
    <n v="2025"/>
    <x v="2"/>
    <n v="-330"/>
    <x v="1"/>
    <n v="132000"/>
    <n v="577"/>
    <x v="1"/>
    <s v="Int"/>
    <n v="1607"/>
    <s v="INDOT"/>
    <s v="LRL-2023-00902-DDC"/>
    <s v="2024-795-26-GCW-WQC"/>
    <m/>
    <s v="Gibson"/>
    <n v="38.330280000000002"/>
    <n v="-87.436239999999998"/>
    <s v="Transportation"/>
    <m/>
    <s v="No"/>
    <m/>
    <n v="19800"/>
    <n v="92400"/>
    <n v="19800"/>
    <s v="L"/>
    <s v="J"/>
    <m/>
    <m/>
    <m/>
    <m/>
    <m/>
    <m/>
    <s v="INDOT DES No 2100263"/>
  </r>
  <r>
    <d v="2025-03-28T00:00:00"/>
    <s v="March"/>
    <n v="2025"/>
    <x v="10"/>
    <n v="-3.319"/>
    <x v="0"/>
    <n v="265520"/>
    <n v="547"/>
    <x v="2"/>
    <s v="PEM"/>
    <n v="2.2130000000000001"/>
    <s v="INDOT"/>
    <s v="N/A"/>
    <s v="IWIP-2022-182-30-JBT"/>
    <m/>
    <s v="Hancock"/>
    <n v="39.820002000000002"/>
    <n v="-85.846967000000006"/>
    <s v="Transportation"/>
    <m/>
    <s v="No"/>
    <m/>
    <n v="39828"/>
    <n v="185864"/>
    <n v="39828"/>
    <s v="L"/>
    <s v="SI"/>
    <s v="2 NF"/>
    <m/>
    <m/>
    <m/>
    <m/>
    <m/>
    <s v=" DES 1702919 I 70 Widening "/>
  </r>
  <r>
    <d v="2025-03-31T00:00:00"/>
    <s v="March"/>
    <n v="2025"/>
    <x v="9"/>
    <n v="-1.63"/>
    <x v="0"/>
    <n v="130399.99999999999"/>
    <n v="581"/>
    <x v="1"/>
    <s v="PEM"/>
    <n v="1.81"/>
    <s v="D.R. Horton"/>
    <s v="LRL-2021-00707-DDC"/>
    <s v="2022-283-49-EKB-A"/>
    <m/>
    <s v="Marion"/>
    <n v="39.636488999999997"/>
    <n v="-86.292974000000001"/>
    <s v="Development"/>
    <m/>
    <s v="No"/>
    <m/>
    <n v="19559.999999999996"/>
    <n v="91279.999999999985"/>
    <n v="19559.999999999996"/>
    <s v="L"/>
    <s v="J"/>
    <m/>
    <m/>
    <m/>
    <m/>
    <m/>
    <m/>
    <m/>
  </r>
  <r>
    <d v="2025-03-31T00:00:00"/>
    <s v="March"/>
    <n v="2025"/>
    <x v="9"/>
    <n v="-600"/>
    <x v="1"/>
    <n v="270000"/>
    <n v="581"/>
    <x v="1"/>
    <s v="Int"/>
    <n v="159"/>
    <s v="D.R. Horton"/>
    <s v="LRL-2021-00707-DDC"/>
    <s v="2022-283-49-EKB-A"/>
    <m/>
    <s v="Marion"/>
    <n v="39.636488999999997"/>
    <n v="-86.292974000000001"/>
    <s v="Development"/>
    <m/>
    <s v="No"/>
    <m/>
    <n v="40500"/>
    <n v="189000"/>
    <n v="40500"/>
    <s v="L"/>
    <s v="J"/>
    <m/>
    <m/>
    <m/>
    <m/>
    <m/>
    <m/>
    <m/>
  </r>
  <r>
    <d v="2025-03-31T00:00:00"/>
    <s v="March"/>
    <n v="2025"/>
    <x v="9"/>
    <n v="-1.8"/>
    <x v="0"/>
    <n v="144000"/>
    <n v="580"/>
    <x v="1"/>
    <s v="PFO"/>
    <n v="0.67"/>
    <s v="INDOT"/>
    <s v="LRL-2008-765"/>
    <s v="2009-667-55-JPS-A"/>
    <m/>
    <s v="Morgan"/>
    <n v="39.433816"/>
    <n v="-86.449562999999998"/>
    <s v="Transportation"/>
    <m/>
    <s v="No"/>
    <m/>
    <n v="21600"/>
    <n v="100800"/>
    <n v="21600"/>
    <s v="L"/>
    <s v="J"/>
    <m/>
    <m/>
    <m/>
    <m/>
    <m/>
    <m/>
    <s v="INDOT failed mitigation DES No 0600731"/>
  </r>
  <r>
    <d v="2025-04-08T00:00:00"/>
    <s v="April"/>
    <n v="2025"/>
    <x v="9"/>
    <n v="-307"/>
    <x v="1"/>
    <n v="138150"/>
    <n v="575"/>
    <x v="1"/>
    <s v="Eph"/>
    <n v="255.55"/>
    <s v="Lennar Homes of Indiana, Inc."/>
    <s v="LRL-2021-746-sjk"/>
    <s v="2022-597-32-ERL-A"/>
    <m/>
    <s v="Hendricks"/>
    <n v="39.770499999999998"/>
    <n v="-86.462599999999995"/>
    <s v="Development"/>
    <m/>
    <s v="No"/>
    <m/>
    <n v="20722.5"/>
    <n v="96705"/>
    <n v="20722.5"/>
    <s v="L"/>
    <s v="J"/>
    <m/>
    <m/>
    <m/>
    <m/>
    <m/>
    <m/>
    <m/>
  </r>
  <r>
    <d v="2025-04-08T00:00:00"/>
    <s v="April"/>
    <n v="2025"/>
    <x v="9"/>
    <n v="-579"/>
    <x v="1"/>
    <n v="260550"/>
    <n v="575"/>
    <x v="1"/>
    <s v="Int"/>
    <n v="603.65"/>
    <s v="Lennar Homes of Indiana, Inc."/>
    <s v="LRL-2021-746-sjk"/>
    <s v="2022-597-32-ERL-A"/>
    <m/>
    <s v="Hendricks"/>
    <n v="39.770499999999998"/>
    <n v="-86.462599999999995"/>
    <s v="Development"/>
    <m/>
    <s v="No"/>
    <m/>
    <n v="39082.5"/>
    <n v="182385"/>
    <n v="39082.5"/>
    <s v="L"/>
    <s v="J"/>
    <m/>
    <m/>
    <m/>
    <m/>
    <m/>
    <m/>
    <m/>
  </r>
  <r>
    <d v="2025-04-08T00:00:00"/>
    <s v="April"/>
    <n v="2025"/>
    <x v="9"/>
    <n v="-124"/>
    <x v="1"/>
    <n v="55800"/>
    <n v="575"/>
    <x v="1"/>
    <s v="Per"/>
    <n v="103.65"/>
    <s v="Lennar Homes of Indiana, Inc."/>
    <s v="LRL-2021-746-sjk"/>
    <s v="2022-597-32-ERL-A"/>
    <m/>
    <s v="Hendricks"/>
    <n v="39.770499999999998"/>
    <n v="-86.462599999999995"/>
    <s v="Development"/>
    <m/>
    <s v="No"/>
    <m/>
    <n v="8370"/>
    <n v="39060"/>
    <n v="8370"/>
    <s v="L"/>
    <s v="J"/>
    <m/>
    <m/>
    <m/>
    <m/>
    <m/>
    <m/>
    <m/>
  </r>
  <r>
    <d v="2025-04-09T00:00:00"/>
    <s v="April"/>
    <n v="2025"/>
    <x v="0"/>
    <n v="-0.10199999999999999"/>
    <x v="0"/>
    <n v="9690"/>
    <n v="572"/>
    <x v="1"/>
    <s v="PEM"/>
    <n v="0.63"/>
    <s v="NIPSCO"/>
    <s v="LRC-2024-00551"/>
    <s v="2024-604-45-TLC-WQC"/>
    <m/>
    <s v="Lake"/>
    <n v="41.559417000000003"/>
    <n v="-87.430871999999994"/>
    <s v="Energy Production"/>
    <m/>
    <s v="No"/>
    <m/>
    <n v="1453.5"/>
    <n v="6783"/>
    <n v="1453.5"/>
    <s v="C"/>
    <s v="J"/>
    <m/>
    <m/>
    <m/>
    <m/>
    <m/>
    <m/>
    <m/>
  </r>
  <r>
    <d v="2025-04-09T00:00:00"/>
    <s v="April"/>
    <n v="2025"/>
    <x v="8"/>
    <n v="-1.6240000000000001"/>
    <x v="0"/>
    <n v="129920"/>
    <n v="582"/>
    <x v="1"/>
    <s v="PFO"/>
    <n v="0.54100000000000004"/>
    <s v="AEP"/>
    <s v="LRL-2025-00056"/>
    <s v="2024-893-2-EJW-WQC"/>
    <m/>
    <s v="Allen"/>
    <n v="41.205719999999999"/>
    <n v="-85.231769999999997"/>
    <s v="Development"/>
    <m/>
    <s v="No"/>
    <m/>
    <n v="19488"/>
    <n v="90944"/>
    <n v="19488"/>
    <s v="L"/>
    <s v="J"/>
    <m/>
    <m/>
    <m/>
    <m/>
    <m/>
    <m/>
    <m/>
  </r>
  <r>
    <d v="2025-05-01T00:00:00"/>
    <s v="May"/>
    <n v="2025"/>
    <x v="8"/>
    <n v="-0.02"/>
    <x v="0"/>
    <n v="1600"/>
    <s v="585C"/>
    <x v="1"/>
    <s v="PEM"/>
    <n v="0.01"/>
    <s v="Peru Municipal Airport"/>
    <s v="LRL-2023-00245-jde"/>
    <s v="2024-642-52-MMR-NWP"/>
    <m/>
    <s v="Miami"/>
    <n v="40.784700000000001"/>
    <n v="-86.148200000000003"/>
    <s v="Development"/>
    <m/>
    <s v="No"/>
    <m/>
    <n v="240"/>
    <n v="1120"/>
    <n v="240"/>
    <s v="L"/>
    <s v="J"/>
    <m/>
    <m/>
    <m/>
    <m/>
    <m/>
    <m/>
    <m/>
  </r>
  <r>
    <d v="2025-05-01T00:00:00"/>
    <s v="May"/>
    <n v="2025"/>
    <x v="8"/>
    <n v="-0.69"/>
    <x v="0"/>
    <n v="55200"/>
    <s v="585C"/>
    <x v="1"/>
    <s v="PSS"/>
    <n v="0.23"/>
    <s v="Peru Municipal Airport"/>
    <s v="LRL-2023-00245-jde"/>
    <s v="2024-642-52-MMR-NWP"/>
    <m/>
    <s v="Miami"/>
    <n v="40.784700000000001"/>
    <n v="-86.148200000000003"/>
    <s v="Development"/>
    <m/>
    <s v="No"/>
    <m/>
    <n v="8280"/>
    <n v="38640"/>
    <n v="8280"/>
    <s v="L"/>
    <s v="J"/>
    <m/>
    <m/>
    <m/>
    <m/>
    <m/>
    <m/>
    <m/>
  </r>
  <r>
    <d v="2025-05-01T00:00:00"/>
    <s v="May"/>
    <n v="2025"/>
    <x v="3"/>
    <n v="-8.0000000000000002E-3"/>
    <x v="0"/>
    <n v="640"/>
    <n v="578"/>
    <x v="1"/>
    <s v="PFO"/>
    <n v="4.0000000000000001E-3"/>
    <s v="INDOT"/>
    <s v="LRE-2023-00120-102"/>
    <s v="2024-366-2-GCW-A"/>
    <m/>
    <s v="Allen"/>
    <n v="41.091819000000001"/>
    <n v="-84.994384999999994"/>
    <s v="Transportation"/>
    <m/>
    <s v="No"/>
    <m/>
    <n v="96"/>
    <n v="448"/>
    <n v="96"/>
    <s v="D"/>
    <s v="J"/>
    <m/>
    <m/>
    <m/>
    <m/>
    <m/>
    <m/>
    <m/>
  </r>
  <r>
    <d v="2025-05-01T00:00:00"/>
    <s v="May"/>
    <n v="2025"/>
    <x v="10"/>
    <n v="-1.45"/>
    <x v="0"/>
    <n v="116000"/>
    <n v="548"/>
    <x v="2"/>
    <s v="PFO"/>
    <n v="0.57799999999999996"/>
    <s v="INDOT"/>
    <s v="N/A"/>
    <s v="IWIP 2024-444-3-GCW-A"/>
    <m/>
    <s v="Bartholomew"/>
    <n v="39.259694000000003"/>
    <n v="-85.952674999999999"/>
    <s v="Transportation"/>
    <m/>
    <s v="No"/>
    <m/>
    <n v="17400"/>
    <n v="81200"/>
    <n v="17400"/>
    <s v="L"/>
    <s v="SI"/>
    <s v="3 FO"/>
    <m/>
    <s v="INDOT DES No. 2000505"/>
    <m/>
    <m/>
    <m/>
    <m/>
  </r>
  <r>
    <d v="2025-05-01T00:00:00"/>
    <s v="May"/>
    <n v="2025"/>
    <x v="5"/>
    <n v="-0.62"/>
    <x v="0"/>
    <n v="49600"/>
    <n v="583"/>
    <x v="1"/>
    <s v="PEM"/>
    <n v="0.312"/>
    <s v="INDOT"/>
    <s v="LRL-2023-447-djd"/>
    <s v="2023-983-82-GCW-A"/>
    <m/>
    <s v="Warrick, Vanderburgh, and Gibson"/>
    <n v="38.060971000000002"/>
    <n v="-87.475572999999997"/>
    <s v="Transportation"/>
    <m/>
    <s v="No"/>
    <m/>
    <n v="7440"/>
    <n v="34720"/>
    <n v="7440"/>
    <s v="L"/>
    <s v="J"/>
    <m/>
    <m/>
    <s v="INDOT DES No 2000889"/>
    <m/>
    <m/>
    <m/>
    <m/>
  </r>
  <r>
    <d v="2025-05-01T00:00:00"/>
    <s v="May"/>
    <n v="2025"/>
    <x v="5"/>
    <n v="-0.83"/>
    <x v="0"/>
    <n v="66400"/>
    <n v="583"/>
    <x v="1"/>
    <s v="PFO"/>
    <n v="0.27800000000000002"/>
    <s v="INDOT"/>
    <s v="LRL-2023-447-djd"/>
    <s v="2023-983-82-GCW-A"/>
    <m/>
    <s v="Warrick, Vanderburgh, and Gibson"/>
    <n v="38.060971000000002"/>
    <n v="-87.475572999999997"/>
    <s v="Transportation"/>
    <m/>
    <s v="No"/>
    <m/>
    <n v="9960"/>
    <n v="46480"/>
    <n v="9960"/>
    <s v="L"/>
    <s v="J"/>
    <m/>
    <m/>
    <s v="INDOT DES No 2000889"/>
    <m/>
    <m/>
    <m/>
    <m/>
  </r>
  <r>
    <d v="2025-05-01T00:00:00"/>
    <s v="May"/>
    <n v="2025"/>
    <x v="5"/>
    <n v="-15"/>
    <x v="1"/>
    <n v="6000"/>
    <n v="583"/>
    <x v="1"/>
    <s v="Eph"/>
    <n v="15"/>
    <s v="INDOT"/>
    <s v="LRL-2023-447-djd"/>
    <s v="2023-983-82-GCW-A"/>
    <m/>
    <s v="Warrick, Vanderburgh, and Gibson"/>
    <n v="38.060971000000002"/>
    <n v="-87.475572999999997"/>
    <s v="Transportation"/>
    <m/>
    <s v="No"/>
    <m/>
    <n v="900"/>
    <n v="4200"/>
    <n v="900"/>
    <s v="L"/>
    <s v="J"/>
    <m/>
    <m/>
    <s v="INDOT DES No 2000889"/>
    <m/>
    <m/>
    <m/>
    <m/>
  </r>
  <r>
    <d v="2025-05-01T00:00:00"/>
    <s v="May"/>
    <n v="2025"/>
    <x v="5"/>
    <n v="-104"/>
    <x v="1"/>
    <n v="41600"/>
    <n v="583"/>
    <x v="1"/>
    <s v="Int"/>
    <n v="2492.75"/>
    <s v="INDOT"/>
    <s v="LRL-2023-447-djd"/>
    <s v="2023-983-82-GCW-A"/>
    <m/>
    <s v="Warrick, Vanderburgh, and Gibson"/>
    <n v="38.060971000000002"/>
    <n v="-87.475572999999997"/>
    <s v="Transportation"/>
    <m/>
    <s v="No"/>
    <m/>
    <n v="6240"/>
    <n v="29119.999999999996"/>
    <n v="6240"/>
    <s v="L"/>
    <s v="J"/>
    <m/>
    <m/>
    <s v="INDOT DES No 2000889"/>
    <m/>
    <m/>
    <m/>
    <m/>
  </r>
  <r>
    <d v="2025-05-01T00:00:00"/>
    <s v="May"/>
    <n v="2025"/>
    <x v="0"/>
    <n v="-0.76"/>
    <x v="0"/>
    <n v="72200"/>
    <n v="589"/>
    <x v="1"/>
    <s v="PEM"/>
    <n v="0.38"/>
    <s v="INDOT"/>
    <s v="LRC-2022-00748"/>
    <s v="2024-581-45-GCW-WQC"/>
    <m/>
    <s v="Lake"/>
    <n v="41.380749999999999"/>
    <n v="-87.306579999999997"/>
    <s v="Transportation"/>
    <m/>
    <s v="No"/>
    <m/>
    <n v="10830"/>
    <n v="50540"/>
    <n v="10830"/>
    <s v="C"/>
    <s v="J"/>
    <m/>
    <m/>
    <m/>
    <m/>
    <m/>
    <m/>
    <m/>
  </r>
  <r>
    <d v="2025-05-02T00:00:00"/>
    <s v="May"/>
    <n v="2025"/>
    <x v="8"/>
    <n v="-43"/>
    <x v="1"/>
    <n v="17200"/>
    <n v="584"/>
    <x v="1"/>
    <s v="Int"/>
    <n v="43"/>
    <s v="INDOT"/>
    <s v="N/A"/>
    <s v="2025-181-71-GCW-NWP"/>
    <m/>
    <s v="Tippecanoe"/>
    <n v="40.322270000000003"/>
    <n v="-86.750370000000004"/>
    <s v="Transportation"/>
    <m/>
    <s v="No"/>
    <m/>
    <n v="2580"/>
    <n v="12040"/>
    <n v="2580"/>
    <s v="L"/>
    <s v="J"/>
    <m/>
    <m/>
    <s v="INDOT DES No 2001932"/>
    <m/>
    <m/>
    <m/>
    <m/>
  </r>
  <r>
    <d v="2025-05-02T00:00:00"/>
    <s v="May"/>
    <n v="2025"/>
    <x v="0"/>
    <n v="-0.26600000000000001"/>
    <x v="0"/>
    <n v="25270"/>
    <n v="586"/>
    <x v="1"/>
    <s v="PEM"/>
    <n v="0.11"/>
    <s v="INDOT"/>
    <s v="LRC-2024-00644"/>
    <s v="2024-928-45-GCW-NWP"/>
    <m/>
    <s v="Lake"/>
    <n v="41.587384"/>
    <n v="-87.306416999999996"/>
    <s v="Transportation"/>
    <m/>
    <s v="No"/>
    <m/>
    <n v="3790.5"/>
    <n v="17689"/>
    <n v="3790.5"/>
    <s v="C"/>
    <s v="J"/>
    <m/>
    <m/>
    <s v="INDOT DES No 2100129"/>
    <m/>
    <m/>
    <m/>
    <m/>
  </r>
  <r>
    <d v="2025-05-02T00:00:00"/>
    <s v="May"/>
    <n v="2025"/>
    <x v="0"/>
    <n v="-0.39600000000000002"/>
    <x v="0"/>
    <n v="37620"/>
    <n v="586"/>
    <x v="1"/>
    <s v="PSS"/>
    <n v="0.11"/>
    <s v="INDOT"/>
    <s v="LRC-2024-00644"/>
    <s v="2024-928-45-GCW-NWP"/>
    <m/>
    <s v="Lake"/>
    <n v="41.587384"/>
    <n v="-87.306416999999996"/>
    <s v="Transportation"/>
    <m/>
    <s v="No"/>
    <m/>
    <n v="5643"/>
    <n v="26334"/>
    <n v="5643"/>
    <s v="C"/>
    <s v="J"/>
    <m/>
    <m/>
    <s v="INDOT DES No 2100129"/>
    <m/>
    <m/>
    <m/>
    <m/>
  </r>
  <r>
    <d v="2025-05-02T00:00:00"/>
    <s v="May"/>
    <n v="2025"/>
    <x v="5"/>
    <n v="-643"/>
    <x v="1"/>
    <n v="257200"/>
    <n v="556"/>
    <x v="1"/>
    <s v="Int"/>
    <n v="854"/>
    <s v="Warrick County Highway Dept"/>
    <s v="LRL-2022-623"/>
    <s v="2022-905-87-TMS-A"/>
    <m/>
    <s v="Warrick"/>
    <n v="38.005415999999997"/>
    <n v="-87.395927999999998"/>
    <s v="Transportation"/>
    <m/>
    <s v="No"/>
    <m/>
    <n v="38580"/>
    <n v="180040"/>
    <n v="38580"/>
    <s v="L"/>
    <s v="J"/>
    <m/>
    <m/>
    <m/>
    <m/>
    <m/>
    <m/>
    <m/>
  </r>
  <r>
    <d v="2025-05-02T00:00:00"/>
    <s v="May"/>
    <n v="2025"/>
    <x v="8"/>
    <n v="-0.10349999999999999"/>
    <x v="0"/>
    <n v="8280"/>
    <n v="565"/>
    <x v="2"/>
    <s v="PEM"/>
    <n v="6.9000000000000006E-2"/>
    <s v="White County Commissioners"/>
    <s v="N/A"/>
    <s v="2024-934-91-MPY-SRGP"/>
    <m/>
    <s v="White"/>
    <n v="40.750427000000002"/>
    <n v="-86.776831999999999"/>
    <s v="Development"/>
    <m/>
    <s v="No"/>
    <m/>
    <n v="1242"/>
    <n v="5796"/>
    <n v="1242"/>
    <s v="L"/>
    <s v="SI"/>
    <s v="2 NF"/>
    <m/>
    <m/>
    <m/>
    <m/>
    <m/>
    <m/>
  </r>
  <r>
    <d v="2025-05-05T00:00:00"/>
    <s v="May"/>
    <n v="2025"/>
    <x v="4"/>
    <n v="-0.6"/>
    <x v="0"/>
    <n v="48000"/>
    <s v="596C"/>
    <x v="1"/>
    <s v="PEM"/>
    <n v="0.25040000000000001"/>
    <s v="ENTEK Lithium Separators LLC"/>
    <s v="LRL-2023-00388"/>
    <s v="2024-660-84-MMR-WQC"/>
    <m/>
    <s v="Vigo"/>
    <n v="39.351748999999998"/>
    <n v="-87.411080999999996"/>
    <s v="Development"/>
    <m/>
    <s v="No"/>
    <m/>
    <n v="7200"/>
    <n v="33600"/>
    <n v="7200"/>
    <s v="L"/>
    <s v="J"/>
    <m/>
    <m/>
    <m/>
    <m/>
    <m/>
    <m/>
    <m/>
  </r>
  <r>
    <d v="2025-05-05T00:00:00"/>
    <s v="May"/>
    <n v="2025"/>
    <x v="4"/>
    <n v="-82"/>
    <x v="1"/>
    <n v="32800"/>
    <s v="596C"/>
    <x v="1"/>
    <s v="Int"/>
    <n v="82"/>
    <s v="ENTEK Lithium Separators LLC"/>
    <s v="LRL-2023-00388"/>
    <s v="2024-660-84-MMR-WQC"/>
    <m/>
    <s v="Vigo"/>
    <n v="39.351748999999998"/>
    <n v="-87.411080999999996"/>
    <s v="Development"/>
    <m/>
    <s v="No"/>
    <m/>
    <n v="4920"/>
    <n v="22960"/>
    <n v="4920"/>
    <s v="L"/>
    <s v="J"/>
    <m/>
    <m/>
    <m/>
    <m/>
    <m/>
    <m/>
    <m/>
  </r>
  <r>
    <d v="2025-05-05T00:00:00"/>
    <s v="May"/>
    <n v="2025"/>
    <x v="8"/>
    <n v="-2.242"/>
    <x v="0"/>
    <n v="179360"/>
    <n v="600"/>
    <x v="2"/>
    <s v="PFO"/>
    <n v="1.121"/>
    <s v="Matt Lancia Signature Homes"/>
    <s v="N/A"/>
    <s v="2025-132-2-EJW-IWIP"/>
    <m/>
    <s v="Allen"/>
    <n v="41.189610000000002"/>
    <n v="-85.163579999999996"/>
    <s v="Development"/>
    <m/>
    <s v="No"/>
    <m/>
    <n v="26904"/>
    <n v="125551.99999999999"/>
    <n v="26904"/>
    <s v="D"/>
    <s v="SI"/>
    <s v="2 FO"/>
    <m/>
    <m/>
    <m/>
    <m/>
    <m/>
    <m/>
  </r>
  <r>
    <d v="2025-05-07T00:00:00"/>
    <s v="May"/>
    <n v="2025"/>
    <x v="9"/>
    <n v="-4.2999999999999997E-2"/>
    <x v="0"/>
    <n v="3440"/>
    <n v="591"/>
    <x v="1"/>
    <s v="PEM"/>
    <n v="1.7999999999999999E-2"/>
    <s v="Lennar Homes"/>
    <s v="LRL-2023-00665-DDC"/>
    <s v="2025-163-41-TLG-NWP"/>
    <m/>
    <s v="Johnson"/>
    <n v="39.568100000000001"/>
    <n v="-86.147800000000004"/>
    <s v="Development"/>
    <m/>
    <s v="No"/>
    <m/>
    <n v="516"/>
    <n v="2408"/>
    <n v="516"/>
    <s v="L"/>
    <s v="J"/>
    <m/>
    <m/>
    <m/>
    <m/>
    <m/>
    <m/>
    <m/>
  </r>
  <r>
    <d v="2025-05-07T00:00:00"/>
    <s v="May"/>
    <n v="2025"/>
    <x v="9"/>
    <n v="-0.309"/>
    <x v="0"/>
    <n v="24720"/>
    <n v="591"/>
    <x v="1"/>
    <s v="PSS"/>
    <n v="0.10299999999999999"/>
    <s v="Lennar Homes"/>
    <s v="LRL-2023-00665-DDC"/>
    <s v="2025-163-41-TLG-NWP"/>
    <m/>
    <s v="Johnson"/>
    <n v="39.568100000000001"/>
    <n v="-86.147800000000004"/>
    <s v="Development"/>
    <m/>
    <s v="No"/>
    <m/>
    <n v="3708"/>
    <n v="17304"/>
    <n v="3708"/>
    <s v="L"/>
    <s v="J"/>
    <m/>
    <m/>
    <m/>
    <m/>
    <m/>
    <m/>
    <m/>
  </r>
  <r>
    <d v="2025-05-07T00:00:00"/>
    <s v="May"/>
    <n v="2025"/>
    <x v="9"/>
    <n v="-10"/>
    <x v="1"/>
    <n v="4500"/>
    <n v="591"/>
    <x v="1"/>
    <s v="Int"/>
    <n v="10"/>
    <s v="Lennar Homes"/>
    <s v="LRL-2023-00665-DDC"/>
    <s v="2025-163-41-TLG-NWP"/>
    <m/>
    <s v="Johnson"/>
    <n v="39.568100000000001"/>
    <n v="-86.147800000000004"/>
    <s v="Development"/>
    <m/>
    <s v="No"/>
    <m/>
    <n v="675"/>
    <n v="3150"/>
    <n v="675"/>
    <s v="L"/>
    <s v="J"/>
    <m/>
    <m/>
    <m/>
    <m/>
    <m/>
    <m/>
    <m/>
  </r>
  <r>
    <d v="2025-05-07T00:00:00"/>
    <s v="May"/>
    <n v="2025"/>
    <x v="9"/>
    <n v="-115"/>
    <x v="1"/>
    <n v="51750"/>
    <n v="576"/>
    <x v="1"/>
    <s v="Per"/>
    <n v="263.3"/>
    <s v="City of Indianapolis, DPW"/>
    <s v="LRL-2020-1045-sjk"/>
    <s v="2021-150-49-ALF-A"/>
    <m/>
    <s v="Marion"/>
    <n v="39.658900000000003"/>
    <n v="-86.082499999999996"/>
    <s v="Transportation"/>
    <m/>
    <s v="No"/>
    <m/>
    <n v="7762.5"/>
    <n v="36225"/>
    <n v="7762.5"/>
    <s v="L"/>
    <s v="J"/>
    <m/>
    <m/>
    <m/>
    <m/>
    <m/>
    <m/>
    <m/>
  </r>
  <r>
    <d v="2025-05-07T00:00:00"/>
    <s v="May"/>
    <n v="2025"/>
    <x v="9"/>
    <n v="-0.42699999999999999"/>
    <x v="0"/>
    <n v="34160"/>
    <n v="576"/>
    <x v="1"/>
    <s v="PEM"/>
    <n v="0.17899999999999999"/>
    <s v="City of Indianapolis, DPW"/>
    <s v="LRL-2020-1045-sjk"/>
    <s v="2021-150-49-ALF-A"/>
    <m/>
    <s v="Marion"/>
    <n v="39.658900000000003"/>
    <n v="-86.082499999999996"/>
    <s v="Transportation"/>
    <m/>
    <s v="No"/>
    <m/>
    <n v="5124"/>
    <n v="23912"/>
    <n v="5124"/>
    <s v="L"/>
    <s v="J"/>
    <m/>
    <m/>
    <m/>
    <m/>
    <m/>
    <m/>
    <m/>
  </r>
  <r>
    <d v="2025-05-07T00:00:00"/>
    <s v="May"/>
    <n v="2025"/>
    <x v="9"/>
    <n v="-3.3000000000000002E-2"/>
    <x v="0"/>
    <n v="2640"/>
    <n v="576"/>
    <x v="2"/>
    <s v="PEM"/>
    <n v="3.3000000000000002E-2"/>
    <s v="City of Indianapolis, DPW"/>
    <s v="N/A"/>
    <s v="IWGP 2021-150-49-ALF-A"/>
    <m/>
    <s v="Marion"/>
    <n v="39.658900000000003"/>
    <n v="-86.082499999999996"/>
    <s v="Transportation"/>
    <m/>
    <s v="No"/>
    <m/>
    <n v="396"/>
    <n v="1847.9999999999998"/>
    <n v="396"/>
    <s v="L"/>
    <s v="SI"/>
    <s v="1 NF"/>
    <m/>
    <m/>
    <m/>
    <m/>
    <m/>
    <m/>
  </r>
  <r>
    <d v="2025-05-07T00:00:00"/>
    <s v="May"/>
    <n v="2025"/>
    <x v="4"/>
    <n v="-0.3"/>
    <x v="0"/>
    <n v="24000"/>
    <n v="595"/>
    <x v="2"/>
    <s v="PEM"/>
    <n v="0.2"/>
    <s v="Eli Lilly &amp; Co."/>
    <s v="N/A"/>
    <s v="2025-343-6-MPY-SRGP"/>
    <m/>
    <s v="Boone"/>
    <n v="40.043190000000003"/>
    <n v="-86.515140000000002"/>
    <s v="Development"/>
    <m/>
    <s v="No"/>
    <m/>
    <n v="3600"/>
    <n v="16800"/>
    <n v="3600"/>
    <s v="L"/>
    <s v="SI"/>
    <s v="2 NF"/>
    <m/>
    <m/>
    <m/>
    <m/>
    <m/>
    <m/>
  </r>
  <r>
    <d v="2025-05-13T00:00:00"/>
    <s v="May"/>
    <n v="2025"/>
    <x v="8"/>
    <n v="-1588"/>
    <x v="1"/>
    <n v="635200"/>
    <n v="574"/>
    <x v="1"/>
    <s v="Per"/>
    <n v="1588"/>
    <s v="Liberty Landfill"/>
    <s v="LRL-2021-1014-sjk"/>
    <s v="2022-93-91-JWR-A"/>
    <s v="FW-31397-0"/>
    <s v="White"/>
    <n v="40.894809000000002"/>
    <n v="-86.699406999999994"/>
    <s v="Development"/>
    <m/>
    <s v="No"/>
    <m/>
    <n v="95280"/>
    <n v="444640"/>
    <n v="95280"/>
    <s v="L"/>
    <s v="J"/>
    <m/>
    <m/>
    <m/>
    <m/>
    <m/>
    <m/>
    <s v="Modified amounts IDEM revised to match Corps amounts as IDEM couldn't modify the amounts to reflect changed mitigation.  Verified w both Corps and IDEM.  "/>
  </r>
  <r>
    <d v="2025-05-13T00:00:00"/>
    <s v="May"/>
    <n v="2025"/>
    <x v="8"/>
    <n v="-1.25"/>
    <x v="0"/>
    <n v="100000"/>
    <n v="574"/>
    <x v="1"/>
    <s v="PEM"/>
    <n v="0.52"/>
    <s v="Liberty Landfill"/>
    <s v="LRL-2021-1014-sjk"/>
    <s v="2022-93-91-JWR-A"/>
    <s v="FW-31397-0"/>
    <s v="White"/>
    <n v="40.894809000000002"/>
    <n v="-86.699406999999994"/>
    <s v="Development"/>
    <m/>
    <s v="No"/>
    <m/>
    <n v="15000"/>
    <n v="70000"/>
    <n v="15000"/>
    <s v="L"/>
    <s v="J"/>
    <m/>
    <m/>
    <m/>
    <m/>
    <m/>
    <m/>
    <s v="Modified amounts IDEM revised to match Corps amounts as IDEM couldn't modify the amounts to reflect changed mitigation.  Verified w both Corps and IDEM.  "/>
  </r>
  <r>
    <d v="2025-05-13T00:00:00"/>
    <s v="May"/>
    <n v="2025"/>
    <x v="3"/>
    <n v="-1.2"/>
    <x v="0"/>
    <n v="96000"/>
    <n v="573"/>
    <x v="1"/>
    <s v="PFO"/>
    <n v="0.29699999999999999"/>
    <s v="Silverado Cook Properties, LLC"/>
    <s v="LRE-2017-00314-102-N23"/>
    <s v="2022-1258-2-EJW-A"/>
    <m/>
    <s v="Allen"/>
    <n v="41.146241000000003"/>
    <n v="-85.166835000000006"/>
    <s v="Development"/>
    <m/>
    <s v="No"/>
    <m/>
    <n v="14400"/>
    <n v="67200"/>
    <n v="14400"/>
    <s v="D"/>
    <s v="J"/>
    <m/>
    <m/>
    <m/>
    <m/>
    <m/>
    <m/>
    <m/>
  </r>
  <r>
    <d v="2025-05-14T00:00:00"/>
    <s v="May"/>
    <n v="2025"/>
    <x v="3"/>
    <n v="-0.37"/>
    <x v="0"/>
    <n v="29600"/>
    <n v="590"/>
    <x v="2"/>
    <s v="PEM"/>
    <n v="0.25"/>
    <s v="INDOT"/>
    <s v="LRE-2023-00173-102-J23"/>
    <s v="2024-1022-2-GCW-IWIP"/>
    <m/>
    <s v="Allen"/>
    <n v="41.125228"/>
    <n v="-85.211544000000004"/>
    <s v="Transportation"/>
    <m/>
    <s v="No"/>
    <m/>
    <n v="4440"/>
    <n v="20720"/>
    <n v="4440"/>
    <s v="D"/>
    <s v="SI"/>
    <s v="2 NF"/>
    <m/>
    <m/>
    <m/>
    <m/>
    <m/>
    <s v="INDOT DES No 1901890"/>
  </r>
  <r>
    <d v="2025-05-14T00:00:00"/>
    <s v="May"/>
    <n v="2025"/>
    <x v="3"/>
    <n v="-0.06"/>
    <x v="0"/>
    <n v="4800"/>
    <n v="590"/>
    <x v="1"/>
    <s v="PEM"/>
    <n v="0.03"/>
    <s v="INDOT"/>
    <s v="LRE-2023-00173-102-J23"/>
    <s v="2024-1022-2-GCW-WQC"/>
    <m/>
    <s v="Allen"/>
    <n v="41.125228"/>
    <n v="-85.211544000000004"/>
    <s v="Transportation"/>
    <m/>
    <s v="No"/>
    <m/>
    <n v="720"/>
    <n v="3360"/>
    <n v="720"/>
    <s v="D"/>
    <s v="J"/>
    <m/>
    <m/>
    <m/>
    <m/>
    <m/>
    <m/>
    <s v="INDOT DES No 1901890"/>
  </r>
  <r>
    <d v="2025-05-14T00:00:00"/>
    <s v="May"/>
    <n v="2025"/>
    <x v="3"/>
    <n v="-42"/>
    <x v="1"/>
    <n v="18900"/>
    <n v="590"/>
    <x v="1"/>
    <s v="Int"/>
    <n v="42"/>
    <s v="INDOT"/>
    <s v="LRE-2023-00173-102-J23"/>
    <s v="2024-1022-2-GCW-WQC"/>
    <m/>
    <s v="Allen"/>
    <n v="41.125228"/>
    <n v="-85.211544000000004"/>
    <s v="Transportation"/>
    <m/>
    <s v="No"/>
    <m/>
    <n v="2835"/>
    <n v="13230"/>
    <n v="2835"/>
    <s v="D"/>
    <s v="J"/>
    <m/>
    <m/>
    <m/>
    <m/>
    <m/>
    <m/>
    <s v="INDOT DES No 1901890"/>
  </r>
  <r>
    <d v="2025-05-14T00:00:00"/>
    <s v="May"/>
    <n v="2025"/>
    <x v="8"/>
    <n v="-1"/>
    <x v="0"/>
    <n v="80000"/>
    <n v="590"/>
    <x v="2"/>
    <s v="PFO"/>
    <n v="0.5"/>
    <s v="INDOT"/>
    <s v="LRE-2023-00173-102-J23"/>
    <s v="2024-1022-2-GCW-IWIP"/>
    <m/>
    <s v="Allen"/>
    <n v="41.125309999999999"/>
    <n v="-85.226330000000004"/>
    <s v="Transportation"/>
    <m/>
    <s v="No"/>
    <m/>
    <n v="12000"/>
    <n v="56000"/>
    <n v="12000"/>
    <s v="L"/>
    <s v="SI"/>
    <s v="2 FO"/>
    <m/>
    <m/>
    <m/>
    <m/>
    <m/>
    <s v="INDOT DES No 1901890"/>
  </r>
  <r>
    <d v="2025-05-14T00:00:00"/>
    <s v="May"/>
    <n v="2025"/>
    <x v="8"/>
    <n v="-0.63"/>
    <x v="0"/>
    <n v="50400"/>
    <n v="590"/>
    <x v="2"/>
    <s v="PEM"/>
    <n v="0.42"/>
    <s v="INDOT"/>
    <s v="LRE-2023-00173-102-J23"/>
    <s v="2024-1022-2-GCW-IWIP"/>
    <m/>
    <s v="Allen"/>
    <n v="41.125309999999999"/>
    <n v="-85.226330000000004"/>
    <s v="Transportation"/>
    <m/>
    <s v="No"/>
    <m/>
    <n v="7560"/>
    <n v="35280"/>
    <n v="7560"/>
    <s v="L"/>
    <s v="SI"/>
    <s v="2 NF"/>
    <m/>
    <m/>
    <m/>
    <m/>
    <m/>
    <s v="INDOT DES No 1901890"/>
  </r>
  <r>
    <d v="2025-05-14T00:00:00"/>
    <s v="May"/>
    <n v="2025"/>
    <x v="8"/>
    <n v="-0.09"/>
    <x v="0"/>
    <n v="7200"/>
    <n v="590"/>
    <x v="1"/>
    <s v="PEM"/>
    <n v="4.4999999999999998E-2"/>
    <s v="INDOT"/>
    <s v="LRE-2023-00173-102-J23"/>
    <s v="2024-1022-2-GCW-WQC"/>
    <m/>
    <s v="Allen"/>
    <n v="41.125309999999999"/>
    <n v="-85.226330000000004"/>
    <s v="Transportation"/>
    <m/>
    <s v="No"/>
    <m/>
    <n v="1080"/>
    <n v="5040"/>
    <n v="1080"/>
    <s v="L"/>
    <s v="J"/>
    <m/>
    <m/>
    <m/>
    <m/>
    <m/>
    <m/>
    <s v="INDOT DES No 1901890"/>
  </r>
  <r>
    <d v="2025-05-14T00:00:00"/>
    <s v="May"/>
    <n v="2025"/>
    <x v="8"/>
    <n v="-562"/>
    <x v="1"/>
    <n v="224800"/>
    <n v="590"/>
    <x v="1"/>
    <s v="Int"/>
    <n v="562"/>
    <s v="INDOT"/>
    <s v="LRE-2023-00173-102-J23"/>
    <s v="2024-1022-2-GCW-WQC"/>
    <m/>
    <s v="Allen"/>
    <n v="41.125309999999999"/>
    <n v="-85.226330000000004"/>
    <s v="Transportation"/>
    <m/>
    <s v="No"/>
    <m/>
    <n v="33720"/>
    <n v="157360"/>
    <n v="33720"/>
    <s v="L"/>
    <s v="J"/>
    <m/>
    <m/>
    <m/>
    <m/>
    <m/>
    <m/>
    <s v="INDOT DES No 1901890"/>
  </r>
  <r>
    <d v="2025-05-14T00:00:00"/>
    <s v="May"/>
    <n v="2025"/>
    <x v="8"/>
    <n v="-221"/>
    <x v="1"/>
    <n v="88400"/>
    <n v="590"/>
    <x v="1"/>
    <s v="Per"/>
    <n v="221"/>
    <s v="INDOT"/>
    <s v="LRE-2023-00173-102-J23"/>
    <s v="2024-1022-2-GCW-WQC"/>
    <m/>
    <s v="Allen"/>
    <n v="41.125309999999999"/>
    <n v="-85.226330000000004"/>
    <s v="Transportation"/>
    <m/>
    <s v="No"/>
    <m/>
    <n v="13260"/>
    <n v="61879.999999999993"/>
    <n v="13260"/>
    <s v="L"/>
    <s v="J"/>
    <m/>
    <m/>
    <m/>
    <m/>
    <m/>
    <m/>
    <s v="INDOT DES No 1901890"/>
  </r>
  <r>
    <d v="2025-05-14T00:00:00"/>
    <s v="May"/>
    <n v="2025"/>
    <x v="5"/>
    <n v="-123"/>
    <x v="1"/>
    <n v="49200"/>
    <n v="597"/>
    <x v="1"/>
    <s v="Int"/>
    <n v="1269"/>
    <s v="INDOT"/>
    <s v="LRL-2025-70"/>
    <s v="2025-82-62-GCW-WQC"/>
    <m/>
    <s v="Perry"/>
    <n v="38.226407999999999"/>
    <n v="-86.697208000000003"/>
    <s v="Transportation"/>
    <m/>
    <s v="No"/>
    <m/>
    <n v="7380"/>
    <n v="34440"/>
    <n v="7380"/>
    <s v="L"/>
    <s v="J"/>
    <m/>
    <m/>
    <m/>
    <m/>
    <m/>
    <m/>
    <s v="DES NO 2100167"/>
  </r>
  <r>
    <d v="2025-05-14T00:00:00"/>
    <s v="May"/>
    <n v="2025"/>
    <x v="5"/>
    <n v="-91"/>
    <x v="1"/>
    <n v="36400"/>
    <n v="597"/>
    <x v="1"/>
    <s v="Per"/>
    <n v="862"/>
    <s v="INDOT"/>
    <s v="LRL-2025-70"/>
    <s v="2025-82-62-GCW-WQC"/>
    <m/>
    <s v="Perry"/>
    <n v="38.226407999999999"/>
    <n v="-86.697208000000003"/>
    <s v="Transportation"/>
    <m/>
    <s v="No"/>
    <m/>
    <n v="5460"/>
    <n v="25480"/>
    <n v="5460"/>
    <s v="L"/>
    <s v="J"/>
    <m/>
    <m/>
    <m/>
    <m/>
    <m/>
    <m/>
    <s v="DES NO 2100167"/>
  </r>
  <r>
    <d v="2025-05-14T00:00:00"/>
    <s v="May"/>
    <n v="2025"/>
    <x v="2"/>
    <n v="-0.46"/>
    <x v="0"/>
    <n v="36800"/>
    <n v="598"/>
    <x v="1"/>
    <s v="PFO"/>
    <n v="0.46"/>
    <s v="INDOT"/>
    <s v="LRL-2016-588-djd"/>
    <s v="2016-323-63-SKG-A"/>
    <m/>
    <s v="Pike"/>
    <n v="38.484456999999999"/>
    <n v="-87.431540999999996"/>
    <s v="Transportation"/>
    <m/>
    <s v="No"/>
    <m/>
    <n v="5520"/>
    <n v="25760"/>
    <n v="5520"/>
    <s v="L"/>
    <s v="J"/>
    <m/>
    <m/>
    <m/>
    <m/>
    <m/>
    <m/>
    <s v="DES NO 0401031"/>
  </r>
  <r>
    <d v="2025-05-21T00:00:00"/>
    <s v="May"/>
    <n v="2025"/>
    <x v="8"/>
    <n v="-0.65"/>
    <x v="0"/>
    <n v="52000"/>
    <n v="385"/>
    <x v="1"/>
    <s v="PSS"/>
    <n v="0.18"/>
    <s v="AEP Indiana Michigan Transmission Company, ,Inc."/>
    <s v="LRL-2022-1078-sjk"/>
    <s v="2023-27-38-EJW-X"/>
    <m/>
    <s v="Jay"/>
    <n v="40.4664"/>
    <n v="-85.091700000000003"/>
    <s v="Transportation"/>
    <m/>
    <s v="No"/>
    <m/>
    <n v="7800"/>
    <n v="36400"/>
    <n v="7800"/>
    <s v="L"/>
    <s v="J"/>
    <m/>
    <m/>
    <m/>
    <m/>
    <m/>
    <m/>
    <m/>
  </r>
  <r>
    <d v="2025-05-21T00:00:00"/>
    <s v="May"/>
    <n v="2025"/>
    <x v="8"/>
    <n v="-0.61"/>
    <x v="0"/>
    <n v="48800"/>
    <n v="395"/>
    <x v="1"/>
    <s v="PFO"/>
    <n v="0.2"/>
    <s v="AEP Indiana Michigan Transmission Company, ,Inc."/>
    <s v="LRL-2023-157-sjk"/>
    <s v="2022-1256-38-EJW-X"/>
    <m/>
    <s v="Jay"/>
    <n v="40.449800000000003"/>
    <n v="-84.9726"/>
    <s v="Transportation"/>
    <m/>
    <s v="No"/>
    <m/>
    <n v="7320"/>
    <n v="34160"/>
    <n v="7320"/>
    <s v="J"/>
    <s v="L"/>
    <m/>
    <m/>
    <m/>
    <m/>
    <m/>
    <m/>
    <m/>
  </r>
  <r>
    <d v="2025-05-21T00:00:00"/>
    <s v="May"/>
    <n v="2025"/>
    <x v="8"/>
    <n v="-0.04"/>
    <x v="0"/>
    <n v="3200"/>
    <n v="395"/>
    <x v="1"/>
    <s v="PEM"/>
    <n v="0.02"/>
    <s v="AEP Indiana Michigan Transmission Company, ,Inc."/>
    <s v="LRL-2023-157-sjk"/>
    <s v="2022-1256-38-EJW-X"/>
    <m/>
    <s v="Jay"/>
    <n v="40.449800000000003"/>
    <n v="-84.9726"/>
    <s v="Transportation"/>
    <m/>
    <s v="No"/>
    <m/>
    <n v="480"/>
    <n v="2240"/>
    <n v="480"/>
    <s v="J"/>
    <s v="L"/>
    <m/>
    <m/>
    <m/>
    <m/>
    <m/>
    <m/>
    <m/>
  </r>
  <r>
    <d v="2025-05-27T00:00:00"/>
    <s v="May"/>
    <n v="2025"/>
    <x v="9"/>
    <n v="-0.84"/>
    <x v="0"/>
    <n v="67200"/>
    <n v="602"/>
    <x v="2"/>
    <s v="PFO"/>
    <n v="0.21"/>
    <s v="Lennar Homes of Indiana, Inc."/>
    <s v="N/A"/>
    <s v="2024-1012-41-TLG-IWIP"/>
    <m/>
    <s v="Johnson"/>
    <n v="39.592599999999997"/>
    <n v="-86.043400000000005"/>
    <s v="Development"/>
    <m/>
    <s v="No"/>
    <m/>
    <n v="10080"/>
    <n v="47040"/>
    <n v="10080"/>
    <s v="L"/>
    <s v="SI"/>
    <s v="2 FO"/>
    <m/>
    <m/>
    <m/>
    <m/>
    <m/>
    <m/>
  </r>
  <r>
    <d v="2025-06-04T00:00:00"/>
    <s v="June"/>
    <n v="2025"/>
    <x v="7"/>
    <n v="-40"/>
    <x v="1"/>
    <n v="16000"/>
    <n v="561"/>
    <x v="1"/>
    <s v="Eph"/>
    <n v="74"/>
    <s v="INDOT"/>
    <s v="LRL-2024-618"/>
    <s v="2024-669-10-GCW-WQC"/>
    <m/>
    <s v="Clark"/>
    <n v="38.543973000000001"/>
    <n v="-85.767638000000005"/>
    <s v="Agriculture"/>
    <m/>
    <s v="No"/>
    <m/>
    <n v="2400"/>
    <n v="11200"/>
    <n v="2400"/>
    <s v="L"/>
    <s v="J"/>
    <m/>
    <m/>
    <m/>
    <m/>
    <m/>
    <m/>
    <s v="INDOT DES No 1900343"/>
  </r>
  <r>
    <d v="2025-06-04T00:00:00"/>
    <s v="June"/>
    <n v="2025"/>
    <x v="4"/>
    <n v="-84"/>
    <x v="1"/>
    <n v="33600"/>
    <n v="562"/>
    <x v="1"/>
    <s v="Int"/>
    <n v="84"/>
    <s v="INDOT"/>
    <s v="LRL-2024-766-djd"/>
    <s v="2024-865-23-GCW-WQC"/>
    <m/>
    <s v="Fountain"/>
    <n v="40.112510999999998"/>
    <n v="-87.243199000000004"/>
    <s v="Transportation"/>
    <m/>
    <s v="No"/>
    <m/>
    <n v="5040"/>
    <n v="23520"/>
    <n v="5040"/>
    <s v="L"/>
    <s v="J"/>
    <m/>
    <m/>
    <m/>
    <m/>
    <m/>
    <m/>
    <s v="INDOT DES No 1800118"/>
  </r>
  <r>
    <d v="2025-06-04T00:00:00"/>
    <s v="June"/>
    <n v="2025"/>
    <x v="6"/>
    <n v="-67"/>
    <x v="1"/>
    <n v="40200"/>
    <n v="593"/>
    <x v="1"/>
    <s v="Per"/>
    <n v="67"/>
    <s v="INDOT"/>
    <s v="LRE-2025-00123-157-N25"/>
    <s v="2025-197-57-GCW-NWP"/>
    <m/>
    <s v="Noble"/>
    <n v="41.353544999999997"/>
    <n v="-85.423655999999994"/>
    <s v="Development"/>
    <m/>
    <s v="No"/>
    <m/>
    <n v="6030"/>
    <n v="28140"/>
    <n v="6030"/>
    <s v="D"/>
    <s v="J"/>
    <m/>
    <m/>
    <m/>
    <m/>
    <m/>
    <m/>
    <s v="INDOT DES No 2100788"/>
  </r>
  <r>
    <d v="2025-06-04T00:00:00"/>
    <s v="June"/>
    <n v="2025"/>
    <x v="9"/>
    <n v="-1061.3"/>
    <x v="1"/>
    <n v="477585"/>
    <n v="601"/>
    <x v="1"/>
    <s v="Int"/>
    <n v="6129.6"/>
    <s v="INDOT"/>
    <s v="LRL-2017-1021-dds"/>
    <s v="2021-626-49-JBT-A"/>
    <m/>
    <s v="Marion"/>
    <n v="39.865000000000002"/>
    <n v="-86.046999999999997"/>
    <s v="Transportation"/>
    <m/>
    <s v="No"/>
    <m/>
    <n v="71637.75"/>
    <n v="334309.5"/>
    <n v="71637.75"/>
    <s v="L"/>
    <s v="J"/>
    <m/>
    <m/>
    <m/>
    <m/>
    <m/>
    <m/>
    <s v="DES NO 1400075"/>
  </r>
  <r>
    <d v="2025-06-10T00:00:00"/>
    <s v="June"/>
    <n v="2025"/>
    <x v="3"/>
    <n v="-184.2"/>
    <x v="1"/>
    <n v="82890"/>
    <n v="510"/>
    <x v="1"/>
    <s v="Per"/>
    <n v="122.01"/>
    <s v="City of Fort Wayne"/>
    <s v="LRE-2023-00598-102-N24"/>
    <s v="2024-57-2-EJW-A"/>
    <m/>
    <s v="Allen"/>
    <n v="41.052067000000001"/>
    <n v="-85.157611000000003"/>
    <s v="Transportation"/>
    <m/>
    <s v="No"/>
    <m/>
    <n v="12433.5"/>
    <n v="58022.999999999993"/>
    <n v="12433.5"/>
    <s v="D"/>
    <s v="J"/>
    <m/>
    <m/>
    <m/>
    <m/>
    <m/>
    <m/>
    <m/>
  </r>
  <r>
    <d v="2025-06-10T00:00:00"/>
    <s v="June"/>
    <n v="2025"/>
    <x v="0"/>
    <n v="-0.57999999999999996"/>
    <x v="0"/>
    <n v="55100"/>
    <s v="592C"/>
    <x v="1"/>
    <s v="PFO"/>
    <n v="0.17299999999999999"/>
    <s v="INDOT"/>
    <s v="LRC-2024-00134"/>
    <s v="2024-914-64-GCW-WQC"/>
    <m/>
    <s v="Porter"/>
    <n v="41.656599999999997"/>
    <n v="-87.05762"/>
    <s v="Transportation"/>
    <m/>
    <s v="No"/>
    <m/>
    <n v="8265"/>
    <n v="38570"/>
    <n v="8265"/>
    <s v="C"/>
    <s v="J"/>
    <m/>
    <m/>
    <m/>
    <m/>
    <m/>
    <m/>
    <s v="INDOT DES No 2200175 - several  corrections needed to invoices due to mitigation changes &amp; miscommiunication"/>
  </r>
  <r>
    <d v="2025-06-10T00:00:00"/>
    <s v="June"/>
    <n v="2025"/>
    <x v="0"/>
    <n v="-0.59"/>
    <x v="0"/>
    <n v="56050"/>
    <s v="592C"/>
    <x v="1"/>
    <s v="PEM"/>
    <n v="1"/>
    <s v="INDOT"/>
    <s v="LRC-2024-00134"/>
    <s v="2024-914-64-GCW-WQC"/>
    <m/>
    <s v="Porter"/>
    <n v="41.656599999999997"/>
    <n v="-87.05762"/>
    <s v="Transportation"/>
    <m/>
    <s v="No"/>
    <m/>
    <n v="8407.5"/>
    <n v="39235"/>
    <n v="8407.5"/>
    <s v="C"/>
    <s v="J"/>
    <m/>
    <m/>
    <m/>
    <m/>
    <m/>
    <m/>
    <s v="INDOT DES No 2200175 - several  corrections needed to invoices due to mitigation changes &amp; miscommiunication"/>
  </r>
  <r>
    <d v="2025-06-10T00:00:00"/>
    <s v="June"/>
    <n v="2025"/>
    <x v="0"/>
    <n v="-8.4"/>
    <x v="1"/>
    <n v="5040"/>
    <s v="592C"/>
    <x v="1"/>
    <s v="Per"/>
    <n v="7"/>
    <s v="INDOT"/>
    <s v="LRC-2024-00134"/>
    <s v="2024-914-64-GCW-WQC"/>
    <m/>
    <s v="Porter"/>
    <n v="41.656599999999997"/>
    <n v="-87.05762"/>
    <s v="Transportation"/>
    <m/>
    <s v="No"/>
    <m/>
    <n v="756"/>
    <n v="3528"/>
    <n v="756"/>
    <s v="C"/>
    <s v="J"/>
    <m/>
    <m/>
    <m/>
    <m/>
    <m/>
    <m/>
    <s v="INDOT DES No 2200175 - several  corrections needed to invoices due to mitigation changes &amp; miscommiunication"/>
  </r>
  <r>
    <d v="2025-06-10T00:00:00"/>
    <s v="June"/>
    <n v="2025"/>
    <x v="9"/>
    <n v="-51"/>
    <x v="1"/>
    <n v="22950"/>
    <n v="599"/>
    <x v="1"/>
    <s v="Int"/>
    <n v="51"/>
    <s v="Hancock County"/>
    <s v="LRL-2024-00903-jde"/>
    <s v="2025-27-30-LDC-WQC"/>
    <m/>
    <s v="Hancock"/>
    <n v="39.827311999999999"/>
    <n v="-85.925578999999999"/>
    <s v="Transportation"/>
    <m/>
    <s v="No"/>
    <m/>
    <n v="3442.5"/>
    <n v="16064.999999999998"/>
    <n v="3442.5"/>
    <s v="L"/>
    <s v="J"/>
    <m/>
    <m/>
    <m/>
    <m/>
    <m/>
    <m/>
    <m/>
  </r>
  <r>
    <d v="2025-06-10T00:00:00"/>
    <s v="June"/>
    <n v="2025"/>
    <x v="2"/>
    <n v="-230"/>
    <x v="1"/>
    <n v="92000"/>
    <n v="606"/>
    <x v="1"/>
    <s v="Int"/>
    <n v="230"/>
    <s v="Duff Solar Project LLC"/>
    <s v="LRL-2025-00385-sjk"/>
    <s v="2025-399-19-TLK-NWP"/>
    <m/>
    <s v="Dubois"/>
    <n v="38.330084999999997"/>
    <n v="-87.003397000000007"/>
    <s v="Energy Production"/>
    <m/>
    <s v="No"/>
    <m/>
    <n v="13800"/>
    <n v="64399.999999999993"/>
    <n v="13800"/>
    <s v="L"/>
    <s v="J"/>
    <m/>
    <m/>
    <m/>
    <m/>
    <m/>
    <m/>
    <m/>
  </r>
  <r>
    <d v="2025-06-10T00:00:00"/>
    <s v="June"/>
    <n v="2025"/>
    <x v="2"/>
    <n v="-65"/>
    <x v="1"/>
    <n v="26000"/>
    <n v="606"/>
    <x v="1"/>
    <s v="Per"/>
    <n v="65"/>
    <s v="Duff Solar Project LLC"/>
    <s v="LRL-2025-00385-sjk"/>
    <s v="2025-399-19-TLK-NWP"/>
    <m/>
    <s v="Dubois"/>
    <n v="38.330084999999997"/>
    <n v="-87.003397000000007"/>
    <s v="Energy Production"/>
    <m/>
    <s v="No"/>
    <m/>
    <n v="3900"/>
    <n v="18200"/>
    <n v="3900"/>
    <s v="L"/>
    <s v="J"/>
    <m/>
    <m/>
    <m/>
    <m/>
    <m/>
    <m/>
    <m/>
  </r>
  <r>
    <d v="2025-06-10T00:00:00"/>
    <s v="June"/>
    <n v="2025"/>
    <x v="2"/>
    <n v="-83"/>
    <x v="1"/>
    <n v="33200"/>
    <n v="606"/>
    <x v="1"/>
    <s v="Eph"/>
    <n v="83"/>
    <s v="Duff Solar Project LLC"/>
    <s v="LRL-2025-00385-sjk"/>
    <s v="2025-399-19-TLK-NWP"/>
    <m/>
    <s v="Dubois"/>
    <n v="38.330084999999997"/>
    <n v="-87.003397000000007"/>
    <s v="Energy Production"/>
    <m/>
    <s v="No"/>
    <m/>
    <n v="4980"/>
    <n v="23240"/>
    <n v="4980"/>
    <s v="L"/>
    <s v="J"/>
    <m/>
    <m/>
    <m/>
    <m/>
    <m/>
    <m/>
    <m/>
  </r>
  <r>
    <d v="2025-06-17T00:00:00"/>
    <s v="June"/>
    <n v="2025"/>
    <x v="9"/>
    <n v="-0.59399999999999997"/>
    <x v="0"/>
    <n v="47520"/>
    <n v="604"/>
    <x v="2"/>
    <s v="PSS"/>
    <n v="0.39600000000000002"/>
    <s v="Lennar Homes of Indiana, LLC"/>
    <s v="N/A"/>
    <s v="IWIP 2023-1154-6-MPY-A"/>
    <m/>
    <s v="Boone"/>
    <n v="39.930568999999998"/>
    <n v="-86.343152000000003"/>
    <s v="Development"/>
    <m/>
    <s v="No"/>
    <m/>
    <n v="7128"/>
    <n v="33264"/>
    <n v="7128"/>
    <s v="L"/>
    <s v="SI"/>
    <s v="2 NF"/>
    <m/>
    <m/>
    <m/>
    <m/>
    <m/>
    <m/>
  </r>
  <r>
    <d v="2025-06-17T00:00:00"/>
    <s v="June"/>
    <n v="2025"/>
    <x v="4"/>
    <n v="-0.16600000000000001"/>
    <x v="0"/>
    <n v="13280"/>
    <n v="588"/>
    <x v="1"/>
    <s v="PEM"/>
    <n v="8.3000000000000004E-2"/>
    <s v="City of Greencastle"/>
    <s v="LRL-2024-00034-cte"/>
    <s v="2024-423-67-MMR-A"/>
    <m/>
    <s v="Putnam"/>
    <n v="39.633077"/>
    <n v="-86.857313000000005"/>
    <s v="Development"/>
    <m/>
    <s v="No"/>
    <m/>
    <n v="1992"/>
    <n v="9296"/>
    <n v="1992"/>
    <s v="L"/>
    <s v="J"/>
    <m/>
    <m/>
    <m/>
    <m/>
    <m/>
    <m/>
    <m/>
  </r>
  <r>
    <d v="2025-06-17T00:00:00"/>
    <s v="June"/>
    <n v="2025"/>
    <x v="4"/>
    <n v="-0.23400000000000001"/>
    <x v="0"/>
    <n v="18720"/>
    <n v="588"/>
    <x v="2"/>
    <s v="PEM"/>
    <n v="0.156"/>
    <s v="City of Greencastle"/>
    <s v="LRL-2024-00034-cte"/>
    <s v="IWIP 2024-424-67-MMR-A"/>
    <m/>
    <s v="Putnam"/>
    <n v="39.633077"/>
    <n v="-86.857313000000005"/>
    <s v="Development"/>
    <m/>
    <s v="No"/>
    <m/>
    <n v="2808"/>
    <n v="13104"/>
    <n v="2808"/>
    <s v="L"/>
    <s v="SI"/>
    <m/>
    <m/>
    <m/>
    <m/>
    <m/>
    <m/>
    <m/>
  </r>
  <r>
    <d v="2025-06-18T00:00:00"/>
    <s v="June"/>
    <n v="2025"/>
    <x v="3"/>
    <n v="-0.53"/>
    <x v="0"/>
    <n v="42400"/>
    <n v="609"/>
    <x v="2"/>
    <s v="PFO"/>
    <n v="0.27"/>
    <s v="Zion Companies"/>
    <s v="N/A"/>
    <s v="IWIP 2023-1038-2-EJW-A"/>
    <m/>
    <s v="Allen"/>
    <n v="41.089928"/>
    <n v="-85.03322"/>
    <s v="Development"/>
    <m/>
    <s v="No"/>
    <m/>
    <n v="6360"/>
    <n v="29679.999999999996"/>
    <n v="6360"/>
    <s v="D"/>
    <s v="SI"/>
    <m/>
    <m/>
    <m/>
    <m/>
    <m/>
    <m/>
    <m/>
  </r>
  <r>
    <d v="2025-06-18T00:00:00"/>
    <s v="June"/>
    <n v="2025"/>
    <x v="5"/>
    <n v="-20"/>
    <x v="1"/>
    <n v="8000"/>
    <n v="605"/>
    <x v="1"/>
    <s v="Per"/>
    <n v="442"/>
    <s v="Vanderburgh County Commissioners"/>
    <s v="N/A"/>
    <s v="2025-149-82-TLK-WQC"/>
    <m/>
    <s v="Vanderburgh"/>
    <n v="37.980955000000002"/>
    <n v="-87.620413999999997"/>
    <s v="Development"/>
    <m/>
    <s v="No"/>
    <m/>
    <n v="1200"/>
    <n v="5600"/>
    <n v="1200"/>
    <s v="L"/>
    <s v="J"/>
    <m/>
    <m/>
    <m/>
    <m/>
    <m/>
    <m/>
    <s v="Drainage project"/>
  </r>
  <r>
    <d v="2025-06-18T00:00:00"/>
    <s v="June"/>
    <n v="2025"/>
    <x v="9"/>
    <n v="-0.22"/>
    <x v="0"/>
    <n v="17600"/>
    <n v="608"/>
    <x v="2"/>
    <s v="PFO"/>
    <n v="0.11"/>
    <s v="Trilogy Health Services, LLC"/>
    <s v="N/A"/>
    <s v="2025-299-29-ENH-IWIP"/>
    <m/>
    <s v="Hamilton"/>
    <n v="39.999930999999997"/>
    <n v="-85.998932999999994"/>
    <s v="Development"/>
    <m/>
    <s v="No"/>
    <m/>
    <n v="2640"/>
    <n v="12320"/>
    <n v="2640"/>
    <s v="L"/>
    <s v="SI"/>
    <s v="2 FO"/>
    <m/>
    <m/>
    <m/>
    <m/>
    <m/>
    <m/>
  </r>
  <r>
    <d v="2025-06-25T00:00:00"/>
    <s v="June"/>
    <n v="2025"/>
    <x v="0"/>
    <n v="-5.04"/>
    <x v="0"/>
    <n v="478800"/>
    <n v="615"/>
    <x v="2"/>
    <s v="PFO"/>
    <n v="2.5099999999999998"/>
    <s v="CHI Acquisitions, L.P. c/o Crow Holdings Industrial"/>
    <s v="N/A"/>
    <s v="2025-256-45-MTM-IWIP"/>
    <m/>
    <s v="Lake"/>
    <n v="41.481119999999997"/>
    <n v="-87.319299999999998"/>
    <s v="Development"/>
    <m/>
    <s v="No"/>
    <m/>
    <n v="71820"/>
    <n v="335160"/>
    <n v="71820"/>
    <s v="C"/>
    <s v="SI"/>
    <s v="2 FO"/>
    <m/>
    <m/>
    <m/>
    <m/>
    <m/>
    <m/>
  </r>
  <r>
    <d v="2025-06-30T00:00:00"/>
    <s v="June"/>
    <n v="2025"/>
    <x v="9"/>
    <n v="-0.78"/>
    <x v="0"/>
    <n v="62400"/>
    <s v="201C2"/>
    <x v="2"/>
    <s v="PFO"/>
    <n v="0.31"/>
    <s v="TWG Development"/>
    <s v="N/A"/>
    <s v="IWIP 2020-966-29-ALF-A"/>
    <m/>
    <s v="Hamilton"/>
    <n v="40.071199999999997"/>
    <n v="-86.133899999999997"/>
    <s v="Development"/>
    <m/>
    <s v="No"/>
    <m/>
    <n v="9360"/>
    <n v="43680"/>
    <n v="9360"/>
    <s v="L"/>
    <s v="SI"/>
    <s v="2 FO"/>
    <m/>
    <m/>
    <m/>
    <m/>
    <m/>
    <m/>
  </r>
  <r>
    <d v="2025-06-30T00:00:00"/>
    <s v="June"/>
    <n v="2025"/>
    <x v="9"/>
    <n v="-2.4"/>
    <x v="0"/>
    <n v="192000"/>
    <n v="618"/>
    <x v="2"/>
    <s v="PEM"/>
    <n v="1.63"/>
    <s v="D.R. Horton"/>
    <s v="N/A"/>
    <s v="2025-430-49-LDC-IWIP"/>
    <m/>
    <s v="Marion"/>
    <n v="39.633400000000002"/>
    <n v="-86.291899999999998"/>
    <s v="Development"/>
    <m/>
    <s v="No"/>
    <m/>
    <n v="28800"/>
    <n v="134400"/>
    <n v="28800"/>
    <s v="L"/>
    <s v="SI"/>
    <s v="2 NF"/>
    <m/>
    <m/>
    <m/>
    <m/>
    <m/>
    <m/>
  </r>
  <r>
    <d v="2025-06-30T00:00:00"/>
    <s v="June"/>
    <n v="2025"/>
    <x v="4"/>
    <n v="-0.442"/>
    <x v="0"/>
    <n v="35360"/>
    <n v="616"/>
    <x v="1"/>
    <s v="PEM"/>
    <n v="0.52100000000000002"/>
    <s v="ENTEK Lithium Separators LLC"/>
    <s v="LRL-2023-00388-AMW"/>
    <s v="2024-660-84-MMR-WQC"/>
    <m/>
    <s v="Vigo"/>
    <n v="39.351748999999998"/>
    <n v="-87.411080999999996"/>
    <s v="Development"/>
    <m/>
    <s v="No"/>
    <m/>
    <n v="5304"/>
    <n v="24752"/>
    <n v="5304"/>
    <s v="L"/>
    <s v="J"/>
    <m/>
    <m/>
    <m/>
    <m/>
    <m/>
    <m/>
    <m/>
  </r>
  <r>
    <d v="2025-07-07T00:00:00"/>
    <s v="July"/>
    <n v="2025"/>
    <x v="9"/>
    <n v="-0.68"/>
    <x v="0"/>
    <n v="54400"/>
    <n v="617"/>
    <x v="2"/>
    <s v="PFO"/>
    <n v="0.34"/>
    <s v="Arbor Homes"/>
    <s v="N/A"/>
    <s v="2025-346-49-LDC-IWIP"/>
    <m/>
    <s v="Marion"/>
    <n v="39.838000000000001"/>
    <n v="-85.969700000000003"/>
    <s v="Development"/>
    <m/>
    <s v="No"/>
    <m/>
    <n v="8160"/>
    <n v="38080"/>
    <n v="8160"/>
    <s v="L"/>
    <s v="SI"/>
    <s v="2 FO"/>
    <m/>
    <m/>
    <m/>
    <m/>
    <m/>
    <m/>
  </r>
  <r>
    <d v="2025-07-07T00:00:00"/>
    <s v="July"/>
    <n v="2025"/>
    <x v="9"/>
    <n v="-0.31"/>
    <x v="0"/>
    <n v="24800"/>
    <n v="617"/>
    <x v="2"/>
    <s v="PEM"/>
    <n v="0.2"/>
    <s v="Arbor Homes"/>
    <s v="N/A"/>
    <s v="2025-346-49-LDC-IWIP"/>
    <m/>
    <s v="Marion"/>
    <n v="39.838000000000001"/>
    <n v="-85.969700000000003"/>
    <s v="Development"/>
    <m/>
    <s v="No"/>
    <m/>
    <n v="3720"/>
    <n v="17360"/>
    <n v="3720"/>
    <s v="L"/>
    <s v="SI"/>
    <s v="2 NF"/>
    <m/>
    <m/>
    <m/>
    <m/>
    <m/>
    <m/>
  </r>
  <r>
    <d v="2025-07-07T00:00:00"/>
    <s v="July"/>
    <n v="2025"/>
    <x v="9"/>
    <n v="-0.57999999999999996"/>
    <x v="0"/>
    <n v="46400"/>
    <n v="571"/>
    <x v="2"/>
    <s v="PFO"/>
    <n v="0.28999999999999998"/>
    <s v="Plainfield Innovation Park Building II, LLC"/>
    <s v="N/A"/>
    <s v="2024-884-32-MPY-IWIP"/>
    <m/>
    <s v="Hendricks"/>
    <n v="39.655009999999997"/>
    <n v="-86.366209999999995"/>
    <s v="Development"/>
    <m/>
    <s v="No"/>
    <m/>
    <n v="6960"/>
    <n v="32479.999999999996"/>
    <n v="6960"/>
    <s v="SI"/>
    <s v="SI"/>
    <s v="2 FO"/>
    <m/>
    <m/>
    <m/>
    <m/>
    <m/>
    <m/>
  </r>
  <r>
    <d v="2025-07-07T00:00:00"/>
    <s v="July"/>
    <n v="2025"/>
    <x v="3"/>
    <n v="-201"/>
    <x v="1"/>
    <n v="90450"/>
    <n v="613"/>
    <x v="1"/>
    <s v="Int"/>
    <n v="494"/>
    <s v="Hatchworks, LLC"/>
    <s v="LRE-2024-00487-102-J24"/>
    <s v="2025-77-2-EJW-WQCZ"/>
    <m/>
    <s v="Allen"/>
    <n v="41.033259999999999"/>
    <n v="-85.057739999999995"/>
    <s v="Transportation"/>
    <m/>
    <s v="No"/>
    <m/>
    <n v="13567.5"/>
    <n v="63314.999999999993"/>
    <n v="13567.5"/>
    <s v="D"/>
    <s v="J"/>
    <m/>
    <m/>
    <m/>
    <m/>
    <m/>
    <m/>
    <m/>
  </r>
  <r>
    <d v="2025-07-07T00:00:00"/>
    <s v="July"/>
    <n v="2025"/>
    <x v="5"/>
    <n v="-0.5"/>
    <x v="0"/>
    <n v="40000"/>
    <n v="614"/>
    <x v="1"/>
    <s v="PEM"/>
    <n v="3.7999999999999999E-2"/>
    <s v="Posey County Board of Commissioners"/>
    <s v="LRL-2020-01106-cds"/>
    <s v="2025-283-65-MTM-NWP"/>
    <m/>
    <s v="Posey"/>
    <n v="37.964753000000002"/>
    <n v="-87.904550999999998"/>
    <s v="Transportation"/>
    <m/>
    <s v="No"/>
    <m/>
    <n v="6000"/>
    <n v="28000"/>
    <n v="6000"/>
    <s v="L"/>
    <s v="J"/>
    <m/>
    <m/>
    <m/>
    <m/>
    <m/>
    <m/>
    <m/>
  </r>
  <r>
    <d v="2025-07-14T00:00:00"/>
    <s v="July "/>
    <n v="2025"/>
    <x v="0"/>
    <n v="-632"/>
    <x v="1"/>
    <n v="379200"/>
    <n v="558"/>
    <x v="1"/>
    <s v="Per"/>
    <n v="527"/>
    <s v="Town of Schererville"/>
    <s v="LRL-2022-00676"/>
    <s v="2022-1022-45-MTM-A"/>
    <m/>
    <s v="Lake"/>
    <n v="41.510942"/>
    <n v="-87.461459000000005"/>
    <s v="Transportation"/>
    <m/>
    <s v="No"/>
    <m/>
    <n v="56880"/>
    <n v="265440"/>
    <n v="56880"/>
    <s v="C"/>
    <s v="J"/>
    <m/>
    <m/>
    <m/>
    <m/>
    <m/>
    <m/>
    <s v="INDOT DES 18001911"/>
  </r>
  <r>
    <d v="2025-07-14T00:00:00"/>
    <s v="July "/>
    <n v="2025"/>
    <x v="0"/>
    <n v="-1.55"/>
    <x v="0"/>
    <n v="147250"/>
    <n v="558"/>
    <x v="1"/>
    <s v="PEM"/>
    <n v="0.86"/>
    <s v="Town of Schererville"/>
    <s v="LRL-2022-00676"/>
    <s v="2022-1022-45-MTM-A"/>
    <m/>
    <s v="Lake"/>
    <n v="41.510942"/>
    <n v="-87.461459000000005"/>
    <s v="Transportation"/>
    <m/>
    <s v="No"/>
    <m/>
    <n v="22087.5"/>
    <n v="103075"/>
    <n v="22087.5"/>
    <s v="C"/>
    <s v="J"/>
    <m/>
    <m/>
    <m/>
    <m/>
    <m/>
    <m/>
    <s v="INDOT DES 18001912"/>
  </r>
  <r>
    <d v="2025-07-14T00:00:00"/>
    <s v="July "/>
    <n v="2025"/>
    <x v="0"/>
    <n v="-3.1"/>
    <x v="0"/>
    <n v="294500"/>
    <n v="558"/>
    <x v="1"/>
    <s v="PSS"/>
    <n v="0.86"/>
    <s v="Town of Schererville"/>
    <s v="LRL-2022-00676"/>
    <s v="2022-1022-45-MTM-A"/>
    <m/>
    <s v="Lake"/>
    <n v="41.510942"/>
    <n v="-87.461459000000005"/>
    <s v="Transportation"/>
    <m/>
    <s v="No"/>
    <m/>
    <n v="44175"/>
    <n v="206150"/>
    <n v="44175"/>
    <s v="C"/>
    <s v="J"/>
    <m/>
    <m/>
    <m/>
    <m/>
    <m/>
    <m/>
    <s v="INDOT DES 18001913"/>
  </r>
  <r>
    <d v="2025-07-14T00:00:00"/>
    <s v="July "/>
    <n v="2025"/>
    <x v="0"/>
    <n v="-1.29"/>
    <x v="0"/>
    <n v="122550"/>
    <n v="568"/>
    <x v="2"/>
    <s v="PEM"/>
    <n v="0.86"/>
    <s v="INDOT"/>
    <s v="N/A"/>
    <s v="2024-944-45-GCW-IWIP"/>
    <m/>
    <s v="Lake"/>
    <n v="41.420949999999998"/>
    <n v="-87.431240000000003"/>
    <s v="Transportation"/>
    <m/>
    <s v="No"/>
    <m/>
    <n v="18382.5"/>
    <n v="85785"/>
    <n v="18382.5"/>
    <s v="C"/>
    <s v="SI"/>
    <s v="2 NF"/>
    <m/>
    <m/>
    <m/>
    <m/>
    <m/>
    <s v="INDOT DES 1700022"/>
  </r>
  <r>
    <d v="2025-07-25T00:00:00"/>
    <s v="July"/>
    <n v="2025"/>
    <x v="9"/>
    <n v="-1032"/>
    <x v="1"/>
    <n v="464400"/>
    <n v="612"/>
    <x v="1"/>
    <s v="Int"/>
    <n v="1032"/>
    <s v="GTV Indianapolis, LLC"/>
    <s v="LRL-2025-00176-sjk"/>
    <s v="2025-203-49-LDC-WQC"/>
    <m/>
    <s v="Marion"/>
    <n v="39.7029"/>
    <n v="-86.263999999999996"/>
    <s v="Development"/>
    <m/>
    <s v="No"/>
    <m/>
    <n v="69660"/>
    <n v="325080"/>
    <n v="69660"/>
    <s v="L"/>
    <s v="J"/>
    <m/>
    <m/>
    <m/>
    <m/>
    <m/>
    <m/>
    <m/>
  </r>
  <r>
    <d v="2025-08-01T00:00:00"/>
    <s v="August"/>
    <n v="2025"/>
    <x v="3"/>
    <n v="-231"/>
    <x v="1"/>
    <n v="103950"/>
    <n v="619"/>
    <x v="1"/>
    <s v="Int"/>
    <n v="192"/>
    <s v="AEP"/>
    <s v="LRE-2025-00093-102-R25"/>
    <s v="2025-172-2-EJW-WQC"/>
    <m/>
    <s v="Allen"/>
    <n v="41.025829999999999"/>
    <n v="-85.046914000000001"/>
    <s v="Transportation"/>
    <m/>
    <s v="No"/>
    <m/>
    <n v="15592.5"/>
    <n v="72765"/>
    <n v="15592.5"/>
    <s v="D"/>
    <s v="J"/>
    <m/>
    <m/>
    <m/>
    <m/>
    <m/>
    <m/>
    <s v="AEP - Zodiac Station Access Road"/>
  </r>
  <r>
    <d v="2025-08-01T00:00:00"/>
    <s v="August"/>
    <n v="2025"/>
    <x v="4"/>
    <n v="-0.25800000000000001"/>
    <x v="0"/>
    <n v="20640"/>
    <n v="622"/>
    <x v="1"/>
    <s v="PEM"/>
    <n v="0.52100000000000002"/>
    <s v="ENTEK Lithium Separators LLC"/>
    <s v="LRL-2023-00388-AMW"/>
    <s v="2024-660-84-MMR-WQC"/>
    <m/>
    <s v="Vigo"/>
    <n v="39.351748999999998"/>
    <n v="-87.411080999999996"/>
    <s v="Development"/>
    <m/>
    <s v="No"/>
    <m/>
    <n v="3096"/>
    <n v="14447.999999999998"/>
    <n v="3096"/>
    <s v="L"/>
    <s v="J"/>
    <m/>
    <m/>
    <m/>
    <m/>
    <m/>
    <m/>
    <m/>
  </r>
  <r>
    <d v="2025-08-26T00:00:00"/>
    <s v="August"/>
    <n v="2025"/>
    <x v="3"/>
    <n v="-48"/>
    <x v="1"/>
    <n v="21600"/>
    <n v="621"/>
    <x v="1"/>
    <s v="Int"/>
    <n v="48"/>
    <s v="INDOT"/>
    <s v="LRE-2025-00147-117-N25"/>
    <s v="2025-242-17-GCW-WQC"/>
    <m/>
    <s v="DeKalb"/>
    <n v="41.295524999999998"/>
    <n v="-85.187016"/>
    <s v="Transportation"/>
    <m/>
    <s v="No"/>
    <m/>
    <n v="3240"/>
    <n v="15119.999999999998"/>
    <n v="3240"/>
    <s v="D"/>
    <s v="J"/>
    <m/>
    <m/>
    <m/>
    <m/>
    <m/>
    <m/>
    <s v="INDOT DES 2100780"/>
  </r>
  <r>
    <d v="2025-08-27T00:00:00"/>
    <s v="August"/>
    <n v="2025"/>
    <x v="7"/>
    <n v="-78"/>
    <x v="1"/>
    <n v="31200"/>
    <n v="620"/>
    <x v="1"/>
    <s v="Int"/>
    <n v="156"/>
    <s v="INDOT"/>
    <s v="LRL-2025-173-djd"/>
    <s v="2025-182-16--GCW-WQC"/>
    <m/>
    <s v="Decatur"/>
    <n v="39.249775999999997"/>
    <n v="-85.356548000000004"/>
    <s v="Transportation"/>
    <m/>
    <s v="No"/>
    <m/>
    <n v="4680"/>
    <n v="21840"/>
    <n v="4680"/>
    <s v="L"/>
    <s v="J"/>
    <m/>
    <m/>
    <m/>
    <m/>
    <m/>
    <m/>
    <s v="INDOT DES 2001946"/>
  </r>
  <r>
    <d v="2025-08-27T00:00:00"/>
    <s v="August"/>
    <n v="2025"/>
    <x v="10"/>
    <n v="-147"/>
    <x v="1"/>
    <n v="58800"/>
    <n v="620"/>
    <x v="1"/>
    <s v="Int"/>
    <n v="294"/>
    <s v="INDOT"/>
    <s v="LRL-2025-173-djd"/>
    <s v="2025-182-16--GCW-WQC"/>
    <m/>
    <s v="Decatur"/>
    <n v="39.278578000000003"/>
    <n v="-85.401252999999997"/>
    <s v="Transportation"/>
    <m/>
    <s v="No"/>
    <m/>
    <n v="8820"/>
    <n v="41160"/>
    <n v="8820"/>
    <s v="L"/>
    <s v="J"/>
    <m/>
    <m/>
    <m/>
    <m/>
    <m/>
    <m/>
    <s v="INDOT DES 2001946"/>
  </r>
  <r>
    <d v="2025-08-27T00:00:00"/>
    <s v="August"/>
    <n v="2025"/>
    <x v="8"/>
    <n v="-39.5"/>
    <x v="1"/>
    <n v="15800"/>
    <n v="624"/>
    <x v="1"/>
    <s v="Int"/>
    <n v="39.5"/>
    <s v="INDOT"/>
    <m/>
    <s v="2025-425-52-GCW-NWP"/>
    <m/>
    <s v="Miami"/>
    <n v="40.741459999999996"/>
    <n v="-86.126411000000004"/>
    <s v="Transportation"/>
    <m/>
    <s v="No"/>
    <m/>
    <n v="2370"/>
    <n v="11060"/>
    <n v="2370"/>
    <s v="L"/>
    <s v="J"/>
    <m/>
    <m/>
    <m/>
    <m/>
    <m/>
    <m/>
    <s v="INDOT DES 2100799"/>
  </r>
  <r>
    <d v="2025-08-27T00:00:00"/>
    <s v="August"/>
    <n v="2025"/>
    <x v="8"/>
    <n v="-19"/>
    <x v="1"/>
    <n v="7600"/>
    <n v="623"/>
    <x v="1"/>
    <s v="Eph"/>
    <n v="24.5"/>
    <s v="INDOT"/>
    <s v="LRL-2024-807-djd"/>
    <s v="2025-262-27-GCW-WQC"/>
    <m/>
    <s v="Grant"/>
    <n v="40.555041000000003"/>
    <n v="-85.636126000000004"/>
    <s v="Transportation"/>
    <m/>
    <s v="No"/>
    <m/>
    <n v="1140"/>
    <n v="5320"/>
    <n v="1140"/>
    <s v="L"/>
    <s v="J"/>
    <m/>
    <m/>
    <m/>
    <m/>
    <m/>
    <m/>
    <s v="INDOT DES No 2100273"/>
  </r>
  <r>
    <d v="2025-08-27T00:00:00"/>
    <s v="August"/>
    <n v="2025"/>
    <x v="8"/>
    <n v="-72.5"/>
    <x v="1"/>
    <n v="29000"/>
    <n v="623"/>
    <x v="1"/>
    <s v="Int"/>
    <n v="175"/>
    <s v="INDOT"/>
    <s v="LRL-2024-807-djd"/>
    <s v="2025-262-27-GCW-WQC"/>
    <m/>
    <s v="Grant"/>
    <n v="40.555041000000003"/>
    <n v="-85.636126000000004"/>
    <s v="Transportation"/>
    <m/>
    <s v="No"/>
    <m/>
    <n v="4350"/>
    <n v="20300"/>
    <n v="4350"/>
    <s v="L"/>
    <s v="J"/>
    <m/>
    <m/>
    <m/>
    <m/>
    <m/>
    <m/>
    <s v="INDOT DES No 2100273"/>
  </r>
  <r>
    <d v="2025-08-27T00:00:00"/>
    <s v="August"/>
    <n v="2025"/>
    <x v="8"/>
    <n v="-0.02"/>
    <x v="0"/>
    <n v="1600"/>
    <n v="623"/>
    <x v="2"/>
    <s v="PEM"/>
    <n v="1.18E-2"/>
    <s v="INDOT"/>
    <s v="N/A"/>
    <s v="2025-262-27-GCW-SRGP"/>
    <m/>
    <s v="Grant"/>
    <n v="40.556790999999997"/>
    <n v="-85.647180000000006"/>
    <s v="Transportation"/>
    <m/>
    <s v="No"/>
    <m/>
    <n v="240"/>
    <n v="1120"/>
    <n v="240"/>
    <s v="L"/>
    <s v="J"/>
    <s v="NF"/>
    <m/>
    <m/>
    <m/>
    <m/>
    <m/>
    <s v="INDOT DES No 2100273"/>
  </r>
  <r>
    <d v="2025-08-27T00:00:00"/>
    <s v="August"/>
    <n v="2025"/>
    <x v="10"/>
    <n v="-9"/>
    <x v="1"/>
    <n v="3600"/>
    <n v="626"/>
    <x v="1"/>
    <s v="Per"/>
    <n v="9"/>
    <s v="INDOT"/>
    <s v="LRL-2024-142-dds"/>
    <s v="2025-437-16-GCW-NWP"/>
    <m/>
    <s v="Decatur"/>
    <n v="39.404198999999998"/>
    <n v="-85.558008000000001"/>
    <s v="Transportation"/>
    <m/>
    <s v="No"/>
    <m/>
    <n v="540"/>
    <n v="2520"/>
    <n v="540"/>
    <s v="L"/>
    <s v="J"/>
    <m/>
    <m/>
    <m/>
    <m/>
    <m/>
    <m/>
    <s v="INDOT DES 2100256"/>
  </r>
  <r>
    <d v="2025-08-27T00:00:00"/>
    <s v="August"/>
    <n v="2025"/>
    <x v="10"/>
    <n v="-324"/>
    <x v="1"/>
    <n v="129600"/>
    <n v="626"/>
    <x v="1"/>
    <s v="Per"/>
    <n v="324"/>
    <s v="INDOT"/>
    <s v="LRL-2024-142-dds"/>
    <s v="2025-437-16-GCW-NWP"/>
    <m/>
    <s v="Decatur"/>
    <n v="39.404198999999998"/>
    <n v="-85.558008000000001"/>
    <s v="Transportation"/>
    <m/>
    <s v="No"/>
    <m/>
    <n v="19440"/>
    <n v="90720"/>
    <n v="19440"/>
    <s v="L"/>
    <s v="J"/>
    <m/>
    <m/>
    <m/>
    <m/>
    <m/>
    <m/>
    <s v="INDOT DES 2100256"/>
  </r>
  <r>
    <d v="2025-08-29T00:00:00"/>
    <s v="August"/>
    <n v="2025"/>
    <x v="8"/>
    <n v="-45"/>
    <x v="1"/>
    <n v="18000"/>
    <n v="625"/>
    <x v="1"/>
    <s v="Per"/>
    <n v="88"/>
    <s v="INDOT"/>
    <s v="LRL-2023-303-djd"/>
    <s v="2023-327-90-MPY-A"/>
    <m/>
    <s v="Wells"/>
    <n v="40.654705999999997"/>
    <n v="-85.191113000000001"/>
    <s v="Transportation"/>
    <m/>
    <s v="No"/>
    <m/>
    <n v="2700"/>
    <n v="12600"/>
    <n v="2700"/>
    <s v="L"/>
    <s v="J"/>
    <m/>
    <m/>
    <m/>
    <m/>
    <m/>
    <m/>
    <s v="INDOT DES 1800156"/>
  </r>
  <r>
    <d v="2025-09-02T00:00:00"/>
    <s v="September"/>
    <n v="2025"/>
    <x v="0"/>
    <n v="-0.99"/>
    <x v="0"/>
    <n v="94050"/>
    <n v="627"/>
    <x v="1"/>
    <s v="PEM"/>
    <n v="0.41199999999999998"/>
    <s v="INDOT"/>
    <s v="LRC-2022-00579"/>
    <s v="2024-162-45-GCW-A"/>
    <m/>
    <s v="Lake"/>
    <n v="41.6100894"/>
    <n v="-87.461603999999994"/>
    <s v="Transportation"/>
    <m/>
    <s v="No"/>
    <m/>
    <n v="14107.5"/>
    <n v="65835"/>
    <n v="14107.5"/>
    <s v="C"/>
    <s v="J"/>
    <m/>
    <m/>
    <m/>
    <m/>
    <m/>
    <m/>
    <s v="INDOT DES 1900009"/>
  </r>
  <r>
    <d v="2025-09-18T00:00:00"/>
    <s v="September"/>
    <n v="2025"/>
    <x v="5"/>
    <n v="-586.79999999999995"/>
    <x v="1"/>
    <n v="234719.99999999997"/>
    <n v="628"/>
    <x v="1"/>
    <s v="Int"/>
    <n v="489"/>
    <s v="Warrick County Commissioners"/>
    <s v="LRL-2024-163"/>
    <s v="2024-82-87-MMR-A"/>
    <m/>
    <s v="Warrick"/>
    <n v="38.118459999999999"/>
    <n v="-87.053604000000007"/>
    <s v="Transportation"/>
    <m/>
    <s v="No"/>
    <m/>
    <n v="35207.999999999993"/>
    <n v="164303.99999999997"/>
    <n v="35207.999999999993"/>
    <s v="L"/>
    <s v="J"/>
    <m/>
    <m/>
    <m/>
    <m/>
    <m/>
    <m/>
    <s v="INDOT DES 1902795"/>
  </r>
  <r>
    <d v="2025-09-18T00:00:00"/>
    <s v="September"/>
    <n v="2025"/>
    <x v="5"/>
    <n v="-592.20000000000005"/>
    <x v="1"/>
    <n v="236880.00000000003"/>
    <n v="628"/>
    <x v="1"/>
    <s v="Per"/>
    <n v="463"/>
    <s v="Warrick County Commissioners"/>
    <s v="LRL-2024-163"/>
    <s v="2024-82-87-MMR-A"/>
    <m/>
    <s v="Warrick"/>
    <n v="38.118459999999999"/>
    <n v="-87.053604000000007"/>
    <s v="Transportation"/>
    <m/>
    <s v="No"/>
    <m/>
    <n v="35532"/>
    <n v="165816"/>
    <n v="35532"/>
    <s v="L"/>
    <s v="J"/>
    <m/>
    <m/>
    <m/>
    <m/>
    <m/>
    <m/>
    <s v="INDOT DES 1902795"/>
  </r>
  <r>
    <d v="2025-09-18T00:00:00"/>
    <s v="September"/>
    <n v="2025"/>
    <x v="5"/>
    <n v="-0.06"/>
    <x v="0"/>
    <n v="4800"/>
    <n v="628"/>
    <x v="1"/>
    <s v="PEM"/>
    <n v="0.03"/>
    <s v="Warrick County Commissioners"/>
    <s v="LRL-2024-163"/>
    <s v="2024-82-87-MMR-A"/>
    <m/>
    <s v="Warrick"/>
    <n v="38.118459999999999"/>
    <n v="-87.053604000000007"/>
    <s v="Transportation"/>
    <m/>
    <s v="No"/>
    <m/>
    <n v="720"/>
    <n v="3360"/>
    <n v="720"/>
    <s v="L"/>
    <s v="J"/>
    <m/>
    <m/>
    <m/>
    <m/>
    <m/>
    <m/>
    <s v="INDOT DES 1902795"/>
  </r>
  <r>
    <d v="2025-09-24T00:00:00"/>
    <s v="September"/>
    <n v="2025"/>
    <x v="2"/>
    <n v="-0.13"/>
    <x v="0"/>
    <n v="10400"/>
    <n v="631"/>
    <x v="2"/>
    <s v="PFO"/>
    <n v="0.05"/>
    <s v="Pulte Homes of Indiana, LLC"/>
    <s v="N/A"/>
    <s v="2025-500-29-LDC-SRGP"/>
    <m/>
    <s v="Hamilton"/>
    <n v="40.007294000000002"/>
    <n v="-86.215046999999998"/>
    <s v="Development"/>
    <m/>
    <s v="No"/>
    <m/>
    <n v="1560"/>
    <n v="7279.9999999999991"/>
    <n v="1560"/>
    <s v="L"/>
    <s v="SI"/>
    <s v="2 FO"/>
    <m/>
    <m/>
    <m/>
    <m/>
    <m/>
    <s v="Impacts are in Upper White SA, IDEM permit OK's credit purchase in Lower White SA"/>
  </r>
  <r>
    <d v="2025-10-07T00:00:00"/>
    <s v="October"/>
    <n v="2025"/>
    <x v="10"/>
    <n v="-782"/>
    <x v="1"/>
    <n v="312800"/>
    <n v="630"/>
    <x v="1"/>
    <s v="Per"/>
    <n v="823.5"/>
    <s v="City of Columbus, Redevelopment Commission"/>
    <s v="LRL-2017-1020-MKD"/>
    <s v="2023-449-03-ERL-A"/>
    <m/>
    <s v="Bartholomew"/>
    <n v="39.191346000000003"/>
    <n v="-85.925865999999999"/>
    <s v="Development"/>
    <m/>
    <s v="No"/>
    <m/>
    <n v="46920"/>
    <n v="218960"/>
    <n v="46920"/>
    <s v="L"/>
    <s v="J"/>
    <m/>
    <m/>
    <m/>
    <m/>
    <m/>
    <m/>
    <s v="Columbus Riverfront Modification"/>
  </r>
  <r>
    <d v="2025-10-07T00:00:00"/>
    <s v="October"/>
    <n v="2025"/>
    <x v="0"/>
    <n v="-45.5"/>
    <x v="1"/>
    <n v="27300"/>
    <n v="635"/>
    <x v="1"/>
    <s v="Int"/>
    <n v="45.5"/>
    <s v="INDOT"/>
    <s v="N/A"/>
    <s v="2024-593-45-GCW-NWP"/>
    <m/>
    <s v="Lake"/>
    <n v="41.471215999999998"/>
    <n v="-87.313139000000007"/>
    <s v="Transportation"/>
    <m/>
    <s v="No"/>
    <m/>
    <n v="4095"/>
    <n v="19110"/>
    <n v="4095"/>
    <s v="C"/>
    <s v="J"/>
    <m/>
    <m/>
    <m/>
    <m/>
    <m/>
    <m/>
    <s v="INDOT DES 2002298"/>
  </r>
  <r>
    <d v="2025-10-07T00:00:00"/>
    <s v="October"/>
    <n v="2025"/>
    <x v="4"/>
    <n v="-444"/>
    <x v="1"/>
    <n v="177600"/>
    <n v="638"/>
    <x v="1"/>
    <s v="Per"/>
    <n v="1255"/>
    <s v="INDOT "/>
    <s v="LRL-2024-635-djd"/>
    <s v="2024-695-54-GCW-WQC"/>
    <m/>
    <s v="Montgomery"/>
    <n v="40.025210000000001"/>
    <n v="-86.976550000000003"/>
    <s v="Transportation"/>
    <m/>
    <s v="No"/>
    <m/>
    <n v="26640"/>
    <n v="124319.99999999999"/>
    <n v="26640"/>
    <s v="L"/>
    <s v="J"/>
    <m/>
    <m/>
    <m/>
    <m/>
    <m/>
    <m/>
    <s v="INDOT DES 1800075"/>
  </r>
  <r>
    <d v="2025-10-07T00:00:00"/>
    <s v="October"/>
    <n v="2025"/>
    <x v="10"/>
    <n v="-318"/>
    <x v="1"/>
    <n v="127200"/>
    <n v="639"/>
    <x v="1"/>
    <s v="Per"/>
    <n v="285"/>
    <s v="INDOT"/>
    <s v="LRL-2024-00353-DDC"/>
    <s v="2024-379-3-GCW-X"/>
    <m/>
    <s v="Bartholomew"/>
    <n v="39.095064999999998"/>
    <n v="-86.028053"/>
    <s v="Transportation"/>
    <m/>
    <s v="No"/>
    <m/>
    <n v="19080"/>
    <n v="89040"/>
    <n v="19080"/>
    <s v="L"/>
    <s v="J"/>
    <m/>
    <m/>
    <m/>
    <m/>
    <m/>
    <m/>
    <s v="INDOT DES 2100568"/>
  </r>
  <r>
    <d v="2025-10-07T00:00:00"/>
    <s v="October"/>
    <n v="2025"/>
    <x v="9"/>
    <n v="-27"/>
    <x v="1"/>
    <n v="12150"/>
    <n v="640"/>
    <x v="1"/>
    <s v="Int"/>
    <n v="27"/>
    <s v="INDOT"/>
    <s v="LRL-2024-838-djd"/>
    <s v="2024-942-6-GCW-NWP"/>
    <m/>
    <s v="Boone"/>
    <n v="39.930833"/>
    <n v="-86.287778000000003"/>
    <s v="Transportation"/>
    <m/>
    <s v="No"/>
    <m/>
    <n v="1822.5"/>
    <n v="8505"/>
    <n v="1822.5"/>
    <s v="L"/>
    <s v="J"/>
    <m/>
    <m/>
    <m/>
    <m/>
    <m/>
    <m/>
    <s v="INDOT DES 2002271"/>
  </r>
  <r>
    <d v="2025-10-07T00:00:00"/>
    <s v="October"/>
    <n v="2025"/>
    <x v="5"/>
    <n v="-26.4"/>
    <x v="1"/>
    <n v="10560"/>
    <n v="641"/>
    <x v="1"/>
    <s v="Int"/>
    <n v="26.4"/>
    <s v="INDOT"/>
    <s v="N/A"/>
    <s v="2024-757-62-GCW-NWP"/>
    <m/>
    <s v="Perry"/>
    <n v="38.231470999999999"/>
    <n v="-86.659903999999997"/>
    <s v="Transportation"/>
    <m/>
    <s v="No"/>
    <m/>
    <n v="1584"/>
    <n v="7391.9999999999991"/>
    <n v="1584"/>
    <s v="L"/>
    <s v="J"/>
    <m/>
    <m/>
    <m/>
    <m/>
    <m/>
    <m/>
    <s v="INDOT DES 2001796"/>
  </r>
  <r>
    <d v="2025-10-07T00:00:00"/>
    <s v="October"/>
    <n v="2025"/>
    <x v="5"/>
    <n v="-3.1E-2"/>
    <x v="0"/>
    <n v="2480"/>
    <n v="641"/>
    <x v="1"/>
    <s v="PEM"/>
    <n v="3.1E-2"/>
    <s v="INDOT"/>
    <s v="N/A"/>
    <s v="2024-757-62-GCW-NWP"/>
    <m/>
    <s v="Perry"/>
    <n v="38.231470999999999"/>
    <n v="-86.659903999999997"/>
    <s v="Transportation"/>
    <m/>
    <s v="No"/>
    <m/>
    <n v="372"/>
    <n v="1736"/>
    <n v="372"/>
    <s v="L"/>
    <s v="J"/>
    <m/>
    <m/>
    <m/>
    <m/>
    <m/>
    <m/>
    <s v="INDOT DES 2001796"/>
  </r>
  <r>
    <d v="2025-10-07T00:00:00"/>
    <s v="October"/>
    <n v="2025"/>
    <x v="5"/>
    <n v="-8.9999999999999993E-3"/>
    <x v="0"/>
    <n v="720"/>
    <n v="641"/>
    <x v="1"/>
    <s v="PSS"/>
    <n v="8.9999999999999993E-3"/>
    <s v="INDOT"/>
    <s v="N/A"/>
    <s v="2024-757-62-GCW-NWP"/>
    <m/>
    <s v="Perry"/>
    <n v="38.231470999999999"/>
    <n v="-86.659903999999997"/>
    <s v="Transportation"/>
    <m/>
    <s v="No"/>
    <m/>
    <n v="108"/>
    <n v="503.99999999999994"/>
    <n v="108"/>
    <s v="L"/>
    <s v="J"/>
    <m/>
    <m/>
    <m/>
    <m/>
    <m/>
    <m/>
    <s v="INDOT DES 2001796"/>
  </r>
  <r>
    <d v="2025-10-15T00:00:00"/>
    <s v="October"/>
    <n v="2025"/>
    <x v="0"/>
    <n v="-5.5E-2"/>
    <x v="0"/>
    <n v="5225"/>
    <n v="632"/>
    <x v="1"/>
    <s v="PSS"/>
    <n v="1.52E-2"/>
    <s v="INDOT"/>
    <s v="LRC-2022-00492"/>
    <s v="2023-1025-64-GCW-A"/>
    <m/>
    <s v="Porter"/>
    <n v="41.470709999999997"/>
    <n v="-87.161940000000001"/>
    <s v="Transportation"/>
    <m/>
    <s v="No"/>
    <m/>
    <n v="783.75"/>
    <n v="3657.4999999999995"/>
    <n v="783.75"/>
    <s v="C"/>
    <s v="J"/>
    <m/>
    <m/>
    <m/>
    <m/>
    <m/>
    <m/>
    <s v="INDOT DES 1701335"/>
  </r>
  <r>
    <d v="2025-10-15T00:00:00"/>
    <s v="October"/>
    <n v="2025"/>
    <x v="0"/>
    <n v="-210"/>
    <x v="1"/>
    <n v="126000"/>
    <n v="632"/>
    <x v="1"/>
    <s v="Per"/>
    <n v="228"/>
    <s v="INDOT"/>
    <s v="LRC-2022-00492"/>
    <s v="2023-1025-64-GCW-A"/>
    <m/>
    <s v="Porter"/>
    <n v="41.470709999999997"/>
    <n v="-87.161940000000001"/>
    <s v="Transportation"/>
    <m/>
    <s v="No"/>
    <m/>
    <n v="18900"/>
    <n v="88200"/>
    <n v="18900"/>
    <s v="C"/>
    <s v="J"/>
    <m/>
    <m/>
    <m/>
    <m/>
    <m/>
    <m/>
    <s v="INDOT DES 1701335"/>
  </r>
  <r>
    <d v="2025-10-15T00:00:00"/>
    <s v="October"/>
    <n v="2025"/>
    <x v="0"/>
    <n v="-0.41"/>
    <x v="0"/>
    <n v="38950"/>
    <n v="645"/>
    <x v="2"/>
    <s v="PEM"/>
    <n v="0.27"/>
    <s v="Lennar Corporation"/>
    <s v="N/A"/>
    <s v="2025-464-64-MTM-IWIP"/>
    <m/>
    <s v="Porter"/>
    <n v="41.540109999999999"/>
    <n v="-87.199489999999997"/>
    <s v="Development"/>
    <m/>
    <s v="No"/>
    <m/>
    <n v="5842.5"/>
    <n v="27265"/>
    <n v="5842.5"/>
    <s v="D"/>
    <s v="SI"/>
    <s v="2NF"/>
    <m/>
    <m/>
    <m/>
    <m/>
    <m/>
    <m/>
  </r>
  <r>
    <d v="2025-10-15T00:00:00"/>
    <s v="October"/>
    <n v="2025"/>
    <x v="8"/>
    <n v="-96.36"/>
    <x v="1"/>
    <n v="38544"/>
    <n v="642"/>
    <x v="1"/>
    <s v="Per"/>
    <n v="1026.3"/>
    <s v="INDOT"/>
    <s v="LRL-2024-00430-102-N24"/>
    <s v="2024-672-2-TLG-WQC"/>
    <m/>
    <s v="Allen"/>
    <n v="41.074548"/>
    <n v="-85.231093999999999"/>
    <s v="Transportation"/>
    <m/>
    <s v="No"/>
    <m/>
    <n v="5781.5999999999995"/>
    <n v="26980.799999999999"/>
    <n v="5781.5999999999995"/>
    <s v="L"/>
    <s v="J"/>
    <m/>
    <m/>
    <m/>
    <m/>
    <m/>
    <m/>
    <s v="INDOT DES 2100758"/>
  </r>
  <r>
    <d v="2025-10-15T00:00:00"/>
    <s v="October"/>
    <n v="2025"/>
    <x v="8"/>
    <n v="-1.32"/>
    <x v="0"/>
    <n v="105600"/>
    <n v="649"/>
    <x v="2"/>
    <s v="PFO"/>
    <n v="0.66"/>
    <s v="Fort Wayne International Airport"/>
    <s v="N/A"/>
    <s v="2025-552-2-EJW-IWIP"/>
    <m/>
    <s v="Allen"/>
    <n v="40.980449999999998"/>
    <n v="-85.201390000000004"/>
    <s v="Development"/>
    <m/>
    <s v="No"/>
    <m/>
    <n v="15840"/>
    <n v="73920"/>
    <n v="15840"/>
    <s v="D"/>
    <s v="SI"/>
    <s v="2 FO"/>
    <m/>
    <m/>
    <m/>
    <m/>
    <m/>
    <m/>
  </r>
  <r>
    <d v="2025-10-15T00:00:00"/>
    <s v="October"/>
    <n v="2025"/>
    <x v="8"/>
    <n v="-0.05"/>
    <x v="0"/>
    <n v="4000"/>
    <n v="649"/>
    <x v="2"/>
    <s v="PEM"/>
    <n v="0.03"/>
    <s v="Fort Wayne International Airport"/>
    <s v="N/A"/>
    <s v="2025-552-2-EJW-IWIP"/>
    <m/>
    <s v="Allen"/>
    <n v="40.980449999999998"/>
    <n v="-85.201390000000004"/>
    <s v="Development"/>
    <m/>
    <s v="No"/>
    <m/>
    <n v="600"/>
    <n v="2800"/>
    <n v="600"/>
    <s v="D"/>
    <s v="SI"/>
    <s v="2 NF"/>
    <m/>
    <m/>
    <m/>
    <m/>
    <m/>
    <m/>
  </r>
  <r>
    <d v="2025-10-21T00:00:00"/>
    <s v="October"/>
    <n v="2025"/>
    <x v="2"/>
    <n v="-0.45"/>
    <x v="0"/>
    <n v="36000"/>
    <n v="643"/>
    <x v="1"/>
    <s v="PEM"/>
    <n v="0.188"/>
    <s v="INDOT"/>
    <s v="LRL-2022-225-scm"/>
    <s v="2022-194-47-JBT-X"/>
    <m/>
    <s v="Lawrence"/>
    <n v="38.716428000000001"/>
    <n v="-86.553398000000001"/>
    <s v="Transportation"/>
    <m/>
    <s v="No"/>
    <m/>
    <n v="5400"/>
    <n v="25200"/>
    <n v="5400"/>
    <s v="L"/>
    <s v="J"/>
    <m/>
    <m/>
    <m/>
    <m/>
    <m/>
    <m/>
    <s v="INDOT DES 1800124"/>
  </r>
  <r>
    <d v="2025-10-21T00:00:00"/>
    <s v="October"/>
    <n v="2025"/>
    <x v="5"/>
    <n v="-0.11"/>
    <x v="0"/>
    <n v="8800"/>
    <n v="644"/>
    <x v="1"/>
    <s v="PEM"/>
    <n v="5.3999999999999999E-2"/>
    <s v="INDOT"/>
    <s v="LRL-2025-434"/>
    <s v="2025-511-74-GCW-WQC"/>
    <m/>
    <s v="Spencer"/>
    <n v="37.902059000000001"/>
    <n v="-87.150698000000006"/>
    <s v="Transportation"/>
    <m/>
    <s v="No"/>
    <m/>
    <n v="1320"/>
    <n v="6160"/>
    <n v="1320"/>
    <s v="L"/>
    <s v="J"/>
    <m/>
    <m/>
    <m/>
    <m/>
    <m/>
    <m/>
    <s v="INDOT DES 2100831"/>
  </r>
  <r>
    <d v="2025-10-21T00:00:00"/>
    <s v="October"/>
    <n v="2025"/>
    <x v="2"/>
    <n v="-82"/>
    <x v="1"/>
    <n v="32800"/>
    <n v="646"/>
    <x v="1"/>
    <s v="Per"/>
    <n v="82"/>
    <s v="INDOT"/>
    <s v="LRL-2024-00740-DDC"/>
    <s v="2024-828-42-GCW-WQC"/>
    <m/>
    <s v="Knox"/>
    <n v="38.511229999999998"/>
    <n v="-87.288409999999999"/>
    <s v="Transportation"/>
    <m/>
    <s v="No"/>
    <m/>
    <n v="4920"/>
    <n v="22960"/>
    <n v="4920"/>
    <s v="L"/>
    <s v="J"/>
    <m/>
    <m/>
    <m/>
    <m/>
    <m/>
    <m/>
    <s v="INDOT DES No 2002050"/>
  </r>
  <r>
    <d v="2025-10-21T00:00:00"/>
    <s v="October"/>
    <n v="2025"/>
    <x v="2"/>
    <n v="-0.57999999999999996"/>
    <x v="0"/>
    <n v="46400"/>
    <n v="646"/>
    <x v="1"/>
    <s v="PEM"/>
    <n v="0.24"/>
    <s v="INDOT"/>
    <s v="LRL-2024-00740-DDC"/>
    <s v="2024-828-42-GCW-WQC"/>
    <m/>
    <s v="Knox"/>
    <n v="38.511229999999998"/>
    <n v="-87.288409999999999"/>
    <s v="Transportation"/>
    <m/>
    <s v="No"/>
    <m/>
    <n v="6960"/>
    <n v="32479.999999999996"/>
    <n v="6960"/>
    <s v="L"/>
    <s v="J"/>
    <m/>
    <m/>
    <m/>
    <m/>
    <m/>
    <m/>
    <s v="INDOT DES No 2002050"/>
  </r>
  <r>
    <d v="2025-10-27T00:00:00"/>
    <s v="October"/>
    <n v="2025"/>
    <x v="3"/>
    <n v="-1.58"/>
    <x v="0"/>
    <n v="126400"/>
    <n v="658"/>
    <x v="2"/>
    <s v="PFO"/>
    <n v="0.79"/>
    <s v="Hatchworks, LLC"/>
    <s v="N/A"/>
    <s v="2025-556-2-EJW-IWIP"/>
    <m/>
    <s v="Allen"/>
    <n v="41.038739999999997"/>
    <n v="-85.050330000000002"/>
    <s v="Development"/>
    <m/>
    <s v="No"/>
    <m/>
    <n v="18960"/>
    <n v="88480"/>
    <n v="18960"/>
    <s v="D"/>
    <s v="SI"/>
    <s v="2 FO"/>
    <m/>
    <m/>
    <m/>
    <m/>
    <m/>
    <s v="Project Zodiac"/>
  </r>
  <r>
    <d v="2025-11-04T00:00:00"/>
    <s v="November"/>
    <n v="2025"/>
    <x v="6"/>
    <n v="-0.33600000000000002"/>
    <x v="0"/>
    <n v="40320"/>
    <n v="651"/>
    <x v="1"/>
    <s v="PEM"/>
    <n v="0.13900000000000001"/>
    <s v="Elkhart County Commissioners"/>
    <s v="LRE-2013-00774-120-N25"/>
    <s v="2025-563-20-EJW-NWP"/>
    <m/>
    <s v="Elkhart"/>
    <n v="41.531666999999999"/>
    <n v="-85.885969000000003"/>
    <s v="Transportation"/>
    <m/>
    <s v="No"/>
    <m/>
    <n v="6048"/>
    <n v="28224"/>
    <n v="6048"/>
    <s v="D"/>
    <s v="J"/>
    <m/>
    <m/>
    <m/>
    <m/>
    <m/>
    <m/>
    <m/>
  </r>
  <r>
    <d v="2025-11-04T00:00:00"/>
    <s v="November"/>
    <n v="2025"/>
    <x v="6"/>
    <n v="-59"/>
    <x v="1"/>
    <n v="35400"/>
    <n v="651"/>
    <x v="1"/>
    <s v="Per"/>
    <n v="59"/>
    <s v="Elkhart County Commissioners"/>
    <s v="LRE-2013-00774-120-N25"/>
    <s v="2025-563-20-EJW-NWP"/>
    <m/>
    <s v="Elkhart"/>
    <n v="41.531666999999999"/>
    <n v="-85.885969000000003"/>
    <s v="Transportation"/>
    <m/>
    <s v="No"/>
    <m/>
    <n v="5310"/>
    <n v="24780"/>
    <n v="5310"/>
    <s v="D"/>
    <s v="J"/>
    <m/>
    <m/>
    <m/>
    <m/>
    <m/>
    <m/>
    <m/>
  </r>
  <r>
    <d v="2025-11-18T00:00:00"/>
    <s v="November"/>
    <n v="2025"/>
    <x v="8"/>
    <n v="-3.07"/>
    <x v="0"/>
    <n v="245600"/>
    <n v="594"/>
    <x v="1"/>
    <s v="PEM"/>
    <n v="2.56"/>
    <s v="INDOT"/>
    <s v="LRL-2008-567"/>
    <s v="2010-023-34-JPS-A"/>
    <m/>
    <s v="Carrol"/>
    <n v="40.484130999999998"/>
    <n v="-86.509308000000004"/>
    <s v="Transportation"/>
    <m/>
    <s v="No"/>
    <m/>
    <n v="36840"/>
    <n v="171920"/>
    <n v="36840"/>
    <s v="L"/>
    <s v="J"/>
    <m/>
    <m/>
    <m/>
    <m/>
    <m/>
    <m/>
    <m/>
  </r>
  <r>
    <d v="2025-12-17T00:00:00"/>
    <s v="December"/>
    <n v="2025"/>
    <x v="3"/>
    <n v="-0.70799999999999996"/>
    <x v="0"/>
    <n v="56640"/>
    <n v="650"/>
    <x v="1"/>
    <s v="PFO"/>
    <n v="0.23599999999999999"/>
    <s v="AEP Indiana Michigan Transmission Company, Inc."/>
    <s v="N/A"/>
    <s v="2025-571-17-EJW-WQC"/>
    <m/>
    <s v="DeKalb"/>
    <n v="41.423319999999997"/>
    <n v="-84.884960000000007"/>
    <s v="Development"/>
    <m/>
    <s v="No"/>
    <m/>
    <n v="8496"/>
    <n v="39648"/>
    <n v="8496"/>
    <s v="D"/>
    <s v="J"/>
    <m/>
    <m/>
    <m/>
    <m/>
    <m/>
    <m/>
    <m/>
  </r>
  <r>
    <d v="2025-12-17T00:00:00"/>
    <s v="December"/>
    <n v="2025"/>
    <x v="3"/>
    <n v="-2E-3"/>
    <x v="0"/>
    <n v="160"/>
    <n v="650"/>
    <x v="1"/>
    <s v="PEM"/>
    <n v="0.38500000000000001"/>
    <s v="AEP Indiana Michigan Transmission Company, Inc."/>
    <s v="N/A"/>
    <s v="2025-571-17-EJW-WQC"/>
    <m/>
    <s v="DeKalb"/>
    <n v="41.423319999999997"/>
    <n v="-84.884960000000007"/>
    <s v="Development"/>
    <m/>
    <s v="No"/>
    <m/>
    <n v="24"/>
    <n v="112"/>
    <n v="24"/>
    <s v="D"/>
    <s v="J"/>
    <m/>
    <m/>
    <m/>
    <m/>
    <m/>
    <m/>
    <m/>
  </r>
  <r>
    <d v="2025-12-29T00:00:00"/>
    <s v="December"/>
    <n v="2025"/>
    <x v="8"/>
    <n v="-513"/>
    <x v="1"/>
    <n v="205200"/>
    <n v="657"/>
    <x v="1"/>
    <s v="Int"/>
    <n v="427"/>
    <s v="Waste Management of Indiana"/>
    <s v="LRL-2004-1183-sam"/>
    <s v="2006-89-09-EME-A"/>
    <m/>
    <s v="Cass"/>
    <n v="40.722000000000001"/>
    <n v="-86.336699999999993"/>
    <s v="Development"/>
    <m/>
    <s v="No"/>
    <m/>
    <n v="30780"/>
    <n v="143640"/>
    <n v="30780"/>
    <s v="L"/>
    <s v="J"/>
    <m/>
    <m/>
    <m/>
    <m/>
    <m/>
    <m/>
    <m/>
  </r>
  <r>
    <d v="2025-12-29T00:00:00"/>
    <s v="December"/>
    <n v="2025"/>
    <x v="4"/>
    <n v="-11"/>
    <x v="1"/>
    <n v="4400"/>
    <n v="655"/>
    <x v="1"/>
    <s v="Eph"/>
    <n v="152"/>
    <s v="INDOT"/>
    <s v="LRL-2025-310"/>
    <s v="2025-333-83-GCW-WQC"/>
    <m/>
    <s v="Vermillion"/>
    <n v="39.786949999999997"/>
    <n v="-87.408309599999995"/>
    <s v="Transportation"/>
    <m/>
    <s v="No"/>
    <m/>
    <n v="660"/>
    <n v="3080"/>
    <n v="660"/>
    <s v="L"/>
    <s v="J"/>
    <m/>
    <m/>
    <m/>
    <m/>
    <m/>
    <m/>
    <s v="INDOT DES 2001776"/>
  </r>
  <r>
    <d v="2025-12-29T00:00:00"/>
    <s v="December"/>
    <n v="2025"/>
    <x v="4"/>
    <n v="-62"/>
    <x v="1"/>
    <n v="24800"/>
    <n v="655"/>
    <x v="1"/>
    <s v="Int"/>
    <n v="762"/>
    <s v="INDOT"/>
    <s v="LRL-2025-310"/>
    <s v="2025-333-83-GCW-WQC"/>
    <m/>
    <s v="Vermillion"/>
    <n v="39.786949999999997"/>
    <n v="-87.408309599999995"/>
    <s v="Transportation"/>
    <m/>
    <s v="No"/>
    <m/>
    <n v="3720"/>
    <n v="17360"/>
    <n v="3720"/>
    <s v="L"/>
    <s v="J"/>
    <m/>
    <m/>
    <m/>
    <m/>
    <m/>
    <m/>
    <s v="INDOT DES 2001776"/>
  </r>
  <r>
    <d v="2025-12-29T00:00:00"/>
    <s v="December"/>
    <n v="2025"/>
    <x v="4"/>
    <n v="-2.5000000000000001E-2"/>
    <x v="0"/>
    <n v="2000"/>
    <n v="655"/>
    <x v="1"/>
    <s v="PEM"/>
    <n v="1.2500000000000001E-2"/>
    <s v="INDOT"/>
    <s v="LRL-2025-310"/>
    <s v="2025-333-83-GCW-WQC"/>
    <m/>
    <s v="Vermillion"/>
    <n v="39.786949999999997"/>
    <n v="-87.408309599999995"/>
    <s v="Transportation"/>
    <m/>
    <s v="No"/>
    <m/>
    <n v="300"/>
    <n v="1400"/>
    <n v="300"/>
    <s v="L"/>
    <s v="J"/>
    <m/>
    <m/>
    <m/>
    <m/>
    <m/>
    <m/>
    <s v="INDOT DES 2001776"/>
  </r>
  <r>
    <d v="2025-12-29T00:00:00"/>
    <s v="December"/>
    <n v="2025"/>
    <x v="6"/>
    <n v="-28"/>
    <x v="1"/>
    <n v="16800"/>
    <n v="654"/>
    <x v="1"/>
    <s v="Int"/>
    <n v="28"/>
    <s v="INDOT"/>
    <s v="LRE-2025-00547-176-N25"/>
    <s v="2025-871-76-GCW-NWP"/>
    <m/>
    <s v="Steuben"/>
    <n v="41.638494549999997"/>
    <n v="-85.047915000000003"/>
    <s v="Transportation"/>
    <m/>
    <s v="No"/>
    <m/>
    <n v="2520"/>
    <n v="11760"/>
    <n v="2520"/>
    <s v="L"/>
    <s v="J"/>
    <m/>
    <m/>
    <m/>
    <m/>
    <m/>
    <m/>
    <m/>
  </r>
  <r>
    <d v="2025-12-31T00:00:00"/>
    <s v="December"/>
    <n v="2025"/>
    <x v="7"/>
    <n v="-288"/>
    <x v="1"/>
    <n v="115200"/>
    <n v="659"/>
    <x v="1"/>
    <s v="Int"/>
    <n v="288"/>
    <s v="Clark Floyd Landfill, LLC"/>
    <s v="LRL-2013-00374"/>
    <s v="2021-189-10-TMS-A"/>
    <m/>
    <s v="Clark"/>
    <n v="38.457000000000001"/>
    <n v="-85.847740000000002"/>
    <s v="Development"/>
    <m/>
    <s v="No"/>
    <m/>
    <n v="17280"/>
    <n v="80640"/>
    <n v="17280"/>
    <s v="L"/>
    <s v="J"/>
    <m/>
    <m/>
    <m/>
    <m/>
    <m/>
    <m/>
    <s v="Payment 5 of 7"/>
  </r>
  <r>
    <d v="2025-12-31T00:00:00"/>
    <s v="December"/>
    <n v="2025"/>
    <x v="7"/>
    <n v="-1.3"/>
    <x v="0"/>
    <n v="104000"/>
    <n v="659"/>
    <x v="1"/>
    <s v="PFO"/>
    <n v="1.3"/>
    <s v="Clark Floyd Landfill, LLC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s v="J"/>
    <m/>
    <m/>
    <m/>
    <m/>
    <m/>
    <m/>
    <s v="Payment 5 of 7"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x v="0"/>
    <m/>
    <m/>
    <m/>
    <m/>
    <m/>
    <m/>
    <m/>
    <m/>
    <m/>
    <m/>
    <m/>
    <m/>
    <m/>
    <n v="0"/>
    <n v="0"/>
    <n v="0"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3">
  <r>
    <d v="2018-05-03T00:00:00"/>
    <s v="May"/>
    <n v="2018"/>
    <x v="0"/>
    <n v="90"/>
    <x v="0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0"/>
    <n v="45000"/>
    <x v="1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1"/>
    <n v="90"/>
    <x v="0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1"/>
    <n v="45000"/>
    <x v="1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2"/>
    <n v="90"/>
    <x v="0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2"/>
    <n v="45000"/>
    <x v="1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3"/>
    <n v="90"/>
    <x v="0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3"/>
    <n v="45000"/>
    <x v="1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4"/>
    <n v="90"/>
    <x v="0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4"/>
    <n v="45000"/>
    <x v="1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5"/>
    <n v="115"/>
    <x v="0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5"/>
    <n v="50000"/>
    <x v="1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6"/>
    <n v="90"/>
    <x v="0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6"/>
    <n v="45000"/>
    <x v="1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7"/>
    <n v="90"/>
    <x v="0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7"/>
    <n v="45000"/>
    <x v="1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8"/>
    <n v="90"/>
    <x v="0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8"/>
    <n v="45000"/>
    <x v="1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9"/>
    <n v="120"/>
    <x v="0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9"/>
    <n v="60000"/>
    <x v="1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9"/>
    <n v="42"/>
    <x v="0"/>
    <m/>
    <m/>
    <m/>
    <x v="0"/>
    <m/>
    <m/>
    <m/>
    <m/>
    <m/>
    <m/>
    <m/>
    <m/>
    <m/>
    <m/>
    <m/>
    <m/>
    <n v="0"/>
    <n v="0"/>
    <n v="0"/>
    <m/>
    <m/>
    <m/>
    <m/>
    <m/>
    <m/>
    <m/>
    <m/>
    <s v="Additional Credit Release approved in 8/8/22 Corps letter"/>
  </r>
  <r>
    <d v="2018-05-03T00:00:00"/>
    <s v="May"/>
    <n v="2018"/>
    <x v="9"/>
    <n v="21000"/>
    <x v="1"/>
    <m/>
    <m/>
    <m/>
    <x v="0"/>
    <m/>
    <m/>
    <m/>
    <m/>
    <m/>
    <m/>
    <m/>
    <m/>
    <m/>
    <m/>
    <m/>
    <m/>
    <n v="0"/>
    <n v="0"/>
    <n v="0"/>
    <m/>
    <m/>
    <m/>
    <m/>
    <m/>
    <m/>
    <m/>
    <m/>
    <s v="Additional Credit Release approved in 8/8/22 Corps letter"/>
  </r>
  <r>
    <d v="2018-05-03T00:00:00"/>
    <s v="May"/>
    <n v="2018"/>
    <x v="10"/>
    <n v="90"/>
    <x v="0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n v="2018"/>
    <x v="10"/>
    <n v="45000"/>
    <x v="1"/>
    <m/>
    <m/>
    <m/>
    <x v="0"/>
    <m/>
    <m/>
    <m/>
    <m/>
    <m/>
    <m/>
    <m/>
    <m/>
    <m/>
    <m/>
    <s v="n/a"/>
    <m/>
    <n v="0"/>
    <n v="0"/>
    <n v="0"/>
    <m/>
    <m/>
    <m/>
    <m/>
    <m/>
    <m/>
    <m/>
    <m/>
    <m/>
  </r>
  <r>
    <d v="2018-09-24T00:00:00"/>
    <s v="September"/>
    <n v="2018"/>
    <x v="7"/>
    <n v="-11"/>
    <x v="1"/>
    <n v="4400"/>
    <n v="2"/>
    <s v="Federal"/>
    <x v="1"/>
    <n v="11"/>
    <s v="Vectren Corp. (now Center Point Energy)"/>
    <s v="LRL-2017-570"/>
    <s v="2018-065-10-ALF-A"/>
    <m/>
    <s v="Clark"/>
    <n v="38.380290000000002"/>
    <n v="-85.744731000000002"/>
    <s v="Energy Production"/>
    <m/>
    <s v="No"/>
    <m/>
    <n v="660"/>
    <n v="3080"/>
    <n v="660"/>
    <m/>
    <m/>
    <m/>
    <m/>
    <m/>
    <m/>
    <m/>
    <m/>
    <s v="*Note:  IDEM required 4LF more than USACE"/>
  </r>
  <r>
    <d v="2018-09-24T00:00:00"/>
    <s v="September"/>
    <n v="2018"/>
    <x v="7"/>
    <n v="-398"/>
    <x v="1"/>
    <n v="159200"/>
    <n v="2"/>
    <s v="Federal"/>
    <x v="2"/>
    <n v="332"/>
    <s v="Vectren Corp. (now Center Point Energy)"/>
    <s v="LRL-2017-570"/>
    <s v="2018-065-10-ALF-A"/>
    <m/>
    <s v="Clark"/>
    <n v="38.380290000000002"/>
    <n v="-85.744731000000002"/>
    <s v="Energy Production"/>
    <m/>
    <s v="No"/>
    <m/>
    <n v="23880"/>
    <n v="111440"/>
    <n v="23880"/>
    <m/>
    <m/>
    <m/>
    <m/>
    <m/>
    <m/>
    <m/>
    <m/>
    <m/>
  </r>
  <r>
    <d v="2018-09-24T00:00:00"/>
    <s v="September"/>
    <n v="2018"/>
    <x v="7"/>
    <n v="-1.8"/>
    <x v="0"/>
    <n v="144000"/>
    <n v="2"/>
    <s v="Federal"/>
    <x v="3"/>
    <n v="0.74"/>
    <s v="Vectren Corp. (now Center Point Energy)"/>
    <s v="LRL-2017-570"/>
    <s v="2018-065-10-ALF-A"/>
    <m/>
    <s v="Clark"/>
    <n v="38.380290000000002"/>
    <n v="-85.744731000000002"/>
    <s v="Energy"/>
    <s v="LRL-2014-100-sam/Fourteeen Mile Creek Mitigation Bank"/>
    <s v="Yes"/>
    <d v="2024-01-22T00:00:00"/>
    <n v="21600"/>
    <n v="100800"/>
    <n v="21600"/>
    <m/>
    <m/>
    <m/>
    <m/>
    <s v="Fourteen Mile Creek Mitigation Bank"/>
    <m/>
    <m/>
    <m/>
    <s v="Credit fulfilled, purchased from Fourteen Mile Creek Mitigation Bank.  "/>
  </r>
  <r>
    <d v="2018-09-24T00:00:00"/>
    <s v="September"/>
    <n v="2018"/>
    <x v="7"/>
    <n v="-0.2"/>
    <x v="0"/>
    <n v="16000"/>
    <n v="2"/>
    <s v="Federal"/>
    <x v="4"/>
    <n v="0.05"/>
    <s v="Vectren Corp. (now Center Point Energy)"/>
    <s v="LRL-2017-570"/>
    <s v="2018-065-10-ALF-A"/>
    <m/>
    <s v="Clark"/>
    <n v="38.380290000000002"/>
    <n v="-85.744731000000002"/>
    <s v="Energy"/>
    <s v="LRL-2014-100-sam/Fourteeen Mile Creek Mitigation Bank"/>
    <s v="Yes"/>
    <d v="2024-01-22T00:00:00"/>
    <n v="2400"/>
    <n v="11200"/>
    <n v="2400"/>
    <m/>
    <m/>
    <m/>
    <m/>
    <s v="Fourteen Mile Creek Mitigation Bank"/>
    <m/>
    <m/>
    <m/>
    <s v="Credit fulfilled, purchased from Fourteen Mile Creek Mitigation Bank.  "/>
  </r>
  <r>
    <d v="2018-09-26T00:00:00"/>
    <s v="September"/>
    <n v="2018"/>
    <x v="5"/>
    <n v="-4.2"/>
    <x v="0"/>
    <n v="336000"/>
    <n v="1"/>
    <s v="Federal"/>
    <x v="4"/>
    <n v="0.88"/>
    <s v="Evansville Water and Sewer Utility"/>
    <s v="LRL-2018-390"/>
    <s v="2018-264-82-ADF-A"/>
    <m/>
    <s v="Vanderburgh"/>
    <n v="37.956099999999999"/>
    <n v="-87.5702"/>
    <s v="Development"/>
    <m/>
    <s v="No"/>
    <m/>
    <n v="50400"/>
    <n v="235199.99999999997"/>
    <n v="50400"/>
    <m/>
    <m/>
    <m/>
    <m/>
    <m/>
    <m/>
    <m/>
    <m/>
    <m/>
  </r>
  <r>
    <d v="2018-10-04T00:00:00"/>
    <s v="October"/>
    <n v="2018"/>
    <x v="10"/>
    <n v="-3.05"/>
    <x v="0"/>
    <n v="244000"/>
    <n v="3"/>
    <s v="State Isolated"/>
    <x v="3"/>
    <n v="2.028"/>
    <s v="GLA Properties II, LLC"/>
    <s v="N/A"/>
    <s v="IWGP 2018-586-41-TMS-A"/>
    <m/>
    <s v="Johnson"/>
    <n v="39.597969999999997"/>
    <n v="-86.059100000000001"/>
    <s v="Development"/>
    <m/>
    <s v="No"/>
    <m/>
    <n v="36600"/>
    <n v="170800"/>
    <n v="36600"/>
    <m/>
    <m/>
    <m/>
    <m/>
    <m/>
    <m/>
    <m/>
    <m/>
    <s v="Class 1 Isolated Wetland Non-Forested"/>
  </r>
  <r>
    <d v="2018-10-11T00:00:00"/>
    <s v="October"/>
    <n v="2018"/>
    <x v="8"/>
    <n v="-4.2999999999999997E-2"/>
    <x v="0"/>
    <n v="3440"/>
    <n v="6"/>
    <s v="Federal"/>
    <x v="3"/>
    <n v="2E-3"/>
    <s v="AEP"/>
    <s v="LRL-2018-415-sjk"/>
    <s v="2018-414-35-HAP-A"/>
    <m/>
    <s v="Huntington, Grant"/>
    <n v="40.523240000000001"/>
    <n v="-85.587199999999996"/>
    <s v="Transportation"/>
    <m/>
    <s v="No"/>
    <m/>
    <n v="516"/>
    <n v="2408"/>
    <n v="516"/>
    <m/>
    <m/>
    <m/>
    <m/>
    <m/>
    <m/>
    <m/>
    <m/>
    <s v="Coordinates are midpoint of linear project"/>
  </r>
  <r>
    <d v="2018-10-11T00:00:00"/>
    <s v="October"/>
    <n v="2018"/>
    <x v="8"/>
    <n v="-0.38700000000000001"/>
    <x v="0"/>
    <n v="30960"/>
    <n v="6"/>
    <s v="Federal"/>
    <x v="4"/>
    <n v="0.129"/>
    <s v="AEP"/>
    <s v="LRL-2018-415-sjk"/>
    <s v="2018-414-35-HAP-A"/>
    <m/>
    <s v="Huntington, Grant"/>
    <n v="40.523240000000001"/>
    <n v="-85.587199999999996"/>
    <s v="Transportation"/>
    <m/>
    <s v="No"/>
    <m/>
    <n v="4644"/>
    <n v="21672"/>
    <n v="4644"/>
    <m/>
    <m/>
    <m/>
    <m/>
    <m/>
    <m/>
    <m/>
    <m/>
    <s v="Coordinates are midpoint of linear project"/>
  </r>
  <r>
    <d v="2018-10-15T00:00:00"/>
    <s v="October"/>
    <n v="2018"/>
    <x v="10"/>
    <n v="-0.8"/>
    <x v="0"/>
    <n v="64000"/>
    <n v="8"/>
    <s v="Federal"/>
    <x v="3"/>
    <n v="0.32"/>
    <s v="POET Design and Construction"/>
    <s v="LRL-2018-310-scm"/>
    <s v="2018-397-73-ALF-A"/>
    <m/>
    <s v="Shelby"/>
    <n v="39.568686"/>
    <n v="-85.821329000000006"/>
    <s v="Energy Production"/>
    <m/>
    <s v="No"/>
    <m/>
    <n v="9600"/>
    <n v="44800"/>
    <n v="9600"/>
    <m/>
    <m/>
    <m/>
    <m/>
    <m/>
    <m/>
    <m/>
    <m/>
    <m/>
  </r>
  <r>
    <d v="2018-10-17T00:00:00"/>
    <s v="October"/>
    <n v="2018"/>
    <x v="6"/>
    <n v="-0.187"/>
    <x v="0"/>
    <n v="22440"/>
    <n v="9"/>
    <s v="Federal"/>
    <x v="3"/>
    <n v="3.0000000000000001E-3"/>
    <s v="AEP"/>
    <s v="LRE-2017-01163-157"/>
    <s v="2017-415-57-HAP-A"/>
    <m/>
    <s v="Noble"/>
    <n v="41.381950000000003"/>
    <n v="-85.438940000000002"/>
    <s v="Transportation"/>
    <m/>
    <s v="No"/>
    <m/>
    <n v="3366"/>
    <n v="15707.999999999998"/>
    <n v="3366"/>
    <m/>
    <m/>
    <m/>
    <m/>
    <m/>
    <m/>
    <m/>
    <m/>
    <s v="Coordinates are midpoint of linear project"/>
  </r>
  <r>
    <d v="2018-10-17T00:00:00"/>
    <s v="October"/>
    <n v="2018"/>
    <x v="6"/>
    <n v="-1.353"/>
    <x v="0"/>
    <n v="162360"/>
    <n v="9"/>
    <s v="Federal"/>
    <x v="4"/>
    <n v="0.45100000000000001"/>
    <s v="AEP"/>
    <s v="LRE-2017-01163-157"/>
    <s v="2017-415-57-HAP-A"/>
    <m/>
    <s v="Noble"/>
    <n v="41.381950000000003"/>
    <n v="-85.438940000000002"/>
    <s v="Transportation"/>
    <m/>
    <s v="No"/>
    <m/>
    <n v="24354"/>
    <n v="113652"/>
    <n v="24354"/>
    <m/>
    <m/>
    <m/>
    <m/>
    <m/>
    <m/>
    <m/>
    <m/>
    <s v="Coordinates are midpoint of linear project"/>
  </r>
  <r>
    <d v="2018-10-22T00:00:00"/>
    <s v="October"/>
    <n v="2018"/>
    <x v="9"/>
    <n v="-348"/>
    <x v="1"/>
    <n v="156600"/>
    <n v="5"/>
    <s v="Federal"/>
    <x v="1"/>
    <n v="290"/>
    <s v="Town of Whitestown"/>
    <s v="LRL-2017-299-sjk"/>
    <s v="2017-244-06-JMK-A"/>
    <m/>
    <s v="Boone"/>
    <n v="39.946444"/>
    <n v="-86.358879999999999"/>
    <s v="Transportation"/>
    <s v="Mod 1 - LRL-2020-989-sam"/>
    <s v="Yes"/>
    <d v="2023-07-10T00:00:00"/>
    <n v="23490"/>
    <n v="109620"/>
    <n v="23490"/>
    <m/>
    <m/>
    <m/>
    <m/>
    <s v="HC Farms"/>
    <m/>
    <m/>
    <m/>
    <s v="Credits fulfilled and released - HC Farms First Release."/>
  </r>
  <r>
    <d v="2018-10-22T00:00:00"/>
    <s v="October"/>
    <n v="2018"/>
    <x v="9"/>
    <n v="-252"/>
    <x v="1"/>
    <n v="113400"/>
    <n v="5"/>
    <s v="Federal"/>
    <x v="2"/>
    <n v="210"/>
    <s v="Town of Whitestown"/>
    <s v="LRL-2017-299-sjk"/>
    <s v="2017-244-06-JMK-A"/>
    <m/>
    <s v="Boone"/>
    <n v="39.946444"/>
    <n v="-86.358879999999999"/>
    <s v="Transportation"/>
    <s v="Mod 1 - LRL-2020-989-sam"/>
    <s v="Yes"/>
    <d v="2023-07-10T00:00:00"/>
    <n v="17010"/>
    <n v="79380"/>
    <n v="17010"/>
    <m/>
    <m/>
    <m/>
    <m/>
    <s v="HC Farms"/>
    <m/>
    <m/>
    <m/>
    <s v="Credits fulfilled and released - HC Farms First Release."/>
  </r>
  <r>
    <d v="2018-11-02T00:00:00"/>
    <s v="November"/>
    <n v="2018"/>
    <x v="10"/>
    <n v="-2.004"/>
    <x v="0"/>
    <n v="160320"/>
    <n v="11"/>
    <s v="Federal"/>
    <x v="3"/>
    <n v="0.83499999999999996"/>
    <s v="Arbor Investments, LLC"/>
    <s v="LRL-2017-1149-MKD"/>
    <s v="2018-498-03-TMS-A"/>
    <m/>
    <s v="Bartholomew"/>
    <n v="39.237496"/>
    <n v="-85.94932"/>
    <s v="Development"/>
    <m/>
    <s v="No"/>
    <m/>
    <n v="24048"/>
    <n v="112224"/>
    <n v="24048"/>
    <m/>
    <m/>
    <m/>
    <m/>
    <m/>
    <m/>
    <m/>
    <m/>
    <m/>
  </r>
  <r>
    <d v="2018-11-02T00:00:00"/>
    <s v="November"/>
    <n v="2018"/>
    <x v="10"/>
    <n v="-0.318"/>
    <x v="0"/>
    <n v="25440"/>
    <n v="11"/>
    <s v="Federal"/>
    <x v="5"/>
    <n v="0.106"/>
    <s v="Arbor Investments, LLC"/>
    <s v="LRL-2017-1149-MKD"/>
    <s v="2018-498-03-TMS-A"/>
    <m/>
    <s v="Bartholomew"/>
    <n v="39.237496"/>
    <n v="-85.94932"/>
    <s v="Development"/>
    <m/>
    <s v="No"/>
    <m/>
    <n v="3816"/>
    <n v="17808"/>
    <n v="3816"/>
    <m/>
    <m/>
    <m/>
    <m/>
    <m/>
    <m/>
    <m/>
    <m/>
    <m/>
  </r>
  <r>
    <d v="2018-11-05T00:00:00"/>
    <s v="November"/>
    <n v="2018"/>
    <x v="9"/>
    <n v="-0.3"/>
    <x v="0"/>
    <n v="24000"/>
    <n v="13"/>
    <s v="State Isolated"/>
    <x v="4"/>
    <n v="0.15"/>
    <s v="Park 70 Partners, LP"/>
    <s v="N/A"/>
    <s v="IWIP 2011-191-30-AMM-A"/>
    <m/>
    <s v="Hancock"/>
    <n v="39.831159999999997"/>
    <n v="-85.911339999999996"/>
    <s v="Development"/>
    <s v="Mod 1 - LRL-2020-989-sam"/>
    <s v="Yes"/>
    <d v="2023-07-10T00:00:00"/>
    <n v="3600"/>
    <n v="16800"/>
    <n v="3600"/>
    <m/>
    <m/>
    <m/>
    <m/>
    <s v="HC Farms"/>
    <m/>
    <m/>
    <m/>
    <s v="Credits fulfilled and released - HC Farms First Release.  Class II Isolated Wetland Forested "/>
  </r>
  <r>
    <d v="2018-11-16T00:00:00"/>
    <s v="November"/>
    <n v="2018"/>
    <x v="7"/>
    <n v="-0.5"/>
    <x v="0"/>
    <n v="40000"/>
    <n v="10"/>
    <s v="Federal"/>
    <x v="3"/>
    <n v="0.2"/>
    <s v="TBD, LLC"/>
    <s v="LRL-2014-00480"/>
    <s v="2014-267-AMM-V"/>
    <m/>
    <s v="Floyd"/>
    <n v="38.397410000000001"/>
    <n v="-85.814109999999999"/>
    <s v="Development"/>
    <s v="LRL-2014-100-sam/Fourteeen Mile Creek Mitigation Bank"/>
    <s v="Yes"/>
    <d v="2024-01-22T00:00:00"/>
    <n v="6000"/>
    <n v="28000"/>
    <n v="6000"/>
    <m/>
    <m/>
    <m/>
    <m/>
    <s v="Fourteen Mile Creek Mitigation Bank"/>
    <m/>
    <m/>
    <m/>
    <s v="Credit fulfilled, purchased from Fourteen Mile Creek Mitigation Bank.  "/>
  </r>
  <r>
    <d v="2018-11-16T00:00:00"/>
    <s v="November"/>
    <n v="2018"/>
    <x v="7"/>
    <n v="-0.22"/>
    <x v="0"/>
    <n v="17600"/>
    <n v="4"/>
    <s v="Federal"/>
    <x v="3"/>
    <n v="0.183"/>
    <s v="River Ridge Development Authority"/>
    <s v="LRL-2016-1167-MKD"/>
    <s v="2017-107-10-JBT-A"/>
    <m/>
    <s v="Clark"/>
    <n v="38.365259999999999"/>
    <n v="-85.677660000000003"/>
    <s v="Development"/>
    <s v="LRL-2014-100-sam/Fourteeen Mile Creek Mitigation Bank"/>
    <s v="Yes"/>
    <d v="2024-01-22T00:00:00"/>
    <n v="2640"/>
    <n v="12320"/>
    <n v="2640"/>
    <m/>
    <m/>
    <m/>
    <m/>
    <s v="Fourteen Mile Creek Mitigation Bank"/>
    <m/>
    <m/>
    <m/>
    <s v="Credit fulfilled, purchased from Fourteen Mile Creek Mitigation Bank.  "/>
  </r>
  <r>
    <d v="2018-11-16T00:00:00"/>
    <s v="November"/>
    <n v="2018"/>
    <x v="7"/>
    <n v="-0.01"/>
    <x v="0"/>
    <n v="800"/>
    <n v="4"/>
    <s v="State Isolated"/>
    <x v="3"/>
    <n v="8.7999999999999995E-2"/>
    <s v="River Ridge Development Authority"/>
    <s v="N/A"/>
    <s v="IWIP 2017-107-JBT-A"/>
    <m/>
    <s v="Clark"/>
    <n v="38.365259999999999"/>
    <n v="-85.677660000000003"/>
    <s v="Development"/>
    <s v="LRL-2014-100-sam/Fourteeen Mile Creek Mitigation Bank"/>
    <s v="Yes"/>
    <d v="2024-01-22T00:00:00"/>
    <n v="120"/>
    <n v="560"/>
    <n v="120"/>
    <m/>
    <m/>
    <m/>
    <m/>
    <s v="Fourteen Mile Creek Mitigation Bank"/>
    <m/>
    <m/>
    <m/>
    <s v="Credit fulfilled, purchased from Fourteen Mile Creek Mitigation Bank.  "/>
  </r>
  <r>
    <d v="2018-12-04T00:00:00"/>
    <s v="December"/>
    <n v="2018"/>
    <x v="9"/>
    <n v="-0.03"/>
    <x v="0"/>
    <n v="2400"/>
    <n v="12"/>
    <s v="State Isolated"/>
    <x v="4"/>
    <n v="2.5000000000000001E-2"/>
    <s v="City of Fishers"/>
    <s v="N/A"/>
    <s v="IWGP 2018-588-29-JBT-A"/>
    <m/>
    <s v="Hamilton"/>
    <n v="40"/>
    <n v="-86.004000000000005"/>
    <s v="Transportation"/>
    <s v="Mod 1 - LRL-2020-989-sam"/>
    <s v="Yes"/>
    <d v="2023-07-10T00:00:00"/>
    <n v="360"/>
    <n v="1680"/>
    <n v="360"/>
    <m/>
    <m/>
    <m/>
    <m/>
    <s v="HC Farms"/>
    <m/>
    <m/>
    <m/>
    <s v="Credits fulfilled and released - HC Farms First Release.  Class I Isolated Wetland Forested"/>
  </r>
  <r>
    <d v="2018-12-04T00:00:00"/>
    <s v="December"/>
    <n v="2018"/>
    <x v="9"/>
    <n v="-0.04"/>
    <x v="0"/>
    <n v="3200"/>
    <n v="17"/>
    <s v="State Isolated"/>
    <x v="3"/>
    <n v="0.02"/>
    <s v="Fischer Development Company"/>
    <s v="N/A"/>
    <s v="IWGP 2018-718-29-ALF-A"/>
    <m/>
    <s v="Hamilton"/>
    <n v="40.039718000000001"/>
    <n v="-86.102137999999997"/>
    <s v="Development"/>
    <s v="Mod 1 - LRL-2020-989-sam"/>
    <s v="Yes"/>
    <d v="2023-07-10T00:00:00"/>
    <n v="480"/>
    <n v="2240"/>
    <n v="480"/>
    <m/>
    <m/>
    <m/>
    <m/>
    <s v="HC Farms"/>
    <m/>
    <m/>
    <m/>
    <s v="Credits fulfilled and released - HC Farms First Release. Class I Isolated Wetland Non-Forested"/>
  </r>
  <r>
    <d v="2018-12-04T00:00:00"/>
    <s v="December"/>
    <n v="2018"/>
    <x v="9"/>
    <n v="-0.25"/>
    <x v="0"/>
    <n v="20000"/>
    <n v="17"/>
    <s v="State Isolated"/>
    <x v="4"/>
    <n v="8.3699999999999997E-2"/>
    <s v="Fischer Development Company"/>
    <s v="N/A"/>
    <s v="IWGP 2018-718-29-ALF-A"/>
    <m/>
    <s v="Hamilton"/>
    <n v="40.039718000000001"/>
    <n v="-86.102137999999997"/>
    <s v="Development"/>
    <s v="Mod 1 - LRL-2020-989-sam"/>
    <s v="Yes"/>
    <d v="2023-07-10T00:00:00"/>
    <n v="3000"/>
    <n v="14000"/>
    <n v="3000"/>
    <m/>
    <m/>
    <m/>
    <m/>
    <s v="HC Farms"/>
    <m/>
    <m/>
    <m/>
    <s v="Credits fulfilled and released - HC Farms First Release. Class II Isolated Wetland Forested"/>
  </r>
  <r>
    <d v="2018-12-04T00:00:00"/>
    <s v="December"/>
    <n v="2018"/>
    <x v="9"/>
    <n v="-150"/>
    <x v="1"/>
    <n v="67500"/>
    <n v="7"/>
    <s v="Federal"/>
    <x v="6"/>
    <n v="450"/>
    <s v="City of Lawrence"/>
    <s v="LRL-2017-31-sam"/>
    <s v="2016-410-49-JBT-V"/>
    <m/>
    <s v="Marion"/>
    <n v="39.8504"/>
    <n v="-86.022000000000006"/>
    <s v="Development"/>
    <s v="Mod 1 - LRL-2020-989-sam"/>
    <s v="Yes"/>
    <d v="2023-07-10T00:00:00"/>
    <n v="10125"/>
    <n v="47250"/>
    <n v="10125"/>
    <m/>
    <m/>
    <m/>
    <m/>
    <s v="HC Farms"/>
    <m/>
    <m/>
    <m/>
    <s v="Credits fulfilled and released - HC Farms First Release."/>
  </r>
  <r>
    <m/>
    <m/>
    <m/>
    <x v="11"/>
    <m/>
    <x v="2"/>
    <m/>
    <m/>
    <m/>
    <x v="0"/>
    <m/>
    <m/>
    <m/>
    <m/>
    <m/>
    <m/>
    <m/>
    <m/>
    <m/>
    <m/>
    <m/>
    <m/>
    <m/>
    <m/>
    <m/>
    <m/>
    <m/>
    <m/>
    <m/>
    <m/>
    <m/>
    <m/>
    <m/>
    <m/>
  </r>
  <r>
    <d v="2019-01-04T00:00:00"/>
    <s v="January "/>
    <n v="2019"/>
    <x v="10"/>
    <n v="-0.96"/>
    <x v="0"/>
    <n v="76800"/>
    <n v="18"/>
    <s v="Federal"/>
    <x v="3"/>
    <n v="0.4"/>
    <s v="Becknell Services, LLC"/>
    <s v="LRL-2017-898-sam"/>
    <s v="2018-464-41-TMS-A"/>
    <m/>
    <s v="Johnson"/>
    <n v="39.619799999999998"/>
    <n v="-86.062299999999993"/>
    <s v="Development"/>
    <m/>
    <s v="No"/>
    <m/>
    <n v="11520"/>
    <n v="53760"/>
    <n v="11520"/>
    <m/>
    <m/>
    <m/>
    <m/>
    <m/>
    <m/>
    <m/>
    <m/>
    <m/>
  </r>
  <r>
    <d v="2019-01-04T00:00:00"/>
    <s v="January "/>
    <n v="2019"/>
    <x v="10"/>
    <n v="-0.36"/>
    <x v="0"/>
    <n v="28800"/>
    <n v="15"/>
    <s v="Federal"/>
    <x v="3"/>
    <n v="0.18"/>
    <s v="Louisville &amp; Indiana Railroad Company"/>
    <s v="LRL-2018-382"/>
    <s v="2018-182-72-ALF-A"/>
    <m/>
    <s v="Scott"/>
    <n v="38.648809"/>
    <n v="-85.771114999999995"/>
    <s v="Transportation"/>
    <m/>
    <s v="No"/>
    <m/>
    <n v="4320"/>
    <n v="20160"/>
    <n v="4320"/>
    <m/>
    <m/>
    <m/>
    <m/>
    <m/>
    <m/>
    <m/>
    <m/>
    <s v="*Note:  USACE required 0.4 Emergent Credits"/>
  </r>
  <r>
    <d v="2019-01-04T00:00:00"/>
    <s v="January "/>
    <n v="2019"/>
    <x v="10"/>
    <n v="-1.2"/>
    <x v="0"/>
    <n v="96000"/>
    <n v="15"/>
    <s v="Federal"/>
    <x v="4"/>
    <n v="0.3"/>
    <s v="Louisville &amp; Indiana Railroad Company"/>
    <s v="LRL-2018-382"/>
    <s v="2018-182-72-ALF-A"/>
    <m/>
    <s v="Scott"/>
    <n v="38.648809"/>
    <n v="-85.771114999999995"/>
    <s v="Transportation"/>
    <m/>
    <s v="No"/>
    <m/>
    <n v="14400"/>
    <n v="67200"/>
    <n v="14400"/>
    <m/>
    <m/>
    <m/>
    <m/>
    <m/>
    <m/>
    <m/>
    <m/>
    <m/>
  </r>
  <r>
    <d v="2019-01-15T00:00:00"/>
    <s v="January "/>
    <n v="2019"/>
    <x v="8"/>
    <n v="-590"/>
    <x v="1"/>
    <n v="236000"/>
    <n v="19"/>
    <s v="Federal"/>
    <x v="2"/>
    <n v="984"/>
    <s v="20/20 Custom Molded Plastics"/>
    <s v="LRL-2018-803-lcl"/>
    <s v="2018-652-90-ADF-A"/>
    <m/>
    <s v="Wells"/>
    <n v="40.731900000000003"/>
    <n v="-85.194299999999998"/>
    <s v="Development"/>
    <m/>
    <s v="No"/>
    <m/>
    <n v="35400"/>
    <n v="165200"/>
    <n v="35400"/>
    <m/>
    <m/>
    <m/>
    <m/>
    <m/>
    <m/>
    <m/>
    <m/>
    <s v="Corps mitigation requirement more than IDEM 401 WQC"/>
  </r>
  <r>
    <d v="2019-01-31T00:00:00"/>
    <s v="January "/>
    <n v="2019"/>
    <x v="9"/>
    <n v="-1.34"/>
    <x v="0"/>
    <n v="107200"/>
    <n v="21"/>
    <s v="Federal"/>
    <x v="3"/>
    <n v="0.56000000000000005"/>
    <s v="Vaughn Wamsley"/>
    <s v="LRL-2018-753-htm"/>
    <s v="2018-504-32-JMK-A"/>
    <m/>
    <s v="Hendricks"/>
    <n v="39.709899999999998"/>
    <n v="-86.334699999999998"/>
    <s v="Development"/>
    <s v="Mod 1 - LRL-2020-989-sam"/>
    <s v="Yes"/>
    <d v="2023-07-10T00:00:00"/>
    <n v="16080"/>
    <n v="75040"/>
    <n v="16080"/>
    <m/>
    <m/>
    <m/>
    <m/>
    <s v="HC Farms"/>
    <m/>
    <m/>
    <m/>
    <s v="Credits fulfilled and released - HC Farms First Release. Corps mitigation requirement more than IDEM 401 WQC"/>
  </r>
  <r>
    <d v="2019-02-05T00:00:00"/>
    <s v="February"/>
    <n v="2019"/>
    <x v="1"/>
    <n v="-0.78"/>
    <x v="0"/>
    <n v="74100"/>
    <n v="14"/>
    <s v="Federal"/>
    <x v="4"/>
    <n v="0.19400000000000001"/>
    <s v="INDOT"/>
    <s v="LRE-2000-700010-R10"/>
    <s v="2010-206-46-JWR-A"/>
    <m/>
    <s v="LaPorte"/>
    <n v="41.448847000000001"/>
    <n v="-86.624937000000003"/>
    <s v="Transportation"/>
    <m/>
    <s v="No"/>
    <m/>
    <n v="11115"/>
    <n v="51870"/>
    <n v="11115"/>
    <m/>
    <m/>
    <m/>
    <m/>
    <m/>
    <m/>
    <m/>
    <m/>
    <s v="INDOT DES . 1382409"/>
  </r>
  <r>
    <d v="2019-02-21T00:00:00"/>
    <s v="February"/>
    <n v="2019"/>
    <x v="5"/>
    <n v="-373"/>
    <x v="1"/>
    <n v="149200"/>
    <n v="16"/>
    <s v="Federal"/>
    <x v="6"/>
    <n v="1248"/>
    <s v="Vanderburgh County Engineer"/>
    <s v="LRL-2018-52-djd"/>
    <s v="2017-881-82-JWR-A"/>
    <m/>
    <s v="Vanderburgh"/>
    <n v="38.088090000000001"/>
    <n v="-87.490740000000002"/>
    <s v="Transportation"/>
    <m/>
    <s v="No"/>
    <m/>
    <n v="22380"/>
    <n v="104440"/>
    <n v="22380"/>
    <m/>
    <m/>
    <m/>
    <m/>
    <m/>
    <m/>
    <m/>
    <m/>
    <s v="Section 401 Mod. No 404 Mitigation due to single and complete.  LPA DES No. 1400549"/>
  </r>
  <r>
    <d v="2019-02-21T00:00:00"/>
    <s v="February"/>
    <n v="2019"/>
    <x v="5"/>
    <n v="-0.39"/>
    <x v="0"/>
    <n v="31200"/>
    <n v="16"/>
    <s v="Federal"/>
    <x v="3"/>
    <n v="0.19700000000000001"/>
    <s v="Vanderburgh County Engineer"/>
    <s v="LRL-2018-52-djd"/>
    <s v="2017-881-82-JWR-A"/>
    <m/>
    <s v="Vanderburgh"/>
    <n v="38.088090000000001"/>
    <n v="-87.490740000000002"/>
    <s v="Transportation"/>
    <m/>
    <s v="No"/>
    <m/>
    <n v="4680"/>
    <n v="21840"/>
    <n v="4680"/>
    <m/>
    <m/>
    <m/>
    <m/>
    <m/>
    <m/>
    <m/>
    <m/>
    <s v="Section 401 Mod. No 404 Mitigation due to single and complete.   LPA DES No. 1400549"/>
  </r>
  <r>
    <d v="2019-03-12T00:00:00"/>
    <s v="March"/>
    <n v="2019"/>
    <x v="7"/>
    <n v="-6.5000000000000002E-2"/>
    <x v="0"/>
    <n v="5200"/>
    <n v="27"/>
    <s v="State Isolated"/>
    <x v="4"/>
    <n v="0.02"/>
    <s v="RBL Properties, LLC"/>
    <s v="N/A"/>
    <s v="IWGP 2018-528-15-15-TMS-V"/>
    <m/>
    <s v="Dearborn"/>
    <m/>
    <m/>
    <s v="Development"/>
    <s v="LRL-2014-100-sam/Fourteeen Mile Creek Mitigation Bank"/>
    <s v="Yes"/>
    <d v="2024-01-22T00:00:00"/>
    <n v="780"/>
    <n v="3639.9999999999995"/>
    <n v="780"/>
    <m/>
    <m/>
    <m/>
    <m/>
    <s v="Fourteen Mile Creek Mitigation Bank"/>
    <m/>
    <m/>
    <m/>
    <s v="Credit fulfilled, purchased from Fourteen Mile Creek Mitigation Bank.  "/>
  </r>
  <r>
    <d v="2019-03-15T00:00:00"/>
    <s v="March"/>
    <n v="2019"/>
    <x v="5"/>
    <n v="-0.56000000000000005"/>
    <x v="0"/>
    <n v="44800"/>
    <n v="22"/>
    <s v="Federal"/>
    <x v="3"/>
    <n v="0.28000000000000003"/>
    <s v="Evansville Water &amp; Sewer Utility"/>
    <s v="LRL-2018-546-tmb"/>
    <s v="2018-651-82-ADF"/>
    <m/>
    <s v="Vanderburgh"/>
    <n v="37.967419999999997"/>
    <n v="-87.618340000000003"/>
    <s v="Development"/>
    <m/>
    <s v="No"/>
    <m/>
    <n v="6720"/>
    <n v="31359.999999999996"/>
    <n v="6720"/>
    <m/>
    <m/>
    <m/>
    <m/>
    <m/>
    <m/>
    <m/>
    <m/>
    <s v="*Note:  USACE required 0.67 Emergent Credits"/>
  </r>
  <r>
    <d v="2019-03-15T00:00:00"/>
    <s v="March"/>
    <n v="2019"/>
    <x v="5"/>
    <n v="-2.08"/>
    <x v="0"/>
    <n v="166400"/>
    <n v="22"/>
    <s v="Federal"/>
    <x v="4"/>
    <n v="0.52"/>
    <s v="Evansville Water &amp; Sewer Utility"/>
    <s v="LRL-2018-546-tmb"/>
    <s v="2018-651-82-ADF"/>
    <m/>
    <s v="Vanderburgh"/>
    <n v="37.967419999999997"/>
    <n v="-87.618340000000003"/>
    <s v="Development"/>
    <m/>
    <s v="No"/>
    <m/>
    <n v="24960"/>
    <n v="116479.99999999999"/>
    <n v="24960"/>
    <m/>
    <m/>
    <m/>
    <m/>
    <m/>
    <m/>
    <m/>
    <m/>
    <m/>
  </r>
  <r>
    <d v="2019-03-19T00:00:00"/>
    <s v="March"/>
    <n v="2019"/>
    <x v="4"/>
    <n v="-100"/>
    <x v="1"/>
    <n v="40000"/>
    <n v="23"/>
    <s v="Federal"/>
    <x v="1"/>
    <n v="293"/>
    <s v="Tallgrass Energy, Inc"/>
    <s v="LRL-2018-922-sjk"/>
    <s v="2018-818-32-JMK-A"/>
    <m/>
    <s v="Hendricks"/>
    <n v="39.713005000000003"/>
    <n v="-86.566770000000005"/>
    <s v="Energy Production"/>
    <m/>
    <s v="No"/>
    <m/>
    <n v="6000"/>
    <n v="28000"/>
    <n v="6000"/>
    <m/>
    <m/>
    <m/>
    <m/>
    <m/>
    <m/>
    <m/>
    <m/>
    <m/>
  </r>
  <r>
    <d v="2019-03-19T00:00:00"/>
    <s v="March"/>
    <n v="2019"/>
    <x v="10"/>
    <n v="-0.44"/>
    <x v="0"/>
    <n v="35200"/>
    <n v="20"/>
    <s v="Federal"/>
    <x v="3"/>
    <n v="0.23799999999999999"/>
    <s v="INDOT"/>
    <s v="LRL-2018-697-djd"/>
    <s v="2018-496-72-JBT-A"/>
    <m/>
    <s v="Scott"/>
    <n v="38.76343"/>
    <n v="-85.829970000000003"/>
    <s v="Transportation"/>
    <m/>
    <s v="No"/>
    <m/>
    <n v="5280"/>
    <n v="24640"/>
    <n v="5280"/>
    <m/>
    <m/>
    <m/>
    <m/>
    <m/>
    <m/>
    <m/>
    <m/>
    <s v="(DES NO. 1500530)  Note: The emergent impacts includes 0.037 open water req by IDEM"/>
  </r>
  <r>
    <d v="2019-03-19T00:00:00"/>
    <s v="March"/>
    <n v="2019"/>
    <x v="10"/>
    <n v="-0.45"/>
    <x v="0"/>
    <n v="36000"/>
    <n v="20"/>
    <s v="Federal"/>
    <x v="5"/>
    <n v="0.45"/>
    <s v="INDOT"/>
    <s v="LRL-2018-697-djd"/>
    <s v="2018-496-72-JBT-A"/>
    <m/>
    <s v="Scott"/>
    <n v="38.76343"/>
    <n v="-85.829970000000003"/>
    <s v="Transportation"/>
    <m/>
    <s v="No"/>
    <m/>
    <n v="5400"/>
    <n v="25200"/>
    <n v="5400"/>
    <m/>
    <m/>
    <m/>
    <m/>
    <m/>
    <m/>
    <m/>
    <m/>
    <s v="(DES NO. 1500530)"/>
  </r>
  <r>
    <d v="2019-03-25T00:00:00"/>
    <s v="March"/>
    <n v="2019"/>
    <x v="0"/>
    <n v="-2.88"/>
    <x v="0"/>
    <n v="273600"/>
    <n v="32"/>
    <s v="Federal"/>
    <x v="4"/>
    <n v="0.72"/>
    <s v="Woodcreek TriQuad Drive LLC"/>
    <s v="LRC-2018-852"/>
    <s v="2018-874-46-MTM-A"/>
    <m/>
    <s v="LaPorte"/>
    <n v="41.696399999999997"/>
    <n v="-86.842100000000002"/>
    <s v="Development"/>
    <m/>
    <s v="No"/>
    <m/>
    <n v="41040"/>
    <n v="191520"/>
    <n v="41040"/>
    <m/>
    <m/>
    <m/>
    <m/>
    <m/>
    <m/>
    <m/>
    <m/>
    <m/>
  </r>
  <r>
    <d v="2019-03-25T00:00:00"/>
    <s v="March"/>
    <n v="2019"/>
    <x v="9"/>
    <n v="-0.19"/>
    <x v="0"/>
    <n v="15200"/>
    <n v="25"/>
    <s v="State Isolated"/>
    <x v="3"/>
    <n v="0.19"/>
    <s v="Edgeworth Laskey Properties, LLC"/>
    <s v="N/A"/>
    <s v="IWGP 2018-897-29-ALF-A"/>
    <m/>
    <s v="Hamilton"/>
    <n v="39.941353999999997"/>
    <n v="-86.024953999999994"/>
    <s v="Development"/>
    <s v="Mod 1 - LRL-2020-989-sam"/>
    <s v="Yes"/>
    <d v="2023-07-10T00:00:00"/>
    <n v="2280"/>
    <n v="10640"/>
    <n v="2280"/>
    <m/>
    <m/>
    <m/>
    <m/>
    <s v="HC Farms"/>
    <m/>
    <m/>
    <m/>
    <s v="Credits fulfilled and released - HC Farms First Release.  Class I Non-Forested Isolated Wetland Impact"/>
  </r>
  <r>
    <d v="2019-04-10T00:00:00"/>
    <s v="April"/>
    <n v="2019"/>
    <x v="9"/>
    <n v="-0.83"/>
    <x v="0"/>
    <n v="66400"/>
    <n v="29"/>
    <s v="Federal"/>
    <x v="3"/>
    <n v="0.55000000000000004"/>
    <s v="The Peterson Company"/>
    <s v="LRL-2002-439-sam"/>
    <s v="2002-603-30-AJP-A"/>
    <m/>
    <s v="Hancock"/>
    <n v="39.830199999999998"/>
    <n v="-85.928700000000006"/>
    <s v="Development"/>
    <s v="Mod 1 - LRL-2020-989-sam"/>
    <s v="Yes"/>
    <d v="2023-07-10T00:00:00"/>
    <n v="9960"/>
    <n v="46480"/>
    <n v="9960"/>
    <m/>
    <m/>
    <m/>
    <m/>
    <s v="HC Farms"/>
    <m/>
    <m/>
    <m/>
    <s v="Credits fulfilled and released - HC Farms First Release. Impact to upland prairie buffer of a mitigation site "/>
  </r>
  <r>
    <d v="2019-04-15T00:00:00"/>
    <s v="April"/>
    <n v="2019"/>
    <x v="0"/>
    <n v="-0.19600000000000001"/>
    <x v="0"/>
    <n v="18620"/>
    <n v="34"/>
    <s v="Federal"/>
    <x v="4"/>
    <n v="0.19600000000000001"/>
    <s v="Northern Indiana Public Service Company"/>
    <s v="LRC-2019-041"/>
    <s v="2019-013-46-MTM-A"/>
    <m/>
    <s v="LaPorte"/>
    <n v="41.664400000000001"/>
    <n v="-86.893900000000002"/>
    <s v="Energy Production"/>
    <m/>
    <s v="No"/>
    <m/>
    <n v="2793"/>
    <n v="13034"/>
    <n v="2793"/>
    <m/>
    <m/>
    <m/>
    <m/>
    <m/>
    <m/>
    <m/>
    <m/>
    <m/>
  </r>
  <r>
    <d v="2019-04-15T00:00:00"/>
    <s v="April"/>
    <n v="2019"/>
    <x v="4"/>
    <n v="-1.8"/>
    <x v="0"/>
    <n v="144000"/>
    <n v="24"/>
    <s v="Federal"/>
    <x v="4"/>
    <n v="0.45"/>
    <s v="Ford Sawmills, Inc."/>
    <s v="LRL-2018-353-sam"/>
    <s v="2015-334-42-DDC-V"/>
    <m/>
    <s v="Knox"/>
    <n v="38.698700000000002"/>
    <n v="-87.505099999999999"/>
    <s v="Development"/>
    <m/>
    <s v="No"/>
    <m/>
    <n v="21600"/>
    <n v="100800"/>
    <n v="21600"/>
    <m/>
    <m/>
    <m/>
    <m/>
    <m/>
    <m/>
    <m/>
    <m/>
    <s v="ATF impacts "/>
  </r>
  <r>
    <d v="2019-04-25T00:00:00"/>
    <s v="April"/>
    <n v="2019"/>
    <x v="4"/>
    <n v="-0.88"/>
    <x v="0"/>
    <n v="70400"/>
    <n v="35"/>
    <s v="Federal"/>
    <x v="4"/>
    <n v="0.22"/>
    <s v="The Indiana Rail Road Co."/>
    <s v="LRL-2018-527-htm"/>
    <s v="2019-060-84-jmk"/>
    <m/>
    <s v="Vigo"/>
    <n v="39.430500000000002"/>
    <n v="-87.39"/>
    <s v="Transportation"/>
    <m/>
    <s v="No"/>
    <m/>
    <n v="10560"/>
    <n v="49280"/>
    <n v="10560"/>
    <m/>
    <m/>
    <m/>
    <m/>
    <m/>
    <m/>
    <m/>
    <m/>
    <m/>
  </r>
  <r>
    <d v="2019-05-06T00:00:00"/>
    <s v="May"/>
    <n v="2019"/>
    <x v="7"/>
    <n v="-2.1"/>
    <x v="0"/>
    <n v="168000"/>
    <n v="33"/>
    <s v="Federal"/>
    <x v="4"/>
    <n v="0.51400000000000001"/>
    <s v="INDOT"/>
    <s v="LRL-2017-430-djd"/>
    <s v="2017-272-10-skg"/>
    <m/>
    <s v="Clark"/>
    <n v="38.343494"/>
    <n v="-85.664545000000004"/>
    <s v="Transportation"/>
    <s v="LRL-2014-100-sam/Fourteeen Mile Creek Mitigation Bank"/>
    <s v="Yes"/>
    <d v="2024-01-22T00:00:00"/>
    <n v="25200"/>
    <n v="117599.99999999999"/>
    <n v="25200"/>
    <m/>
    <m/>
    <m/>
    <m/>
    <s v="Fourteen Mile Creek Mitigation Bank"/>
    <m/>
    <m/>
    <m/>
    <s v="Credit fulfilled, purchased from Fourteen Mile Creek Mitigation Bank.  "/>
  </r>
  <r>
    <d v="2019-05-06T00:00:00"/>
    <s v="May"/>
    <n v="2019"/>
    <x v="7"/>
    <n v="-449"/>
    <x v="1"/>
    <n v="179600"/>
    <n v="33"/>
    <s v="Federal"/>
    <x v="2"/>
    <n v="374"/>
    <s v="INDOT"/>
    <s v="LRL-2017-430-djd"/>
    <s v="2017-272-10-skg"/>
    <m/>
    <s v="Clark"/>
    <n v="38.343494"/>
    <n v="-85.664545000000004"/>
    <s v="Transportation"/>
    <m/>
    <s v="No"/>
    <m/>
    <n v="26940"/>
    <n v="125719.99999999999"/>
    <n v="26940"/>
    <m/>
    <m/>
    <m/>
    <m/>
    <m/>
    <m/>
    <m/>
    <m/>
    <s v="(DES No. 13820657) *Note: IDEM 401 WQC documented stream impacts 382 LF Ephemeral and 85 LF Intermittent (467 LF Cumulative)"/>
  </r>
  <r>
    <d v="2019-05-13T00:00:00"/>
    <s v="May"/>
    <n v="2019"/>
    <x v="1"/>
    <n v="-310"/>
    <x v="1"/>
    <n v="155000"/>
    <n v="26"/>
    <s v="Federal"/>
    <x v="6"/>
    <n v="310"/>
    <s v="INDOT"/>
    <s v="LRE-2008-00236-175-R10"/>
    <s v="2009-039-75-JPS-A"/>
    <m/>
    <s v="Starke"/>
    <n v="41.411769"/>
    <n v="-86.488748999999999"/>
    <s v="Transportation"/>
    <m/>
    <s v="No"/>
    <m/>
    <n v="23250"/>
    <n v="108500"/>
    <n v="23250"/>
    <m/>
    <m/>
    <m/>
    <m/>
    <m/>
    <m/>
    <m/>
    <m/>
    <s v="INDOT DES No. 1382408 (Historical DES No. 0711018)"/>
  </r>
  <r>
    <d v="2019-05-13T00:00:00"/>
    <s v="May"/>
    <n v="2019"/>
    <x v="1"/>
    <n v="-3"/>
    <x v="0"/>
    <n v="285000"/>
    <n v="26"/>
    <s v="Federal"/>
    <x v="4"/>
    <n v="0.75"/>
    <s v="INDOT"/>
    <s v="LRE-2008-00236-175-R10"/>
    <s v="2009-039-75-JPS-A"/>
    <m/>
    <s v="Starke"/>
    <n v="41.411769"/>
    <n v="-86.488748999999999"/>
    <s v="Transportation"/>
    <m/>
    <s v="No"/>
    <m/>
    <n v="42750"/>
    <n v="199500"/>
    <n v="42750"/>
    <m/>
    <m/>
    <m/>
    <m/>
    <m/>
    <m/>
    <m/>
    <m/>
    <s v="INDOT DES No. 1382408 (Historical DES No. 0711018)"/>
  </r>
  <r>
    <d v="2019-05-13T00:00:00"/>
    <s v="May"/>
    <n v="2019"/>
    <x v="4"/>
    <n v="-219"/>
    <x v="1"/>
    <n v="87600"/>
    <n v="30"/>
    <s v="Federal"/>
    <x v="1"/>
    <n v="219"/>
    <s v="Vectren (Indiana Gas Co., Inc.)"/>
    <s v="LRL-2016-1228"/>
    <s v="2016-732-32-SKG-A"/>
    <m/>
    <s v="Hendricks"/>
    <s v="not provided"/>
    <s v="not provided"/>
    <s v="Transportation"/>
    <m/>
    <s v="No"/>
    <m/>
    <n v="13140"/>
    <n v="61319.999999999993"/>
    <n v="13140"/>
    <m/>
    <m/>
    <m/>
    <m/>
    <m/>
    <m/>
    <m/>
    <m/>
    <s v="USACE did not require mitigation"/>
  </r>
  <r>
    <d v="2019-05-13T00:00:00"/>
    <s v="May"/>
    <n v="2019"/>
    <x v="4"/>
    <n v="-452"/>
    <x v="1"/>
    <n v="180800"/>
    <n v="30"/>
    <s v="Federal"/>
    <x v="6"/>
    <n v="452"/>
    <s v="Vectren (Indiana Gas Co., Inc.)"/>
    <s v="LRL-2016-1228"/>
    <s v="2016-732-32-SKG-A"/>
    <m/>
    <s v="Hendricks"/>
    <s v="not provided"/>
    <s v="not provided"/>
    <s v="Transportation"/>
    <m/>
    <s v="No"/>
    <m/>
    <n v="27120"/>
    <n v="126559.99999999999"/>
    <n v="27120"/>
    <m/>
    <m/>
    <m/>
    <m/>
    <m/>
    <m/>
    <m/>
    <m/>
    <s v="USACE did not require mitigation"/>
  </r>
  <r>
    <d v="2019-05-13T00:00:00"/>
    <s v="May"/>
    <n v="2019"/>
    <x v="7"/>
    <n v="-1615"/>
    <x v="1"/>
    <n v="646000"/>
    <n v="28"/>
    <s v="Federal"/>
    <x v="1"/>
    <n v="1345.5"/>
    <s v="INDOT"/>
    <s v="LRL-2015-638-sjk"/>
    <s v="2016-145-10-JWR-A"/>
    <m/>
    <s v="Clark"/>
    <n v="38.435600000000001"/>
    <n v="-85.763999999999996"/>
    <s v="Transportation"/>
    <m/>
    <s v="No"/>
    <m/>
    <n v="96900"/>
    <n v="452200"/>
    <n v="96900"/>
    <m/>
    <m/>
    <m/>
    <m/>
    <m/>
    <m/>
    <m/>
    <m/>
    <s v="INDOT DES No. 1400597"/>
  </r>
  <r>
    <d v="2019-05-13T00:00:00"/>
    <s v="May"/>
    <n v="2019"/>
    <x v="7"/>
    <n v="-111"/>
    <x v="1"/>
    <n v="44400"/>
    <n v="28"/>
    <s v="Federal"/>
    <x v="6"/>
    <n v="92.5"/>
    <s v="INDOT"/>
    <s v="LRL-2015-638-sjk"/>
    <s v="2016-145-10-JWR-A"/>
    <m/>
    <s v="Clark"/>
    <n v="38.435600000000001"/>
    <n v="-85.763999999999996"/>
    <s v="Transportation"/>
    <m/>
    <s v="No"/>
    <m/>
    <n v="6660"/>
    <n v="31079.999999999996"/>
    <n v="6660"/>
    <m/>
    <m/>
    <m/>
    <m/>
    <m/>
    <m/>
    <m/>
    <m/>
    <s v="INDOT DES No. 1400597"/>
  </r>
  <r>
    <d v="2019-05-13T00:00:00"/>
    <s v="May"/>
    <n v="2019"/>
    <x v="7"/>
    <n v="-0.66900000000000004"/>
    <x v="0"/>
    <n v="53520"/>
    <n v="28"/>
    <s v="Federal"/>
    <x v="3"/>
    <n v="0.29599999999999999"/>
    <s v="INDOT"/>
    <s v="LRL-2015-638-sjk"/>
    <s v="2016-145-10-JWR-A"/>
    <m/>
    <s v="Clark"/>
    <n v="38.435600000000001"/>
    <n v="-85.763999999999996"/>
    <s v="Transportation"/>
    <s v="LRL-2014-100-sam/Fourteeen Mile Creek Mitigation Bank"/>
    <s v="Yes"/>
    <d v="2024-01-22T00:00:00"/>
    <n v="8028"/>
    <n v="37464"/>
    <n v="8028"/>
    <m/>
    <m/>
    <m/>
    <m/>
    <s v="Fourteen Mile Creek Mitigation Bank"/>
    <m/>
    <m/>
    <m/>
    <s v="Credit fulfilled, purchased from Fourteen Mile Creek Mitigation Bank.  "/>
  </r>
  <r>
    <d v="2019-05-13T00:00:00"/>
    <s v="May"/>
    <n v="2019"/>
    <x v="7"/>
    <n v="-0.23100000000000001"/>
    <x v="0"/>
    <n v="18480"/>
    <n v="28"/>
    <s v="Federal"/>
    <x v="4"/>
    <n v="0.14799999999999999"/>
    <s v="INDOT"/>
    <s v="LRL-2015-638-sjk"/>
    <s v="2016-145-10-JWR-A"/>
    <m/>
    <s v="Clark"/>
    <n v="38.435600000000001"/>
    <n v="-85.763999999999996"/>
    <s v="Transportation"/>
    <s v="LRL-2014-100-sam/Fourteeen Mile Creek Mitigation Bank"/>
    <s v="Yes"/>
    <d v="2024-01-22T00:00:00"/>
    <n v="2772"/>
    <n v="12936"/>
    <n v="2772"/>
    <m/>
    <m/>
    <m/>
    <m/>
    <s v="Fourteen Mile Creek Mitigation Bank"/>
    <m/>
    <m/>
    <m/>
    <s v="Credit fulfilled, purchased from Fourteen Mile Creek Mitigation Bank.  "/>
  </r>
  <r>
    <d v="2019-05-13T00:00:00"/>
    <s v="May"/>
    <n v="2019"/>
    <x v="9"/>
    <n v="-197"/>
    <x v="1"/>
    <n v="88650"/>
    <n v="30"/>
    <s v="Federal"/>
    <x v="1"/>
    <n v="197"/>
    <s v="Vectren (Indiana Gas Co., Inc.)"/>
    <s v="LRL-2016-1228"/>
    <s v="2016-732-32-SKG-A"/>
    <m/>
    <s v="Hendricks"/>
    <s v="not provided"/>
    <s v="not provided"/>
    <s v="Transportation"/>
    <s v="Mod 1 - LRL-2020-989-sam"/>
    <s v="Yes"/>
    <d v="2023-07-10T00:00:00"/>
    <n v="13297.5"/>
    <n v="62054.999999999993"/>
    <n v="13297.5"/>
    <m/>
    <m/>
    <m/>
    <m/>
    <s v="HC Farms"/>
    <m/>
    <m/>
    <m/>
    <s v="Credits fulfilled and released - HC Farms First Stream Release.  USACE did not require mitigation"/>
  </r>
  <r>
    <d v="2019-05-13T00:00:00"/>
    <s v="May"/>
    <n v="2019"/>
    <x v="9"/>
    <n v="-269"/>
    <x v="1"/>
    <n v="121050"/>
    <n v="30"/>
    <s v="Federal"/>
    <x v="2"/>
    <n v="269"/>
    <s v="Vectren (Indiana Gas Co., Inc.)"/>
    <s v="LRL-2016-1228"/>
    <s v="2016-732-32-SKG-A"/>
    <m/>
    <s v="Hendricks"/>
    <s v="not provided"/>
    <s v="not provided"/>
    <s v="Transportation"/>
    <s v="Mod 1 - LRL-2020-989-sam"/>
    <s v="Yes"/>
    <d v="2024-09-03T00:00:00"/>
    <n v="18157.5"/>
    <n v="84735"/>
    <n v="18157.5"/>
    <m/>
    <m/>
    <m/>
    <m/>
    <m/>
    <m/>
    <m/>
    <m/>
    <s v="Credits fulfilled and released - HC Farms First (143/269)/Second (126/269) Stream Release.  USACE did not require mitigation"/>
  </r>
  <r>
    <d v="2019-05-13T00:00:00"/>
    <s v="May"/>
    <n v="2019"/>
    <x v="9"/>
    <n v="-437"/>
    <x v="1"/>
    <n v="196650"/>
    <n v="30"/>
    <s v="Federal"/>
    <x v="6"/>
    <n v="437"/>
    <s v="Vectren (Indiana Gas Co., Inc.)"/>
    <s v="LRL-2016-1228"/>
    <s v="2016-732-32-SKG-A"/>
    <m/>
    <s v="Hendricks"/>
    <s v="not provided"/>
    <s v="not provided"/>
    <s v="Transportation"/>
    <s v="Mod 1 - LRL-2020-989-sam"/>
    <s v="Yes"/>
    <d v="2024-09-03T00:00:00"/>
    <n v="29497.5"/>
    <n v="137655"/>
    <n v="29497.5"/>
    <m/>
    <m/>
    <m/>
    <m/>
    <m/>
    <m/>
    <m/>
    <m/>
    <s v="Credits fulfilled and released - HC Farms Second Stream Release.  USACE did not require mitigation"/>
  </r>
  <r>
    <d v="2019-05-13T00:00:00"/>
    <s v="May"/>
    <n v="2019"/>
    <x v="9"/>
    <n v="-0.06"/>
    <x v="0"/>
    <n v="4800"/>
    <n v="36"/>
    <s v="State Isolated"/>
    <x v="3"/>
    <n v="0.06"/>
    <s v="Drees Homes"/>
    <s v="N/A"/>
    <s v="IWGP 2019-189-32-JMK-A"/>
    <m/>
    <s v="Hendricks"/>
    <n v="39.77534"/>
    <n v="-86.360380000000006"/>
    <s v="Development"/>
    <s v="Mod 1 - LRL-2020-989-sam"/>
    <s v="Yes"/>
    <d v="2023-07-10T00:00:00"/>
    <n v="720"/>
    <n v="3360"/>
    <n v="720"/>
    <m/>
    <m/>
    <m/>
    <m/>
    <s v="HC Farms"/>
    <m/>
    <m/>
    <m/>
    <s v="Credits fulfilled and released - HC Farms First Release. Class I Non-Forested Isolated Wetland Impact"/>
  </r>
  <r>
    <d v="2019-05-21T00:00:00"/>
    <s v="May"/>
    <n v="2019"/>
    <x v="0"/>
    <n v="-2"/>
    <x v="0"/>
    <n v="190000"/>
    <n v="31"/>
    <s v="Federal"/>
    <x v="3"/>
    <s v="*"/>
    <s v="Wisconsin Central Ltd."/>
    <s v="LRC-2010-803-IN"/>
    <s v="2012-409-45-MTM-A"/>
    <m/>
    <s v="Lake"/>
    <s v="not provided"/>
    <s v="not provided"/>
    <s v="Transportation"/>
    <m/>
    <s v="No"/>
    <m/>
    <n v="28500"/>
    <n v="133000"/>
    <n v="28500"/>
    <m/>
    <m/>
    <m/>
    <m/>
    <m/>
    <m/>
    <m/>
    <m/>
    <s v="*404 &amp; 401 were modified due to failed mitigation site to deliver designed credit; information on impacts are in the permits"/>
  </r>
  <r>
    <d v="2019-05-21T00:00:00"/>
    <s v="May"/>
    <n v="2019"/>
    <x v="9"/>
    <n v="-0.47"/>
    <x v="0"/>
    <n v="37600"/>
    <n v="38"/>
    <s v="State Isolated"/>
    <x v="3"/>
    <n v="0.47"/>
    <s v="Burns Development, Inc."/>
    <s v="N/A"/>
    <s v="IWGP 2019-234-18-ALF-A"/>
    <m/>
    <s v="Delaware"/>
    <n v="40.220768"/>
    <n v="-85.443589000000003"/>
    <s v="Development"/>
    <s v="Mod 1 - LRL-2020-989-sam"/>
    <s v="Yes"/>
    <d v="2023-07-10T00:00:00"/>
    <n v="5640"/>
    <n v="26320"/>
    <n v="5640"/>
    <m/>
    <m/>
    <m/>
    <m/>
    <s v="HC Farms"/>
    <m/>
    <m/>
    <m/>
    <s v="Credits fulfilled and released - HC Farms First Release.  Class I Non-Forested Isolated Wetland Impact"/>
  </r>
  <r>
    <d v="2019-06-27T00:00:00"/>
    <s v="June "/>
    <n v="2019"/>
    <x v="2"/>
    <n v="-249"/>
    <x v="1"/>
    <n v="99600"/>
    <n v="39"/>
    <s v="Federal"/>
    <x v="6"/>
    <n v="249"/>
    <s v="Monroe County Highway Engineering"/>
    <s v="LRL-2017-69-lcl"/>
    <s v="2017-095-53-JWR-A"/>
    <m/>
    <s v="Monroe"/>
    <s v="not provided"/>
    <s v="not provided"/>
    <s v="Transportation"/>
    <m/>
    <s v="No"/>
    <m/>
    <n v="14940"/>
    <n v="69720"/>
    <n v="14940"/>
    <m/>
    <m/>
    <m/>
    <m/>
    <m/>
    <m/>
    <m/>
    <m/>
    <s v="*Note:  Mitigation only required for Section 401.  Section 404 impacts not required due to single and complete nature."/>
  </r>
  <r>
    <d v="2019-07-01T00:00:00"/>
    <s v="July"/>
    <n v="2019"/>
    <x v="9"/>
    <n v="-0.04"/>
    <x v="0"/>
    <n v="3200"/>
    <n v="42"/>
    <s v="State Isolated"/>
    <x v="3"/>
    <n v="0.04"/>
    <s v="KD Investment Group, LLC"/>
    <s v="N/A"/>
    <s v="IWGP 031-29-ALF-A"/>
    <m/>
    <s v="Hamilton"/>
    <s v="not provided"/>
    <s v="not provided"/>
    <s v="Development"/>
    <s v="Mod 1 - LRL-2020-989-sam"/>
    <s v="Yes"/>
    <d v="2023-07-10T00:00:00"/>
    <n v="480"/>
    <n v="2240"/>
    <n v="480"/>
    <m/>
    <m/>
    <m/>
    <m/>
    <s v="HC Farms"/>
    <m/>
    <m/>
    <m/>
    <s v="Credits fulfilled and released - HC Farms First Release.  Class I Non-Forested Isolated Wetland Impact"/>
  </r>
  <r>
    <d v="2019-07-01T00:00:00"/>
    <s v="July"/>
    <n v="2019"/>
    <x v="10"/>
    <n v="-3.04"/>
    <x v="0"/>
    <n v="243200"/>
    <n v="40"/>
    <s v="Federal"/>
    <x v="4"/>
    <n v="0.76"/>
    <s v="City of Greenfield"/>
    <s v="LRL-2017-1184-sam"/>
    <s v="2019-144-30-ALF-A"/>
    <m/>
    <s v="Hancock"/>
    <n v="39.825400000000002"/>
    <n v="-85.781899999999993"/>
    <s v="Development"/>
    <m/>
    <s v="No"/>
    <m/>
    <n v="36480"/>
    <n v="170240"/>
    <n v="36480"/>
    <m/>
    <m/>
    <m/>
    <m/>
    <m/>
    <m/>
    <m/>
    <m/>
    <s v="*Note:  The 401 WQC indicates that 146 linear feet of perennial stream impacts but no stream mitigation required."/>
  </r>
  <r>
    <d v="2019-08-22T00:00:00"/>
    <s v="August"/>
    <n v="2019"/>
    <x v="1"/>
    <n v="-75"/>
    <x v="1"/>
    <n v="37500"/>
    <n v="51"/>
    <s v="Federal"/>
    <x v="6"/>
    <n v="75"/>
    <s v="Speedway LLC"/>
    <s v="LRE-2017-00547-137-R19"/>
    <s v="2019-153-37-MTM-A "/>
    <m/>
    <s v="Jasper"/>
    <n v="41.145899999999997"/>
    <n v="-87.257599999999996"/>
    <s v="Development"/>
    <m/>
    <s v="No"/>
    <m/>
    <n v="5625"/>
    <n v="26250"/>
    <n v="5625"/>
    <m/>
    <m/>
    <m/>
    <m/>
    <m/>
    <m/>
    <m/>
    <m/>
    <s v="USACE did not require ILF mitigation"/>
  </r>
  <r>
    <d v="2019-08-22T00:00:00"/>
    <s v="August"/>
    <n v="2019"/>
    <x v="8"/>
    <n v="-0.14099999999999999"/>
    <x v="0"/>
    <n v="11280"/>
    <n v="45"/>
    <s v="Federal"/>
    <x v="5"/>
    <n v="4.7E-2"/>
    <s v="RCI Development LLC"/>
    <s v="LRE-2014-007700-102-R19"/>
    <s v="2019-161-02-WRH-A"/>
    <m/>
    <s v="Allen"/>
    <n v="40.9495"/>
    <n v="-85.309299999999993"/>
    <s v="Development"/>
    <m/>
    <s v="No"/>
    <m/>
    <n v="1692"/>
    <n v="7895.9999999999991"/>
    <n v="1692"/>
    <m/>
    <m/>
    <m/>
    <m/>
    <m/>
    <m/>
    <m/>
    <m/>
    <m/>
  </r>
  <r>
    <d v="2019-08-22T00:00:00"/>
    <s v="August"/>
    <n v="2019"/>
    <x v="9"/>
    <n v="-0.01"/>
    <x v="0"/>
    <n v="800"/>
    <n v="49"/>
    <s v="State Isolated"/>
    <x v="4"/>
    <n v="3.0000000000000001E-3"/>
    <s v="Langston Development"/>
    <s v="N/A"/>
    <s v="IWGP 2018-775-29-ALF-A"/>
    <m/>
    <s v="Hamilton"/>
    <n v="40.056927000000002"/>
    <n v="-86.101277999999994"/>
    <s v="Development"/>
    <s v="Mod 1 - LRL-2020-989-sam"/>
    <s v="Yes"/>
    <d v="2023-07-10T00:00:00"/>
    <n v="120"/>
    <n v="560"/>
    <n v="120"/>
    <m/>
    <m/>
    <m/>
    <m/>
    <s v="HC Farms"/>
    <m/>
    <m/>
    <m/>
    <s v="Credits fulfilled and released - HC Farms First Release.  Class II Forested Isolated Wetland Impact"/>
  </r>
  <r>
    <d v="2019-08-22T00:00:00"/>
    <s v="August"/>
    <n v="2019"/>
    <x v="9"/>
    <n v="-0.88"/>
    <x v="0"/>
    <n v="70400"/>
    <n v="50"/>
    <s v="Federal"/>
    <x v="4"/>
    <n v="0.22"/>
    <s v="Olthof Homes"/>
    <s v="LRL-2018-49-sjk"/>
    <s v="2019-275-29-ALF-A"/>
    <m/>
    <s v="Hamilton"/>
    <n v="40.068300000000001"/>
    <n v="-86.104799999999997"/>
    <s v="Development"/>
    <s v="Mod 1 - LRL-2020-989-sam"/>
    <s v="Yes"/>
    <d v="2023-07-10T00:00:00"/>
    <n v="10560"/>
    <n v="49280"/>
    <n v="10560"/>
    <m/>
    <m/>
    <m/>
    <m/>
    <s v="HC Farms"/>
    <m/>
    <m/>
    <m/>
    <s v="Credits fulfilled and released - HC Farms First Release."/>
  </r>
  <r>
    <d v="2019-09-04T00:00:00"/>
    <s v="September"/>
    <n v="2019"/>
    <x v="7"/>
    <n v="-50"/>
    <x v="1"/>
    <n v="20000"/>
    <n v="46"/>
    <s v="Federal"/>
    <x v="2"/>
    <n v="25"/>
    <s v="Indiana Gas Co, Inc."/>
    <s v="LRL-2019-388-MKD"/>
    <s v="2019-294-10-TMS-A"/>
    <m/>
    <s v="Clark"/>
    <n v="38.326115000000001"/>
    <n v="-85.740533999999997"/>
    <s v="Transportation"/>
    <m/>
    <s v="No"/>
    <m/>
    <n v="3000"/>
    <n v="14000"/>
    <n v="3000"/>
    <m/>
    <m/>
    <m/>
    <m/>
    <m/>
    <m/>
    <m/>
    <m/>
    <m/>
  </r>
  <r>
    <d v="2019-09-04T00:00:00"/>
    <s v="September"/>
    <n v="2019"/>
    <x v="7"/>
    <n v="-0.05"/>
    <x v="0"/>
    <n v="4000"/>
    <n v="46"/>
    <s v="Federal"/>
    <x v="3"/>
    <n v="2.5999999999999999E-2"/>
    <s v="Indiana Gas Co, Inc."/>
    <s v="LRL-2019-388-MKD"/>
    <s v="2019-294-10-TMS-A"/>
    <m/>
    <s v="Clark"/>
    <n v="38.321562"/>
    <n v="-85.748953999999998"/>
    <s v="Transportation"/>
    <s v="LRL-2014-100-sam/Fourteeen Mile Creek Mitigation Bank"/>
    <s v="Yes"/>
    <d v="2024-01-22T00:00:00"/>
    <n v="600"/>
    <n v="2800"/>
    <n v="600"/>
    <m/>
    <m/>
    <m/>
    <m/>
    <s v="Fourteen Mile Creek Mitigation Bank"/>
    <m/>
    <m/>
    <m/>
    <s v="Credit fulfilled, purchased from Fourteen Mile Creek Mitigation Bank.  "/>
  </r>
  <r>
    <d v="2019-09-04T00:00:00"/>
    <s v="September"/>
    <n v="2019"/>
    <x v="7"/>
    <n v="-0.44"/>
    <x v="0"/>
    <n v="35200"/>
    <n v="46"/>
    <s v="Federal"/>
    <x v="4"/>
    <n v="0.111"/>
    <s v="Indiana Gas Co, Inc."/>
    <s v="LRL-2019-388-MKD"/>
    <s v="2019-294-10-TMS-A"/>
    <m/>
    <s v="Clark"/>
    <n v="38.321562"/>
    <n v="-85.748953999999998"/>
    <s v="Transportation"/>
    <s v="LRL-2014-100-sam/Fourteeen Mile Creek Mitigation Bank"/>
    <s v="Yes"/>
    <d v="2024-01-22T00:00:00"/>
    <n v="5280"/>
    <n v="24640"/>
    <n v="5280"/>
    <m/>
    <m/>
    <m/>
    <m/>
    <s v="Fourteen Mile Creek Mitigation Bank"/>
    <m/>
    <m/>
    <m/>
    <s v="Credit fulfilled, purchased from Fourteen Mile Creek Mitigation Bank.  "/>
  </r>
  <r>
    <d v="2019-09-16T00:00:00"/>
    <s v="September"/>
    <n v="2019"/>
    <x v="6"/>
    <n v="-1.1850000000000001"/>
    <x v="0"/>
    <n v="142200"/>
    <n v="52"/>
    <s v="Federal"/>
    <x v="4"/>
    <n v="0.40100000000000002"/>
    <s v="AEP I&amp;M Transco"/>
    <s v="LRE-2017-01162-100-N19"/>
    <s v="2019-251-20-JWR-A"/>
    <m/>
    <s v="Elkhart"/>
    <n v="41.538167000000001"/>
    <n v="-85.780034999999998"/>
    <s v="Transportation"/>
    <m/>
    <s v="No"/>
    <m/>
    <n v="21330"/>
    <n v="99540"/>
    <n v="21330"/>
    <m/>
    <m/>
    <m/>
    <m/>
    <m/>
    <m/>
    <m/>
    <m/>
    <s v="USACE did not require ILF mitigation. Lat/Long beginning point of linear project.  End point Lat 41.603708, Long -85.993569"/>
  </r>
  <r>
    <d v="2019-09-18T00:00:00"/>
    <s v="September"/>
    <n v="2019"/>
    <x v="4"/>
    <n v="-0.74"/>
    <x v="0"/>
    <n v="59200"/>
    <n v="43"/>
    <s v="Federal"/>
    <x v="3"/>
    <n v="0.308"/>
    <s v="INDOT"/>
    <s v="LRL-2015-489-sjk"/>
    <s v="2015-294-79-JWR-A"/>
    <m/>
    <s v="Tippecanoe"/>
    <n v="40.4514"/>
    <n v="-86.893600000000006"/>
    <s v="Transportation"/>
    <m/>
    <s v="No"/>
    <m/>
    <n v="8880"/>
    <n v="41440"/>
    <n v="8880"/>
    <m/>
    <m/>
    <m/>
    <m/>
    <m/>
    <m/>
    <m/>
    <m/>
    <s v="INDOT DES No. 0400774"/>
  </r>
  <r>
    <d v="2019-09-18T00:00:00"/>
    <s v="September"/>
    <n v="2019"/>
    <x v="4"/>
    <n v="-0.62"/>
    <x v="0"/>
    <n v="49600"/>
    <n v="43"/>
    <s v="Federal"/>
    <x v="4"/>
    <n v="0.17299999999999999"/>
    <s v="INDOT"/>
    <s v="LRL-2015-489-sjk"/>
    <s v="2015-294-79-JWR-A"/>
    <m/>
    <s v="Tippecanoe"/>
    <n v="40.4514"/>
    <n v="-86.893600000000006"/>
    <s v="Transportation"/>
    <m/>
    <s v="No"/>
    <m/>
    <n v="7440"/>
    <n v="34720"/>
    <n v="7440"/>
    <m/>
    <m/>
    <m/>
    <m/>
    <m/>
    <m/>
    <m/>
    <m/>
    <s v="INDOT DES No. 0400774"/>
  </r>
  <r>
    <d v="2019-09-18T00:00:00"/>
    <s v="September"/>
    <n v="2019"/>
    <x v="5"/>
    <n v="-0.02"/>
    <x v="0"/>
    <n v="1600"/>
    <n v="47"/>
    <s v="Federal"/>
    <x v="3"/>
    <n v="0.01"/>
    <s v="INDOT"/>
    <s v="LRL-2019-205-sam"/>
    <s v="2019-110-62-JBT-A"/>
    <m/>
    <s v="Perry"/>
    <n v="38.207332000000001"/>
    <n v="-86.780664000000002"/>
    <s v="Transportation"/>
    <m/>
    <s v="No"/>
    <m/>
    <n v="240"/>
    <n v="1120"/>
    <n v="240"/>
    <m/>
    <m/>
    <m/>
    <m/>
    <m/>
    <m/>
    <m/>
    <m/>
    <s v="INDOT DES No. 1702301"/>
  </r>
  <r>
    <d v="2019-09-26T00:00:00"/>
    <s v="September"/>
    <n v="2019"/>
    <x v="9"/>
    <n v="-0.15"/>
    <x v="0"/>
    <n v="12000"/>
    <n v="55"/>
    <s v="State Isolated"/>
    <x v="3"/>
    <n v="0.15"/>
    <s v="Plainfield Community School Corporation"/>
    <s v="N/A"/>
    <s v="IWGP 2019-560-32-JMK-A"/>
    <m/>
    <s v="Hendricks"/>
    <n v="39.669618"/>
    <n v="-86.420428000000001"/>
    <s v="Development"/>
    <s v="Mod 1 - LRL-2020-989-sam"/>
    <s v="Yes"/>
    <d v="2023-07-10T00:00:00"/>
    <n v="1800"/>
    <n v="8400"/>
    <n v="1800"/>
    <m/>
    <m/>
    <m/>
    <m/>
    <s v="HC Farms"/>
    <m/>
    <m/>
    <m/>
    <s v="Credits fulfilled and released - HC Farms First Release.  Class I Non-Forested Isolated Wetland Impact"/>
  </r>
  <r>
    <d v="2019-09-26T00:00:00"/>
    <s v="September"/>
    <n v="2019"/>
    <x v="9"/>
    <n v="-1.58"/>
    <x v="0"/>
    <n v="126400"/>
    <n v="37"/>
    <s v="Federal"/>
    <x v="3"/>
    <n v="0.79"/>
    <s v="INDOT"/>
    <s v="LRL-2017-461-scm"/>
    <s v="2019-072-32-JBT-A"/>
    <m/>
    <s v="Hendricks"/>
    <n v="39.613258000000002"/>
    <n v="-86.480226000000002"/>
    <s v="Transportation"/>
    <s v="Mod 1 - LRL-2020-989-sam and Bank"/>
    <s v="Yes"/>
    <d v="2023-12-05T00:00:00"/>
    <n v="18960"/>
    <n v="88480"/>
    <n v="18960"/>
    <m/>
    <m/>
    <m/>
    <m/>
    <s v="HC Farms and Candace Bank"/>
    <m/>
    <m/>
    <m/>
    <s v="0.58 fulfilled from HC Farms initial release and 1.0 fulfilled from Candace Lee Fink Mitigation Bank Credit purchase.INDOT DES No. 1500143"/>
  </r>
  <r>
    <d v="2019-10-02T00:00:00"/>
    <s v="October"/>
    <n v="2019"/>
    <x v="9"/>
    <n v="-0.29399999999999998"/>
    <x v="0"/>
    <n v="23520"/>
    <n v="53"/>
    <s v="State Isolated"/>
    <x v="3"/>
    <n v="0.14699999999999999"/>
    <s v="Duke Energy"/>
    <s v="N/A"/>
    <s v="IWIP 2019-026-29-ALF-A"/>
    <m/>
    <s v="Hamilton "/>
    <n v="40.101590000000002"/>
    <n v="-85.975290000000001"/>
    <s v="Energy Production"/>
    <s v="LRL-2014-100-sam/Candace Lee Fink Mitigtion Bank"/>
    <s v="Yes"/>
    <d v="2023-12-05T00:00:00"/>
    <n v="3528"/>
    <n v="16464"/>
    <n v="3528"/>
    <m/>
    <m/>
    <m/>
    <m/>
    <s v="Candace Lee Fink Mitigation Bank"/>
    <m/>
    <m/>
    <m/>
    <s v="Credit fulfilled, purchased from Candace Lee Fink Mitigation Bank.  Class II Non-Forested Isolated Wetland Impact"/>
  </r>
  <r>
    <d v="2019-10-02T00:00:00"/>
    <s v="October"/>
    <n v="2019"/>
    <x v="9"/>
    <n v="-0.85"/>
    <x v="0"/>
    <n v="68000"/>
    <n v="53"/>
    <s v="State Isolated"/>
    <x v="4"/>
    <n v="0.34"/>
    <s v="Duke Energy"/>
    <s v="N/A"/>
    <s v="IWIP 2019-026-29-ALF-A"/>
    <m/>
    <s v="Hamilton "/>
    <n v="40.101590000000002"/>
    <n v="-85.975290000000001"/>
    <s v="Energy Production"/>
    <s v="LRL-2014-100-sam/Candace Lee Fink Mitigtion Bank"/>
    <s v="Yes"/>
    <d v="2023-12-05T00:00:00"/>
    <n v="10200"/>
    <n v="47600"/>
    <n v="10200"/>
    <m/>
    <m/>
    <m/>
    <m/>
    <s v="Candace Lee Fink Mitigation Bank"/>
    <m/>
    <m/>
    <m/>
    <s v="Credit fulfilled, purchased from Candace Lee Fink Mitigation Bank.  Class II Forested Isolated Wetland Impact"/>
  </r>
  <r>
    <d v="2019-10-15T00:00:00"/>
    <s v="October"/>
    <n v="2019"/>
    <x v="0"/>
    <n v="-2.4E-2"/>
    <x v="0"/>
    <n v="2280"/>
    <n v="44"/>
    <s v="Federal"/>
    <x v="3"/>
    <n v="1.2E-2"/>
    <s v="AEP"/>
    <s v="LRC-2015-411"/>
    <s v="2019-137-46-MTM-A"/>
    <m/>
    <s v="LaPorte"/>
    <n v="41.721879000000001"/>
    <n v="-86.756603999999996"/>
    <s v="Energy Production"/>
    <m/>
    <s v="No"/>
    <m/>
    <n v="342"/>
    <n v="1596"/>
    <n v="342"/>
    <m/>
    <m/>
    <m/>
    <m/>
    <m/>
    <m/>
    <m/>
    <m/>
    <m/>
  </r>
  <r>
    <d v="2019-10-15T00:00:00"/>
    <s v="October"/>
    <n v="2019"/>
    <x v="0"/>
    <n v="-3.0000000000000001E-3"/>
    <x v="0"/>
    <n v="285"/>
    <n v="44"/>
    <s v="Federal"/>
    <x v="5"/>
    <n v="1E-3"/>
    <s v="AEP"/>
    <s v="LRC-2015-411"/>
    <s v="2019-137-46-MTM-A"/>
    <m/>
    <s v="LaPorte"/>
    <n v="41.721879000000001"/>
    <n v="-86.756603999999996"/>
    <s v="Energy Production"/>
    <m/>
    <s v="No"/>
    <m/>
    <n v="42.75"/>
    <n v="199.5"/>
    <n v="42.75"/>
    <m/>
    <m/>
    <m/>
    <m/>
    <m/>
    <m/>
    <m/>
    <m/>
    <m/>
  </r>
  <r>
    <d v="2019-10-15T00:00:00"/>
    <s v="October"/>
    <n v="2019"/>
    <x v="0"/>
    <n v="-0.52500000000000002"/>
    <x v="0"/>
    <n v="49875"/>
    <n v="44"/>
    <s v="Federal"/>
    <x v="4"/>
    <n v="0.17499999999999999"/>
    <s v="AEP"/>
    <s v="LRC-2015-411"/>
    <s v="2019-137-46-MTM-A"/>
    <m/>
    <s v="LaPorte"/>
    <n v="41.721879000000001"/>
    <n v="-86.756603999999996"/>
    <s v="Energy Production"/>
    <m/>
    <s v="No"/>
    <m/>
    <n v="7481.25"/>
    <n v="34912.5"/>
    <n v="7481.25"/>
    <m/>
    <m/>
    <m/>
    <m/>
    <m/>
    <m/>
    <m/>
    <m/>
    <m/>
  </r>
  <r>
    <d v="2019-10-22T00:00:00"/>
    <s v="October"/>
    <n v="2019"/>
    <x v="0"/>
    <n v="-1.51"/>
    <x v="0"/>
    <n v="143450"/>
    <n v="57"/>
    <s v="Federal"/>
    <x v="4"/>
    <n v="0.33779999999999999"/>
    <s v="AEP"/>
    <s v="LRC-2019-255"/>
    <s v="`2019-200-46-MTM-A"/>
    <m/>
    <s v="LaPorte"/>
    <s v="41. 719149"/>
    <n v="-86.756743999999998"/>
    <s v="Energy Production"/>
    <m/>
    <s v="No"/>
    <m/>
    <n v="21517.5"/>
    <n v="100415"/>
    <n v="21517.5"/>
    <m/>
    <m/>
    <m/>
    <m/>
    <m/>
    <m/>
    <m/>
    <m/>
    <s v="401 WQC also included impacts to 0.0051 acres of PEM"/>
  </r>
  <r>
    <d v="2019-10-22T00:00:00"/>
    <s v="October"/>
    <n v="2019"/>
    <x v="9"/>
    <n v="-1.774"/>
    <x v="0"/>
    <n v="141920"/>
    <n v="56"/>
    <s v="State Isolated"/>
    <x v="3"/>
    <n v="1.774"/>
    <s v="City of Greenwood"/>
    <s v="N/A"/>
    <s v="IWIP 2019-658-41-TMS-A"/>
    <m/>
    <s v="Johnson"/>
    <n v="39.635689999999997"/>
    <n v="-86.065020000000004"/>
    <s v="Development"/>
    <s v="LRL-2014-100-sam/Candace Lee Fink Mitigtion Bank"/>
    <s v="Yes"/>
    <d v="2023-12-05T00:00:00"/>
    <n v="21288"/>
    <n v="99344"/>
    <n v="21288"/>
    <m/>
    <m/>
    <m/>
    <m/>
    <s v="Candace Lee Fink Mitigation Bank"/>
    <m/>
    <m/>
    <m/>
    <s v="Credit fulfilled, purchased from Candace Lee Fink Mitigation Bank.Class I Non-Forested (PEM) Isolated Wetland Impact"/>
  </r>
  <r>
    <d v="2019-10-23T00:00:00"/>
    <s v="October"/>
    <n v="2019"/>
    <x v="10"/>
    <n v="-1279"/>
    <x v="1"/>
    <n v="511600"/>
    <n v="48"/>
    <s v="Federal"/>
    <x v="2"/>
    <n v="1066"/>
    <s v="INDOT"/>
    <s v="LRL-2015-749-sjk"/>
    <s v="2017-110-72-SKG-A"/>
    <m/>
    <s v="Scott"/>
    <n v="38.740200000000002"/>
    <n v="-85.753"/>
    <s v="Transportation"/>
    <m/>
    <s v="No"/>
    <m/>
    <n v="76740"/>
    <n v="358120"/>
    <n v="76740"/>
    <m/>
    <m/>
    <m/>
    <m/>
    <m/>
    <m/>
    <m/>
    <m/>
    <m/>
  </r>
  <r>
    <d v="2019-10-23T00:00:00"/>
    <s v="October"/>
    <n v="2019"/>
    <x v="10"/>
    <n v="-356"/>
    <x v="1"/>
    <n v="142400"/>
    <n v="48"/>
    <s v="Federal"/>
    <x v="6"/>
    <n v="297"/>
    <s v="INDOT"/>
    <s v="LRL-2015-749-sjk"/>
    <s v="2017-110-72-SKG-A"/>
    <m/>
    <s v="Scott"/>
    <n v="38.740200000000002"/>
    <n v="-85.753"/>
    <s v="Transportation"/>
    <m/>
    <s v="No"/>
    <m/>
    <n v="21360"/>
    <n v="99680"/>
    <n v="21360"/>
    <m/>
    <m/>
    <m/>
    <m/>
    <m/>
    <m/>
    <m/>
    <m/>
    <m/>
  </r>
  <r>
    <d v="2019-10-23T00:00:00"/>
    <s v="October"/>
    <n v="2019"/>
    <x v="10"/>
    <n v="-1.69"/>
    <x v="0"/>
    <n v="135200"/>
    <n v="48"/>
    <s v="Federal"/>
    <x v="3"/>
    <n v="0.70699999999999996"/>
    <s v="INDOT"/>
    <s v="LRL-2015-749-sjk"/>
    <s v="2017-110-72-SKG-A"/>
    <m/>
    <s v="Scott"/>
    <n v="38.740200000000002"/>
    <n v="-85.753"/>
    <s v="Transportation"/>
    <m/>
    <s v="No"/>
    <m/>
    <n v="20280"/>
    <n v="94640"/>
    <n v="20280"/>
    <m/>
    <m/>
    <m/>
    <m/>
    <m/>
    <m/>
    <m/>
    <m/>
    <m/>
  </r>
  <r>
    <d v="2019-10-23T00:00:00"/>
    <s v="October"/>
    <n v="2019"/>
    <x v="10"/>
    <n v="-0.69"/>
    <x v="0"/>
    <n v="55200"/>
    <n v="48"/>
    <s v="Federal"/>
    <x v="4"/>
    <n v="0.16300000000000001"/>
    <s v="INDOT"/>
    <s v="LRL-2015-749-sjk"/>
    <s v="2017-110-72-SKG-A"/>
    <m/>
    <s v="Scott"/>
    <n v="38.740200000000002"/>
    <n v="-85.753"/>
    <s v="Transportation"/>
    <m/>
    <s v="No"/>
    <m/>
    <n v="8280"/>
    <n v="38640"/>
    <n v="8280"/>
    <m/>
    <m/>
    <m/>
    <m/>
    <m/>
    <m/>
    <m/>
    <m/>
    <m/>
  </r>
  <r>
    <d v="2019-12-13T00:00:00"/>
    <s v="December"/>
    <n v="2019"/>
    <x v="7"/>
    <n v="-8.5299999999999994"/>
    <x v="0"/>
    <n v="682400"/>
    <n v="58"/>
    <s v="Federal"/>
    <x v="3"/>
    <n v="5.83"/>
    <s v="INDOT"/>
    <s v="LRL-1999-1520-djd"/>
    <s v="1999-300-10-MBF-A"/>
    <m/>
    <s v="Clark"/>
    <n v="38.291400000000003"/>
    <n v="-85.758399999999995"/>
    <s v="Transportation"/>
    <s v="LRL-2014-100-sam/Fourteeen Mile Creek Mitigation Bank"/>
    <s v="Yes"/>
    <d v="2024-01-22T00:00:00"/>
    <n v="102360"/>
    <n v="477679.99999999994"/>
    <n v="102360"/>
    <m/>
    <m/>
    <m/>
    <m/>
    <s v="Fourteen Mile Creek Mitigation Bank"/>
    <m/>
    <m/>
    <m/>
    <s v="Credit fulfilled, purchased from Fourteen Mile Creek Mitigation Bank.  "/>
  </r>
  <r>
    <d v="2019-12-13T00:00:00"/>
    <s v="December"/>
    <n v="2019"/>
    <x v="7"/>
    <n v="-2.68"/>
    <x v="0"/>
    <n v="214400"/>
    <n v="58"/>
    <s v="Federal"/>
    <x v="4"/>
    <n v="2.02"/>
    <s v="INDOT"/>
    <s v="LRL-1999-1520-djd"/>
    <s v="1999-300-10-MBF-A"/>
    <m/>
    <s v="Clark"/>
    <n v="38.291400000000003"/>
    <n v="-85.758399999999995"/>
    <s v="Transportation"/>
    <s v="LRL-2014-100-sam/Fourteeen Mile Creek Mitigation Bank"/>
    <s v="Yes"/>
    <d v="2024-01-22T00:00:00"/>
    <n v="32160"/>
    <n v="150080"/>
    <n v="32160"/>
    <m/>
    <m/>
    <m/>
    <m/>
    <s v="Fourteen Mile Creek Mitigation Bank"/>
    <m/>
    <m/>
    <m/>
    <s v="Credit fulfilled, purchased from Fourteen Mile Creek Mitigation Bank.  "/>
  </r>
  <r>
    <m/>
    <m/>
    <m/>
    <x v="11"/>
    <m/>
    <x v="2"/>
    <m/>
    <m/>
    <m/>
    <x v="0"/>
    <m/>
    <m/>
    <m/>
    <m/>
    <m/>
    <m/>
    <m/>
    <m/>
    <m/>
    <m/>
    <m/>
    <m/>
    <m/>
    <m/>
    <m/>
    <m/>
    <m/>
    <m/>
    <m/>
    <m/>
    <m/>
    <m/>
    <m/>
    <m/>
  </r>
  <r>
    <d v="2020-01-02T00:00:00"/>
    <s v="January "/>
    <n v="2020"/>
    <x v="3"/>
    <n v="-0.28000000000000003"/>
    <x v="0"/>
    <n v="22400"/>
    <n v="65"/>
    <s v="Federal"/>
    <x v="4"/>
    <n v="7.0000000000000007E-2"/>
    <s v="Sabert Corporation"/>
    <s v="LRE-2019-00221-102"/>
    <s v="2019-446-02-WRH-A"/>
    <m/>
    <s v="Allen"/>
    <n v="41.040500999999999"/>
    <n v="-85.186507000000006"/>
    <s v="Development"/>
    <s v="LRL-2014-100-sam/Openings Mitigation Bank "/>
    <s v="Yes"/>
    <s v="11/3/2023 and 1/15/2024"/>
    <n v="3360"/>
    <n v="15680"/>
    <n v="3360"/>
    <m/>
    <m/>
    <m/>
    <m/>
    <s v="Openings Mitigation Bank"/>
    <m/>
    <m/>
    <m/>
    <s v="Credit fulfilled, purchased from Openings Mitigation Bank, partial 1.05 credit on 11/3/2023 and final 0.93 credit on 1/15/2024"/>
  </r>
  <r>
    <d v="2020-01-02T00:00:00"/>
    <s v="January "/>
    <n v="2020"/>
    <x v="3"/>
    <n v="-1.98"/>
    <x v="0"/>
    <n v="158400"/>
    <n v="65"/>
    <s v="Federal"/>
    <x v="5"/>
    <n v="0.66"/>
    <s v="Sabert Corporation"/>
    <s v="LRE-2019-00221-102"/>
    <s v="2019-446-02-WRH-A"/>
    <m/>
    <s v="Allen"/>
    <n v="41.040500999999999"/>
    <n v="-85.186507000000006"/>
    <s v="Development"/>
    <s v="LRL-2014-100-sam/Openings Mitigation Bank "/>
    <s v="Yes"/>
    <d v="2024-01-15T00:00:00"/>
    <n v="23760"/>
    <n v="110880"/>
    <n v="23760"/>
    <m/>
    <m/>
    <m/>
    <m/>
    <s v="Openings Mitigation Bank"/>
    <m/>
    <m/>
    <m/>
    <s v="1.05 credit purchased 11/3/2023 and 0.93 credit purchased on 1/15/2024 to fulfill the 1.98 credits"/>
  </r>
  <r>
    <d v="2020-01-02T00:00:00"/>
    <s v="January "/>
    <n v="2020"/>
    <x v="3"/>
    <n v="-0.94"/>
    <x v="0"/>
    <n v="75200"/>
    <n v="65"/>
    <s v="State Isolated"/>
    <x v="4"/>
    <n v="0.3"/>
    <s v="Sabert Corporation"/>
    <s v="N/A"/>
    <s v="IWIP 2019-446-02-WRH-A"/>
    <m/>
    <s v="Allen"/>
    <n v="41.040500999999999"/>
    <n v="-85.186507000000006"/>
    <s v="Development"/>
    <s v="LRL-2014-100-sam/Openings Mitigation Bank "/>
    <s v="Yes"/>
    <d v="2023-11-03T00:00:00"/>
    <n v="11280"/>
    <n v="52640"/>
    <n v="11280"/>
    <m/>
    <m/>
    <m/>
    <m/>
    <s v="Openings Mitigation Bank"/>
    <m/>
    <m/>
    <m/>
    <s v="Credit fulfilled, purchased from Openings Mitigation Bank.  Class II Forested Isolated Wetland Impact"/>
  </r>
  <r>
    <d v="2020-01-03T00:00:00"/>
    <s v="January "/>
    <n v="2020"/>
    <x v="9"/>
    <n v="-4362"/>
    <x v="1"/>
    <n v="1962900"/>
    <n v="54"/>
    <s v="Federal"/>
    <x v="1"/>
    <n v="3636"/>
    <s v="INDOT "/>
    <s v="LRL-2016-481-dds"/>
    <s v="2019-089-49-JWR-A"/>
    <m/>
    <s v="Morgan &amp; Marion"/>
    <n v="39.697620000000001"/>
    <n v="-86.182540000000003"/>
    <s v="Transportation"/>
    <s v="Mod 1 - LRL-2020-989-sam/ LRL-2021-552-sam/"/>
    <s v="No"/>
    <s v="9/3/2024, 2/6/2025, 5/9/2025"/>
    <n v="294435"/>
    <n v="1374030"/>
    <n v="294435"/>
    <m/>
    <m/>
    <m/>
    <m/>
    <s v="HC Farms release #2/Fall Creek Woods release #1/Fall Creek Woods release #2"/>
    <m/>
    <m/>
    <m/>
    <s v="289/4362 credits fulfilled by HC Farms release #2. 350/4073 credits fulfilled by Fall Creek Woods (FCW) release #1. 3723 credits remaining to fulfill.  350/3723 credits fulfilled by FCW release #2. 3373 credits remaining to be fulfilled. INDOT DES No.0500430"/>
  </r>
  <r>
    <d v="2020-01-03T00:00:00"/>
    <s v="January "/>
    <n v="2020"/>
    <x v="9"/>
    <n v="-5028"/>
    <x v="1"/>
    <n v="2262600"/>
    <n v="54"/>
    <s v="Federal"/>
    <x v="2"/>
    <n v="2085"/>
    <s v="INDOT "/>
    <s v="LRL-2016-481-dds"/>
    <s v="2019-089-49-JWR-A"/>
    <m/>
    <s v="Morgan &amp; Marion"/>
    <n v="39.697620000000001"/>
    <n v="-86.182540000000003"/>
    <s v="Transportation"/>
    <m/>
    <s v="No"/>
    <m/>
    <n v="339390"/>
    <n v="1583820"/>
    <n v="339390"/>
    <m/>
    <m/>
    <m/>
    <m/>
    <m/>
    <m/>
    <m/>
    <m/>
    <s v="Corps IP and RGP.  IDEM required more mitigation.  INDOT DES No. 0500430"/>
  </r>
  <r>
    <d v="2020-01-03T00:00:00"/>
    <s v="January "/>
    <n v="2020"/>
    <x v="9"/>
    <n v="-2688"/>
    <x v="1"/>
    <n v="1209600"/>
    <n v="54"/>
    <s v="Federal"/>
    <x v="6"/>
    <n v="2240"/>
    <s v="INDOT "/>
    <s v="LRL-2016-481-dds"/>
    <s v="2019-089-49-JWR-A"/>
    <m/>
    <s v="Morgan &amp; Marion"/>
    <n v="39.697620000000001"/>
    <n v="-86.182540000000003"/>
    <s v="Transportation"/>
    <m/>
    <s v="No"/>
    <m/>
    <n v="181440"/>
    <n v="846720"/>
    <n v="181440"/>
    <m/>
    <m/>
    <m/>
    <m/>
    <m/>
    <m/>
    <m/>
    <m/>
    <s v="Corps IP and RGP.  IDEM required more mitigation.  INDOT DES No. 0500430"/>
  </r>
  <r>
    <d v="2020-01-06T00:00:00"/>
    <s v="January "/>
    <n v="2020"/>
    <x v="7"/>
    <n v="-1080"/>
    <x v="1"/>
    <n v="432000"/>
    <n v="67"/>
    <s v="Federal"/>
    <x v="2"/>
    <n v="900"/>
    <s v="Iron Street Partners, LLC"/>
    <s v="LRL-2019-222-anr"/>
    <s v="2019-184-10-TMS-V"/>
    <m/>
    <s v="Clark"/>
    <n v="38.345939000000001"/>
    <n v="-85.696188000000006"/>
    <s v="Development"/>
    <m/>
    <s v="No"/>
    <m/>
    <n v="64800"/>
    <n v="302400"/>
    <n v="64800"/>
    <m/>
    <m/>
    <m/>
    <m/>
    <m/>
    <m/>
    <m/>
    <m/>
    <m/>
  </r>
  <r>
    <d v="2020-01-06T00:00:00"/>
    <s v="January "/>
    <n v="2020"/>
    <x v="10"/>
    <n v="-0.46"/>
    <x v="0"/>
    <n v="36800"/>
    <n v="61"/>
    <s v="Federal"/>
    <x v="3"/>
    <n v="0.19"/>
    <s v="INDOT "/>
    <s v="LRL-2018-1010-djd"/>
    <s v="2019-566-36-JBT-A"/>
    <m/>
    <s v="Jackson"/>
    <n v="38.957999999999998"/>
    <n v="-85.858999999999995"/>
    <s v="Transportation"/>
    <m/>
    <s v="No"/>
    <m/>
    <n v="5520"/>
    <n v="25760"/>
    <n v="5520"/>
    <m/>
    <m/>
    <m/>
    <m/>
    <m/>
    <m/>
    <m/>
    <m/>
    <s v="INDOT DES No. 1400090"/>
  </r>
  <r>
    <d v="2020-01-06T00:00:00"/>
    <s v="January "/>
    <n v="2020"/>
    <x v="10"/>
    <n v="-452"/>
    <x v="1"/>
    <n v="180800"/>
    <n v="61"/>
    <s v="Federal"/>
    <x v="1"/>
    <n v="377"/>
    <s v="INDOT "/>
    <s v="LRL-2018-1010-djd"/>
    <s v="2019-566-36-JBT-A"/>
    <m/>
    <s v="Jackson"/>
    <n v="38.957999999999998"/>
    <n v="-85.858999999999995"/>
    <s v="Transportation"/>
    <m/>
    <s v="No"/>
    <m/>
    <n v="27120"/>
    <n v="126559.99999999999"/>
    <n v="27120"/>
    <m/>
    <m/>
    <m/>
    <m/>
    <m/>
    <m/>
    <m/>
    <m/>
    <s v="INDOT DES No. 1400090"/>
  </r>
  <r>
    <d v="2020-01-06T00:00:00"/>
    <s v="January "/>
    <n v="2020"/>
    <x v="10"/>
    <n v="-30"/>
    <x v="1"/>
    <n v="12000"/>
    <n v="61"/>
    <s v="Federal"/>
    <x v="2"/>
    <n v="25"/>
    <s v="INDOT "/>
    <s v="LRL-2018-1010-djd"/>
    <s v="2019-566-36-JBT-A"/>
    <m/>
    <s v="Jackson"/>
    <n v="38.957999999999998"/>
    <n v="-85.858999999999995"/>
    <s v="Transportation"/>
    <m/>
    <s v="No"/>
    <m/>
    <n v="1800"/>
    <n v="8400"/>
    <n v="1800"/>
    <m/>
    <m/>
    <m/>
    <m/>
    <m/>
    <m/>
    <m/>
    <m/>
    <s v="INDOT DES No. 1400090"/>
  </r>
  <r>
    <d v="2020-01-07T00:00:00"/>
    <s v="January "/>
    <n v="2020"/>
    <x v="3"/>
    <n v="-0.64"/>
    <x v="0"/>
    <n v="51200"/>
    <n v="69"/>
    <s v="Federal"/>
    <x v="3"/>
    <n v="0.18"/>
    <s v="DeKalb County Airport Authority"/>
    <s v="LRE-1989-1170052-R17"/>
    <s v="2017-397-17-HAP-A"/>
    <m/>
    <s v="DeKalb"/>
    <n v="41.301699999999997"/>
    <n v="-85.07"/>
    <s v="Transportation"/>
    <s v="LRL-2014-100-sam/Openings Mitigation Bank "/>
    <s v="Yes"/>
    <d v="2023-11-03T00:00:00"/>
    <n v="7680"/>
    <n v="35840"/>
    <n v="7680"/>
    <m/>
    <m/>
    <m/>
    <m/>
    <s v="Openings Mitigation Bank"/>
    <m/>
    <m/>
    <m/>
    <s v="Credit fulfilled, purchased from Openings Mitigation Bank"/>
  </r>
  <r>
    <d v="2020-01-07T00:00:00"/>
    <s v="January "/>
    <n v="2020"/>
    <x v="3"/>
    <n v="-6.37"/>
    <x v="0"/>
    <n v="509600"/>
    <n v="69"/>
    <s v="Federal"/>
    <x v="4"/>
    <n v="0.02"/>
    <s v="DeKalb County Airport Authority"/>
    <s v="LRE-1989-1170052-R17"/>
    <s v="2017-397-17-HAP-A"/>
    <m/>
    <s v="DeKalb"/>
    <n v="41.301699999999997"/>
    <n v="-85.07"/>
    <s v="Transportation"/>
    <s v="LRL-2014-100-sam/Openings Mitigation Bank "/>
    <s v="Yes"/>
    <d v="2023-11-03T00:00:00"/>
    <n v="76440"/>
    <n v="356720"/>
    <n v="76440"/>
    <m/>
    <m/>
    <m/>
    <m/>
    <s v="Openings Mitigation Bank"/>
    <m/>
    <m/>
    <m/>
    <s v="Credit fulfilled, purchased from Openings Mitigation Bank.  IDEM recorded additional PFO impacts due to converting 2.08 acres of forested wetlands to emergent. "/>
  </r>
  <r>
    <d v="2020-01-08T00:00:00"/>
    <s v="January "/>
    <n v="2020"/>
    <x v="2"/>
    <n v="-245"/>
    <x v="1"/>
    <n v="98000"/>
    <n v="64"/>
    <s v="Federal"/>
    <x v="2"/>
    <n v="245"/>
    <s v="TBH, LLC"/>
    <s v="Not Applicable"/>
    <s v="2019-567-60-TMS-A"/>
    <m/>
    <s v="Owen"/>
    <n v="39.291739999999997"/>
    <n v="-86.755350000000007"/>
    <s v="Development"/>
    <m/>
    <s v="No"/>
    <m/>
    <n v="14700"/>
    <n v="68600"/>
    <n v="14700"/>
    <m/>
    <m/>
    <m/>
    <m/>
    <m/>
    <m/>
    <m/>
    <m/>
    <s v="No USACE number due to minimal impacts (&lt;300 LF) and no notification"/>
  </r>
  <r>
    <d v="2020-01-14T00:00:00"/>
    <s v="January "/>
    <n v="2020"/>
    <x v="5"/>
    <n v="-342.6"/>
    <x v="1"/>
    <n v="137040"/>
    <n v="62"/>
    <s v="Federal"/>
    <x v="1"/>
    <n v="382.1"/>
    <s v="INDOT "/>
    <s v="LRL-2019-698-scm"/>
    <s v="2019-625-87-JBT-A"/>
    <m/>
    <s v="Warrick"/>
    <n v="38.039839999999998"/>
    <n v="-87.244799999999998"/>
    <s v="Transportation"/>
    <m/>
    <s v="No"/>
    <m/>
    <n v="20556"/>
    <n v="95928"/>
    <n v="20556"/>
    <m/>
    <m/>
    <m/>
    <m/>
    <m/>
    <m/>
    <m/>
    <m/>
    <s v="INDOT DES No. 1500052"/>
  </r>
  <r>
    <d v="2020-01-30T00:00:00"/>
    <s v="January "/>
    <n v="2020"/>
    <x v="0"/>
    <n v="-0.43"/>
    <x v="0"/>
    <n v="40850"/>
    <n v="41"/>
    <s v="Federal"/>
    <x v="3"/>
    <n v="0.23"/>
    <s v="Providence Real Estate Development"/>
    <s v="LRC-2018-305"/>
    <s v="2018-554-45-MTM-A"/>
    <m/>
    <s v="Lake"/>
    <n v="41.46067"/>
    <n v="-87.405949000000007"/>
    <s v="Development"/>
    <m/>
    <s v="No"/>
    <m/>
    <n v="6127.5"/>
    <n v="28595"/>
    <n v="6127.5"/>
    <m/>
    <m/>
    <m/>
    <m/>
    <m/>
    <m/>
    <m/>
    <m/>
    <s v="Funds received by INRF August 2019; INRF receipt sent to DNR in January 2020 due to oversight. "/>
  </r>
  <r>
    <d v="2020-02-05T00:00:00"/>
    <s v="February"/>
    <n v="2020"/>
    <x v="3"/>
    <n v="-740"/>
    <x v="1"/>
    <n v="333000"/>
    <n v="71"/>
    <s v="Federal"/>
    <x v="6"/>
    <n v="996"/>
    <s v="City of Fort Wayne - Parks and Recreation"/>
    <s v="LRE-2015-01011-102"/>
    <s v="2017-201-02-HAP-A"/>
    <m/>
    <s v="Allen"/>
    <n v="41.082869000000002"/>
    <n v="-85.149878000000001"/>
    <s v="Development"/>
    <m/>
    <s v="No"/>
    <m/>
    <n v="49950"/>
    <n v="233099.99999999997"/>
    <n v="49950"/>
    <m/>
    <m/>
    <m/>
    <m/>
    <m/>
    <m/>
    <m/>
    <m/>
    <m/>
  </r>
  <r>
    <d v="2020-02-05T00:00:00"/>
    <s v="February"/>
    <n v="2020"/>
    <x v="3"/>
    <n v="-1.1085"/>
    <x v="0"/>
    <n v="88680"/>
    <n v="71"/>
    <s v="Federal"/>
    <x v="4"/>
    <n v="0.26"/>
    <s v="City of Fort Wayne - Parks and Recreation"/>
    <s v="LRE-2015-01011-102"/>
    <s v="2017-201-02-HAP-A"/>
    <m/>
    <s v="Allen"/>
    <n v="41.082869000000002"/>
    <n v="-85.149878000000001"/>
    <s v="Development"/>
    <m/>
    <s v="No"/>
    <m/>
    <n v="13302"/>
    <n v="62075.999999999993"/>
    <n v="13302"/>
    <m/>
    <m/>
    <m/>
    <m/>
    <m/>
    <m/>
    <m/>
    <m/>
    <m/>
  </r>
  <r>
    <d v="2020-02-05T00:00:00"/>
    <s v="February"/>
    <n v="2020"/>
    <x v="8"/>
    <n v="-174"/>
    <x v="1"/>
    <n v="69600"/>
    <n v="75"/>
    <s v="Federal"/>
    <x v="6"/>
    <n v="174"/>
    <s v="Kelley Auto Real Estate, LLC &amp; Menards, Inc."/>
    <s v="LRE-2018-00428-102-R18"/>
    <s v="2018-627-02-MTM-A"/>
    <m/>
    <s v="Allen"/>
    <n v="41.078288999999998"/>
    <n v="-85.225233000000003"/>
    <s v="Development"/>
    <m/>
    <s v="No"/>
    <m/>
    <n v="10440"/>
    <n v="48720"/>
    <n v="10440"/>
    <m/>
    <m/>
    <m/>
    <m/>
    <m/>
    <m/>
    <m/>
    <m/>
    <s v="Corps RGP did not require mitigation - IDEM 401 WQC required mitigation"/>
  </r>
  <r>
    <d v="2020-02-19T00:00:00"/>
    <s v="February"/>
    <n v="2020"/>
    <x v="0"/>
    <n v="-0.74099999999999999"/>
    <x v="0"/>
    <n v="70395"/>
    <n v="76"/>
    <s v="Federal"/>
    <x v="3"/>
    <n v="0.49399999999999999"/>
    <s v="City of Crown Point"/>
    <s v="LRC-2019-948"/>
    <s v="2019-793-45-MTM-A"/>
    <m/>
    <s v="Lake"/>
    <n v="41.420119999999997"/>
    <n v="-87.31165"/>
    <s v="Transportation"/>
    <m/>
    <s v="No"/>
    <m/>
    <n v="10559.25"/>
    <n v="49276.5"/>
    <n v="10559.25"/>
    <m/>
    <m/>
    <m/>
    <m/>
    <m/>
    <m/>
    <m/>
    <m/>
    <m/>
  </r>
  <r>
    <d v="2020-02-19T00:00:00"/>
    <s v="February"/>
    <n v="2020"/>
    <x v="9"/>
    <n v="-0.504"/>
    <x v="0"/>
    <n v="40320"/>
    <n v="80"/>
    <s v="Federal"/>
    <x v="3"/>
    <n v="0.21"/>
    <s v="Raindrop, LLC"/>
    <s v="LRL-2018-107-LCL"/>
    <s v="2019-079-32-JMK-A"/>
    <m/>
    <s v="Hendricks"/>
    <n v="39.624200000000002"/>
    <n v="-86.468299999999999"/>
    <s v="Development"/>
    <s v="LRL-2014-100-sam/Candace Lee Fink Mitigtion Bank"/>
    <s v="Yes"/>
    <d v="2023-12-05T00:00:00"/>
    <n v="6048"/>
    <n v="28224"/>
    <n v="6048"/>
    <m/>
    <m/>
    <m/>
    <m/>
    <s v="Candace Lee Fink Mitigation Bank"/>
    <m/>
    <m/>
    <m/>
    <s v="Credit fulfilled, purchased from Candace Lee Fink Mitigation Bank"/>
  </r>
  <r>
    <d v="2020-02-19T00:00:00"/>
    <s v="February"/>
    <n v="2020"/>
    <x v="9"/>
    <n v="-0.11"/>
    <x v="0"/>
    <n v="8800"/>
    <n v="80"/>
    <s v="Federal"/>
    <x v="5"/>
    <n v="0.03"/>
    <s v="Raindrop, LLC"/>
    <s v="LRL-2018-107-LCL"/>
    <s v="2019-079-32-JMK-A"/>
    <m/>
    <s v="Hendricks"/>
    <n v="39.624200000000002"/>
    <n v="-86.468299999999999"/>
    <s v="Development"/>
    <s v="LRL-2014-100-sam/Candace Lee Fink Mitigtion Bank"/>
    <s v="Yes"/>
    <d v="2023-12-05T00:00:00"/>
    <n v="1320"/>
    <n v="6160"/>
    <n v="1320"/>
    <m/>
    <m/>
    <m/>
    <m/>
    <s v="Candace Lee Fink Mitigation Bank"/>
    <m/>
    <m/>
    <m/>
    <s v="Credit fulfilled, purchased from Candace Lee Fink Mitigation Bank"/>
  </r>
  <r>
    <d v="2020-02-19T00:00:00"/>
    <s v="February"/>
    <n v="2020"/>
    <x v="9"/>
    <n v="-1.042"/>
    <x v="0"/>
    <n v="83360"/>
    <n v="80"/>
    <s v="Federal"/>
    <x v="4"/>
    <n v="0.28999999999999998"/>
    <s v="Raindrop, LLC"/>
    <s v="LRL-2018-107-LCL"/>
    <s v="2019-079-32-JMK-A"/>
    <m/>
    <s v="Hendricks"/>
    <n v="39.624200000000002"/>
    <n v="-86.468299999999999"/>
    <s v="Development"/>
    <s v="LRL-2014-100-sam/Candace Lee Fink Mitigtion Bank"/>
    <s v="Yes"/>
    <d v="2023-12-05T00:00:00"/>
    <n v="12504"/>
    <n v="58351.999999999993"/>
    <n v="12504"/>
    <m/>
    <m/>
    <m/>
    <m/>
    <s v="Candace Lee Fink Mitigation Bank"/>
    <m/>
    <m/>
    <m/>
    <s v="Credit fulfilled, purchased from Candace Lee Fink Mitigation Bank"/>
  </r>
  <r>
    <d v="2020-02-19T00:00:00"/>
    <s v="February"/>
    <n v="2020"/>
    <x v="9"/>
    <n v="-1.95"/>
    <x v="0"/>
    <n v="156000"/>
    <n v="80"/>
    <s v="State Isolated"/>
    <x v="3"/>
    <n v="1.95"/>
    <s v="Raindrop, LLC"/>
    <s v="N/A"/>
    <s v="IWIP 2019-079-32-JMK-A "/>
    <m/>
    <s v="Hendricks"/>
    <n v="39.624200000000002"/>
    <n v="-86.468299999999999"/>
    <s v="Development"/>
    <s v="LRL-2014-100-sam/Candace Lee Fink Mitigtion Bank"/>
    <s v="Yes"/>
    <d v="2023-12-05T00:00:00"/>
    <n v="23400"/>
    <n v="109200"/>
    <n v="23400"/>
    <m/>
    <m/>
    <m/>
    <m/>
    <s v="Candace Lee Fink Mitigation Bank"/>
    <m/>
    <m/>
    <m/>
    <s v="Credit fulfilled, purchased from Candace Lee Fink Mitigation Bank.  1.85 credit of the 1.95 credits were refunded to permittee on 1/25/2022, requiring only 0.1 credit to be fulfilled.Class I Non-Forested (PEM) Isolated Wetland Impact"/>
  </r>
  <r>
    <d v="2020-02-19T00:00:00"/>
    <s v="February"/>
    <n v="2020"/>
    <x v="9"/>
    <n v="-0.65"/>
    <x v="0"/>
    <n v="52000"/>
    <n v="80"/>
    <s v="State Isolated"/>
    <x v="4"/>
    <n v="0.26"/>
    <s v="Raindrop, LLC"/>
    <s v="N/A"/>
    <s v="IWIP 2019-079-32-JMK-A "/>
    <m/>
    <s v="Hendricks"/>
    <n v="39.624200000000002"/>
    <n v="-86.468299999999999"/>
    <s v="Development"/>
    <s v="LRL-2014-100-sam/Candace Lee Fink Mitigtion Bank"/>
    <s v="Yes"/>
    <d v="2023-12-05T00:00:00"/>
    <n v="7800"/>
    <n v="36400"/>
    <n v="7800"/>
    <m/>
    <m/>
    <m/>
    <m/>
    <s v="Candace Lee Fink Mitigation Bank"/>
    <m/>
    <m/>
    <m/>
    <s v="Credit fulfilled, purchased from Candace Lee Fink Mitigation BankClass II Forested Isolated Wetland Impact"/>
  </r>
  <r>
    <d v="2020-02-19T00:00:00"/>
    <s v="February"/>
    <n v="2020"/>
    <x v="9"/>
    <n v="-300"/>
    <x v="1"/>
    <n v="135000"/>
    <n v="74"/>
    <s v="Federal"/>
    <x v="2"/>
    <n v="333.3"/>
    <s v="Town of Zionsville"/>
    <s v="LRL-2019-585-sam"/>
    <s v="2019-600-06-ALF-A"/>
    <m/>
    <s v="Boone"/>
    <n v="39.939478000000001"/>
    <n v="-86.259861000000001"/>
    <s v="Transportation"/>
    <m/>
    <s v="No"/>
    <m/>
    <n v="20250"/>
    <n v="94500"/>
    <n v="20250"/>
    <m/>
    <m/>
    <m/>
    <m/>
    <m/>
    <m/>
    <m/>
    <m/>
    <s v="Corps issued Indiana RGP No. 1 requiring to meet IDEM conditions in which required the ILF stream mitigation credits"/>
  </r>
  <r>
    <d v="2020-02-27T00:00:00"/>
    <s v="February"/>
    <n v="2020"/>
    <x v="4"/>
    <n v="-0.18"/>
    <x v="0"/>
    <n v="14400"/>
    <n v="77"/>
    <s v="Federal"/>
    <x v="5"/>
    <n v="0.18"/>
    <s v="Jordan Creek Wind Farm, LLC"/>
    <s v="LRL-2019-990-lcl"/>
    <s v="2019-828-86-MTM-X"/>
    <m/>
    <s v="Warren, Benton &amp; Vermillion"/>
    <n v="40.418909999999997"/>
    <n v="-87.442430000000002"/>
    <s v="Energy Production"/>
    <m/>
    <s v="No"/>
    <m/>
    <n v="2160"/>
    <n v="10080"/>
    <n v="2160"/>
    <m/>
    <m/>
    <m/>
    <m/>
    <m/>
    <m/>
    <m/>
    <m/>
    <s v="Mitigation only required by IDEM "/>
  </r>
  <r>
    <d v="2020-03-03T00:00:00"/>
    <s v="March"/>
    <n v="2020"/>
    <x v="10"/>
    <n v="-168"/>
    <x v="1"/>
    <n v="67200"/>
    <n v="85"/>
    <s v="Federal"/>
    <x v="1"/>
    <n v="140"/>
    <s v="Wal-Mart Compliance"/>
    <s v="LRL-2010-705-sam"/>
    <s v="2010-554-40-DDC-A"/>
    <m/>
    <s v="Jennings"/>
    <n v="39.020642000000002"/>
    <n v="-85.638099999999994"/>
    <s v="Development"/>
    <m/>
    <s v="No"/>
    <m/>
    <n v="10080"/>
    <n v="47040"/>
    <n v="10080"/>
    <m/>
    <m/>
    <m/>
    <m/>
    <m/>
    <m/>
    <m/>
    <m/>
    <s v="Credit purchase a result of failed mitigation, Credits purchased by Kleenco on Wal-Marts behalf"/>
  </r>
  <r>
    <d v="2020-03-03T00:00:00"/>
    <s v="March"/>
    <n v="2020"/>
    <x v="10"/>
    <n v="-1.2"/>
    <x v="0"/>
    <n v="96000"/>
    <n v="85"/>
    <s v="Federal"/>
    <x v="3"/>
    <n v="0.91"/>
    <s v="Wal-Mart Compliance"/>
    <s v="LRL-2010-705-sam"/>
    <s v="2010-554-40-DDC-A"/>
    <m/>
    <s v="Jennings"/>
    <n v="39.020642000000002"/>
    <n v="-85.638099999999994"/>
    <s v="Development"/>
    <m/>
    <s v="No"/>
    <m/>
    <n v="14400"/>
    <n v="67200"/>
    <n v="14400"/>
    <m/>
    <m/>
    <m/>
    <m/>
    <m/>
    <m/>
    <m/>
    <m/>
    <s v="Credit purchase a result of failed mitigation, Credits purchased by Kleenco on Wal-Marts behalf"/>
  </r>
  <r>
    <d v="2020-03-03T00:00:00"/>
    <s v="March"/>
    <n v="2020"/>
    <x v="10"/>
    <n v="-0.14000000000000001"/>
    <x v="0"/>
    <n v="11200"/>
    <n v="85"/>
    <s v="Federal"/>
    <x v="5"/>
    <n v="0.04"/>
    <s v="Wal-Mart Compliance"/>
    <s v="LRL-2010-705-sam"/>
    <s v="2010-554-40-DDC-A"/>
    <m/>
    <s v="Jennings"/>
    <n v="39.020642000000002"/>
    <n v="-85.638099999999994"/>
    <s v="Development"/>
    <m/>
    <s v="No"/>
    <m/>
    <n v="1680"/>
    <n v="7839.9999999999991"/>
    <n v="1680"/>
    <m/>
    <m/>
    <m/>
    <m/>
    <m/>
    <m/>
    <m/>
    <m/>
    <s v="Credit purchase a result of failed mitigation, Credits purchased by Kleenco on Wal-Marts behalf"/>
  </r>
  <r>
    <d v="2020-03-04T00:00:00"/>
    <s v="March"/>
    <n v="2020"/>
    <x v="0"/>
    <n v="-2.16"/>
    <x v="0"/>
    <n v="205200"/>
    <n v="83"/>
    <s v="Federal"/>
    <x v="4"/>
    <n v="0.9"/>
    <s v="A Safe Haven Foundation"/>
    <s v="LRC-2018-674"/>
    <s v="2019-564-45-MTM-A"/>
    <m/>
    <s v="Lake"/>
    <n v="41.474299999999999"/>
    <n v="-87.305679999999995"/>
    <s v="Development"/>
    <m/>
    <s v="No"/>
    <m/>
    <n v="30780"/>
    <n v="143640"/>
    <n v="30780"/>
    <m/>
    <m/>
    <m/>
    <m/>
    <m/>
    <m/>
    <m/>
    <m/>
    <m/>
  </r>
  <r>
    <d v="2020-03-05T00:00:00"/>
    <s v="March"/>
    <n v="2020"/>
    <x v="5"/>
    <n v="-1.76"/>
    <x v="0"/>
    <n v="140800"/>
    <n v="87"/>
    <s v="Federal"/>
    <x v="4"/>
    <n v="0.44"/>
    <s v="Evansville Water &amp; Sewer Utility "/>
    <s v="LRL-2019-631-mad"/>
    <s v="2019-475-82-TMS-A "/>
    <m/>
    <s v="Vanderburgh"/>
    <n v="37.954315999999999"/>
    <n v="-87.570311000000004"/>
    <s v="Development"/>
    <m/>
    <s v="No"/>
    <m/>
    <n v="21120"/>
    <n v="98560"/>
    <n v="21120"/>
    <m/>
    <m/>
    <m/>
    <m/>
    <m/>
    <m/>
    <m/>
    <m/>
    <m/>
  </r>
  <r>
    <d v="2020-03-18T00:00:00"/>
    <s v="March"/>
    <n v="2020"/>
    <x v="6"/>
    <n v="-0.42"/>
    <x v="0"/>
    <n v="50400"/>
    <n v="88"/>
    <s v="Federal"/>
    <x v="3"/>
    <n v="0.21"/>
    <s v="P.W. Reality, LLC"/>
    <s v="LRE-2014-00296-143-R20"/>
    <s v="2020-54-43-JWR-X"/>
    <m/>
    <s v="Kosciusko"/>
    <n v="41.426081000000003"/>
    <n v="-85.762451999999996"/>
    <s v="Development"/>
    <m/>
    <s v="No"/>
    <m/>
    <n v="7560"/>
    <n v="35280"/>
    <n v="7560"/>
    <m/>
    <m/>
    <m/>
    <m/>
    <m/>
    <m/>
    <m/>
    <m/>
    <m/>
  </r>
  <r>
    <d v="2020-03-18T00:00:00"/>
    <s v="March"/>
    <n v="2020"/>
    <x v="9"/>
    <n v="-0.03"/>
    <x v="0"/>
    <n v="2400"/>
    <n v="89"/>
    <s v="State Isolated"/>
    <x v="3"/>
    <n v="0.03"/>
    <s v="Westfield Commercial Ventures, LLC"/>
    <s v="N/A"/>
    <s v="IWGP 2020-64-29-ALF-A"/>
    <m/>
    <s v="Hamilton"/>
    <n v="40.044176999999998"/>
    <n v="-86.156177999999997"/>
    <s v="Development"/>
    <s v="LRL-2014-100-sam/Candace Lee Fink Mitigtion Bank"/>
    <s v="Yes"/>
    <d v="2023-12-05T00:00:00"/>
    <n v="360"/>
    <n v="1680"/>
    <n v="360"/>
    <m/>
    <m/>
    <m/>
    <m/>
    <s v="Candace Lee Fink Mitigation Bank"/>
    <m/>
    <m/>
    <m/>
    <s v="Credit fulfilled, purchased from Candace Lee Fink Mitigation Bank.  State Isolated Wetland General Permit for Class I Non-Forested wetland"/>
  </r>
  <r>
    <d v="2020-03-24T00:00:00"/>
    <s v="March"/>
    <n v="2020"/>
    <x v="2"/>
    <n v="-186"/>
    <x v="1"/>
    <n v="74400"/>
    <n v="81"/>
    <s v="Federal"/>
    <x v="2"/>
    <n v="186"/>
    <s v="INDOT "/>
    <s v="LRL-2019-872-djd"/>
    <s v="2019-647-36-JBT-A"/>
    <m/>
    <s v="Jackson"/>
    <n v="38.94744"/>
    <n v="-86.124170000000007"/>
    <s v="Transportation"/>
    <m/>
    <s v="No"/>
    <m/>
    <n v="11160"/>
    <n v="52080"/>
    <n v="11160"/>
    <m/>
    <m/>
    <m/>
    <m/>
    <m/>
    <m/>
    <m/>
    <m/>
    <s v="Corps issued Indiana RGP requiring to meet IDEM conditions required the ILF stream mitigation credits"/>
  </r>
  <r>
    <d v="2020-03-24T00:00:00"/>
    <s v="March"/>
    <n v="2020"/>
    <x v="2"/>
    <n v="-86"/>
    <x v="1"/>
    <n v="34400"/>
    <n v="81"/>
    <s v="Federal"/>
    <x v="6"/>
    <n v="86"/>
    <s v="INDOT "/>
    <s v="LRL-2019-872-djd"/>
    <s v="2019-647-36-JBT-A"/>
    <m/>
    <s v="Jackson"/>
    <n v="38.94744"/>
    <n v="-86.124170000000007"/>
    <s v="Transportation"/>
    <m/>
    <s v="No"/>
    <m/>
    <n v="5160"/>
    <n v="24080"/>
    <n v="5160"/>
    <m/>
    <m/>
    <m/>
    <m/>
    <m/>
    <m/>
    <m/>
    <m/>
    <s v="Corps issued Indiana RGP requiring to meet IDEM conditions required the ILF stream mitigation credits"/>
  </r>
  <r>
    <d v="2020-03-24T00:00:00"/>
    <s v="March"/>
    <n v="2020"/>
    <x v="2"/>
    <n v="-500"/>
    <x v="1"/>
    <n v="200000"/>
    <n v="78"/>
    <s v="Federal"/>
    <x v="1"/>
    <n v="417"/>
    <s v="INDOT "/>
    <s v="LRL-2019-972-scm"/>
    <s v="2019-735-19-JBT-A"/>
    <m/>
    <s v="Dubois"/>
    <n v="38.480975000000001"/>
    <n v="-86.864420999999993"/>
    <s v="Transportation"/>
    <m/>
    <s v="No"/>
    <m/>
    <n v="30000"/>
    <n v="140000"/>
    <n v="30000"/>
    <m/>
    <m/>
    <m/>
    <m/>
    <m/>
    <m/>
    <m/>
    <m/>
    <m/>
  </r>
  <r>
    <d v="2020-03-24T00:00:00"/>
    <s v="March"/>
    <n v="2020"/>
    <x v="2"/>
    <n v="-74"/>
    <x v="1"/>
    <n v="29600"/>
    <n v="78"/>
    <s v="Federal"/>
    <x v="2"/>
    <n v="62"/>
    <s v="INDOT "/>
    <s v="LRL-2019-972-scm"/>
    <s v="2019-735-19-JBT-A"/>
    <m/>
    <s v="Dubois"/>
    <n v="38.480975000000001"/>
    <n v="-86.864420999999993"/>
    <s v="Transportation"/>
    <m/>
    <s v="No"/>
    <m/>
    <n v="4440"/>
    <n v="20720"/>
    <n v="4440"/>
    <m/>
    <m/>
    <m/>
    <m/>
    <m/>
    <m/>
    <m/>
    <m/>
    <m/>
  </r>
  <r>
    <d v="2020-03-24T00:00:00"/>
    <s v="March"/>
    <n v="2020"/>
    <x v="9"/>
    <n v="-0.31"/>
    <x v="0"/>
    <n v="24800"/>
    <n v="92"/>
    <s v="State Isolated"/>
    <x v="5"/>
    <n v="0.13"/>
    <s v="Raindrop, LLC"/>
    <s v="N/A"/>
    <s v="IWGP 2018-169-32-JMK-A"/>
    <m/>
    <s v="Hendricks"/>
    <n v="39.623136000000002"/>
    <n v="-86.477220000000003"/>
    <s v="Development"/>
    <s v="LRL-2014-100-sam/Candace Lee Fink Mitigtion Bank"/>
    <s v="Yes"/>
    <d v="2023-12-05T00:00:00"/>
    <n v="3720"/>
    <n v="17360"/>
    <n v="3720"/>
    <m/>
    <m/>
    <m/>
    <m/>
    <s v="Candace Lee Fink Mitigation Bank"/>
    <m/>
    <m/>
    <m/>
    <s v="Credit fulfilled, purchased from Candace Lee Fink Mitigation Bank.  State Isolated Wetland General Permit for Class II Scrub-Shrub wetland"/>
  </r>
  <r>
    <d v="2020-03-25T00:00:00"/>
    <s v="March"/>
    <n v="2020"/>
    <x v="10"/>
    <n v="-144"/>
    <x v="1"/>
    <n v="57600"/>
    <n v="72"/>
    <s v="Federal"/>
    <x v="2"/>
    <n v="120"/>
    <s v="Arbor Homes"/>
    <s v="LRL-2016-1055-sjk"/>
    <s v="2019-731-30-ALF-A"/>
    <m/>
    <s v="Hancock"/>
    <n v="39.808100000000003"/>
    <n v="-85.926100000000005"/>
    <s v="Development"/>
    <m/>
    <s v="No"/>
    <m/>
    <n v="8640"/>
    <n v="40320"/>
    <n v="8640"/>
    <m/>
    <m/>
    <m/>
    <m/>
    <m/>
    <m/>
    <m/>
    <m/>
    <m/>
  </r>
  <r>
    <d v="2020-03-25T00:00:00"/>
    <s v="March"/>
    <n v="2020"/>
    <x v="10"/>
    <n v="-0.2"/>
    <x v="0"/>
    <n v="16000"/>
    <n v="72"/>
    <s v="Federal"/>
    <x v="3"/>
    <n v="7.0000000000000007E-2"/>
    <s v="Arbor Homes"/>
    <s v="LRL-2016-1055-sjk"/>
    <s v="2019-731-30-ALF-A"/>
    <m/>
    <s v="Hancock"/>
    <n v="39.808100000000003"/>
    <n v="-85.926100000000005"/>
    <s v="Development"/>
    <m/>
    <s v="No"/>
    <m/>
    <n v="2400"/>
    <n v="11200"/>
    <n v="2400"/>
    <m/>
    <m/>
    <m/>
    <m/>
    <m/>
    <m/>
    <m/>
    <m/>
    <m/>
  </r>
  <r>
    <d v="2020-03-25T00:00:00"/>
    <s v="March"/>
    <n v="2020"/>
    <x v="10"/>
    <n v="-0.36799999999999999"/>
    <x v="0"/>
    <n v="29440"/>
    <n v="72"/>
    <s v="Federal"/>
    <x v="4"/>
    <n v="0.1"/>
    <s v="Arbor Homes"/>
    <s v="LRL-2016-1055-sjk"/>
    <s v="2019-731-30-ALF-A"/>
    <m/>
    <s v="Hancock"/>
    <n v="39.808100000000003"/>
    <n v="-85.926100000000005"/>
    <s v="Development"/>
    <m/>
    <s v="No"/>
    <m/>
    <n v="4416"/>
    <n v="20608"/>
    <n v="4416"/>
    <m/>
    <m/>
    <m/>
    <m/>
    <m/>
    <m/>
    <m/>
    <m/>
    <m/>
  </r>
  <r>
    <d v="2020-03-31T00:00:00"/>
    <s v="March"/>
    <n v="2020"/>
    <x v="9"/>
    <n v="-8"/>
    <x v="1"/>
    <n v="3600"/>
    <n v="73"/>
    <s v="Federal"/>
    <x v="2"/>
    <n v="8"/>
    <s v="Hendricks County Highway Department"/>
    <s v="LRL-2019-395-MKD"/>
    <s v="2019-542-32-JMK-A"/>
    <m/>
    <s v="Hendricks"/>
    <n v="39.615389999999998"/>
    <n v="-86.503309999999999"/>
    <s v="Transportation"/>
    <m/>
    <s v="No"/>
    <m/>
    <n v="540"/>
    <n v="2520"/>
    <n v="540"/>
    <m/>
    <m/>
    <m/>
    <m/>
    <m/>
    <m/>
    <m/>
    <m/>
    <s v="Corps RGP - 401 WQC mitigation required"/>
  </r>
  <r>
    <d v="2020-03-31T00:00:00"/>
    <s v="March"/>
    <n v="2020"/>
    <x v="9"/>
    <n v="-122"/>
    <x v="1"/>
    <n v="54900"/>
    <n v="73"/>
    <s v="Federal"/>
    <x v="6"/>
    <n v="122"/>
    <s v="Hendricks County Highway Department"/>
    <s v="LRL-2019-395-MKD"/>
    <s v="2019-542-32-JMK-A"/>
    <m/>
    <s v="Hendricks"/>
    <n v="39.615389999999998"/>
    <n v="-86.503309999999999"/>
    <s v="Transportation"/>
    <m/>
    <s v="No"/>
    <m/>
    <n v="8235"/>
    <n v="38430"/>
    <n v="8235"/>
    <m/>
    <m/>
    <m/>
    <m/>
    <m/>
    <m/>
    <m/>
    <m/>
    <s v="Corps RGP - 401 WQC mitigation required"/>
  </r>
  <r>
    <d v="2020-04-01T00:00:00"/>
    <s v="April"/>
    <n v="2020"/>
    <x v="0"/>
    <n v="-8"/>
    <x v="1"/>
    <n v="4800"/>
    <n v="66"/>
    <s v="Federal"/>
    <x v="6"/>
    <n v="8"/>
    <s v="INDOT "/>
    <s v="LRC-2019-181"/>
    <s v="2019-133-64-JBT-A"/>
    <m/>
    <s v="Porter"/>
    <n v="41.587400000000002"/>
    <n v="-87.124600000000001"/>
    <s v="Transportation"/>
    <m/>
    <s v="No"/>
    <m/>
    <n v="720"/>
    <n v="3360"/>
    <n v="720"/>
    <m/>
    <m/>
    <m/>
    <m/>
    <m/>
    <m/>
    <m/>
    <m/>
    <m/>
  </r>
  <r>
    <d v="2020-04-01T00:00:00"/>
    <s v="April"/>
    <n v="2020"/>
    <x v="0"/>
    <n v="-0.53200000000000003"/>
    <x v="0"/>
    <n v="50540"/>
    <n v="66"/>
    <s v="Federal"/>
    <x v="4"/>
    <n v="0.13300000000000001"/>
    <s v="INDOT "/>
    <s v="LRC-2019-181"/>
    <s v="2019-133-64-JBT-A"/>
    <m/>
    <s v="Porter"/>
    <n v="41.587400000000002"/>
    <n v="-87.124600000000001"/>
    <s v="Transportation"/>
    <m/>
    <s v="No"/>
    <m/>
    <n v="7581"/>
    <n v="35378"/>
    <n v="7581"/>
    <m/>
    <m/>
    <m/>
    <m/>
    <m/>
    <m/>
    <m/>
    <m/>
    <m/>
  </r>
  <r>
    <d v="2020-04-01T00:00:00"/>
    <s v="April"/>
    <n v="2020"/>
    <x v="0"/>
    <n v="-0.38"/>
    <x v="0"/>
    <n v="36100"/>
    <n v="66"/>
    <s v="Federal"/>
    <x v="3"/>
    <n v="0.19"/>
    <s v="INDOT "/>
    <s v="LRC-2019-181"/>
    <s v="2019-133-64-JBT-A"/>
    <m/>
    <s v="Porter"/>
    <n v="41.587400000000002"/>
    <n v="-87.124600000000001"/>
    <s v="Transportation"/>
    <m/>
    <s v="No"/>
    <m/>
    <n v="5415"/>
    <n v="25270"/>
    <n v="5415"/>
    <m/>
    <m/>
    <m/>
    <m/>
    <m/>
    <m/>
    <m/>
    <m/>
    <m/>
  </r>
  <r>
    <d v="2020-04-01T00:00:00"/>
    <s v="April"/>
    <n v="2020"/>
    <x v="2"/>
    <n v="-3236"/>
    <x v="1"/>
    <n v="1294400"/>
    <n v="90"/>
    <s v="Federal"/>
    <x v="1"/>
    <n v="2697"/>
    <s v="INDOT "/>
    <s v="LRL-2013-590-djd"/>
    <s v="2019-759-59-JBT-A"/>
    <m/>
    <s v="Orange"/>
    <n v="38.503500000000003"/>
    <n v="-86.635999999999996"/>
    <s v="Transportation"/>
    <m/>
    <s v="No"/>
    <m/>
    <n v="194160"/>
    <n v="906080"/>
    <n v="194160"/>
    <m/>
    <m/>
    <m/>
    <m/>
    <m/>
    <m/>
    <m/>
    <m/>
    <m/>
  </r>
  <r>
    <d v="2020-04-01T00:00:00"/>
    <s v="April"/>
    <n v="2020"/>
    <x v="2"/>
    <n v="-0.22"/>
    <x v="0"/>
    <n v="17600"/>
    <n v="90"/>
    <s v="Federal"/>
    <x v="3"/>
    <n v="0.09"/>
    <s v="INDOT "/>
    <s v="LRL-2013-590-djd"/>
    <s v="2019-759-59-JBT-A"/>
    <m/>
    <s v="Orange"/>
    <n v="38.503500000000003"/>
    <n v="-86.635999999999996"/>
    <s v="Transportation"/>
    <m/>
    <s v="No"/>
    <m/>
    <n v="2640"/>
    <n v="12320"/>
    <n v="2640"/>
    <m/>
    <m/>
    <m/>
    <m/>
    <m/>
    <m/>
    <m/>
    <m/>
    <m/>
  </r>
  <r>
    <d v="2020-04-01T00:00:00"/>
    <s v="April"/>
    <n v="2020"/>
    <x v="2"/>
    <n v="-0.01"/>
    <x v="0"/>
    <n v="800"/>
    <n v="90"/>
    <s v="Federal"/>
    <x v="4"/>
    <n v="4.0000000000000001E-3"/>
    <s v="INDOT "/>
    <s v="LRL-2013-590-djd"/>
    <s v="2019-759-59-JBT-A"/>
    <m/>
    <s v="Orange"/>
    <n v="38.503500000000003"/>
    <n v="-86.635999999999996"/>
    <s v="Transportation"/>
    <m/>
    <s v="No"/>
    <m/>
    <n v="120"/>
    <n v="560"/>
    <n v="120"/>
    <m/>
    <m/>
    <m/>
    <m/>
    <m/>
    <m/>
    <m/>
    <m/>
    <m/>
  </r>
  <r>
    <d v="2020-04-01T00:00:00"/>
    <s v="April"/>
    <n v="2020"/>
    <x v="5"/>
    <n v="-0.45200000000000001"/>
    <x v="0"/>
    <n v="36160"/>
    <n v="82"/>
    <s v="Federal"/>
    <x v="4"/>
    <n v="0.113"/>
    <s v="INDOT "/>
    <s v="LRL-2019-959-scm"/>
    <s v="2019-720-87-JBT-A"/>
    <m/>
    <s v="Warrick"/>
    <n v="38.174999999999997"/>
    <n v="-87.415999999999997"/>
    <s v="Transportation"/>
    <m/>
    <s v="No"/>
    <m/>
    <n v="5424"/>
    <n v="25312"/>
    <n v="5424"/>
    <m/>
    <m/>
    <m/>
    <m/>
    <m/>
    <m/>
    <m/>
    <m/>
    <m/>
  </r>
  <r>
    <d v="2020-04-01T00:00:00"/>
    <s v="April"/>
    <n v="2020"/>
    <x v="5"/>
    <n v="-10"/>
    <x v="1"/>
    <n v="4000"/>
    <n v="82"/>
    <s v="Federal"/>
    <x v="2"/>
    <n v="10"/>
    <s v="INDOT "/>
    <s v="LRL-2019-959-scm"/>
    <s v="2019-720-87-JBT-A"/>
    <m/>
    <s v="Warrick"/>
    <n v="38.174999999999997"/>
    <n v="-87.415999999999997"/>
    <s v="Transportation"/>
    <m/>
    <s v="No"/>
    <m/>
    <n v="600"/>
    <n v="2800"/>
    <n v="600"/>
    <m/>
    <m/>
    <m/>
    <m/>
    <m/>
    <m/>
    <m/>
    <m/>
    <m/>
  </r>
  <r>
    <d v="2020-04-01T00:00:00"/>
    <s v="April"/>
    <n v="2020"/>
    <x v="5"/>
    <n v="-118"/>
    <x v="1"/>
    <n v="47200"/>
    <n v="82"/>
    <s v="Federal"/>
    <x v="6"/>
    <n v="118"/>
    <s v="INDOT "/>
    <s v="LRL-2019-959-scm"/>
    <s v="2019-720-87-JBT-A"/>
    <m/>
    <s v="Warrick"/>
    <n v="38.174999999999997"/>
    <n v="-87.415999999999997"/>
    <s v="Transportation"/>
    <m/>
    <s v="No"/>
    <m/>
    <n v="7080"/>
    <n v="33040"/>
    <n v="7080"/>
    <m/>
    <m/>
    <m/>
    <m/>
    <m/>
    <m/>
    <m/>
    <m/>
    <m/>
  </r>
  <r>
    <d v="2020-04-15T00:00:00"/>
    <s v="April"/>
    <n v="2020"/>
    <x v="1"/>
    <n v="-82"/>
    <x v="1"/>
    <n v="41000"/>
    <n v="91"/>
    <s v="Federal"/>
    <x v="2"/>
    <n v="82"/>
    <s v="INDOT "/>
    <s v="LRC-2019-793"/>
    <s v="2019-654-45-JBT-A"/>
    <m/>
    <s v="Lake"/>
    <n v="41.43"/>
    <n v="-87.47"/>
    <s v="Transportation"/>
    <m/>
    <s v="No"/>
    <m/>
    <n v="6150"/>
    <n v="28700"/>
    <n v="6150"/>
    <m/>
    <m/>
    <m/>
    <m/>
    <m/>
    <m/>
    <m/>
    <m/>
    <m/>
  </r>
  <r>
    <d v="2020-04-15T00:00:00"/>
    <s v="April"/>
    <n v="2020"/>
    <x v="1"/>
    <n v="-15"/>
    <x v="1"/>
    <n v="7500"/>
    <n v="91"/>
    <s v="Federal"/>
    <x v="6"/>
    <n v="15"/>
    <s v="INDOT "/>
    <s v="LRC-2019-793"/>
    <s v="2019-654-45-JBT-A"/>
    <m/>
    <s v="Lake"/>
    <n v="41.43"/>
    <n v="-87.47"/>
    <s v="Transportation"/>
    <m/>
    <s v="No"/>
    <m/>
    <n v="1125"/>
    <n v="5250"/>
    <n v="1125"/>
    <m/>
    <m/>
    <m/>
    <m/>
    <m/>
    <m/>
    <m/>
    <m/>
    <m/>
  </r>
  <r>
    <d v="2020-04-15T00:00:00"/>
    <s v="April"/>
    <n v="2020"/>
    <x v="1"/>
    <n v="-0.4"/>
    <x v="0"/>
    <n v="38000"/>
    <n v="91"/>
    <s v="Federal"/>
    <x v="3"/>
    <n v="0.2"/>
    <s v="INDOT "/>
    <s v="LRC-2019-793"/>
    <s v="2019-654-45-JBT-A"/>
    <m/>
    <s v="Lake"/>
    <n v="41.43"/>
    <n v="-87.47"/>
    <s v="Transportation"/>
    <m/>
    <s v="No"/>
    <m/>
    <n v="5700"/>
    <n v="26600"/>
    <n v="5700"/>
    <m/>
    <m/>
    <m/>
    <m/>
    <m/>
    <m/>
    <m/>
    <m/>
    <m/>
  </r>
  <r>
    <d v="2020-04-15T00:00:00"/>
    <s v="April"/>
    <n v="2020"/>
    <x v="1"/>
    <n v="-0.48599999999999999"/>
    <x v="0"/>
    <n v="46170"/>
    <n v="91"/>
    <s v="Federal"/>
    <x v="5"/>
    <n v="0.16200000000000001"/>
    <s v="INDOT "/>
    <s v="LRC-2019-793"/>
    <s v="2019-654-45-JBT-A"/>
    <m/>
    <s v="Lake"/>
    <n v="41.43"/>
    <n v="-87.47"/>
    <s v="Transportation"/>
    <m/>
    <s v="No"/>
    <m/>
    <n v="6925.5"/>
    <n v="32319"/>
    <n v="6925.5"/>
    <m/>
    <m/>
    <m/>
    <m/>
    <m/>
    <m/>
    <m/>
    <m/>
    <m/>
  </r>
  <r>
    <d v="2020-04-15T00:00:00"/>
    <s v="April"/>
    <n v="2020"/>
    <x v="8"/>
    <n v="-280"/>
    <x v="1"/>
    <n v="112000"/>
    <n v="94"/>
    <s v="Federal"/>
    <x v="1"/>
    <n v="233"/>
    <s v="AEP"/>
    <s v="LRL-2014-540-lcl  "/>
    <s v="2020-12-34-JWR-X "/>
    <m/>
    <s v="Howard"/>
    <n v="40.473500000000001"/>
    <n v="-85.915199999999999"/>
    <s v="Transportation"/>
    <m/>
    <s v="No"/>
    <m/>
    <n v="16800"/>
    <n v="78400"/>
    <n v="16800"/>
    <m/>
    <m/>
    <m/>
    <m/>
    <m/>
    <m/>
    <m/>
    <m/>
    <s v="Corps NWP 12 and IDEM RGP"/>
  </r>
  <r>
    <d v="2020-04-15T00:00:00"/>
    <s v="April"/>
    <n v="2020"/>
    <x v="8"/>
    <n v="-0.14000000000000001"/>
    <x v="0"/>
    <n v="11200"/>
    <n v="94"/>
    <s v="Federal"/>
    <x v="3"/>
    <n v="0.06"/>
    <s v="AEP"/>
    <s v="LRL-2014-540-lcl  "/>
    <s v="2020-12-34-JWR-X "/>
    <m/>
    <s v="Howard"/>
    <n v="40.473500000000001"/>
    <n v="-85.915199999999999"/>
    <s v="Transportation"/>
    <m/>
    <s v="No"/>
    <m/>
    <n v="1680"/>
    <n v="7840"/>
    <n v="1680"/>
    <m/>
    <m/>
    <m/>
    <m/>
    <m/>
    <m/>
    <m/>
    <m/>
    <s v="Corps NWP 12 and IDEM RGP"/>
  </r>
  <r>
    <d v="2020-04-15T00:00:00"/>
    <s v="April"/>
    <n v="2020"/>
    <x v="9"/>
    <n v="-1.05"/>
    <x v="0"/>
    <n v="84000"/>
    <n v="93"/>
    <s v="Federal"/>
    <x v="4"/>
    <n v="0.09"/>
    <s v="M/I Homes of Indiana, L.P."/>
    <s v="LRL-2013-242-sam"/>
    <s v="2013-298-29-HAP-A"/>
    <m/>
    <s v="Hamilton"/>
    <n v="39.9788"/>
    <n v="-86.205200000000005"/>
    <s v="Development"/>
    <s v="LRL-2014-100-sam/Candace Lee Fink Mitigtion Bank"/>
    <s v="Yes"/>
    <d v="2023-12-05T00:00:00"/>
    <n v="12600"/>
    <n v="58800"/>
    <n v="12600"/>
    <m/>
    <m/>
    <m/>
    <m/>
    <s v="Candace Lee Fink Mitigation Bank"/>
    <m/>
    <m/>
    <m/>
    <s v="Credit fulfilled, purchased from Candace Lee Fink Mitigation Bank"/>
  </r>
  <r>
    <d v="2020-04-17T00:00:00"/>
    <s v="April"/>
    <n v="2020"/>
    <x v="5"/>
    <n v="-0.624"/>
    <x v="0"/>
    <n v="49920"/>
    <n v="102"/>
    <s v="Federal"/>
    <x v="3"/>
    <n v="0.26"/>
    <s v="Duke Energy"/>
    <s v="LRL-2019-539-JMG"/>
    <s v="2019-639-26-TMS-A"/>
    <m/>
    <s v="Gibson"/>
    <n v="38.343862999999999"/>
    <n v="-87.778317000000001"/>
    <s v="Energy Production"/>
    <m/>
    <s v="No"/>
    <m/>
    <n v="7488"/>
    <n v="34944"/>
    <n v="7488"/>
    <m/>
    <m/>
    <m/>
    <m/>
    <m/>
    <m/>
    <m/>
    <m/>
    <m/>
  </r>
  <r>
    <d v="2020-04-21T00:00:00"/>
    <s v="April"/>
    <n v="2020"/>
    <x v="10"/>
    <n v="-1.35"/>
    <x v="0"/>
    <n v="108000"/>
    <n v="106"/>
    <s v="State Isolated"/>
    <x v="4"/>
    <n v="1.35"/>
    <s v="Sunbeam Malores, LLC"/>
    <s v="N/A"/>
    <s v="IWIP 2020-132-41-TMS-A"/>
    <m/>
    <s v="Johnson"/>
    <n v="39.484650000000002"/>
    <n v="-86.010898999999995"/>
    <s v="Development"/>
    <m/>
    <s v="No"/>
    <m/>
    <n v="16200"/>
    <n v="75600"/>
    <n v="16200"/>
    <m/>
    <m/>
    <m/>
    <m/>
    <m/>
    <m/>
    <m/>
    <m/>
    <s v="State Isolated Wetland Individual Permit for Class II Forested Wetland Impacts"/>
  </r>
  <r>
    <d v="2020-04-22T00:00:00"/>
    <s v="April"/>
    <n v="2020"/>
    <x v="9"/>
    <n v="-191"/>
    <x v="1"/>
    <n v="85950"/>
    <n v="84"/>
    <s v="Federal"/>
    <x v="1"/>
    <n v="159"/>
    <s v="Lennar Homes of Indiana, Inc."/>
    <s v="LRL-2019-740-LCL"/>
    <s v="2019-846-32-ERL-A"/>
    <m/>
    <s v="Hendricks"/>
    <n v="39.772599999999997"/>
    <n v="-86.455299999999994"/>
    <s v="Development"/>
    <m/>
    <s v="No"/>
    <m/>
    <n v="12892.5"/>
    <n v="60164.999999999993"/>
    <n v="12892.5"/>
    <m/>
    <m/>
    <m/>
    <m/>
    <m/>
    <m/>
    <m/>
    <m/>
    <m/>
  </r>
  <r>
    <d v="2020-04-22T00:00:00"/>
    <s v="April"/>
    <n v="2020"/>
    <x v="9"/>
    <n v="-19"/>
    <x v="1"/>
    <n v="8550"/>
    <n v="84"/>
    <s v="Federal"/>
    <x v="6"/>
    <n v="16"/>
    <s v="Lennar Homes of Indiana, Inc."/>
    <s v="LRL-2019-740-LCL"/>
    <s v="2019-846-32-ERL-A"/>
    <m/>
    <s v="Hendricks"/>
    <n v="39.772599999999997"/>
    <n v="-86.455299999999994"/>
    <s v="Development"/>
    <m/>
    <s v="No"/>
    <m/>
    <n v="1282.5"/>
    <n v="5985"/>
    <n v="1282.5"/>
    <m/>
    <m/>
    <m/>
    <m/>
    <m/>
    <m/>
    <m/>
    <m/>
    <m/>
  </r>
  <r>
    <d v="2020-04-22T00:00:00"/>
    <s v="April"/>
    <n v="2020"/>
    <x v="9"/>
    <n v="-0.03"/>
    <x v="0"/>
    <n v="2400"/>
    <n v="84"/>
    <s v="Federal"/>
    <x v="5"/>
    <n v="0.01"/>
    <s v="Lennar Homes of Indiana, Inc."/>
    <s v="LRL-2019-740-LCL"/>
    <s v="2019-846-32-ERL-A"/>
    <m/>
    <s v="Hendricks"/>
    <n v="39.772599999999997"/>
    <n v="-86.455299999999994"/>
    <s v="Development"/>
    <s v="LRL-2014-100-sam/Candace Lee Fink Mitigtion Bank"/>
    <s v="Yes"/>
    <d v="2023-12-05T00:00:00"/>
    <n v="360"/>
    <n v="1680"/>
    <n v="360"/>
    <m/>
    <m/>
    <m/>
    <m/>
    <s v="Candace Lee Fink Mitigation Bank"/>
    <m/>
    <m/>
    <m/>
    <s v="Credit fulfilled, purchased from Candace Lee Fink Mitigation Bank"/>
  </r>
  <r>
    <d v="2020-04-22T00:00:00"/>
    <s v="April"/>
    <n v="2020"/>
    <x v="9"/>
    <n v="-0.12"/>
    <x v="0"/>
    <n v="9600"/>
    <n v="84"/>
    <s v="Federal"/>
    <x v="4"/>
    <n v="0.03"/>
    <s v="Lennar Homes of Indiana, Inc."/>
    <s v="LRL-2019-740-LCL"/>
    <s v="2019-846-32-ERL-A"/>
    <m/>
    <s v="Hendricks"/>
    <n v="39.772599999999997"/>
    <n v="-86.455299999999994"/>
    <s v="Development"/>
    <s v="LRL-2014-100-sam/Candace Lee Fink Mitigtion Bank"/>
    <s v="Yes"/>
    <d v="2023-12-05T00:00:00"/>
    <n v="1440"/>
    <n v="6720"/>
    <n v="1440"/>
    <m/>
    <m/>
    <m/>
    <m/>
    <s v="Candace Lee Fink Mitigation Bank"/>
    <m/>
    <m/>
    <m/>
    <s v="Credit fulfilled, purchased from Candace Lee Fink Mitigation Bank"/>
  </r>
  <r>
    <d v="2020-04-28T00:00:00"/>
    <s v="April"/>
    <n v="2020"/>
    <x v="1"/>
    <n v="-0.12"/>
    <x v="0"/>
    <n v="11400"/>
    <n v="97"/>
    <s v="State Isolated"/>
    <x v="4"/>
    <n v="2.9000000000000001E-2"/>
    <s v="NIPSCO"/>
    <s v="N/A"/>
    <s v="IWGP 2019-837-46-MTM-A"/>
    <m/>
    <s v="LaPorte"/>
    <n v="41.604399999999998"/>
    <n v="-86.719139999999996"/>
    <s v="Energy Production"/>
    <m/>
    <s v="No"/>
    <m/>
    <n v="1710"/>
    <n v="7979.9999999999991"/>
    <n v="1710"/>
    <m/>
    <m/>
    <m/>
    <m/>
    <m/>
    <m/>
    <m/>
    <m/>
    <s v="Originally reported as Calumet-Dunes, but impact was in the Kankakee SA, and has been updated; Class II Forested Wetland"/>
  </r>
  <r>
    <d v="2020-04-28T00:00:00"/>
    <s v="April"/>
    <n v="2020"/>
    <x v="5"/>
    <n v="-493"/>
    <x v="1"/>
    <n v="197200"/>
    <n v="70"/>
    <s v="Federal"/>
    <x v="1"/>
    <n v="384"/>
    <s v="Warrick County Engineer"/>
    <s v="LRL-2018-386-tmb"/>
    <s v="2019-022-87-ADF-A"/>
    <m/>
    <s v="Warrick"/>
    <n v="38.004486"/>
    <n v="-87.404752000000002"/>
    <s v="Transportation"/>
    <m/>
    <s v="No"/>
    <m/>
    <n v="29580"/>
    <n v="138040"/>
    <n v="29580"/>
    <m/>
    <m/>
    <m/>
    <m/>
    <m/>
    <m/>
    <m/>
    <m/>
    <m/>
  </r>
  <r>
    <d v="2020-04-30T00:00:00"/>
    <s v="April"/>
    <n v="2020"/>
    <x v="8"/>
    <n v="-666"/>
    <x v="1"/>
    <n v="266400"/>
    <n v="98"/>
    <s v="Federal"/>
    <x v="2"/>
    <n v="555"/>
    <s v="City of Portland Board of Aviation Commissioners"/>
    <s v="LRL-2019-178-jlt"/>
    <s v="2019-126-38-WRH-A"/>
    <m/>
    <s v="Jay"/>
    <n v="40.451700000000002"/>
    <n v="-84.997320000000002"/>
    <s v="Transportation"/>
    <m/>
    <s v="No"/>
    <m/>
    <n v="39960"/>
    <n v="186480"/>
    <n v="39960"/>
    <m/>
    <m/>
    <m/>
    <m/>
    <m/>
    <m/>
    <m/>
    <m/>
    <m/>
  </r>
  <r>
    <d v="2020-05-04T00:00:00"/>
    <s v="May"/>
    <n v="2020"/>
    <x v="0"/>
    <n v="-0.53400000000000003"/>
    <x v="0"/>
    <n v="50730"/>
    <n v="105"/>
    <s v="Federal"/>
    <x v="3"/>
    <n v="0.35599999999999998"/>
    <s v="UniFirst Corporation"/>
    <s v="LRC-2018-890"/>
    <s v="2020-011-45-MTM-A"/>
    <m/>
    <s v="Lake"/>
    <n v="41.382292999999997"/>
    <n v="-87.332835000000003"/>
    <s v="Development"/>
    <m/>
    <s v="No"/>
    <m/>
    <n v="7609.5"/>
    <n v="35511"/>
    <n v="7609.5"/>
    <m/>
    <m/>
    <m/>
    <m/>
    <m/>
    <m/>
    <m/>
    <m/>
    <m/>
  </r>
  <r>
    <d v="2020-05-05T00:00:00"/>
    <s v="May"/>
    <n v="2020"/>
    <x v="9"/>
    <n v="-209"/>
    <x v="1"/>
    <n v="94050"/>
    <n v="63"/>
    <s v="Federal"/>
    <x v="2"/>
    <n v="209"/>
    <s v="City of Indianapolis DPW"/>
    <s v="LRL-2019-320-scm"/>
    <s v="2019-222-49-ALF-A"/>
    <m/>
    <s v="Marion "/>
    <n v="39.681193999999998"/>
    <n v="-86.044255000000007"/>
    <s v="Transportation"/>
    <m/>
    <s v="No"/>
    <m/>
    <n v="14107.5"/>
    <n v="65835"/>
    <n v="14107.5"/>
    <m/>
    <m/>
    <m/>
    <m/>
    <m/>
    <m/>
    <m/>
    <m/>
    <s v="Corps RGP - IDEM only required mitigation"/>
  </r>
  <r>
    <d v="2020-05-05T00:00:00"/>
    <s v="May"/>
    <n v="2020"/>
    <x v="9"/>
    <n v="-153"/>
    <x v="1"/>
    <n v="68850"/>
    <n v="104"/>
    <s v="Federal"/>
    <x v="1"/>
    <n v="153"/>
    <s v="Lennar Homes of Indiana, Inc."/>
    <s v="LRL-2019-715-sjk"/>
    <s v="2020-017-29-ALF-A"/>
    <m/>
    <s v="Hamilton"/>
    <n v="39.9602"/>
    <n v="-85.883099999999999"/>
    <s v="Development"/>
    <m/>
    <s v="No"/>
    <m/>
    <n v="10327.5"/>
    <n v="48195"/>
    <n v="10327.5"/>
    <m/>
    <m/>
    <m/>
    <m/>
    <m/>
    <m/>
    <m/>
    <m/>
    <s v="Corps RGP - IDEM only required mitigation"/>
  </r>
  <r>
    <d v="2020-05-05T00:00:00"/>
    <s v="May"/>
    <n v="2020"/>
    <x v="9"/>
    <n v="-1.35"/>
    <x v="0"/>
    <n v="108000"/>
    <n v="99"/>
    <s v="Federal"/>
    <x v="4"/>
    <n v="0.43"/>
    <s v="Hendricks County Engineering Department"/>
    <s v="LRL-2009-336-sam"/>
    <s v="2009-146-32-JPS-A"/>
    <m/>
    <s v="Hendricks"/>
    <n v="39.752732999999999"/>
    <n v="-86.338806000000005"/>
    <s v="Transportation"/>
    <s v="LRL-2014-100-sam/Candace Lee Fink Mitigation Bank, LRL-2020-989-sam/HC Farms"/>
    <s v="Yes"/>
    <s v="12/5/2023, 9/3/2024"/>
    <n v="16200"/>
    <n v="75600"/>
    <n v="16200"/>
    <m/>
    <m/>
    <m/>
    <m/>
    <m/>
    <m/>
    <m/>
    <m/>
    <s v="0.716 fulfilled from Candace Lee Fink Mitigation Bank purchase and 0.634 fulfilled from 2nd HC Farms credit release"/>
  </r>
  <r>
    <d v="2020-05-08T00:00:00"/>
    <s v=" May "/>
    <n v="2020"/>
    <x v="5"/>
    <n v="-0.94"/>
    <x v="0"/>
    <n v="75200"/>
    <n v="108"/>
    <s v="Federal"/>
    <x v="3"/>
    <n v="0.39"/>
    <s v="Duke Energy, LLC."/>
    <s v="LRL-2020-152-JMG"/>
    <s v="2020-102-26-TMS-A"/>
    <m/>
    <s v="Gibson"/>
    <n v="38.372483000000003"/>
    <n v="-87.747861999999998"/>
    <s v="Energy Production"/>
    <m/>
    <s v="No"/>
    <m/>
    <n v="11280"/>
    <n v="52640"/>
    <n v="11280"/>
    <m/>
    <m/>
    <m/>
    <m/>
    <m/>
    <m/>
    <m/>
    <m/>
    <m/>
  </r>
  <r>
    <d v="2020-06-01T00:00:00"/>
    <s v="June"/>
    <n v="2020"/>
    <x v="5"/>
    <n v="-0.14799999999999999"/>
    <x v="0"/>
    <n v="11840"/>
    <n v="103"/>
    <s v="State Isolated"/>
    <x v="3"/>
    <n v="0.14799999999999999"/>
    <s v="Vanderburgh County Commissioners"/>
    <s v="N/A"/>
    <s v="IWGP 2020-172-82-TMS-A"/>
    <m/>
    <s v="Vanderburgh"/>
    <n v="38.063870000000001"/>
    <n v="-87.49342"/>
    <s v="Transportation"/>
    <m/>
    <s v="No"/>
    <m/>
    <n v="1776"/>
    <n v="8288"/>
    <n v="1776"/>
    <m/>
    <m/>
    <m/>
    <m/>
    <m/>
    <m/>
    <m/>
    <m/>
    <s v="Related jurisdictional impacts minimal and approved via RGP, no jurisdictional mitigation for this project."/>
  </r>
  <r>
    <d v="2020-06-09T00:00:00"/>
    <s v="June"/>
    <n v="2020"/>
    <x v="7"/>
    <n v="-1.08"/>
    <x v="0"/>
    <n v="86400"/>
    <n v="116"/>
    <s v="Federal"/>
    <x v="3"/>
    <n v="0.443"/>
    <s v="DDM, LLC."/>
    <s v="LRL-2019-184-cat"/>
    <s v="2019-147-10-TMS-A"/>
    <m/>
    <s v="Clark"/>
    <n v="38.325339999999997"/>
    <n v="-84.688649999999996"/>
    <s v="Development"/>
    <s v="LRL-2014-100-sam/Fourteeen Mile Creek Mitigation Bank"/>
    <s v="Yes"/>
    <d v="2024-01-22T00:00:00"/>
    <n v="12960"/>
    <n v="60479.999999999993"/>
    <n v="12960"/>
    <m/>
    <m/>
    <m/>
    <m/>
    <s v="Fourteen Mile Creek Mitigation Bank"/>
    <m/>
    <m/>
    <m/>
    <s v="Credit fulfilled, purchased from Fourteen Mile Creek Mitigation Bank.  "/>
  </r>
  <r>
    <d v="2020-06-09T00:00:00"/>
    <s v="June"/>
    <n v="2020"/>
    <x v="9"/>
    <n v="-1.1000000000000001"/>
    <x v="0"/>
    <n v="88000"/>
    <n v="100"/>
    <s v="Federal"/>
    <x v="3"/>
    <n v="0.46"/>
    <s v="Westport Homes"/>
    <s v="LRL-2019-865-sjk"/>
    <s v="2019-903-49-ALF-A"/>
    <m/>
    <s v="Marion "/>
    <n v="39.659300000000002"/>
    <n v="-86.305099999999996"/>
    <s v="Development"/>
    <s v="Mod 1 - LRL-2020-989-sam"/>
    <s v="Yes"/>
    <d v="2024-09-03T00:00:00"/>
    <n v="13200"/>
    <n v="61599.999999999993"/>
    <n v="13200"/>
    <m/>
    <m/>
    <m/>
    <m/>
    <m/>
    <m/>
    <m/>
    <m/>
    <s v="Credits fulfilled and released - HC Farms second release."/>
  </r>
  <r>
    <d v="2020-06-09T00:00:00"/>
    <s v="June"/>
    <n v="2020"/>
    <x v="9"/>
    <n v="-0.4"/>
    <x v="0"/>
    <n v="32000"/>
    <n v="100"/>
    <s v="Federal"/>
    <x v="5"/>
    <n v="0.11"/>
    <s v="Westport Homes"/>
    <s v="LRL-2019-865-sjk"/>
    <s v="2019-903-49-ALF-A"/>
    <m/>
    <s v="Marion "/>
    <n v="39.659300000000002"/>
    <n v="-86.305099999999996"/>
    <s v="Development"/>
    <s v="Mod 1 - LRL-2020-989-sam/ LRL-2021-552-sam"/>
    <s v="Yes"/>
    <d v="2025-02-06T00:00:00"/>
    <n v="4800"/>
    <n v="22400"/>
    <n v="4800"/>
    <m/>
    <m/>
    <m/>
    <m/>
    <s v="HC Farms Release #2/ Fall Creek Woods Release #1"/>
    <m/>
    <m/>
    <m/>
    <s v="0.316/0.4 credits fulfilled by HC Farms second release. 0.084 credits fulfilled by Fall Creek Woods release #1."/>
  </r>
  <r>
    <d v="2020-06-17T00:00:00"/>
    <s v="June"/>
    <n v="2020"/>
    <x v="0"/>
    <n v="-0.15"/>
    <x v="0"/>
    <n v="14250"/>
    <n v="110"/>
    <s v="Federal"/>
    <x v="3"/>
    <n v="0.1"/>
    <s v="NIPSCO"/>
    <s v="LRC-2015-763"/>
    <s v="2020-196-45-MTM-X"/>
    <m/>
    <s v="Lake"/>
    <n v="41.56006"/>
    <n v="-87.464039999999997"/>
    <s v="Energy Production"/>
    <m/>
    <s v="No"/>
    <m/>
    <n v="2137.5"/>
    <n v="9975"/>
    <n v="2137.5"/>
    <m/>
    <m/>
    <m/>
    <m/>
    <m/>
    <m/>
    <m/>
    <m/>
    <m/>
  </r>
  <r>
    <d v="2020-06-17T00:00:00"/>
    <s v="June"/>
    <n v="2020"/>
    <x v="0"/>
    <n v="-0.3"/>
    <x v="0"/>
    <n v="28500"/>
    <n v="107"/>
    <s v="State Isolated"/>
    <x v="3"/>
    <n v="0.3"/>
    <s v="Spectacle Gary, LLC"/>
    <s v="N/A"/>
    <s v="2020-159-45-MTM-A"/>
    <m/>
    <s v="Lake"/>
    <n v="41.566719999999997"/>
    <n v="-87.404290000000003"/>
    <s v="Development"/>
    <m/>
    <s v="No"/>
    <m/>
    <n v="4275"/>
    <n v="19950"/>
    <n v="4275"/>
    <m/>
    <m/>
    <m/>
    <m/>
    <m/>
    <m/>
    <m/>
    <m/>
    <m/>
  </r>
  <r>
    <d v="2020-06-22T00:00:00"/>
    <s v="June"/>
    <n v="2020"/>
    <x v="0"/>
    <n v="-5.2630000000000003E-2"/>
    <x v="0"/>
    <n v="4999.8599999999997"/>
    <n v="123"/>
    <s v="Federal"/>
    <x v="3"/>
    <n v="0"/>
    <s v="James Lanigan"/>
    <s v="LRC-2020-467"/>
    <s v="2020-424-64-MTM-X"/>
    <m/>
    <s v="Porter"/>
    <n v="41.458440000000003"/>
    <n v="-87.145560000000003"/>
    <s v="Development"/>
    <m/>
    <s v="No"/>
    <m/>
    <n v="749.97899999999993"/>
    <n v="3499.9019999999996"/>
    <n v="749.97899999999993"/>
    <m/>
    <m/>
    <m/>
    <m/>
    <m/>
    <m/>
    <m/>
    <m/>
    <s v="*885 linear feet of seawall impacts to open water.  "/>
  </r>
  <r>
    <d v="2020-06-24T00:00:00"/>
    <s v="June"/>
    <n v="2020"/>
    <x v="7"/>
    <n v="-7.0000000000000007E-2"/>
    <x v="0"/>
    <n v="5600"/>
    <n v="124"/>
    <s v="Federal"/>
    <x v="3"/>
    <n v="3.5000000000000003E-2"/>
    <s v="Dearborn County Board of Commissioners"/>
    <s v="LRL-2020-228-cat"/>
    <s v="2020-307-15-TMS"/>
    <m/>
    <s v="Dearborn"/>
    <n v="39.019474000000002"/>
    <n v="-84.929779999999994"/>
    <s v="Transportation"/>
    <s v="LRL-2014-100-sam/Fourteeen Mile Creek Mitigation Bank"/>
    <s v="Yes"/>
    <d v="2024-01-22T00:00:00"/>
    <n v="840"/>
    <n v="3919.9999999999995"/>
    <n v="840"/>
    <m/>
    <m/>
    <m/>
    <m/>
    <s v="Fourteen Mile Creek Mitigation Bank"/>
    <m/>
    <m/>
    <m/>
    <s v="Credit fulfilled, purchased from Fourteen Mile Creek Mitigation Bank.  "/>
  </r>
  <r>
    <d v="2020-06-24T00:00:00"/>
    <s v="June"/>
    <n v="2020"/>
    <x v="7"/>
    <n v="-0.74399999999999999"/>
    <x v="0"/>
    <n v="59520"/>
    <n v="124"/>
    <s v="Federal"/>
    <x v="4"/>
    <n v="0.186"/>
    <s v="Dearborn County Board of Commissioners"/>
    <s v="LRL-2020-228-cat"/>
    <s v="2020-307-15-TMS"/>
    <m/>
    <s v="Dearborn"/>
    <n v="39.019474000000002"/>
    <n v="-84.929779999999994"/>
    <s v="Transportation"/>
    <s v="LRL-2014-100-sam/Fourteeen Mile Creek Mitigation Bank"/>
    <s v="Yes"/>
    <d v="2024-01-22T00:00:00"/>
    <n v="8928"/>
    <n v="41664"/>
    <n v="8928"/>
    <m/>
    <m/>
    <m/>
    <m/>
    <s v="Fourteen Mile Creek Mitigation Bank"/>
    <m/>
    <m/>
    <m/>
    <s v="Credit fulfilled, purchased from Fourteen Mile Creek Mitigation Bank.  "/>
  </r>
  <r>
    <d v="2020-06-26T00:00:00"/>
    <s v="June"/>
    <n v="2020"/>
    <x v="3"/>
    <n v="-0.28000000000000003"/>
    <x v="0"/>
    <n v="22400"/>
    <n v="114"/>
    <s v="Federal"/>
    <x v="5"/>
    <n v="0.14000000000000001"/>
    <s v="Dominion Group"/>
    <s v="LRE-2016-00710-102-R20"/>
    <s v="2017-321-02-HAP-A"/>
    <m/>
    <s v="Allen"/>
    <n v="41.183199999999999"/>
    <n v="-85.092799999999997"/>
    <s v="Development"/>
    <s v="LRL-2014-100-sam/Openings Mitigation Bank "/>
    <s v="Yes"/>
    <d v="2024-01-15T00:00:00"/>
    <n v="3360"/>
    <n v="15679.999999999998"/>
    <n v="3360"/>
    <m/>
    <m/>
    <m/>
    <m/>
    <s v="Openings Mitigation Bank"/>
    <m/>
    <m/>
    <m/>
    <s v="Credit fulfilled, purchased from Openings Mitigation Bank"/>
  </r>
  <r>
    <d v="2020-06-26T00:00:00"/>
    <s v="June"/>
    <n v="2020"/>
    <x v="8"/>
    <n v="-114"/>
    <x v="1"/>
    <n v="45600"/>
    <n v="115"/>
    <s v="Federal"/>
    <x v="6"/>
    <n v="52"/>
    <s v="City of Wabash"/>
    <s v="LRL-2012-686-sjk"/>
    <s v="2018-909-85-JWR-A"/>
    <m/>
    <s v="Wabash"/>
    <n v="40.836100000000002"/>
    <n v="-85.805700000000002"/>
    <s v="Transportation"/>
    <m/>
    <s v="No"/>
    <m/>
    <n v="6840"/>
    <n v="31919.999999999996"/>
    <n v="6840"/>
    <m/>
    <m/>
    <m/>
    <m/>
    <m/>
    <m/>
    <m/>
    <m/>
    <s v="Corps determined stream impacts perennial - IDEM recorded stream impacts intermittent (IN SWMP recorded per 404 impact/credit table)"/>
  </r>
  <r>
    <d v="2020-06-26T00:00:00"/>
    <s v="June"/>
    <n v="2020"/>
    <x v="8"/>
    <n v="-0.4"/>
    <x v="0"/>
    <n v="32000"/>
    <n v="115"/>
    <s v="Federal"/>
    <x v="3"/>
    <n v="0.18"/>
    <s v="City of Wabash"/>
    <s v="LRL-2012-686-sjk"/>
    <s v="2018-909-85-JWR-A"/>
    <m/>
    <s v="Wabash"/>
    <n v="40.836100000000002"/>
    <n v="-85.805700000000002"/>
    <s v="Transportation"/>
    <m/>
    <s v="No"/>
    <m/>
    <n v="4800"/>
    <n v="22400"/>
    <n v="4800"/>
    <m/>
    <m/>
    <m/>
    <m/>
    <m/>
    <m/>
    <m/>
    <m/>
    <m/>
  </r>
  <r>
    <d v="2020-07-09T00:00:00"/>
    <s v="July"/>
    <n v="2020"/>
    <x v="6"/>
    <n v="-850"/>
    <x v="1"/>
    <n v="510000"/>
    <n v="129"/>
    <s v="Federal"/>
    <x v="2"/>
    <n v="850"/>
    <s v="Elvie Frey Investments, LLC"/>
    <s v="LRE-2018-1302-144-U18"/>
    <s v="2019-509-44-JWR-V"/>
    <m/>
    <s v="LaGrange"/>
    <n v="41.652929999999998"/>
    <n v="-85.610738999999995"/>
    <s v="Development"/>
    <m/>
    <s v="No"/>
    <m/>
    <n v="76500"/>
    <n v="357000"/>
    <n v="76500"/>
    <m/>
    <m/>
    <m/>
    <m/>
    <m/>
    <m/>
    <m/>
    <m/>
    <s v="Corps did not specifically require mitigation, but special condition requires to meet conditions of 401 WQC"/>
  </r>
  <r>
    <d v="2020-07-16T00:00:00"/>
    <s v="July"/>
    <n v="2020"/>
    <x v="10"/>
    <n v="-0.87"/>
    <x v="0"/>
    <n v="69600"/>
    <n v="117"/>
    <s v="Federal"/>
    <x v="4"/>
    <n v="0.2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10440"/>
    <n v="48720"/>
    <n v="10440"/>
    <m/>
    <m/>
    <m/>
    <m/>
    <m/>
    <m/>
    <m/>
    <m/>
    <s v="*Note: Reported 401 as PFO vs. PSS, per verification JLT.  "/>
  </r>
  <r>
    <d v="2020-07-16T00:00:00"/>
    <s v="July"/>
    <n v="2020"/>
    <x v="10"/>
    <n v="-0.19"/>
    <x v="0"/>
    <n v="15200"/>
    <n v="117"/>
    <s v="Federal"/>
    <x v="3"/>
    <n v="0.19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2280"/>
    <n v="10640"/>
    <n v="2280"/>
    <m/>
    <m/>
    <m/>
    <m/>
    <m/>
    <m/>
    <m/>
    <m/>
    <s v="*Note: USACE required 0.23 PEM, IDEM's increased PFO offset "/>
  </r>
  <r>
    <d v="2020-07-16T00:00:00"/>
    <s v="July"/>
    <n v="2020"/>
    <x v="10"/>
    <n v="-81"/>
    <x v="1"/>
    <n v="32400"/>
    <n v="117"/>
    <s v="Federal"/>
    <x v="1"/>
    <n v="81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4860"/>
    <n v="22680"/>
    <n v="4860"/>
    <m/>
    <m/>
    <m/>
    <m/>
    <m/>
    <m/>
    <m/>
    <m/>
    <m/>
  </r>
  <r>
    <d v="2020-07-16T00:00:00"/>
    <s v="July"/>
    <n v="2020"/>
    <x v="10"/>
    <n v="-21"/>
    <x v="1"/>
    <n v="8400"/>
    <n v="117"/>
    <s v="Federal"/>
    <x v="6"/>
    <n v="21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1260"/>
    <n v="5880"/>
    <n v="1260"/>
    <m/>
    <m/>
    <m/>
    <m/>
    <m/>
    <m/>
    <m/>
    <m/>
    <m/>
  </r>
  <r>
    <d v="2020-07-16T00:00:00"/>
    <s v="July"/>
    <n v="2020"/>
    <x v="10"/>
    <n v="-0.05"/>
    <x v="0"/>
    <n v="4000"/>
    <n v="117"/>
    <s v="State Isolated"/>
    <x v="3"/>
    <n v="0.05"/>
    <s v="Louisville and Indiana Railroad Co."/>
    <s v="N/A"/>
    <s v="IWGP 2020-114-41-JBT-A"/>
    <m/>
    <s v="Johnson"/>
    <n v="39.403750000000002"/>
    <n v="-85.987942000000004"/>
    <s v="Transportation"/>
    <m/>
    <s v="No"/>
    <m/>
    <n v="600"/>
    <n v="2800"/>
    <n v="600"/>
    <m/>
    <m/>
    <m/>
    <m/>
    <m/>
    <m/>
    <m/>
    <m/>
    <m/>
  </r>
  <r>
    <d v="2020-07-20T00:00:00"/>
    <s v="July"/>
    <n v="2020"/>
    <x v="0"/>
    <n v="-1.41"/>
    <x v="0"/>
    <n v="133950"/>
    <n v="130"/>
    <s v="State Isolated"/>
    <x v="3"/>
    <n v="1.28"/>
    <s v="Lennar Corporation"/>
    <s v="N/A"/>
    <s v="IWGP-2020-515-45-MTM-A"/>
    <m/>
    <s v="Lake"/>
    <n v="41.417644000000003"/>
    <n v="-87.30932"/>
    <s v="Development"/>
    <m/>
    <s v="No"/>
    <m/>
    <n v="20092.5"/>
    <n v="93765"/>
    <n v="20092.5"/>
    <m/>
    <m/>
    <m/>
    <m/>
    <m/>
    <m/>
    <m/>
    <m/>
    <m/>
  </r>
  <r>
    <d v="2020-07-21T00:00:00"/>
    <s v="July"/>
    <n v="2020"/>
    <x v="9"/>
    <n v="-2.5"/>
    <x v="0"/>
    <n v="200000"/>
    <n v="132"/>
    <s v="State Isolated"/>
    <x v="3"/>
    <n v="2.5"/>
    <s v="Indy Clean Fill South"/>
    <s v="N/A"/>
    <s v="IWGP 2020-538-49-JWR-A"/>
    <m/>
    <s v="Marion "/>
    <n v="39.73695"/>
    <n v="-86.202079999999995"/>
    <s v="Development"/>
    <s v="LRL-2021-552-sam"/>
    <s v="Yes"/>
    <d v="2025-02-06T00:00:00"/>
    <n v="30000"/>
    <n v="140000"/>
    <n v="30000"/>
    <m/>
    <m/>
    <m/>
    <m/>
    <s v="Fall Creek Woods Release #1"/>
    <m/>
    <m/>
    <m/>
    <s v="Class I Non-Forested (PEM) wetland impacts. Credits fulfilled by Fall Creek Woods release #1"/>
  </r>
  <r>
    <d v="2020-07-22T00:00:00"/>
    <s v="July"/>
    <n v="2020"/>
    <x v="9"/>
    <n v="-12"/>
    <x v="1"/>
    <n v="5400"/>
    <n v="133"/>
    <s v="Federal"/>
    <x v="6"/>
    <n v="10"/>
    <s v="City of Carmel"/>
    <s v="LRL-2020-194-sjk"/>
    <s v="2020-448-29-ALF-X"/>
    <m/>
    <s v="Hamilton"/>
    <n v="39.957799999999999"/>
    <n v="-86.090299999999999"/>
    <s v="Development"/>
    <m/>
    <s v="No"/>
    <m/>
    <n v="810"/>
    <n v="3779.9999999999995"/>
    <n v="810"/>
    <m/>
    <m/>
    <m/>
    <m/>
    <m/>
    <m/>
    <m/>
    <m/>
    <m/>
  </r>
  <r>
    <d v="2020-08-04T00:00:00"/>
    <s v="August"/>
    <n v="2020"/>
    <x v="2"/>
    <n v="-8.2000000000000003E-2"/>
    <x v="0"/>
    <n v="6560"/>
    <n v="95"/>
    <s v="Federal"/>
    <x v="3"/>
    <n v="4.1000000000000002E-2"/>
    <s v="Hoosier Energy"/>
    <s v="LRL-2019-710"/>
    <s v="2019-508-63-TMS-A"/>
    <m/>
    <s v="Pike"/>
    <n v="38.520000000000003"/>
    <n v="-87.267200000000003"/>
    <s v="Energy Production"/>
    <m/>
    <s v="No"/>
    <m/>
    <n v="984"/>
    <n v="4592"/>
    <n v="984"/>
    <m/>
    <m/>
    <m/>
    <m/>
    <m/>
    <m/>
    <m/>
    <m/>
    <m/>
  </r>
  <r>
    <d v="2020-08-04T00:00:00"/>
    <s v="August"/>
    <n v="2020"/>
    <x v="2"/>
    <n v="-0.22"/>
    <x v="0"/>
    <n v="17600"/>
    <n v="95"/>
    <s v="Federal"/>
    <x v="4"/>
    <n v="5.5E-2"/>
    <s v="Hoosier Energy"/>
    <s v="LRL-2019-710"/>
    <s v="2019-508-63-TMS-A"/>
    <m/>
    <s v="Pike"/>
    <n v="38.520000000000003"/>
    <n v="-87.267200000000003"/>
    <s v="Energy Production"/>
    <m/>
    <s v="No"/>
    <m/>
    <n v="2640"/>
    <n v="12320"/>
    <n v="2640"/>
    <m/>
    <m/>
    <m/>
    <m/>
    <m/>
    <m/>
    <m/>
    <m/>
    <m/>
  </r>
  <r>
    <d v="2020-08-04T00:00:00"/>
    <s v="August"/>
    <n v="2020"/>
    <x v="4"/>
    <n v="-82"/>
    <x v="1"/>
    <n v="32800"/>
    <n v="134"/>
    <s v="Federal"/>
    <x v="6"/>
    <n v="146"/>
    <s v="DePauw University"/>
    <s v="LRL-2019-845-lcl"/>
    <s v="2020-430-67-ERL-A"/>
    <m/>
    <s v="Putnam"/>
    <n v="39.637700000000002"/>
    <n v="-86.870199999999997"/>
    <s v="Development"/>
    <m/>
    <s v="No"/>
    <m/>
    <n v="4920"/>
    <n v="22960"/>
    <n v="4920"/>
    <m/>
    <m/>
    <m/>
    <m/>
    <m/>
    <m/>
    <m/>
    <m/>
    <m/>
  </r>
  <r>
    <d v="2020-08-04T00:00:00"/>
    <s v="August"/>
    <n v="2020"/>
    <x v="9"/>
    <n v="-0.57999999999999996"/>
    <x v="0"/>
    <n v="4640"/>
    <n v="127"/>
    <s v="State Isolated"/>
    <x v="4"/>
    <n v="2.3E-2"/>
    <s v="C&amp;H Capital LLC"/>
    <s v="N/A"/>
    <s v="IWGP 2020-447-29-ALF-A"/>
    <m/>
    <s v="Hamilton"/>
    <n v="39.972499999999997"/>
    <n v="-85.962699999999998"/>
    <s v="Development"/>
    <s v="LRL-2021-552-sam"/>
    <s v="Yes"/>
    <s v="2/6/2025, 5/9/2025"/>
    <n v="696"/>
    <n v="3248"/>
    <n v="696"/>
    <m/>
    <m/>
    <m/>
    <m/>
    <s v="Fall Creek Woods Release #1/Fall Creek Woods Release #2"/>
    <m/>
    <m/>
    <m/>
    <s v="Class II Forested Wetland impacts. 0.466/0.58 credits fulfilled by Fall Creek Woods release #1. Remaining 0.114 credits fulfilled by Fall Creek Woods release #2."/>
  </r>
  <r>
    <d v="2020-08-04T00:00:00"/>
    <s v="August"/>
    <n v="2020"/>
    <x v="9"/>
    <n v="-597"/>
    <x v="1"/>
    <n v="268650"/>
    <n v="139"/>
    <s v="Federal"/>
    <x v="1"/>
    <n v="497"/>
    <s v="Hendricks County (Jail)"/>
    <s v="LRL-2020-453-sjk"/>
    <s v="2020-429-32-ERL-A"/>
    <m/>
    <s v="Hendricks"/>
    <n v="39.758299999999998"/>
    <n v="-86.501000000000005"/>
    <s v="Development"/>
    <m/>
    <s v="No"/>
    <m/>
    <n v="40297.5"/>
    <n v="188055"/>
    <n v="40297.5"/>
    <m/>
    <m/>
    <m/>
    <m/>
    <m/>
    <m/>
    <m/>
    <m/>
    <m/>
  </r>
  <r>
    <d v="2020-08-04T00:00:00"/>
    <s v="August"/>
    <n v="2020"/>
    <x v="9"/>
    <n v="-0.05"/>
    <x v="0"/>
    <n v="4000"/>
    <n v="139"/>
    <s v="Federal"/>
    <x v="3"/>
    <n v="0.02"/>
    <s v="Hendricks County (Jail)"/>
    <s v="LRL-2020-453-sjk"/>
    <s v="2020-429-32-ERL-A"/>
    <m/>
    <s v="Hendricks"/>
    <n v="39.758299999999998"/>
    <n v="-86.501000000000005"/>
    <s v="Development"/>
    <s v="LRL-2021-552-sam"/>
    <s v="Yes"/>
    <d v="2025-05-09T00:00:00"/>
    <n v="600"/>
    <n v="2800"/>
    <n v="600"/>
    <m/>
    <m/>
    <m/>
    <m/>
    <s v="Fall Creek Woods Release #2"/>
    <m/>
    <m/>
    <m/>
    <s v="Credits fulfilled by Fall Creek Woods Release #2"/>
  </r>
  <r>
    <d v="2020-08-04T00:00:00"/>
    <s v="August"/>
    <n v="2020"/>
    <x v="9"/>
    <n v="-1.3"/>
    <x v="0"/>
    <n v="104000"/>
    <n v="139"/>
    <s v="Federal"/>
    <x v="4"/>
    <n v="0.27"/>
    <s v="Hendricks County (Jail)"/>
    <s v="LRL-2020-453-sjk"/>
    <s v="2020-429-32-ERL-A"/>
    <m/>
    <s v="Hendricks"/>
    <n v="39.758299999999998"/>
    <n v="-86.501000000000005"/>
    <s v="Development"/>
    <s v="LRL-2021-552-sam"/>
    <s v="Yes"/>
    <d v="2025-05-09T00:00:00"/>
    <n v="15600"/>
    <n v="72800"/>
    <n v="15600"/>
    <m/>
    <m/>
    <m/>
    <m/>
    <s v="Fall Creek Woods Release #2"/>
    <m/>
    <m/>
    <m/>
    <s v="Credits fulfilled by Fall Creek Woods Release #2"/>
  </r>
  <r>
    <d v="2020-08-04T00:00:00"/>
    <s v="August"/>
    <n v="2020"/>
    <x v="10"/>
    <n v="-4.49"/>
    <x v="0"/>
    <n v="359200"/>
    <n v="135"/>
    <s v="Federal"/>
    <x v="3"/>
    <n v="1.87"/>
    <s v="Prologis"/>
    <s v="LRL-2020-00683-SAM"/>
    <s v="2019-904-30-ALF-A"/>
    <m/>
    <s v="Hancock"/>
    <n v="39.824100000000001"/>
    <n v="-85.882199999999997"/>
    <s v="Development"/>
    <m/>
    <s v="No"/>
    <m/>
    <n v="53880"/>
    <n v="251439.99999999997"/>
    <n v="53880"/>
    <m/>
    <m/>
    <m/>
    <m/>
    <m/>
    <m/>
    <m/>
    <m/>
    <m/>
  </r>
  <r>
    <d v="2020-08-11T00:00:00"/>
    <s v="August"/>
    <n v="2020"/>
    <x v="0"/>
    <n v="-0.628"/>
    <x v="0"/>
    <n v="59660"/>
    <n v="79"/>
    <s v="Federal"/>
    <x v="3"/>
    <n v="0.32700000000000001"/>
    <s v="Lake County Board of Commissioners"/>
    <s v="LRC-2019-729"/>
    <s v="2019-619-45-MTM-A"/>
    <m/>
    <s v="Lake"/>
    <n v="41.537149999999997"/>
    <n v="-87.380949999999999"/>
    <s v="Transportation"/>
    <m/>
    <s v="No"/>
    <m/>
    <n v="8949"/>
    <n v="41762"/>
    <n v="8949"/>
    <m/>
    <m/>
    <m/>
    <m/>
    <m/>
    <m/>
    <m/>
    <m/>
    <m/>
  </r>
  <r>
    <d v="2020-08-11T00:00:00"/>
    <s v="August"/>
    <n v="2020"/>
    <x v="9"/>
    <n v="-0.17"/>
    <x v="0"/>
    <n v="13600"/>
    <n v="138"/>
    <s v="State Isolated"/>
    <x v="3"/>
    <n v="0.1"/>
    <s v="Raindrop, LLC"/>
    <s v="N/A"/>
    <s v="IWGP 2020-498-32-ERL-A"/>
    <m/>
    <s v="Hendricks"/>
    <n v="39.623699999999999"/>
    <n v="-86.472399999999993"/>
    <s v="Development"/>
    <s v="LRL-2021-552-sam"/>
    <s v="Yes"/>
    <d v="2025-05-09T00:00:00"/>
    <n v="2040"/>
    <n v="9520"/>
    <n v="2040"/>
    <m/>
    <m/>
    <m/>
    <m/>
    <s v="Fall Creek Woods Release #2"/>
    <m/>
    <m/>
    <m/>
    <s v="0.03 Class I NF (PEM) impact; 0.07 Class II NF (PEM) impact - require 0.17 credit. Credits fulfilled by Fall Creek Woods Release #2."/>
  </r>
  <r>
    <d v="2020-08-11T00:00:00"/>
    <s v="August"/>
    <n v="2020"/>
    <x v="9"/>
    <n v="-0.2"/>
    <x v="0"/>
    <n v="16000"/>
    <n v="138"/>
    <s v="State Isolated"/>
    <x v="5"/>
    <n v="0.08"/>
    <s v="Raindrop, LLC"/>
    <s v="N/A"/>
    <s v="IWGP 2020-498-32-ERL-A"/>
    <m/>
    <s v="Hendricks"/>
    <n v="39.623699999999999"/>
    <n v="-86.472399999999993"/>
    <s v="Development"/>
    <s v="LRL-2021-552-sam"/>
    <s v="Yes"/>
    <d v="2025-05-09T00:00:00"/>
    <n v="2400"/>
    <n v="11200"/>
    <n v="2400"/>
    <m/>
    <m/>
    <m/>
    <m/>
    <s v="Fall Creek Woods Release #2"/>
    <m/>
    <m/>
    <m/>
    <s v="0.08 Class II NF (PSS) impact - require 0.2 credit.  Credits fulfilled by Fall Creek Woods Release #2."/>
  </r>
  <r>
    <d v="2020-08-19T00:00:00"/>
    <s v="August"/>
    <n v="2020"/>
    <x v="0"/>
    <n v="-1.3"/>
    <x v="0"/>
    <n v="123500"/>
    <n v="143"/>
    <s v="Federal"/>
    <x v="3"/>
    <n v="0.72"/>
    <s v="Tonn and Blank Construction"/>
    <s v="LRC-2019-872"/>
    <s v="2020-269-45-MTM-A"/>
    <m/>
    <s v="Lake"/>
    <n v="41.38194"/>
    <n v="-87.318830000000005"/>
    <s v="Transportation"/>
    <m/>
    <s v="No"/>
    <m/>
    <n v="18525"/>
    <n v="86450"/>
    <n v="18525"/>
    <m/>
    <m/>
    <m/>
    <m/>
    <m/>
    <m/>
    <m/>
    <m/>
    <m/>
  </r>
  <r>
    <d v="2020-08-19T00:00:00"/>
    <s v="August"/>
    <n v="2020"/>
    <x v="0"/>
    <n v="-0.43"/>
    <x v="0"/>
    <n v="40850"/>
    <n v="143"/>
    <s v="Federal"/>
    <x v="4"/>
    <n v="0.24"/>
    <s v="Tonn and Blank Construction"/>
    <s v="LRC-2019-872"/>
    <s v="2020-269-45-MTM-A"/>
    <m/>
    <s v="Lake"/>
    <n v="41.38194"/>
    <n v="-87.318830000000005"/>
    <s v="Transportation"/>
    <m/>
    <s v="No"/>
    <m/>
    <n v="6127.5"/>
    <n v="28595"/>
    <n v="6127.5"/>
    <m/>
    <m/>
    <m/>
    <m/>
    <m/>
    <m/>
    <m/>
    <m/>
    <m/>
  </r>
  <r>
    <d v="2020-08-20T00:00:00"/>
    <s v="August"/>
    <n v="2020"/>
    <x v="5"/>
    <n v="-297"/>
    <x v="1"/>
    <n v="118800"/>
    <n v="122"/>
    <s v="Federal"/>
    <x v="2"/>
    <n v="235"/>
    <s v="SIGECO dba Vectren Power Supply"/>
    <s v="LRL-2016-408-jmb"/>
    <s v="2016-259-65-JWR-A"/>
    <m/>
    <s v="Posey"/>
    <n v="37.90119"/>
    <n v="-87.712779999999995"/>
    <s v="Energy Production"/>
    <m/>
    <s v="No"/>
    <m/>
    <n v="17820"/>
    <n v="83160"/>
    <n v="17820"/>
    <m/>
    <m/>
    <m/>
    <m/>
    <m/>
    <m/>
    <m/>
    <m/>
    <m/>
  </r>
  <r>
    <d v="2020-08-20T00:00:00"/>
    <s v="August"/>
    <n v="2020"/>
    <x v="10"/>
    <n v="-132.5"/>
    <x v="1"/>
    <n v="53000"/>
    <n v="96"/>
    <s v="Federal"/>
    <x v="1"/>
    <n v="642.5"/>
    <s v="INDOT "/>
    <s v="LRL-2019-670-scm"/>
    <s v="2019-488-72-JBT-A"/>
    <m/>
    <s v="Scott"/>
    <n v="38.737000000000002"/>
    <n v="-85.711100000000002"/>
    <s v="Transportation"/>
    <m/>
    <s v="No"/>
    <m/>
    <n v="7950"/>
    <n v="37100"/>
    <n v="7950"/>
    <m/>
    <m/>
    <m/>
    <m/>
    <m/>
    <m/>
    <m/>
    <m/>
    <s v="Corps RGP - IDEM only required mitigation"/>
  </r>
  <r>
    <d v="2020-08-20T00:00:00"/>
    <s v="August"/>
    <n v="2020"/>
    <x v="10"/>
    <n v="-6"/>
    <x v="1"/>
    <n v="2400"/>
    <n v="96"/>
    <s v="Federal"/>
    <x v="2"/>
    <n v="92"/>
    <s v="INDOT "/>
    <s v="LRL-2019-670-scm"/>
    <s v="2019-488-72-JBT-A"/>
    <m/>
    <s v="Scott"/>
    <n v="38.737000000000002"/>
    <n v="-85.711100000000002"/>
    <s v="Transportation"/>
    <m/>
    <s v="No"/>
    <m/>
    <n v="360"/>
    <n v="1680"/>
    <n v="360"/>
    <m/>
    <m/>
    <m/>
    <m/>
    <m/>
    <m/>
    <m/>
    <m/>
    <s v="Corps RGP - IDEM only required mitigation"/>
  </r>
  <r>
    <d v="2020-08-20T00:00:00"/>
    <s v="August"/>
    <n v="2020"/>
    <x v="10"/>
    <n v="-3.9E-2"/>
    <x v="0"/>
    <n v="3120"/>
    <n v="96"/>
    <s v="Federal"/>
    <x v="3"/>
    <n v="1.9699999999999999E-2"/>
    <s v="INDOT "/>
    <s v="LRL-2019-670-scm"/>
    <s v="2019-488-72-JBT-A"/>
    <m/>
    <s v="Scott"/>
    <n v="38.737000000000002"/>
    <n v="-85.711100000000002"/>
    <s v="Transportation"/>
    <m/>
    <s v="No"/>
    <m/>
    <n v="468"/>
    <n v="2184"/>
    <n v="468"/>
    <m/>
    <m/>
    <m/>
    <m/>
    <m/>
    <m/>
    <m/>
    <m/>
    <s v="Corps RGP - IDEM only required mitigation"/>
  </r>
  <r>
    <d v="2020-08-20T00:00:00"/>
    <s v="August"/>
    <n v="2020"/>
    <x v="10"/>
    <n v="-3.2000000000000001E-2"/>
    <x v="0"/>
    <n v="2560"/>
    <n v="96"/>
    <s v="Federal"/>
    <x v="4"/>
    <n v="8.0000000000000002E-3"/>
    <s v="INDOT "/>
    <s v="LRL-2019-670-scm"/>
    <s v="2019-488-72-JBT-A"/>
    <m/>
    <s v="Scott"/>
    <n v="38.737000000000002"/>
    <n v="-85.711100000000002"/>
    <s v="Transportation"/>
    <m/>
    <s v="No"/>
    <m/>
    <n v="384"/>
    <n v="1792"/>
    <n v="384"/>
    <m/>
    <m/>
    <m/>
    <m/>
    <m/>
    <m/>
    <m/>
    <m/>
    <s v="Corps RGP - IDEM only required mitigation"/>
  </r>
  <r>
    <d v="2020-08-28T00:00:00"/>
    <s v="August"/>
    <n v="2020"/>
    <x v="7"/>
    <n v="-110"/>
    <x v="1"/>
    <n v="44000"/>
    <n v="137"/>
    <s v="Federal"/>
    <x v="6"/>
    <n v="110"/>
    <s v="Indiana DNR"/>
    <s v="LRL-2020-406-cat"/>
    <s v="2020-305-39-TMS-X"/>
    <m/>
    <s v="Jefferson"/>
    <n v="38.732199999999999"/>
    <n v="-85.246099999999998"/>
    <s v="Transportation"/>
    <m/>
    <s v="No"/>
    <m/>
    <n v="6600"/>
    <n v="30799.999999999996"/>
    <n v="6600"/>
    <m/>
    <m/>
    <m/>
    <m/>
    <m/>
    <m/>
    <m/>
    <m/>
    <m/>
  </r>
  <r>
    <d v="2020-08-31T00:00:00"/>
    <s v="August"/>
    <n v="2020"/>
    <x v="5"/>
    <n v="-0.52"/>
    <x v="0"/>
    <n v="41440"/>
    <n v="118"/>
    <s v="Federal"/>
    <x v="3"/>
    <n v="0.22"/>
    <s v="Perry County Development Corporation"/>
    <s v="LRL-2015-59-KJS"/>
    <s v="2017-426-JWR-62-JWR"/>
    <m/>
    <s v="Perry"/>
    <n v="37.986739999999998"/>
    <n v="-86.771259999999998"/>
    <s v="Development"/>
    <m/>
    <s v="No"/>
    <m/>
    <n v="6216"/>
    <n v="29007.999999999996"/>
    <n v="6216"/>
    <m/>
    <m/>
    <m/>
    <m/>
    <m/>
    <m/>
    <m/>
    <m/>
    <m/>
  </r>
  <r>
    <d v="2020-08-31T00:00:00"/>
    <s v="August"/>
    <n v="2020"/>
    <x v="5"/>
    <n v="-0.78"/>
    <x v="0"/>
    <n v="62560"/>
    <n v="118"/>
    <s v="Federal"/>
    <x v="4"/>
    <n v="0.16"/>
    <s v="Perry County Development Corporation"/>
    <s v="LRL-2015-59-KJS"/>
    <s v="2017-426-JWR-62-JWR"/>
    <m/>
    <s v="Perry"/>
    <n v="37.986739999999998"/>
    <n v="-86.771259999999998"/>
    <s v="Development"/>
    <m/>
    <s v="No"/>
    <m/>
    <n v="9384"/>
    <n v="43792"/>
    <n v="9384"/>
    <m/>
    <m/>
    <m/>
    <m/>
    <m/>
    <m/>
    <m/>
    <m/>
    <m/>
  </r>
  <r>
    <d v="2020-08-31T00:00:00"/>
    <s v="August"/>
    <n v="2020"/>
    <x v="6"/>
    <n v="-0.122"/>
    <x v="0"/>
    <n v="14640"/>
    <n v="146"/>
    <s v="Federal"/>
    <x v="3"/>
    <n v="6.0999999999999999E-2"/>
    <s v="St. Joseph County"/>
    <s v="LRE-2019-01448-171-R19"/>
    <s v="2019-919-71-JWR-A"/>
    <m/>
    <s v="St. Joseph"/>
    <n v="41.709065000000002"/>
    <n v="-86.215205999999995"/>
    <s v="Transportation"/>
    <m/>
    <s v="No"/>
    <m/>
    <n v="2196"/>
    <n v="10248"/>
    <n v="2196"/>
    <m/>
    <m/>
    <m/>
    <m/>
    <m/>
    <m/>
    <m/>
    <m/>
    <m/>
  </r>
  <r>
    <d v="2020-08-31T00:00:00"/>
    <s v="August"/>
    <n v="2020"/>
    <x v="6"/>
    <n v="-2.2040000000000002"/>
    <x v="0"/>
    <n v="264480"/>
    <n v="146"/>
    <s v="Federal"/>
    <x v="4"/>
    <n v="0.55100000000000005"/>
    <s v="St. Joseph County"/>
    <s v="LRE-2019-01448-171-R19"/>
    <s v="2019-919-71-JWR-A"/>
    <m/>
    <s v="St. Joseph"/>
    <n v="41.709065000000002"/>
    <n v="-86.215205999999995"/>
    <s v="Transportation"/>
    <m/>
    <s v="No"/>
    <m/>
    <n v="39672"/>
    <n v="185136"/>
    <n v="39672"/>
    <m/>
    <m/>
    <m/>
    <m/>
    <m/>
    <m/>
    <m/>
    <m/>
    <m/>
  </r>
  <r>
    <d v="2020-08-31T00:00:00"/>
    <s v="August"/>
    <n v="2020"/>
    <x v="7"/>
    <n v="-0.221"/>
    <x v="0"/>
    <n v="17680"/>
    <n v="141"/>
    <s v="State Isolated"/>
    <x v="3"/>
    <n v="0.221"/>
    <s v="City of Greendale"/>
    <s v="N/A"/>
    <s v="IWGP 2020-405-15-TMS-A"/>
    <m/>
    <s v="Dearborn"/>
    <n v="39.113160000000001"/>
    <n v="-84.856620000000007"/>
    <s v="Development"/>
    <s v="LRL-2014-100-sam/Fourteeen Mile Creek Mitigation Bank"/>
    <s v="Yes"/>
    <d v="2024-01-22T00:00:00"/>
    <n v="2652"/>
    <n v="12376"/>
    <n v="2652"/>
    <m/>
    <m/>
    <m/>
    <m/>
    <s v="Fourteen Mile Creek Mitigation Bank"/>
    <m/>
    <m/>
    <m/>
    <s v="Credit fulfilled, purchased from Fourteen Mile Creek Mitigation Bank.  "/>
  </r>
  <r>
    <d v="2020-08-31T00:00:00"/>
    <s v="August"/>
    <n v="2020"/>
    <x v="9"/>
    <n v="-0.74"/>
    <x v="0"/>
    <n v="59200"/>
    <n v="142"/>
    <s v="State Isolated"/>
    <x v="3"/>
    <n v="0.74"/>
    <s v="Walmart Stores, Inc."/>
    <s v="N/A"/>
    <s v="IWIP 2020-388-30-ALF-A"/>
    <m/>
    <s v="Hancock"/>
    <n v="39.852800000000002"/>
    <n v="-85.905500000000004"/>
    <s v="Development"/>
    <s v="LRL-2021-552-sam"/>
    <s v="Yes"/>
    <d v="2025-05-09T00:00:00"/>
    <n v="8880"/>
    <n v="41440"/>
    <n v="8880"/>
    <m/>
    <m/>
    <m/>
    <m/>
    <s v="Fall Creek Woods Release #2"/>
    <m/>
    <m/>
    <m/>
    <s v="Class I Non-Forested (1 to 1 ratio). Credits fulfilled by Fall Creek Woods Release #2."/>
  </r>
  <r>
    <d v="2020-08-31T00:00:00"/>
    <s v="August"/>
    <n v="2020"/>
    <x v="9"/>
    <n v="-6.48"/>
    <x v="0"/>
    <n v="518400"/>
    <n v="142"/>
    <s v="State Isolated"/>
    <x v="4"/>
    <n v="2.16"/>
    <s v="Walmart Stores, Inc."/>
    <s v="N/A"/>
    <s v="IWIP 2020-388-30-ALF-A"/>
    <m/>
    <s v="Hancock"/>
    <n v="39.852800000000002"/>
    <n v="-85.905500000000004"/>
    <s v="Development"/>
    <s v="LRL-2021-552-sam"/>
    <s v="No"/>
    <s v="5/9/2025,"/>
    <n v="77760"/>
    <n v="362880"/>
    <n v="77760"/>
    <m/>
    <m/>
    <m/>
    <m/>
    <s v="Fall Creek Woods Release #2"/>
    <m/>
    <m/>
    <m/>
    <s v="Class III Forested (3 to 1 ratio). 0.476 credits fulfilled by Fall Creek Woods Release #2. 6.004/6.48 credits remaining to be fulfilled. "/>
  </r>
  <r>
    <d v="2020-09-08T00:00:00"/>
    <s v="September"/>
    <n v="2020"/>
    <x v="0"/>
    <n v="-0.88"/>
    <x v="0"/>
    <n v="83600"/>
    <n v="148"/>
    <s v="State Isolated"/>
    <x v="3"/>
    <n v="0.88"/>
    <s v="Olthof Homes - Ed Recktenwald"/>
    <s v="N/A"/>
    <s v="2019-425-64-MTM-A"/>
    <m/>
    <s v="Porter"/>
    <n v="41.584589999999999"/>
    <n v="-87.117549999999994"/>
    <s v="Development"/>
    <m/>
    <s v="No"/>
    <m/>
    <n v="12540"/>
    <n v="58519.999999999993"/>
    <n v="12540"/>
    <m/>
    <m/>
    <m/>
    <m/>
    <m/>
    <m/>
    <m/>
    <m/>
    <s v="Class I Non-Forested (1 to 1 ratio)"/>
  </r>
  <r>
    <d v="2020-09-08T00:00:00"/>
    <s v="September"/>
    <n v="2020"/>
    <x v="6"/>
    <n v="-0.42"/>
    <x v="0"/>
    <n v="50400"/>
    <n v="136"/>
    <s v="Federal"/>
    <x v="3"/>
    <n v="0.21"/>
    <s v="St. Joseph County Airport Authority"/>
    <s v="LRE-2001-1710041-R20"/>
    <s v="2020-521-71-JWR-X"/>
    <m/>
    <s v="St. Joseph"/>
    <n v="41.702539999999999"/>
    <n v="-86.325190000000006"/>
    <s v="Transportation"/>
    <m/>
    <s v="No"/>
    <m/>
    <n v="7560"/>
    <n v="35280"/>
    <n v="7560"/>
    <m/>
    <m/>
    <m/>
    <m/>
    <m/>
    <m/>
    <m/>
    <m/>
    <s v="Corps and IDEM RGP"/>
  </r>
  <r>
    <d v="2020-09-15T00:00:00"/>
    <s v="September"/>
    <n v="2020"/>
    <x v="8"/>
    <n v="-0.46"/>
    <x v="0"/>
    <n v="36800"/>
    <n v="112"/>
    <s v="Federal"/>
    <x v="3"/>
    <n v="0.23"/>
    <s v="INDOT"/>
    <s v="LRL-2018-801-djd"/>
    <s v="2019-653-12-JBT-A"/>
    <m/>
    <s v="Clinton &amp; Howard"/>
    <n v="40.417000000000002"/>
    <n v="-86.582999999999998"/>
    <s v="Transportation"/>
    <m/>
    <s v="No"/>
    <m/>
    <n v="5520"/>
    <n v="25760"/>
    <n v="5520"/>
    <m/>
    <m/>
    <m/>
    <m/>
    <m/>
    <m/>
    <m/>
    <m/>
    <s v="IDEM required more ILF Credits than the Corps for PEM impacts (INDOT DES No.: 1400263, 1592971, 1400265)"/>
  </r>
  <r>
    <d v="2020-09-15T00:00:00"/>
    <s v="September"/>
    <n v="2020"/>
    <x v="8"/>
    <n v="-1794"/>
    <x v="1"/>
    <n v="717600"/>
    <n v="112"/>
    <s v="Federal"/>
    <x v="2"/>
    <n v="2067"/>
    <s v="INDOT"/>
    <s v="LRL-2018-801-djd"/>
    <s v="2019-653-12-JBT-A"/>
    <m/>
    <s v="Clinton &amp; Howard"/>
    <n v="40.417000000000002"/>
    <n v="-86.582999999999998"/>
    <s v="Transportation"/>
    <m/>
    <s v="No"/>
    <m/>
    <n v="107640"/>
    <n v="502319.99999999994"/>
    <n v="107640"/>
    <m/>
    <m/>
    <m/>
    <m/>
    <m/>
    <m/>
    <m/>
    <m/>
    <s v="The Corps did not require ILF Stream Credits (INDOT DES No.: 1400263, 1592971, 1400265)"/>
  </r>
  <r>
    <d v="2020-09-15T00:00:00"/>
    <s v="September"/>
    <n v="2020"/>
    <x v="8"/>
    <n v="-10"/>
    <x v="1"/>
    <n v="4000"/>
    <n v="112"/>
    <s v="Federal"/>
    <x v="6"/>
    <n v="10"/>
    <s v="INDOT"/>
    <s v="LRL-2018-801-djd"/>
    <s v="2019-653-12-JBT-A"/>
    <m/>
    <s v="Clinton &amp; Howard"/>
    <n v="40.417000000000002"/>
    <n v="-86.582999999999998"/>
    <s v="Transportation"/>
    <m/>
    <s v="No"/>
    <m/>
    <n v="600"/>
    <n v="2800"/>
    <n v="600"/>
    <m/>
    <m/>
    <m/>
    <m/>
    <m/>
    <m/>
    <m/>
    <m/>
    <s v="The Corps did not require ILF Stream Credits (INDOT DES No.: 1400263, 1592971, 1400265)"/>
  </r>
  <r>
    <d v="2020-09-15T00:00:00"/>
    <s v="September"/>
    <n v="2020"/>
    <x v="8"/>
    <n v="-0.03"/>
    <x v="0"/>
    <n v="2400"/>
    <n v="112"/>
    <s v="Federal"/>
    <x v="5"/>
    <n v="0.01"/>
    <s v="INDOT"/>
    <s v="LRL-2018-801-djd"/>
    <s v="2019-653-12-JBT-A"/>
    <m/>
    <s v="Clinton &amp; Howard"/>
    <n v="40.417000000000002"/>
    <n v="-86.582999999999998"/>
    <s v="Transportation"/>
    <m/>
    <s v="No"/>
    <m/>
    <n v="360"/>
    <n v="1680"/>
    <n v="360"/>
    <m/>
    <m/>
    <m/>
    <m/>
    <m/>
    <m/>
    <m/>
    <m/>
    <s v="The Corps did not require ILF credits for PSS impacts (INDOT DES No.: 1400263, 1592971, 1400265)"/>
  </r>
  <r>
    <d v="2020-09-15T00:00:00"/>
    <s v="September"/>
    <n v="2020"/>
    <x v="8"/>
    <n v="-1.04"/>
    <x v="0"/>
    <n v="83200"/>
    <n v="112"/>
    <s v="Federal"/>
    <x v="4"/>
    <n v="0.26"/>
    <s v="INDOT"/>
    <s v="LRL-2018-801-djd"/>
    <s v="2019-653-12-JBT-A"/>
    <m/>
    <s v="Clinton &amp; Howard"/>
    <n v="40.417000000000002"/>
    <n v="-86.582999999999998"/>
    <s v="Transportation"/>
    <m/>
    <s v="No"/>
    <m/>
    <n v="12480"/>
    <n v="58239.999999999993"/>
    <n v="12480"/>
    <m/>
    <m/>
    <m/>
    <m/>
    <m/>
    <m/>
    <m/>
    <m/>
    <s v="IDEM required more ILF Credits than the Corps for PFO impacts (INDOT DES No.: 1400263, 1592971, 1400265)"/>
  </r>
  <r>
    <d v="2020-09-15T00:00:00"/>
    <s v="September"/>
    <n v="2020"/>
    <x v="8"/>
    <n v="-0.05"/>
    <x v="0"/>
    <n v="4000"/>
    <n v="112"/>
    <s v="State Isolated"/>
    <x v="3"/>
    <n v="0.05"/>
    <s v="INDOT"/>
    <s v="N/A"/>
    <s v="IWGP 2019-653-12-JBT-A"/>
    <m/>
    <s v="Clinton &amp; Howard"/>
    <n v="40.417299999999997"/>
    <n v="-86.305999999999997"/>
    <s v="Transportation"/>
    <m/>
    <s v="No"/>
    <m/>
    <n v="600"/>
    <n v="2800"/>
    <n v="600"/>
    <m/>
    <m/>
    <m/>
    <m/>
    <m/>
    <m/>
    <m/>
    <m/>
    <s v="Class I Non-Forested (1 to 1 ratio) (INDOT DES No.: 1400263, 1592971, 1400265)"/>
  </r>
  <r>
    <d v="2020-09-15T00:00:00"/>
    <s v="September"/>
    <n v="2020"/>
    <x v="9"/>
    <n v="-411"/>
    <x v="1"/>
    <n v="184950"/>
    <n v="113"/>
    <s v="Federal"/>
    <x v="2"/>
    <n v="411"/>
    <s v="INDOT"/>
    <s v="LRL-2019-584-djd "/>
    <s v="2020-136-06-JBT-A"/>
    <m/>
    <s v="Boone"/>
    <n v="39.981999999999999"/>
    <n v="-86.396000000000001"/>
    <s v="Transportation"/>
    <m/>
    <s v="No"/>
    <m/>
    <n v="27742.5"/>
    <n v="129465"/>
    <n v="27742.5"/>
    <m/>
    <m/>
    <m/>
    <m/>
    <m/>
    <m/>
    <m/>
    <m/>
    <s v="The Corps did not require ILF Stream Credits (INDOT DES No.: 1400071)"/>
  </r>
  <r>
    <d v="2020-09-15T00:00:00"/>
    <s v="September"/>
    <n v="2020"/>
    <x v="9"/>
    <n v="-0.16200000000000001"/>
    <x v="0"/>
    <n v="12960"/>
    <n v="113"/>
    <s v="State Isolated"/>
    <x v="3"/>
    <n v="0.16200000000000001"/>
    <s v="INDOT"/>
    <s v="N/A"/>
    <s v="IWGP 2020-136-06-JBT-A"/>
    <m/>
    <s v="Boone"/>
    <n v="39.984000000000002"/>
    <n v="-86.399000000000001"/>
    <s v="Transportation"/>
    <m/>
    <s v="No"/>
    <m/>
    <n v="1944"/>
    <n v="9072"/>
    <n v="1944"/>
    <m/>
    <m/>
    <m/>
    <m/>
    <m/>
    <m/>
    <m/>
    <m/>
    <s v="Class I Non-Forested (INDOT DES No.: 1400071)"/>
  </r>
  <r>
    <d v="2020-09-15T00:00:00"/>
    <s v="September"/>
    <n v="2020"/>
    <x v="9"/>
    <n v="-0.27500000000000002"/>
    <x v="0"/>
    <n v="22000"/>
    <n v="113"/>
    <s v="State Isolated"/>
    <x v="4"/>
    <n v="0.11"/>
    <s v="INDOT"/>
    <s v="N/A"/>
    <s v="IWGP 2020-136-06-JBT-A"/>
    <m/>
    <s v="Boone"/>
    <n v="39.984000000000002"/>
    <n v="-86.399000000000001"/>
    <s v="Transportation"/>
    <m/>
    <s v="No"/>
    <m/>
    <n v="3300"/>
    <n v="15399.999999999998"/>
    <n v="3300"/>
    <m/>
    <m/>
    <m/>
    <m/>
    <m/>
    <m/>
    <m/>
    <m/>
    <s v="Class II Forested (INDOT DES No.: 1400071)"/>
  </r>
  <r>
    <d v="2020-09-15T00:00:00"/>
    <s v="September"/>
    <n v="2020"/>
    <x v="9"/>
    <n v="-88.25"/>
    <x v="1"/>
    <n v="39712.51"/>
    <n v="128"/>
    <s v="Federal"/>
    <x v="2"/>
    <n v="88.25"/>
    <s v="INDOT"/>
    <s v="LRL-2017-461-scm"/>
    <s v="2019-844-32-JBT-A"/>
    <m/>
    <s v="Hendricks"/>
    <n v="39.667999999999999"/>
    <n v="-86.370699999999999"/>
    <s v="Transportation"/>
    <m/>
    <s v="No"/>
    <m/>
    <n v="5956.8765000000003"/>
    <n v="27798.757000000001"/>
    <n v="5956.8765000000003"/>
    <m/>
    <m/>
    <m/>
    <m/>
    <m/>
    <m/>
    <m/>
    <m/>
    <s v="Corps did not require ILF mitigation for this reach of I-70 (mitigation required previously under same 404 No.) (DES 1592433)"/>
  </r>
  <r>
    <d v="2020-09-17T00:00:00"/>
    <s v="September"/>
    <n v="2020"/>
    <x v="4"/>
    <n v="-7.0000000000000001E-3"/>
    <x v="0"/>
    <n v="560"/>
    <n v="126"/>
    <s v="State Isolated"/>
    <x v="3"/>
    <n v="7.0000000000000001E-3"/>
    <s v="INDOT "/>
    <s v="N/A"/>
    <s v="IWGP 2020-287-04-JBT-A"/>
    <m/>
    <s v="Benton"/>
    <n v="40.539299999999997"/>
    <n v="-87.378799999999998"/>
    <s v="Transportation"/>
    <m/>
    <s v="No"/>
    <m/>
    <n v="84"/>
    <n v="392"/>
    <n v="84"/>
    <m/>
    <m/>
    <m/>
    <m/>
    <m/>
    <m/>
    <m/>
    <m/>
    <s v="DES NO. 1701564; Class 1 State Isolated Wetland Impact"/>
  </r>
  <r>
    <d v="2020-09-18T00:00:00"/>
    <s v="September "/>
    <n v="2020"/>
    <x v="4"/>
    <n v="-18.3"/>
    <x v="1"/>
    <n v="7320"/>
    <n v="125"/>
    <s v="Federal"/>
    <x v="1"/>
    <n v="740.3"/>
    <s v="INDOT "/>
    <s v="LRL-2020-60-scm"/>
    <s v="2020-91-77-JBT-A"/>
    <m/>
    <s v="Sullivan"/>
    <n v="39.194546000000003"/>
    <n v="-87.489445000000003"/>
    <s v="Transportation"/>
    <m/>
    <s v="No"/>
    <m/>
    <n v="1098"/>
    <n v="5124"/>
    <n v="1098"/>
    <m/>
    <m/>
    <m/>
    <m/>
    <m/>
    <m/>
    <m/>
    <m/>
    <s v="DES No. 9701930; USACE did not require mitigation approved RGP"/>
  </r>
  <r>
    <d v="2020-09-18T00:00:00"/>
    <s v="September "/>
    <n v="2020"/>
    <x v="4"/>
    <n v="-176"/>
    <x v="1"/>
    <n v="70400"/>
    <n v="125"/>
    <s v="Federal"/>
    <x v="6"/>
    <n v="176"/>
    <s v="INDOT "/>
    <s v="LRL-2020-60-scm"/>
    <s v="2020-91-77-JBT-A"/>
    <m/>
    <s v="Sullivan"/>
    <n v="39.194546000000003"/>
    <n v="-87.489445000000003"/>
    <s v="Transportation"/>
    <m/>
    <s v="No"/>
    <m/>
    <n v="10560"/>
    <n v="49280"/>
    <n v="10560"/>
    <m/>
    <m/>
    <m/>
    <m/>
    <m/>
    <m/>
    <m/>
    <m/>
    <s v="DES No. 9701930; USACE did not require mitigation approved RGP"/>
  </r>
  <r>
    <d v="2020-09-18T00:00:00"/>
    <s v="September"/>
    <n v="2020"/>
    <x v="4"/>
    <n v="-1.4E-2"/>
    <x v="0"/>
    <n v="1120"/>
    <n v="125"/>
    <s v="Federal"/>
    <x v="3"/>
    <n v="7.0000000000000001E-3"/>
    <s v="INDOT "/>
    <s v="LRL-2020-60-scm"/>
    <s v="2020-91-77-JBT-A"/>
    <m/>
    <s v="Sullivan"/>
    <n v="39.194546000000003"/>
    <n v="-87.489445000000003"/>
    <s v="Transportation"/>
    <m/>
    <s v="No"/>
    <m/>
    <n v="168"/>
    <n v="784"/>
    <n v="168"/>
    <m/>
    <m/>
    <m/>
    <m/>
    <m/>
    <m/>
    <m/>
    <m/>
    <s v="DES No. 9701930; USACE did not require mitigation approved RGP"/>
  </r>
  <r>
    <d v="2020-09-18T00:00:00"/>
    <s v="September"/>
    <n v="2020"/>
    <x v="4"/>
    <n v="-162"/>
    <x v="1"/>
    <n v="64800"/>
    <n v="119"/>
    <s v="Federal"/>
    <x v="6"/>
    <n v="162"/>
    <s v="INDOT "/>
    <s v="LRL-2019-882-djd"/>
    <s v="2019-878-06-JBT-A"/>
    <m/>
    <s v="Boone"/>
    <n v="40.152200000000001"/>
    <n v="-86.537649999999999"/>
    <s v="Transportation"/>
    <m/>
    <s v="No"/>
    <m/>
    <n v="9720"/>
    <n v="45360"/>
    <n v="9720"/>
    <m/>
    <m/>
    <m/>
    <m/>
    <m/>
    <m/>
    <m/>
    <m/>
    <s v="DES No. 1173629 and 1173630; USACE did not require mitigation approved RGP"/>
  </r>
  <r>
    <d v="2020-09-18T00:00:00"/>
    <s v="September"/>
    <n v="2020"/>
    <x v="4"/>
    <n v="-0.1172"/>
    <x v="0"/>
    <n v="9376"/>
    <n v="119"/>
    <s v="Federal"/>
    <x v="3"/>
    <n v="5.8599999999999999E-2"/>
    <s v="INDOT "/>
    <s v="LRL-2019-882-djd"/>
    <s v="2019-878-06-JBT-A"/>
    <m/>
    <s v="Boone"/>
    <n v="40.152200000000001"/>
    <n v="-86.537649999999999"/>
    <s v="Transportation"/>
    <m/>
    <s v="No"/>
    <m/>
    <n v="1406.3999999999999"/>
    <n v="6563.2"/>
    <n v="1406.3999999999999"/>
    <m/>
    <m/>
    <m/>
    <m/>
    <m/>
    <m/>
    <m/>
    <m/>
    <s v="DES No. 1173629 and 1173630; USACE did not require mitigation approved RGP"/>
  </r>
  <r>
    <d v="2020-09-18T00:00:00"/>
    <s v="September"/>
    <n v="2020"/>
    <x v="4"/>
    <n v="-8.1000000000000003E-2"/>
    <x v="0"/>
    <n v="6480"/>
    <n v="119"/>
    <s v="Federal"/>
    <x v="4"/>
    <n v="2.7E-2"/>
    <s v="INDOT "/>
    <s v="LRL-2019-882-djd"/>
    <s v="2019-878-06-JBT-A"/>
    <m/>
    <s v="Boone"/>
    <n v="40.152200000000001"/>
    <n v="-86.537649999999999"/>
    <s v="Transportation"/>
    <m/>
    <s v="No"/>
    <m/>
    <n v="972"/>
    <n v="4536"/>
    <n v="972"/>
    <m/>
    <m/>
    <m/>
    <m/>
    <m/>
    <m/>
    <m/>
    <m/>
    <s v="DES No. 1173629 and 1173630; USACE did not require mitigation approved RGP"/>
  </r>
  <r>
    <d v="2020-09-18T00:00:00"/>
    <s v="September"/>
    <n v="2020"/>
    <x v="5"/>
    <n v="-347"/>
    <x v="1"/>
    <n v="138800"/>
    <n v="120"/>
    <s v="Federal"/>
    <x v="2"/>
    <n v="703"/>
    <s v="INDOT "/>
    <s v="LRL-2020-39-djd"/>
    <s v="2020-250-74-JBT-A"/>
    <m/>
    <s v="Spencer"/>
    <n v="37.901499999999999"/>
    <n v="-87.104799999999997"/>
    <s v="Transportation"/>
    <m/>
    <s v="No"/>
    <m/>
    <n v="20820"/>
    <n v="97160"/>
    <n v="20820"/>
    <m/>
    <m/>
    <m/>
    <m/>
    <m/>
    <m/>
    <m/>
    <m/>
    <s v="DES No. 0710929; USACE did not require mitigation approved RGP"/>
  </r>
  <r>
    <d v="2020-09-18T00:00:00"/>
    <s v="September"/>
    <n v="2020"/>
    <x v="5"/>
    <n v="-0.02"/>
    <x v="0"/>
    <n v="1600"/>
    <n v="120"/>
    <s v="Federal"/>
    <x v="3"/>
    <n v="0.01"/>
    <s v="INDOT "/>
    <s v="LRL-2020-39-djd"/>
    <s v="2020-250-74-JBT-A"/>
    <m/>
    <s v="Spencer"/>
    <n v="37.901499999999999"/>
    <n v="-87.104799999999997"/>
    <s v="Transportation"/>
    <m/>
    <s v="No"/>
    <m/>
    <n v="240"/>
    <n v="1120"/>
    <n v="240"/>
    <m/>
    <m/>
    <m/>
    <m/>
    <m/>
    <m/>
    <m/>
    <m/>
    <s v="DES No. 0710929; USACE did not require mitigation approved RGP"/>
  </r>
  <r>
    <d v="2020-09-30T00:00:00"/>
    <s v="September"/>
    <n v="2020"/>
    <x v="2"/>
    <n v="-1070"/>
    <x v="1"/>
    <n v="428000"/>
    <n v="109"/>
    <s v="Federal"/>
    <x v="1"/>
    <n v="892"/>
    <s v="NAVFAC MIDPLANT PWD"/>
    <s v="LRL-2019-71-lcl"/>
    <s v="2020-084-51-TMS-A"/>
    <m/>
    <s v="Martin"/>
    <n v="38.891100000000002"/>
    <n v="-86.864900000000006"/>
    <s v="Development"/>
    <m/>
    <s v="No"/>
    <m/>
    <n v="64200"/>
    <n v="299600"/>
    <n v="64200"/>
    <m/>
    <m/>
    <m/>
    <m/>
    <m/>
    <m/>
    <m/>
    <m/>
    <m/>
  </r>
  <r>
    <d v="2020-09-30T00:00:00"/>
    <s v="September"/>
    <n v="2020"/>
    <x v="2"/>
    <n v="-1"/>
    <x v="0"/>
    <n v="80000"/>
    <n v="109"/>
    <s v="Federal"/>
    <x v="4"/>
    <n v="0.27"/>
    <s v="NAVFAC MIDPLANT PWD"/>
    <s v="LRL-2019-71-lcl"/>
    <s v="2020-084-51-TMS-A"/>
    <m/>
    <s v="Martin"/>
    <n v="38.891100000000002"/>
    <n v="-86.864900000000006"/>
    <s v="Development"/>
    <m/>
    <s v="No"/>
    <m/>
    <n v="12000"/>
    <n v="56000"/>
    <n v="12000"/>
    <m/>
    <m/>
    <m/>
    <m/>
    <m/>
    <m/>
    <m/>
    <m/>
    <m/>
  </r>
  <r>
    <d v="2020-09-30T00:00:00"/>
    <s v="September"/>
    <n v="2020"/>
    <x v="2"/>
    <n v="-0.16600000000000001"/>
    <x v="0"/>
    <n v="13280"/>
    <n v="109"/>
    <s v="Federal"/>
    <x v="3"/>
    <n v="0.08"/>
    <s v="NAVFAC MIDPLANT PWD"/>
    <s v="LRL-2019-71-lcl"/>
    <s v="2020-084-51-TMS-A"/>
    <m/>
    <s v="Martin"/>
    <n v="38.891100000000002"/>
    <n v="-86.864900000000006"/>
    <s v="Development"/>
    <m/>
    <s v="No"/>
    <m/>
    <n v="1992"/>
    <n v="9296"/>
    <n v="1992"/>
    <m/>
    <m/>
    <m/>
    <m/>
    <m/>
    <m/>
    <m/>
    <m/>
    <m/>
  </r>
  <r>
    <d v="2020-10-13T00:00:00"/>
    <s v="October"/>
    <n v="2020"/>
    <x v="0"/>
    <n v="-0.72"/>
    <x v="0"/>
    <n v="68400"/>
    <n v="153"/>
    <s v="Federal"/>
    <x v="3"/>
    <n v="750"/>
    <s v="Glenn Springs Holdings, Inc"/>
    <s v="LRC-2020-125"/>
    <s v="2020-464-45-MTM-A"/>
    <m/>
    <s v="Lake"/>
    <n v="41.619916000000003"/>
    <n v="-87.431398000000002"/>
    <s v="Energy Production"/>
    <m/>
    <s v="No"/>
    <m/>
    <n v="10260"/>
    <n v="47880"/>
    <n v="10260"/>
    <m/>
    <m/>
    <m/>
    <m/>
    <m/>
    <m/>
    <m/>
    <m/>
    <s v="Wetland credit purchase for perennial stream encapsulation.  "/>
  </r>
  <r>
    <d v="2020-10-13T00:00:00"/>
    <s v="October"/>
    <n v="2020"/>
    <x v="9"/>
    <n v="-5602"/>
    <x v="1"/>
    <n v="2520900"/>
    <n v="149"/>
    <s v="Federal"/>
    <x v="1"/>
    <n v="4668"/>
    <s v="INDOT"/>
    <s v="LRL-2019-945-dds (IP)"/>
    <s v="2020-154-49-JBT-A"/>
    <m/>
    <s v="Marion "/>
    <n v="39.698371999999999"/>
    <n v="-86.138490000000004"/>
    <s v="Transportation"/>
    <m/>
    <s v="No"/>
    <m/>
    <n v="378135"/>
    <n v="1764630"/>
    <n v="378135"/>
    <m/>
    <m/>
    <m/>
    <m/>
    <m/>
    <m/>
    <m/>
    <m/>
    <s v="DES No. 1802075"/>
  </r>
  <r>
    <d v="2020-10-13T00:00:00"/>
    <s v="October"/>
    <n v="2020"/>
    <x v="9"/>
    <n v="-1360"/>
    <x v="1"/>
    <n v="612000"/>
    <n v="149"/>
    <s v="Federal"/>
    <x v="2"/>
    <n v="1113"/>
    <s v="INDOT"/>
    <s v="LRL-2019-945-dds (IP)"/>
    <s v="2020-154-49-JBT-A"/>
    <m/>
    <s v="Marion "/>
    <n v="39.698371999999999"/>
    <n v="-86.138490000000004"/>
    <s v="Transportation"/>
    <m/>
    <s v="No"/>
    <m/>
    <n v="91800"/>
    <n v="428400"/>
    <n v="91800"/>
    <m/>
    <m/>
    <m/>
    <m/>
    <m/>
    <m/>
    <m/>
    <m/>
    <s v="DES No. 1802075"/>
  </r>
  <r>
    <d v="2020-10-13T00:00:00"/>
    <s v="October"/>
    <n v="2020"/>
    <x v="9"/>
    <n v="-0.34200000000000003"/>
    <x v="0"/>
    <n v="27360"/>
    <n v="149"/>
    <s v="Federal"/>
    <x v="5"/>
    <n v="0.114"/>
    <s v="INDOT"/>
    <s v="LRL-2019-945-dds (IP)"/>
    <s v="2020-154-49-JBT-A"/>
    <m/>
    <s v="Marion "/>
    <n v="39.698371999999999"/>
    <n v="-86.138490000000004"/>
    <s v="Transportation"/>
    <m/>
    <s v="No"/>
    <m/>
    <n v="4104"/>
    <n v="19152"/>
    <n v="4104"/>
    <m/>
    <m/>
    <m/>
    <m/>
    <m/>
    <m/>
    <m/>
    <m/>
    <s v="DES No. 1802075; IDEM required more PSS ILF mitigation than the Corps"/>
  </r>
  <r>
    <d v="2020-10-13T00:00:00"/>
    <s v="October"/>
    <n v="2020"/>
    <x v="9"/>
    <n v="-1850"/>
    <x v="1"/>
    <n v="832500"/>
    <n v="149"/>
    <s v="Federal"/>
    <x v="1"/>
    <n v="1542"/>
    <s v="INDOT"/>
    <s v="LRL-2019-945-dds (RGP)"/>
    <s v="2020-154-49-JBT-A"/>
    <m/>
    <s v="Marion "/>
    <n v="39.698371999999999"/>
    <n v="-86.138490000000004"/>
    <s v="Transportation"/>
    <m/>
    <s v="No"/>
    <m/>
    <n v="124875"/>
    <n v="582750"/>
    <n v="124875"/>
    <m/>
    <m/>
    <m/>
    <m/>
    <m/>
    <m/>
    <m/>
    <m/>
    <s v="DES No. 1802075"/>
  </r>
  <r>
    <d v="2020-10-13T00:00:00"/>
    <s v="October"/>
    <n v="2020"/>
    <x v="9"/>
    <n v="-26"/>
    <x v="1"/>
    <n v="11700"/>
    <n v="149"/>
    <s v="Federal"/>
    <x v="6"/>
    <n v="22"/>
    <s v="INDOT"/>
    <s v="LRL-2019-945-dds (RGP)"/>
    <s v="2020-154-49-JBT-A"/>
    <m/>
    <s v="Marion "/>
    <n v="39.698371999999999"/>
    <n v="-86.138490000000004"/>
    <s v="Transportation"/>
    <m/>
    <s v="No"/>
    <m/>
    <n v="1755"/>
    <n v="8189.9999999999991"/>
    <n v="1755"/>
    <m/>
    <m/>
    <m/>
    <m/>
    <m/>
    <m/>
    <m/>
    <m/>
    <s v="DES No. 1802075"/>
  </r>
  <r>
    <d v="2020-10-13T00:00:00"/>
    <s v="October"/>
    <n v="2020"/>
    <x v="9"/>
    <n v="-8.7999999999999995E-2"/>
    <x v="0"/>
    <n v="7040"/>
    <n v="149"/>
    <s v="Federal"/>
    <x v="4"/>
    <n v="2.1999999999999999E-2"/>
    <s v="INDOT"/>
    <s v="LRL-2019-945-dds (RGP)"/>
    <s v="2020-154-49-JBT-A"/>
    <m/>
    <s v="Marion "/>
    <n v="39.698371999999999"/>
    <n v="-86.138490000000004"/>
    <s v="Transportation"/>
    <m/>
    <s v="No"/>
    <m/>
    <n v="1056"/>
    <n v="4928"/>
    <n v="1056"/>
    <m/>
    <m/>
    <m/>
    <m/>
    <m/>
    <m/>
    <m/>
    <m/>
    <s v="DES No. 1802075; IDEM required more PFO ILF mitigation than the Corps"/>
  </r>
  <r>
    <d v="2020-10-13T00:00:00"/>
    <s v="October"/>
    <n v="2020"/>
    <x v="9"/>
    <n v="-1.2999999999999999E-2"/>
    <x v="0"/>
    <n v="1040"/>
    <n v="149"/>
    <s v="State Isolated"/>
    <x v="3"/>
    <n v="1.2999999999999999E-2"/>
    <s v="INDOT"/>
    <s v="N/A"/>
    <s v="IWGP 2020-154-49-JBT-A"/>
    <m/>
    <s v="Marion "/>
    <n v="39.698371999999999"/>
    <n v="-86.138490000000004"/>
    <s v="Transportation"/>
    <m/>
    <s v="No"/>
    <m/>
    <n v="156"/>
    <n v="728"/>
    <n v="156"/>
    <m/>
    <m/>
    <m/>
    <m/>
    <m/>
    <m/>
    <m/>
    <m/>
    <s v="DES No. 1802075; Class I non-forested state isolated wetland"/>
  </r>
  <r>
    <d v="2020-10-14T00:00:00"/>
    <s v="October"/>
    <n v="2020"/>
    <x v="9"/>
    <n v="-220"/>
    <x v="1"/>
    <n v="99000"/>
    <n v="151"/>
    <s v="Federal"/>
    <x v="2"/>
    <n v="183"/>
    <s v="Pulte Homes of Indiana"/>
    <s v="LRL-2019-905-sjk"/>
    <s v="2020-40-32-ERL-A"/>
    <m/>
    <s v="Hendricks"/>
    <n v="39.697929000000002"/>
    <n v="-86.444142999999997"/>
    <s v="Development"/>
    <m/>
    <s v="No"/>
    <m/>
    <n v="14850"/>
    <n v="69300"/>
    <n v="14850"/>
    <m/>
    <m/>
    <m/>
    <m/>
    <m/>
    <m/>
    <m/>
    <m/>
    <s v="The Corps required more stream credits than IDEM"/>
  </r>
  <r>
    <d v="2020-10-14T00:00:00"/>
    <s v="October"/>
    <n v="2020"/>
    <x v="9"/>
    <n v="-1.44"/>
    <x v="0"/>
    <n v="115200"/>
    <n v="151"/>
    <s v="Federal"/>
    <x v="4"/>
    <n v="0.36"/>
    <s v="Pulte Homes of Indiana"/>
    <s v="LRL-2019-905-sjk"/>
    <s v="2020-40-32-ERL-A"/>
    <m/>
    <s v="Hendricks"/>
    <n v="39.697929000000002"/>
    <n v="-86.444142999999997"/>
    <s v="Development"/>
    <m/>
    <s v="No"/>
    <m/>
    <n v="17280"/>
    <n v="80640"/>
    <n v="17280"/>
    <m/>
    <m/>
    <m/>
    <m/>
    <m/>
    <m/>
    <m/>
    <m/>
    <s v="IDEM required more wetland credits than the Corps"/>
  </r>
  <r>
    <d v="2020-10-15T00:00:00"/>
    <s v="October"/>
    <n v="2020"/>
    <x v="7"/>
    <n v="-32"/>
    <x v="1"/>
    <n v="12800"/>
    <n v="147"/>
    <s v="Federal"/>
    <x v="2"/>
    <n v="32"/>
    <s v="INDOT"/>
    <s v="LRL-2020-443-djd"/>
    <s v="2020-533-22-JBT-X"/>
    <m/>
    <s v="Floyd"/>
    <n v="38.380450000000003"/>
    <n v="-86.004589999999993"/>
    <s v="Transportation"/>
    <m/>
    <s v="No"/>
    <m/>
    <n v="1920"/>
    <n v="8960"/>
    <n v="1920"/>
    <m/>
    <m/>
    <m/>
    <m/>
    <m/>
    <m/>
    <m/>
    <m/>
    <s v="DES No. 1700126 USACE approved RGP no mitigation.  Project has 204 LF EPH stream impacts"/>
  </r>
  <r>
    <d v="2020-10-22T00:00:00"/>
    <s v="October"/>
    <n v="2020"/>
    <x v="5"/>
    <n v="-0.5"/>
    <x v="0"/>
    <n v="40000"/>
    <n v="145"/>
    <s v="Federal"/>
    <x v="4"/>
    <n v="0.35"/>
    <s v="Vanderburgh County Engineering Department"/>
    <s v="LRL-2008-912-mdh"/>
    <s v="2008-327-JPS-A"/>
    <m/>
    <s v="Vanderburgh"/>
    <n v="38.042119999999997"/>
    <n v="-87.491659999999996"/>
    <s v="Transportation"/>
    <m/>
    <s v="No"/>
    <m/>
    <n v="6000"/>
    <n v="28000"/>
    <n v="6000"/>
    <m/>
    <m/>
    <m/>
    <m/>
    <m/>
    <m/>
    <m/>
    <m/>
    <s v="401 did not require credit purchase for failed mitigation."/>
  </r>
  <r>
    <d v="2020-11-10T00:00:00"/>
    <s v="November"/>
    <n v="2020"/>
    <x v="9"/>
    <n v="-0.33"/>
    <x v="0"/>
    <n v="26400"/>
    <n v="161"/>
    <s v="Federal"/>
    <x v="3"/>
    <n v="0.22"/>
    <s v="Marina Limited Partnership (Hassan Mercho)"/>
    <s v="LRL-2017-1037-sjk"/>
    <s v="2019-276-30-ALF-A"/>
    <m/>
    <s v="Marion "/>
    <n v="39.927199999999999"/>
    <n v="-85.937200000000004"/>
    <s v="Development"/>
    <m/>
    <s v="No"/>
    <m/>
    <n v="3960"/>
    <n v="18480"/>
    <n v="3960"/>
    <m/>
    <m/>
    <m/>
    <m/>
    <m/>
    <m/>
    <m/>
    <m/>
    <s v="Impacts to open water of Geist Reservoir; Corps RGP, only IDEM required mitigation"/>
  </r>
  <r>
    <d v="2020-11-13T00:00:00"/>
    <s v="November"/>
    <n v="2020"/>
    <x v="2"/>
    <n v="-123"/>
    <x v="1"/>
    <n v="49200"/>
    <n v="159"/>
    <s v="Federal"/>
    <x v="1"/>
    <n v="510"/>
    <s v="Monroe County Highway Engineering"/>
    <s v="LRL-2017-69-lcl"/>
    <s v="2020-150-53-JBT-A"/>
    <m/>
    <s v="Monroe"/>
    <n v="38.988999999999997"/>
    <n v="-86.367999999999995"/>
    <s v="Transportation"/>
    <m/>
    <s v="No"/>
    <m/>
    <n v="7380"/>
    <n v="34440"/>
    <n v="7380"/>
    <m/>
    <m/>
    <m/>
    <m/>
    <m/>
    <m/>
    <m/>
    <m/>
    <s v="Des No. 1702958; USACE approved RGP 1 and required no mitigation "/>
  </r>
  <r>
    <d v="2020-11-13T00:00:00"/>
    <s v="November"/>
    <n v="2020"/>
    <x v="2"/>
    <n v="-211"/>
    <x v="1"/>
    <n v="84400"/>
    <n v="159"/>
    <s v="Federal"/>
    <x v="2"/>
    <n v="920"/>
    <s v="Monroe County Highway Engineering"/>
    <s v="LRL-2017-69-lcl"/>
    <s v="2020-150-53-JBT-A"/>
    <m/>
    <s v="Monroe"/>
    <n v="38.988999999999997"/>
    <n v="-86.367999999999995"/>
    <s v="Transportation"/>
    <m/>
    <s v="No"/>
    <m/>
    <n v="12660"/>
    <n v="59079.999999999993"/>
    <n v="12660"/>
    <m/>
    <m/>
    <m/>
    <m/>
    <m/>
    <m/>
    <m/>
    <m/>
    <s v="Des No. 1702958; USACE approved RGP 1 and required no mitigation "/>
  </r>
  <r>
    <d v="2020-11-13T00:00:00"/>
    <s v="November"/>
    <n v="2020"/>
    <x v="2"/>
    <n v="-95"/>
    <x v="1"/>
    <n v="38000"/>
    <n v="159"/>
    <s v="Federal"/>
    <x v="6"/>
    <n v="839"/>
    <s v="Monroe County Highway Engineering"/>
    <s v="LRL-2017-69-lcl"/>
    <s v="2020-150-53-JBT-A"/>
    <m/>
    <s v="Monroe"/>
    <n v="38.988999999999997"/>
    <n v="-86.367999999999995"/>
    <s v="Transportation"/>
    <m/>
    <s v="No"/>
    <m/>
    <n v="5700"/>
    <n v="26600"/>
    <n v="5700"/>
    <m/>
    <m/>
    <m/>
    <m/>
    <m/>
    <m/>
    <m/>
    <m/>
    <s v="Des No. 1702958; USACE approved RGP 1 and required no mitigation "/>
  </r>
  <r>
    <d v="2020-11-17T00:00:00"/>
    <s v="November"/>
    <n v="2020"/>
    <x v="9"/>
    <n v="-520"/>
    <x v="1"/>
    <n v="234000"/>
    <n v="154"/>
    <s v="Federal"/>
    <x v="2"/>
    <n v="520"/>
    <s v="Hendricks County Engineering Department"/>
    <s v="LRL-2017-1185-djd (RGP)"/>
    <s v="2020-282-32-ERL-A"/>
    <m/>
    <s v="Hendricks"/>
    <n v="39.909120000000001"/>
    <n v="-86.374600000000001"/>
    <s v="Transportation"/>
    <m/>
    <s v="No"/>
    <m/>
    <n v="35100"/>
    <n v="163800"/>
    <n v="35100"/>
    <m/>
    <m/>
    <m/>
    <m/>
    <m/>
    <m/>
    <m/>
    <m/>
    <s v="Corps RGP did not require ILF mitigation"/>
  </r>
  <r>
    <d v="2020-11-17T00:00:00"/>
    <s v="November"/>
    <n v="2020"/>
    <x v="9"/>
    <n v="-20"/>
    <x v="1"/>
    <n v="9000"/>
    <n v="154"/>
    <s v="Federal"/>
    <x v="6"/>
    <n v="20"/>
    <s v="Hendricks County Engineering Department"/>
    <s v="LRL-2017-1185-djd (RGP)"/>
    <s v="2020-282-32-ERL-A"/>
    <m/>
    <s v="Hendricks"/>
    <n v="39.909120000000001"/>
    <n v="-86.374600000000001"/>
    <s v="Transportation"/>
    <m/>
    <s v="No"/>
    <m/>
    <n v="1350"/>
    <n v="6300"/>
    <n v="1350"/>
    <m/>
    <m/>
    <m/>
    <m/>
    <m/>
    <m/>
    <m/>
    <m/>
    <s v="Corps RGP did not require ILF mitigation"/>
  </r>
  <r>
    <d v="2020-11-17T00:00:00"/>
    <s v="November"/>
    <n v="2020"/>
    <x v="9"/>
    <n v="-0.14000000000000001"/>
    <x v="0"/>
    <n v="11200"/>
    <n v="154"/>
    <s v="Federal"/>
    <x v="3"/>
    <n v="7.0000000000000007E-2"/>
    <s v="Hendricks County Engineering Department"/>
    <s v="LRL-2017-1185-djd (RGP)"/>
    <s v="2020-282-32-ERL-A"/>
    <m/>
    <s v="Hendricks"/>
    <n v="39.909120000000001"/>
    <n v="-86.374600000000001"/>
    <s v="Transportation"/>
    <m/>
    <s v="No"/>
    <m/>
    <n v="1680"/>
    <n v="7839.9999999999991"/>
    <n v="1680"/>
    <m/>
    <m/>
    <m/>
    <m/>
    <m/>
    <m/>
    <m/>
    <m/>
    <s v="Corps RGP did not require ILF mitigation"/>
  </r>
  <r>
    <d v="2020-11-17T00:00:00"/>
    <s v="November"/>
    <n v="2020"/>
    <x v="9"/>
    <n v="-0.05"/>
    <x v="0"/>
    <n v="4000"/>
    <n v="154"/>
    <s v="State Isolated"/>
    <x v="3"/>
    <n v="0.05"/>
    <s v="Hendricks County Engineering Department"/>
    <s v="N/A"/>
    <s v="IWGP 2020-282-32-ERL-A"/>
    <m/>
    <s v="Hendricks"/>
    <n v="39.909120000000001"/>
    <n v="-86.374600000000001"/>
    <s v="Transportation"/>
    <m/>
    <s v="No"/>
    <m/>
    <n v="600"/>
    <n v="2800"/>
    <n v="600"/>
    <m/>
    <m/>
    <m/>
    <m/>
    <m/>
    <m/>
    <m/>
    <m/>
    <s v="State Isolated Class 1 (PEM) Non-Forested Wetland impact"/>
  </r>
  <r>
    <d v="2020-11-17T00:00:00"/>
    <s v="November"/>
    <n v="2020"/>
    <x v="9"/>
    <n v="-7.0000000000000007E-2"/>
    <x v="0"/>
    <n v="5600"/>
    <n v="155"/>
    <s v="State Isolated"/>
    <x v="3"/>
    <n v="7.0000000000000007E-2"/>
    <s v="Lennar Homes of Indiana, Inc."/>
    <s v="N/A"/>
    <s v="IWGP 2020-686-29-ALF-A"/>
    <m/>
    <s v="Hamilton"/>
    <n v="39.997500000000002"/>
    <n v="-86.048699999999997"/>
    <s v="Development"/>
    <m/>
    <s v="No"/>
    <m/>
    <n v="840"/>
    <n v="3919.9999999999995"/>
    <n v="840"/>
    <m/>
    <m/>
    <m/>
    <m/>
    <m/>
    <m/>
    <m/>
    <m/>
    <s v="State Isolated Class 1 (PEM) Non-Forested Wetland impact"/>
  </r>
  <r>
    <d v="2020-11-17T00:00:00"/>
    <s v="November"/>
    <n v="2020"/>
    <x v="10"/>
    <n v="-0.12"/>
    <x v="0"/>
    <n v="9600"/>
    <n v="160"/>
    <s v="State Isolated"/>
    <x v="3"/>
    <n v="0.12"/>
    <s v="City of Richmond"/>
    <s v="N/A"/>
    <s v="IWGP 2020-581-89-ALF-A"/>
    <m/>
    <s v="Wayne"/>
    <n v="39.856499999999997"/>
    <n v="-84.949100000000001"/>
    <s v="Development"/>
    <m/>
    <s v="No"/>
    <m/>
    <n v="1440"/>
    <n v="6720"/>
    <n v="1440"/>
    <m/>
    <m/>
    <m/>
    <m/>
    <m/>
    <m/>
    <m/>
    <m/>
    <s v="State Isolated Class 1 (PEM) Non-Forested Wetland impact"/>
  </r>
  <r>
    <d v="2020-11-24T00:00:00"/>
    <s v="November"/>
    <n v="2020"/>
    <x v="10"/>
    <n v="-11"/>
    <x v="1"/>
    <n v="4400"/>
    <n v="152"/>
    <s v="Federal"/>
    <x v="2"/>
    <n v="164"/>
    <s v="INDOT"/>
    <s v="LRL-2020-445-scm"/>
    <s v="2020-462-24-JBT-X"/>
    <m/>
    <s v="Franklin"/>
    <n v="39.413513999999999"/>
    <n v="-84.901888999999997"/>
    <s v="Transportation"/>
    <m/>
    <s v="No"/>
    <m/>
    <n v="660"/>
    <n v="3080"/>
    <n v="660"/>
    <m/>
    <m/>
    <m/>
    <m/>
    <m/>
    <m/>
    <m/>
    <m/>
    <s v="Des #1600492; Corps RGP did not require ILF mitigation"/>
  </r>
  <r>
    <d v="2020-11-24T00:00:00"/>
    <s v="November"/>
    <n v="2020"/>
    <x v="10"/>
    <n v="-65"/>
    <x v="1"/>
    <n v="26000"/>
    <n v="152"/>
    <s v="Federal"/>
    <x v="6"/>
    <n v="65"/>
    <s v="INDOT"/>
    <s v="LRL-2020-445-scm"/>
    <s v="2020-462-24-JBT-X"/>
    <m/>
    <s v="Franklin"/>
    <n v="39.413513999999999"/>
    <n v="-84.901888999999997"/>
    <s v="Transportation"/>
    <m/>
    <s v="No"/>
    <m/>
    <n v="3900"/>
    <n v="18200"/>
    <n v="3900"/>
    <m/>
    <m/>
    <m/>
    <m/>
    <m/>
    <m/>
    <m/>
    <m/>
    <s v="Des #1600492; Corps RGP did not require ILF mitigation"/>
  </r>
  <r>
    <d v="2020-11-24T00:00:00"/>
    <s v="November"/>
    <n v="2020"/>
    <x v="10"/>
    <n v="-0.04"/>
    <x v="0"/>
    <n v="3200"/>
    <n v="152"/>
    <s v="Federal"/>
    <x v="3"/>
    <n v="0.02"/>
    <s v="INDOT"/>
    <s v="LRL-2020-445-scm"/>
    <s v="2020-462-24-JBT-X"/>
    <m/>
    <s v="Franklin"/>
    <n v="39.413513999999999"/>
    <n v="-84.901888999999997"/>
    <s v="Transportation"/>
    <m/>
    <s v="No"/>
    <m/>
    <n v="480"/>
    <n v="2240"/>
    <n v="480"/>
    <m/>
    <m/>
    <m/>
    <m/>
    <m/>
    <m/>
    <m/>
    <m/>
    <s v="Des #1600492; Corps RGP did not require ILF mitigation"/>
  </r>
  <r>
    <d v="2020-11-24T00:00:00"/>
    <s v="November"/>
    <n v="2020"/>
    <x v="10"/>
    <n v="-129"/>
    <x v="1"/>
    <n v="51600"/>
    <n v="144"/>
    <s v="Federal"/>
    <x v="1"/>
    <n v="627"/>
    <s v="INDOT"/>
    <s v="LRL-2017-54"/>
    <s v="2016-702-79-SKG-A"/>
    <m/>
    <s v="Bartholomew and Jackson"/>
    <n v="39.04927"/>
    <n v="-85.913449999999997"/>
    <s v="Transportation"/>
    <m/>
    <s v="No"/>
    <m/>
    <n v="7740"/>
    <n v="36120"/>
    <n v="7740"/>
    <m/>
    <m/>
    <m/>
    <m/>
    <m/>
    <m/>
    <m/>
    <m/>
    <s v="DES # 0501212; USACE did not require mitigation"/>
  </r>
  <r>
    <d v="2020-11-30T00:00:00"/>
    <s v="November"/>
    <n v="2020"/>
    <x v="0"/>
    <n v="-0.48"/>
    <x v="0"/>
    <n v="45600"/>
    <n v="167"/>
    <s v="Federal"/>
    <x v="4"/>
    <n v="0.16"/>
    <s v="Aaron Anderson"/>
    <s v="LRC-2020-393(RGP)"/>
    <s v="2020-573-64-MTM-A"/>
    <m/>
    <s v="Porter"/>
    <n v="41.617820000000002"/>
    <n v="-86.986503999999996"/>
    <s v="Development"/>
    <m/>
    <s v="No"/>
    <m/>
    <n v="6840"/>
    <n v="31919.999999999996"/>
    <n v="6840"/>
    <m/>
    <m/>
    <m/>
    <m/>
    <m/>
    <m/>
    <m/>
    <m/>
    <m/>
  </r>
  <r>
    <d v="2020-11-30T00:00:00"/>
    <s v="November"/>
    <n v="2020"/>
    <x v="6"/>
    <n v="-91"/>
    <x v="1"/>
    <n v="54600"/>
    <n v="158"/>
    <s v="Federal"/>
    <x v="6"/>
    <n v="91"/>
    <s v="INDOT"/>
    <s v="LRE-2020-00293-120-R20 (RGP) "/>
    <s v="2020-553-20-JBT-A "/>
    <m/>
    <s v="Elkhart"/>
    <n v="41.704459999999997"/>
    <n v="-85.872399999999999"/>
    <s v="Transportation"/>
    <m/>
    <s v="No"/>
    <m/>
    <n v="8190"/>
    <n v="38220"/>
    <n v="8190"/>
    <m/>
    <m/>
    <m/>
    <m/>
    <m/>
    <m/>
    <m/>
    <m/>
    <s v="DES No. 1600415; USACE did not require ILF mitigation"/>
  </r>
  <r>
    <d v="2020-11-30T00:00:00"/>
    <s v="November"/>
    <n v="2020"/>
    <x v="9"/>
    <n v="-0.98"/>
    <x v="0"/>
    <n v="78400"/>
    <n v="170"/>
    <s v="State Isolated"/>
    <x v="4"/>
    <n v="0.39"/>
    <s v="Shear Group"/>
    <s v="N/A"/>
    <s v="IWIP 2019-817-49-ALF-A"/>
    <m/>
    <s v="Marion "/>
    <n v="39.699241000000001"/>
    <n v="-86.074978000000002"/>
    <s v="Development"/>
    <m/>
    <s v="No"/>
    <m/>
    <n v="11760"/>
    <n v="54880"/>
    <n v="11760"/>
    <m/>
    <m/>
    <m/>
    <m/>
    <m/>
    <m/>
    <m/>
    <m/>
    <s v="State Isolated Class II (PFO) Forested Wetland impact"/>
  </r>
  <r>
    <d v="2020-12-02T00:00:00"/>
    <s v="December"/>
    <n v="2020"/>
    <x v="2"/>
    <n v="-9.7000000000000003E-2"/>
    <x v="0"/>
    <n v="7760"/>
    <n v="165"/>
    <s v="State Isolated"/>
    <x v="3"/>
    <n v="9.7000000000000003E-2"/>
    <s v="Donna Neese"/>
    <s v="N/A"/>
    <s v="IWGP 2020-680-TMS-A"/>
    <m/>
    <s v="Monroe"/>
    <n v="39.297471000000002"/>
    <n v="-86.572394000000003"/>
    <s v="Development"/>
    <m/>
    <s v="No"/>
    <m/>
    <n v="1164"/>
    <n v="5432"/>
    <n v="1164"/>
    <m/>
    <m/>
    <m/>
    <m/>
    <m/>
    <m/>
    <m/>
    <m/>
    <m/>
  </r>
  <r>
    <d v="2020-12-04T00:00:00"/>
    <s v="December"/>
    <n v="2020"/>
    <x v="9"/>
    <n v="-0.03"/>
    <x v="0"/>
    <n v="2400"/>
    <n v="174"/>
    <s v="State Isolated"/>
    <x v="5"/>
    <n v="0.03"/>
    <s v="Sunbeam Development"/>
    <s v="N/A"/>
    <s v="IWGP 2020-877-29-ALF-A"/>
    <m/>
    <s v="Hamilton"/>
    <n v="39.965474999999998"/>
    <n v="-85.996429000000006"/>
    <s v="Development"/>
    <m/>
    <s v="No"/>
    <m/>
    <n v="360"/>
    <n v="1680"/>
    <n v="360"/>
    <m/>
    <m/>
    <m/>
    <m/>
    <m/>
    <m/>
    <m/>
    <m/>
    <s v="State Isolated Class I Non-Forested (PSS) Wetland impact"/>
  </r>
  <r>
    <d v="2020-12-07T00:00:00"/>
    <s v="December"/>
    <n v="2020"/>
    <x v="9"/>
    <n v="-0.32"/>
    <x v="0"/>
    <n v="25600"/>
    <n v="169"/>
    <s v="State Isolated"/>
    <x v="3"/>
    <n v="0.32"/>
    <s v="North Buck Creek Realty, LLC"/>
    <s v="N/A"/>
    <s v="IWGP-2020-816-30-ALF-A"/>
    <m/>
    <s v="Hancock"/>
    <n v="39.820300000000003"/>
    <n v="-85.940600000000003"/>
    <s v="Development"/>
    <m/>
    <s v="No"/>
    <m/>
    <n v="3840"/>
    <n v="17920"/>
    <n v="3840"/>
    <m/>
    <m/>
    <m/>
    <m/>
    <m/>
    <m/>
    <m/>
    <m/>
    <s v="State Isolated Class I Non-Forested (PEM) Wetland impact"/>
  </r>
  <r>
    <d v="2020-12-21T00:00:00"/>
    <s v="December"/>
    <n v="2020"/>
    <x v="9"/>
    <n v="-3.7600000000000001E-2"/>
    <x v="0"/>
    <n v="3008"/>
    <n v="157"/>
    <s v="Federal"/>
    <x v="3"/>
    <n v="1.8800000000000001E-2"/>
    <s v="City of Indianapolis DPW"/>
    <s v="LRL-2020-497-lcl"/>
    <s v="2020-549-49-ALF-A"/>
    <m/>
    <s v="Marion "/>
    <n v="39.886099999999999"/>
    <n v="-86.314099999999996"/>
    <s v="Transportation"/>
    <m/>
    <s v="No"/>
    <m/>
    <n v="451.2"/>
    <n v="2105.6"/>
    <n v="451.2"/>
    <m/>
    <m/>
    <m/>
    <m/>
    <m/>
    <m/>
    <m/>
    <m/>
    <s v="Corps RGP did not require mitigation"/>
  </r>
  <r>
    <d v="2020-12-21T00:00:00"/>
    <s v="December"/>
    <n v="2020"/>
    <x v="9"/>
    <n v="-0.2"/>
    <x v="0"/>
    <n v="16000"/>
    <n v="163"/>
    <s v="State Isolated"/>
    <x v="3"/>
    <n v="0.2"/>
    <s v="Lennar Homes of Indiana, Inc."/>
    <s v="N/A"/>
    <s v="IWGP 2020-753-29-ALF-A"/>
    <m/>
    <s v="Hamilton"/>
    <n v="40.038899999999998"/>
    <n v="-86.057000000000002"/>
    <s v="Development"/>
    <m/>
    <s v="No"/>
    <m/>
    <n v="2400"/>
    <n v="11200"/>
    <n v="2400"/>
    <m/>
    <m/>
    <m/>
    <m/>
    <m/>
    <m/>
    <m/>
    <m/>
    <s v="State Isolated Class I Non-Forested (PEM) Wetland impact - Project had additional impacts that were mitigated permittee responsible"/>
  </r>
  <r>
    <d v="2020-12-29T00:00:00"/>
    <s v="December"/>
    <n v="2020"/>
    <x v="9"/>
    <n v="-3.7"/>
    <x v="0"/>
    <n v="296000"/>
    <n v="177"/>
    <s v="State Isolated"/>
    <x v="4"/>
    <n v="1.48"/>
    <s v="Exeter Property Group"/>
    <s v="N/A"/>
    <s v="IWIP 2020-795-30-ALF-A"/>
    <m/>
    <s v="Hancock"/>
    <n v="39.492600000000003"/>
    <n v="-85.555499999999995"/>
    <s v="Development"/>
    <m/>
    <s v="No"/>
    <m/>
    <n v="44400"/>
    <n v="207200"/>
    <n v="44400"/>
    <m/>
    <m/>
    <m/>
    <m/>
    <m/>
    <m/>
    <m/>
    <m/>
    <s v="State Isolated Class II Forested (PFO) Wetland impacts"/>
  </r>
  <r>
    <m/>
    <m/>
    <m/>
    <x v="11"/>
    <m/>
    <x v="2"/>
    <m/>
    <m/>
    <m/>
    <x v="0"/>
    <m/>
    <m/>
    <m/>
    <m/>
    <m/>
    <m/>
    <m/>
    <m/>
    <m/>
    <m/>
    <m/>
    <m/>
    <m/>
    <m/>
    <m/>
    <m/>
    <m/>
    <m/>
    <m/>
    <m/>
    <m/>
    <m/>
    <m/>
    <m/>
  </r>
  <r>
    <d v="2021-01-04T00:00:00"/>
    <s v="January"/>
    <n v="2021"/>
    <x v="3"/>
    <n v="-0.248"/>
    <x v="0"/>
    <n v="19840"/>
    <n v="173"/>
    <s v="Federal"/>
    <x v="4"/>
    <n v="6.2E-2"/>
    <s v="Allen County Highway Department"/>
    <s v="LRE-2020-02315-102-R20"/>
    <s v="2020-856-02-WRH-X"/>
    <m/>
    <s v="Allen"/>
    <n v="41.200091"/>
    <n v="-85.100429000000005"/>
    <s v="Transportation"/>
    <m/>
    <s v="No"/>
    <m/>
    <n v="2976"/>
    <n v="13888"/>
    <n v="2976"/>
    <s v="D"/>
    <s v="J"/>
    <m/>
    <m/>
    <m/>
    <m/>
    <m/>
    <m/>
    <s v="Corps RGP - IDEM RGP"/>
  </r>
  <r>
    <d v="2021-01-04T00:00:00"/>
    <s v="January"/>
    <n v="2021"/>
    <x v="4"/>
    <n v="-0.25"/>
    <x v="0"/>
    <n v="20000"/>
    <n v="168"/>
    <s v="State Isolated"/>
    <x v="3"/>
    <n v="0.25"/>
    <s v="Terre Haute Regional Airport"/>
    <s v="N/A"/>
    <s v="IWGP 2019-380-84-JMK-A"/>
    <m/>
    <s v="Vigo"/>
    <n v="39.453290000000003"/>
    <n v="-87.311220000000006"/>
    <s v="Transportation"/>
    <m/>
    <s v="No"/>
    <m/>
    <n v="3000"/>
    <n v="14000"/>
    <n v="3000"/>
    <s v="L"/>
    <s v="SI"/>
    <s v="1 NF"/>
    <m/>
    <m/>
    <m/>
    <m/>
    <m/>
    <s v="State Isolated General Permit Non-Forested (PEM)"/>
  </r>
  <r>
    <d v="2021-01-14T00:00:00"/>
    <s v="January"/>
    <n v="2021"/>
    <x v="9"/>
    <n v="-88"/>
    <x v="1"/>
    <n v="39600"/>
    <n v="166"/>
    <s v="Federal"/>
    <x v="2"/>
    <n v="88"/>
    <s v="INDOT"/>
    <s v="LRL-2020-447-scm "/>
    <s v="2020-568-32-JBT-A "/>
    <m/>
    <s v="Hendricks and Marion"/>
    <n v="39.7637"/>
    <n v="-86.328000000000003"/>
    <s v="Transportation"/>
    <m/>
    <s v="No"/>
    <m/>
    <n v="5940"/>
    <n v="27720"/>
    <n v="5940"/>
    <s v="L"/>
    <s v="J"/>
    <m/>
    <m/>
    <m/>
    <m/>
    <m/>
    <m/>
    <s v="Corps RGP did not require mitigation"/>
  </r>
  <r>
    <d v="2021-01-25T00:00:00"/>
    <s v="January"/>
    <n v="2021"/>
    <x v="7"/>
    <n v="-1664"/>
    <x v="1"/>
    <n v="665600"/>
    <n v="111"/>
    <s v="Federal"/>
    <x v="2"/>
    <n v="1387"/>
    <s v="INDOT"/>
    <s v="LRL-2016-559-djd"/>
    <s v="2019-171-10-JBT-A"/>
    <m/>
    <s v="Clark"/>
    <n v="38.342010000000002"/>
    <n v="-85.668440000000004"/>
    <s v="Transportation"/>
    <m/>
    <s v="No"/>
    <m/>
    <n v="99840"/>
    <n v="465919.99999999994"/>
    <n v="99840"/>
    <s v="L"/>
    <s v="J"/>
    <m/>
    <m/>
    <m/>
    <m/>
    <m/>
    <m/>
    <s v="DES #1382612, MOD"/>
  </r>
  <r>
    <d v="2021-01-25T00:00:00"/>
    <s v="January"/>
    <n v="2021"/>
    <x v="7"/>
    <n v="-0.14000000000000001"/>
    <x v="0"/>
    <n v="11200"/>
    <n v="111"/>
    <s v="Federal"/>
    <x v="4"/>
    <n v="3.5000000000000003E-2"/>
    <s v="INDOT"/>
    <s v="LRL-2016-559-djd"/>
    <s v="2019-171-10-JBT-A"/>
    <m/>
    <s v="Clark"/>
    <n v="38.342010000000002"/>
    <n v="-85.668440000000004"/>
    <s v="Transportation"/>
    <m/>
    <s v="No"/>
    <m/>
    <n v="1680"/>
    <n v="7839.9999999999991"/>
    <n v="1680"/>
    <s v="L"/>
    <s v="J"/>
    <m/>
    <m/>
    <m/>
    <m/>
    <m/>
    <m/>
    <s v="DES #1382612, MOD"/>
  </r>
  <r>
    <d v="2021-01-26T00:00:00"/>
    <s v="January"/>
    <n v="2021"/>
    <x v="8"/>
    <n v="-1.02"/>
    <x v="0"/>
    <n v="81600"/>
    <n v="175"/>
    <s v="State Isolated"/>
    <x v="3"/>
    <n v="0.51"/>
    <s v="AWP"/>
    <s v="N/A"/>
    <s v="IWIP 2020-782-38-WRH-A"/>
    <m/>
    <s v="Jay"/>
    <n v="40.378520000000002"/>
    <n v="-85.191590000000005"/>
    <s v="Energy Production"/>
    <m/>
    <s v="No"/>
    <m/>
    <n v="12240"/>
    <n v="57120"/>
    <n v="12240"/>
    <s v="L"/>
    <s v="SI"/>
    <s v="2 NF"/>
    <m/>
    <m/>
    <m/>
    <m/>
    <m/>
    <s v="State Isolated Class II Non-Forested (PEM) impacts"/>
  </r>
  <r>
    <d v="2021-01-26T00:00:00"/>
    <s v="January"/>
    <n v="2021"/>
    <x v="8"/>
    <n v="-0.42499999999999999"/>
    <x v="0"/>
    <n v="34000"/>
    <n v="175"/>
    <s v="State Isolated"/>
    <x v="4"/>
    <n v="0.17"/>
    <s v="AEP"/>
    <s v="N/A"/>
    <s v="IWIP 2020-782-38-WRH-A"/>
    <m/>
    <s v="Jay"/>
    <n v="40.378520000000002"/>
    <n v="-85.191590000000005"/>
    <s v="Energy Production"/>
    <m/>
    <s v="No"/>
    <m/>
    <n v="5100"/>
    <n v="23800"/>
    <n v="5100"/>
    <s v="L"/>
    <s v="SI"/>
    <s v="2 F"/>
    <m/>
    <m/>
    <m/>
    <m/>
    <m/>
    <s v="State Isolated Class II Forested (PFO) impacts"/>
  </r>
  <r>
    <d v="2021-01-28T00:00:00"/>
    <s v="January"/>
    <n v="2021"/>
    <x v="7"/>
    <n v="-458"/>
    <x v="1"/>
    <n v="183200"/>
    <n v="164"/>
    <s v="Federal"/>
    <x v="2"/>
    <n v="858"/>
    <s v="INDOT"/>
    <s v="LRL-2020-494-scm"/>
    <s v="2020-587-39-JBT-A"/>
    <m/>
    <s v="Jefferson"/>
    <n v="38.734000000000002"/>
    <n v="-85.367500000000007"/>
    <s v="Transportation"/>
    <m/>
    <s v="No"/>
    <m/>
    <n v="27480"/>
    <n v="128239.99999999999"/>
    <n v="27480"/>
    <s v="L"/>
    <s v="J"/>
    <m/>
    <m/>
    <m/>
    <m/>
    <m/>
    <m/>
    <s v="DES # 1600669"/>
  </r>
  <r>
    <d v="2021-01-28T00:00:00"/>
    <s v="January"/>
    <n v="2021"/>
    <x v="8"/>
    <n v="-6.9000000000000006E-2"/>
    <x v="0"/>
    <n v="5520"/>
    <n v="181"/>
    <s v="State Isolated"/>
    <x v="3"/>
    <n v="6.9000000000000006E-2"/>
    <s v="INDOT"/>
    <s v="N/A"/>
    <s v="IWGP 2020-746-JBT-A"/>
    <m/>
    <s v="Tippecanoe"/>
    <n v="40.258200000000002"/>
    <n v="-86.706000000000003"/>
    <s v="Transportation"/>
    <m/>
    <s v="No"/>
    <m/>
    <n v="828"/>
    <n v="3863.9999999999995"/>
    <n v="828"/>
    <s v="L"/>
    <s v="SI"/>
    <s v="2 NF"/>
    <m/>
    <m/>
    <m/>
    <m/>
    <m/>
    <s v="State Isolated Wetland General Permit - Non-Forested (PEM) impact - DES#1592968"/>
  </r>
  <r>
    <d v="2021-01-28T00:00:00"/>
    <s v="January"/>
    <n v="2021"/>
    <x v="8"/>
    <n v="-0.26500000000000001"/>
    <x v="0"/>
    <n v="21200"/>
    <n v="181"/>
    <s v="State Isolated"/>
    <x v="3"/>
    <n v="0.13250000000000001"/>
    <s v="INDOT"/>
    <s v="N/A"/>
    <s v="IWIP 2020-746-JBT-A"/>
    <m/>
    <s v="Tippecanoe"/>
    <n v="40.258200000000002"/>
    <n v="-86.706000000000003"/>
    <s v="Transportation"/>
    <m/>
    <s v="No"/>
    <m/>
    <n v="3180"/>
    <n v="14839.999999999998"/>
    <n v="3180"/>
    <s v="L"/>
    <s v="SI"/>
    <s v="2 NF"/>
    <m/>
    <m/>
    <m/>
    <m/>
    <m/>
    <s v="State Isolated Wetland Individual Permit - Class II Non-Forested (PEM) impact  - DES#1592968"/>
  </r>
  <r>
    <d v="2021-02-02T00:00:00"/>
    <s v="February"/>
    <n v="2021"/>
    <x v="10"/>
    <n v="-0.85"/>
    <x v="0"/>
    <n v="68000"/>
    <n v="187"/>
    <s v="State Isolated"/>
    <x v="3"/>
    <n v="0.85"/>
    <s v="Hancock Regional Hospital"/>
    <s v="N/A"/>
    <s v="IWGP 2020-972-30-ALF-A"/>
    <m/>
    <s v="Hancock"/>
    <n v="39.814500000000002"/>
    <n v="-85.920900000000003"/>
    <s v="Development"/>
    <m/>
    <s v="No"/>
    <m/>
    <n v="10200"/>
    <n v="47600"/>
    <n v="10200"/>
    <s v="L"/>
    <s v="SI"/>
    <s v="1 NF"/>
    <m/>
    <m/>
    <m/>
    <m/>
    <m/>
    <s v="State Isolated Wetland General Permit-Class I Non-Forested (PEM)"/>
  </r>
  <r>
    <d v="2021-02-08T00:00:00"/>
    <s v="February"/>
    <n v="2021"/>
    <x v="0"/>
    <n v="-0.83"/>
    <x v="0"/>
    <n v="78850"/>
    <n v="171"/>
    <s v="State Isolated"/>
    <x v="3"/>
    <n v="0.83"/>
    <s v="Indiana Harbor Belt Railroad"/>
    <s v="N/A"/>
    <s v="IWGP 2020-833-45-MTM-A"/>
    <m/>
    <s v="Lake"/>
    <n v="41.606099999999998"/>
    <n v="-87.476979999999998"/>
    <s v="Transportation"/>
    <m/>
    <s v="No"/>
    <m/>
    <n v="11827.5"/>
    <n v="55195"/>
    <n v="11827.5"/>
    <s v="C"/>
    <s v="SI"/>
    <s v="1 NF"/>
    <m/>
    <m/>
    <m/>
    <m/>
    <m/>
    <s v="State Isolated Wetland General Permit - Class I Non-Forested (PEM)"/>
  </r>
  <r>
    <d v="2021-02-08T00:00:00"/>
    <s v="February"/>
    <n v="2021"/>
    <x v="8"/>
    <n v="-7.4999999999999997E-2"/>
    <x v="0"/>
    <n v="6000"/>
    <n v="183"/>
    <s v="State Isolated"/>
    <x v="4"/>
    <n v="0.03"/>
    <s v="Oakmont Development"/>
    <s v="N/A"/>
    <s v="IWGP 2020-974-02-WRH-A"/>
    <m/>
    <s v="Allen"/>
    <n v="41.087142"/>
    <n v="-85.294747999999998"/>
    <s v="Development"/>
    <m/>
    <s v="No"/>
    <m/>
    <n v="900"/>
    <n v="4200"/>
    <n v="900"/>
    <s v="D"/>
    <s v="SI"/>
    <s v="2 F"/>
    <m/>
    <m/>
    <m/>
    <m/>
    <m/>
    <s v="Class II Forested Wetland impact"/>
  </r>
  <r>
    <d v="2021-02-16T00:00:00"/>
    <s v="February"/>
    <n v="2021"/>
    <x v="1"/>
    <n v="-0.16"/>
    <x v="0"/>
    <n v="15200"/>
    <n v="190"/>
    <s v="Federal"/>
    <x v="3"/>
    <n v="0.08"/>
    <s v="Olthof Homes"/>
    <s v="LRC-2019-425"/>
    <s v="2020-73-64-MTM-X"/>
    <m/>
    <s v="Porter"/>
    <n v="41.511557000000003"/>
    <n v="-87.027777"/>
    <s v="Development"/>
    <m/>
    <s v="No"/>
    <m/>
    <n v="2280"/>
    <n v="10640"/>
    <n v="2280"/>
    <s v="C"/>
    <s v="J"/>
    <m/>
    <m/>
    <m/>
    <m/>
    <m/>
    <m/>
    <s v="Corps RGP - IDEM RGP"/>
  </r>
  <r>
    <d v="2021-02-22T00:00:00"/>
    <s v="February"/>
    <n v="2021"/>
    <x v="8"/>
    <n v="-0.15"/>
    <x v="0"/>
    <n v="12000"/>
    <n v="191"/>
    <s v="State Isolated"/>
    <x v="4"/>
    <n v="0.06"/>
    <s v="AMS 2021 BTS - Fort Wayne IN, LLC"/>
    <s v="N/A"/>
    <s v="IWGP 2021-33-02-WRH-A"/>
    <m/>
    <s v="Allen"/>
    <n v="41.129221000000001"/>
    <n v="-85.220174"/>
    <s v="Development"/>
    <m/>
    <s v="No"/>
    <m/>
    <n v="1800"/>
    <n v="8400"/>
    <n v="1800"/>
    <s v="D"/>
    <s v="SI"/>
    <s v="2 F"/>
    <m/>
    <m/>
    <m/>
    <m/>
    <m/>
    <s v="Class II Forested Wetland impact"/>
  </r>
  <r>
    <d v="2021-03-08T00:00:00"/>
    <s v="March"/>
    <n v="2021"/>
    <x v="6"/>
    <n v="-0.79"/>
    <x v="0"/>
    <n v="94800"/>
    <n v="195"/>
    <s v="Federal"/>
    <x v="3"/>
    <n v="0.66"/>
    <s v="City of Mishawaka"/>
    <s v="LRE-2018-01101-171-R20"/>
    <s v="2020-060-71-JWR-A"/>
    <m/>
    <s v="St. Joseph"/>
    <n v="41.66413"/>
    <n v="-86.180869999999999"/>
    <s v="Development"/>
    <m/>
    <s v="No"/>
    <m/>
    <n v="14220"/>
    <n v="66360"/>
    <n v="14220"/>
    <s v="D"/>
    <s v="J"/>
    <m/>
    <m/>
    <m/>
    <m/>
    <m/>
    <m/>
    <s v="Open water fill with ILF wetland mitigation required"/>
  </r>
  <r>
    <d v="2021-03-08T00:00:00"/>
    <s v="March"/>
    <n v="2021"/>
    <x v="7"/>
    <n v="-0.2"/>
    <x v="0"/>
    <n v="16000"/>
    <n v="192"/>
    <s v="State Isolated"/>
    <x v="3"/>
    <n v="8.8999999999999996E-2"/>
    <s v="Cedar Pointe, LLC"/>
    <s v="N/A"/>
    <s v="IWGP 2021-013-22-TMS-A"/>
    <m/>
    <s v="Floyd"/>
    <n v="38.346536999999998"/>
    <n v="-85.932128000000006"/>
    <s v="Development"/>
    <m/>
    <s v="No"/>
    <m/>
    <n v="2400"/>
    <n v="11200"/>
    <n v="2400"/>
    <s v="L"/>
    <s v="SI"/>
    <s v="2 NF"/>
    <m/>
    <m/>
    <m/>
    <m/>
    <m/>
    <s v="State Isolated Class II NF, PEM"/>
  </r>
  <r>
    <d v="2021-03-08T00:00:00"/>
    <s v="March"/>
    <n v="2021"/>
    <x v="7"/>
    <n v="-2.23"/>
    <x v="0"/>
    <n v="178400"/>
    <n v="180"/>
    <s v="Federal"/>
    <x v="3"/>
    <n v="0.92800000000000005"/>
    <s v="Koetter Real Estate Services"/>
    <s v="LRL-2020-00022"/>
    <s v="2020-013-10-TMS-A"/>
    <m/>
    <s v="Clark"/>
    <n v="38.34666"/>
    <n v="-85.713571000000002"/>
    <s v="Development"/>
    <m/>
    <s v="No"/>
    <m/>
    <n v="26760"/>
    <n v="124879.99999999999"/>
    <n v="26760"/>
    <s v="L"/>
    <s v="J"/>
    <m/>
    <m/>
    <m/>
    <m/>
    <m/>
    <m/>
    <s v="USACE didn't require mitigation, due to change in jurisdiction. "/>
  </r>
  <r>
    <d v="2021-03-08T00:00:00"/>
    <s v="March"/>
    <n v="2021"/>
    <x v="7"/>
    <n v="-132"/>
    <x v="1"/>
    <n v="52800"/>
    <n v="180"/>
    <s v="Federal"/>
    <x v="1"/>
    <n v="220"/>
    <s v="Koetter Real Estate Services"/>
    <s v="LRL-2020-00022"/>
    <s v="2020-013-10-TMS-A"/>
    <m/>
    <s v="Clark"/>
    <n v="38.34666"/>
    <n v="-85.713571000000002"/>
    <s v="Development"/>
    <m/>
    <s v="No"/>
    <m/>
    <n v="7920"/>
    <n v="36960"/>
    <n v="7920"/>
    <s v="L"/>
    <s v="J"/>
    <m/>
    <m/>
    <m/>
    <m/>
    <m/>
    <m/>
    <s v="USACE didn't require mitigation, due to change in jurisdiction. "/>
  </r>
  <r>
    <d v="2021-03-08T00:00:00"/>
    <s v="March"/>
    <n v="2021"/>
    <x v="9"/>
    <n v="-0.36"/>
    <x v="0"/>
    <n v="28800"/>
    <n v="185"/>
    <s v="State Isolated"/>
    <x v="3"/>
    <n v="0.36"/>
    <s v="Clover Communities McCordsville LLC"/>
    <s v="N/A"/>
    <s v="IWGP 2020-163-30-ALF-A"/>
    <m/>
    <s v="Hancock"/>
    <n v="39.889200000000002"/>
    <n v="-85.929500000000004"/>
    <s v="Development"/>
    <m/>
    <s v="No"/>
    <m/>
    <n v="4320"/>
    <n v="20160"/>
    <n v="4320"/>
    <s v="L"/>
    <s v="SI"/>
    <s v="1 NF"/>
    <m/>
    <m/>
    <m/>
    <m/>
    <m/>
    <s v="State Isolated Class I Non-Forested (PEM)  Wetland impact"/>
  </r>
  <r>
    <d v="2021-03-08T00:00:00"/>
    <s v="March"/>
    <n v="2021"/>
    <x v="9"/>
    <n v="-3.375"/>
    <x v="0"/>
    <n v="270000"/>
    <n v="200"/>
    <s v="State Isolated"/>
    <x v="4"/>
    <n v="1.35"/>
    <s v="AMS - RC Services, LLC"/>
    <s v="N/A"/>
    <s v="IWIP 2020-931-32-ERL-A"/>
    <m/>
    <s v="Hendricks"/>
    <n v="39.662700000000001"/>
    <n v="-86.3733"/>
    <s v="Development"/>
    <m/>
    <s v="No"/>
    <m/>
    <n v="40500"/>
    <n v="189000"/>
    <n v="40500"/>
    <s v="L"/>
    <s v="SI"/>
    <s v="2 F"/>
    <m/>
    <m/>
    <m/>
    <m/>
    <m/>
    <s v="State Isolated Class II Forested (PFO) Wetland impacts"/>
  </r>
  <r>
    <d v="2021-03-08T00:00:00"/>
    <s v="March"/>
    <n v="2021"/>
    <x v="9"/>
    <n v="-0.09"/>
    <x v="0"/>
    <n v="7200"/>
    <n v="200"/>
    <s v="State Isolated"/>
    <x v="3"/>
    <n v="0.09"/>
    <s v="AMS - RC Services, LLC"/>
    <s v="N/A"/>
    <s v="IWGP 2020-931-32-ERL-A"/>
    <m/>
    <s v="Hendricks"/>
    <n v="39.662700000000001"/>
    <n v="-86.3733"/>
    <s v="Development"/>
    <m/>
    <s v="No"/>
    <m/>
    <n v="1080"/>
    <n v="5040"/>
    <n v="1080"/>
    <s v="L"/>
    <s v="SI"/>
    <s v="1 NF"/>
    <m/>
    <m/>
    <m/>
    <m/>
    <m/>
    <s v="State Isolated Class I Non-Forested (PEM)  Wetland impact"/>
  </r>
  <r>
    <d v="2021-03-15T00:00:00"/>
    <s v="March"/>
    <n v="2021"/>
    <x v="10"/>
    <n v="-1150"/>
    <x v="1"/>
    <n v="460000"/>
    <n v="186"/>
    <s v="Federal"/>
    <x v="2"/>
    <n v="759"/>
    <s v="Hanson Aggregates Midwest, LLC"/>
    <s v="LRL-2020-26-MKD"/>
    <s v="2020-041-TMS-A"/>
    <m/>
    <s v="Jennings"/>
    <n v="38.985688000000003"/>
    <n v="-85.727684999999994"/>
    <s v="Development"/>
    <m/>
    <s v="No"/>
    <m/>
    <n v="69000"/>
    <n v="322000"/>
    <n v="69000"/>
    <s v="L"/>
    <s v="J"/>
    <m/>
    <m/>
    <m/>
    <m/>
    <m/>
    <m/>
    <m/>
  </r>
  <r>
    <d v="2021-03-17T00:00:00"/>
    <s v="March"/>
    <n v="2021"/>
    <x v="1"/>
    <n v="-194"/>
    <x v="1"/>
    <n v="97000"/>
    <n v="176"/>
    <s v="Federal"/>
    <x v="2"/>
    <n v="194"/>
    <s v="INDOT"/>
    <s v="LRC-2020-00788"/>
    <s v="2020-838-64-JBT-A"/>
    <m/>
    <s v="Porter"/>
    <n v="41.400540200000002"/>
    <n v="-87.158702300000002"/>
    <s v="Transportation"/>
    <m/>
    <s v="No"/>
    <m/>
    <n v="14550"/>
    <n v="67900"/>
    <n v="14550"/>
    <s v="C"/>
    <s v="J"/>
    <m/>
    <m/>
    <m/>
    <m/>
    <m/>
    <m/>
    <m/>
  </r>
  <r>
    <d v="2021-03-17T00:00:00"/>
    <s v="March"/>
    <n v="2021"/>
    <x v="1"/>
    <n v="-140"/>
    <x v="1"/>
    <n v="70000"/>
    <n v="176"/>
    <s v="Federal"/>
    <x v="6"/>
    <n v="140"/>
    <s v="INDOT"/>
    <s v="LRC-2020-00789"/>
    <s v="2020-838-64-JBT-A"/>
    <m/>
    <s v="Porter"/>
    <n v="41.400540200000002"/>
    <n v="-87.158702300000002"/>
    <s v="Transportation"/>
    <m/>
    <s v="No"/>
    <m/>
    <n v="10500"/>
    <n v="49000"/>
    <n v="10500"/>
    <s v="C"/>
    <s v="J"/>
    <m/>
    <m/>
    <m/>
    <m/>
    <m/>
    <m/>
    <m/>
  </r>
  <r>
    <d v="2021-03-22T00:00:00"/>
    <s v="March"/>
    <n v="2021"/>
    <x v="10"/>
    <n v="-3.8"/>
    <x v="0"/>
    <n v="304000"/>
    <n v="196"/>
    <s v="Federal"/>
    <x v="4"/>
    <n v="0.95"/>
    <s v="City of Greenfield"/>
    <s v="LRL-2019-726-lcl"/>
    <s v="2020-952-30-ALF-A"/>
    <m/>
    <s v="Hancock"/>
    <n v="39.777700000000003"/>
    <n v="-85.760199999999998"/>
    <s v="Transportation"/>
    <m/>
    <s v="No"/>
    <m/>
    <n v="45600"/>
    <n v="212800"/>
    <n v="45600"/>
    <s v="L"/>
    <s v="J"/>
    <m/>
    <m/>
    <m/>
    <m/>
    <m/>
    <m/>
    <m/>
  </r>
  <r>
    <d v="2021-03-30T00:00:00"/>
    <s v="March"/>
    <n v="2021"/>
    <x v="3"/>
    <n v="-2.1"/>
    <x v="0"/>
    <n v="168000"/>
    <n v="202"/>
    <s v="Federal"/>
    <x v="4"/>
    <n v="0.03"/>
    <s v="Allen County Highway Department"/>
    <s v="LRE-2000-30021-102-R21"/>
    <s v="2007-698-02-SSA-A"/>
    <m/>
    <s v="Allen"/>
    <s v="41-078652"/>
    <n v="-85.059173000000001"/>
    <s v="Transportation"/>
    <m/>
    <s v="No"/>
    <m/>
    <n v="25200"/>
    <n v="117599.99999999999"/>
    <n v="25200"/>
    <s v="D"/>
    <s v="J"/>
    <m/>
    <m/>
    <m/>
    <m/>
    <m/>
    <m/>
    <s v="For failed mitigation"/>
  </r>
  <r>
    <d v="2021-03-30T00:00:00"/>
    <s v="March"/>
    <n v="2021"/>
    <x v="9"/>
    <n v="-76"/>
    <x v="1"/>
    <n v="34200"/>
    <n v="193"/>
    <s v="Federal"/>
    <x v="2"/>
    <n v="76"/>
    <s v="INDOT"/>
    <s v="LRL-2017-461-scm"/>
    <s v="2020-911-32-JBT-A"/>
    <m/>
    <s v="Hendricks"/>
    <n v="39.659999999999997"/>
    <n v="-86.441999999999993"/>
    <s v="Transportation"/>
    <m/>
    <s v="No"/>
    <m/>
    <n v="5130"/>
    <n v="23940"/>
    <n v="5130"/>
    <s v="L"/>
    <s v="J"/>
    <m/>
    <m/>
    <m/>
    <m/>
    <m/>
    <m/>
    <s v="Corps did not require mitigation"/>
  </r>
  <r>
    <d v="2021-03-30T00:00:00"/>
    <s v="March"/>
    <n v="2021"/>
    <x v="9"/>
    <n v="-218"/>
    <x v="1"/>
    <n v="98100"/>
    <n v="193"/>
    <s v="Federal"/>
    <x v="6"/>
    <n v="218"/>
    <s v="INDOT"/>
    <s v="LRL-2017-461-scm"/>
    <s v="2020-911-32-JBT-A"/>
    <m/>
    <s v="Hendricks"/>
    <n v="39.659999999999997"/>
    <n v="-86.441999999999993"/>
    <s v="Transportation"/>
    <m/>
    <s v="No"/>
    <m/>
    <n v="14715"/>
    <n v="68670"/>
    <n v="14715"/>
    <s v="L"/>
    <s v="J"/>
    <m/>
    <m/>
    <m/>
    <m/>
    <m/>
    <m/>
    <s v="Corps did not require mitigation"/>
  </r>
  <r>
    <d v="2021-03-30T00:00:00"/>
    <s v="March"/>
    <n v="2021"/>
    <x v="9"/>
    <n v="-5.3999999999999999E-2"/>
    <x v="0"/>
    <n v="4320"/>
    <n v="193"/>
    <s v="Federal"/>
    <x v="5"/>
    <n v="1.7999999999999999E-2"/>
    <s v="INDOT"/>
    <s v="LRL-2017-461-scm"/>
    <s v="2020-911-32-JBT-A"/>
    <m/>
    <s v="Hendricks"/>
    <n v="39.659999999999997"/>
    <n v="-86.441999999999993"/>
    <s v="Transportation"/>
    <m/>
    <s v="No"/>
    <m/>
    <n v="648"/>
    <n v="3024"/>
    <n v="648"/>
    <s v="L"/>
    <s v="J"/>
    <m/>
    <m/>
    <m/>
    <m/>
    <m/>
    <m/>
    <s v="Corps did not require mitigation"/>
  </r>
  <r>
    <d v="2021-04-05T00:00:00"/>
    <s v="April"/>
    <n v="2021"/>
    <x v="0"/>
    <n v="-13.08"/>
    <x v="0"/>
    <n v="1242600"/>
    <n v="197"/>
    <s v="Federal"/>
    <x v="3"/>
    <n v="4.3600000000000003"/>
    <s v="Northern Indiana Commuter Transportation District"/>
    <s v="LRC-2016-423"/>
    <s v="2020-661-45-MTM-A"/>
    <m/>
    <s v="Lake"/>
    <n v="41.650891000000001"/>
    <n v="-87.137271999999996"/>
    <s v="Transportation"/>
    <m/>
    <s v="No"/>
    <m/>
    <n v="186390"/>
    <n v="869820"/>
    <n v="186390"/>
    <s v="C"/>
    <s v="J"/>
    <m/>
    <m/>
    <m/>
    <m/>
    <m/>
    <m/>
    <m/>
  </r>
  <r>
    <d v="2021-04-05T00:00:00"/>
    <s v="April"/>
    <n v="2021"/>
    <x v="4"/>
    <n v="-7.4999999999999997E-2"/>
    <x v="0"/>
    <n v="6000"/>
    <n v="199"/>
    <s v="State Isolated"/>
    <x v="4"/>
    <n v="0.03"/>
    <s v="Grand Communities, LLC"/>
    <s v="None"/>
    <s v="IWGP 2020-946-6-ERL-A"/>
    <m/>
    <s v="Boone"/>
    <n v="40.050800000000002"/>
    <n v="-86.455299999999994"/>
    <s v="Development"/>
    <m/>
    <s v="No"/>
    <m/>
    <n v="900"/>
    <n v="4200"/>
    <n v="900"/>
    <s v="L"/>
    <s v="SI"/>
    <s v="2 F"/>
    <m/>
    <m/>
    <m/>
    <m/>
    <m/>
    <s v="State Isolated Class II Forested"/>
  </r>
  <r>
    <d v="2021-04-05T00:00:00"/>
    <s v="April"/>
    <n v="2021"/>
    <x v="4"/>
    <n v="-123"/>
    <x v="1"/>
    <n v="49200"/>
    <n v="184"/>
    <s v="Federal"/>
    <x v="2"/>
    <n v="381"/>
    <s v="INDOT"/>
    <s v="LRL-2020-639-scm"/>
    <s v="2020-640-06-JBT-A"/>
    <m/>
    <s v="Boone"/>
    <n v="40.048000000000002"/>
    <n v="-86.49"/>
    <s v="Transportation"/>
    <m/>
    <s v="No"/>
    <m/>
    <n v="7380"/>
    <n v="34440"/>
    <n v="7380"/>
    <s v="L"/>
    <s v="COMB"/>
    <m/>
    <m/>
    <m/>
    <m/>
    <m/>
    <m/>
    <m/>
  </r>
  <r>
    <d v="2021-04-05T00:00:00"/>
    <s v="April"/>
    <n v="2021"/>
    <x v="4"/>
    <n v="-237"/>
    <x v="1"/>
    <n v="94800"/>
    <n v="184"/>
    <s v="Federal"/>
    <x v="6"/>
    <n v="237"/>
    <s v="INDOT"/>
    <s v="LRL-2020-639-scm"/>
    <s v="2020-640-06-JBT-A"/>
    <m/>
    <s v="Boone"/>
    <n v="40.048000000000002"/>
    <n v="-86.49"/>
    <s v="Transportation"/>
    <m/>
    <s v="No"/>
    <m/>
    <n v="14220"/>
    <n v="66360"/>
    <n v="14220"/>
    <s v="L"/>
    <s v="COMB"/>
    <m/>
    <m/>
    <m/>
    <m/>
    <m/>
    <m/>
    <m/>
  </r>
  <r>
    <d v="2021-04-05T00:00:00"/>
    <s v="April"/>
    <n v="2021"/>
    <x v="4"/>
    <n v="-0.05"/>
    <x v="0"/>
    <n v="4000"/>
    <n v="184"/>
    <s v="Federal"/>
    <x v="3"/>
    <n v="2.5000000000000001E-2"/>
    <s v="INDOT"/>
    <s v="LRL-2020-639-scm"/>
    <s v="2020-640-06-JBT-A"/>
    <m/>
    <s v="Boone"/>
    <n v="40.048000000000002"/>
    <n v="-86.49"/>
    <s v="Transportation"/>
    <m/>
    <s v="No"/>
    <m/>
    <n v="600"/>
    <n v="2800"/>
    <n v="600"/>
    <s v="L"/>
    <s v="COMB"/>
    <m/>
    <m/>
    <m/>
    <m/>
    <m/>
    <m/>
    <m/>
  </r>
  <r>
    <d v="2021-04-05T00:00:00"/>
    <s v="April"/>
    <n v="2021"/>
    <x v="4"/>
    <n v="-2.7E-2"/>
    <x v="0"/>
    <n v="2160"/>
    <n v="184"/>
    <s v="Federal"/>
    <x v="5"/>
    <n v="8.9999999999999993E-3"/>
    <s v="INDOT"/>
    <s v="LRL-2020-639-scm"/>
    <s v="2020-640-06-JBT-A"/>
    <m/>
    <s v="Boone"/>
    <n v="40.048000000000002"/>
    <n v="-86.49"/>
    <s v="Transportation"/>
    <m/>
    <s v="No"/>
    <m/>
    <n v="324"/>
    <n v="1512"/>
    <n v="324"/>
    <s v="L"/>
    <s v="COMB"/>
    <m/>
    <m/>
    <m/>
    <m/>
    <m/>
    <m/>
    <m/>
  </r>
  <r>
    <d v="2021-04-05T00:00:00"/>
    <s v="April"/>
    <n v="2021"/>
    <x v="4"/>
    <n v="-0.03"/>
    <x v="0"/>
    <n v="2400"/>
    <n v="184"/>
    <s v="State Isolated"/>
    <x v="3"/>
    <n v="0.03"/>
    <s v="INDOT"/>
    <s v="LRL-2020-639-scm"/>
    <s v="IWGP 2020-640-06-JBT-A"/>
    <m/>
    <s v="Boone"/>
    <n v="40.048000000000002"/>
    <n v="-86.49"/>
    <s v="Transportation"/>
    <m/>
    <s v="No"/>
    <m/>
    <n v="360"/>
    <n v="1680"/>
    <n v="360"/>
    <s v="L"/>
    <s v="COMB"/>
    <s v="1 NF"/>
    <m/>
    <m/>
    <m/>
    <m/>
    <m/>
    <s v="State Isolated Class I (PEM)"/>
  </r>
  <r>
    <d v="2021-04-05T00:00:00"/>
    <s v="April"/>
    <n v="2021"/>
    <x v="4"/>
    <n v="-3.5999999999999997E-2"/>
    <x v="0"/>
    <n v="2880"/>
    <n v="184"/>
    <s v="State Isolated"/>
    <x v="5"/>
    <n v="1.7999999999999999E-2"/>
    <s v="INDOT"/>
    <s v="LRL-2020-639-scm"/>
    <s v="IWGP 2020-640-06-JBT-A"/>
    <m/>
    <s v="Boone"/>
    <n v="40.048000000000002"/>
    <n v="-86.49"/>
    <s v="Transportation"/>
    <m/>
    <s v="No"/>
    <m/>
    <n v="432"/>
    <n v="2015.9999999999998"/>
    <n v="432"/>
    <s v="L"/>
    <s v="COMB"/>
    <s v="2 NF"/>
    <m/>
    <m/>
    <m/>
    <m/>
    <m/>
    <s v="State Isolated Class II (PSS)"/>
  </r>
  <r>
    <d v="2021-04-07T00:00:00"/>
    <s v="April"/>
    <n v="2021"/>
    <x v="10"/>
    <n v="-296.3"/>
    <x v="1"/>
    <n v="118520"/>
    <n v="178"/>
    <s v="Federal"/>
    <x v="2"/>
    <n v="696.2"/>
    <s v="INDOT "/>
    <s v="LRL-2020-44-djd"/>
    <s v="2020-649-03-JBT-A"/>
    <m/>
    <s v="Bartholomew"/>
    <n v="39.141649999999998"/>
    <n v="-85.957999999999998"/>
    <s v="Transportation"/>
    <m/>
    <s v="No"/>
    <m/>
    <n v="17778"/>
    <n v="82964"/>
    <n v="17778"/>
    <s v="L"/>
    <s v="J"/>
    <m/>
    <m/>
    <m/>
    <m/>
    <m/>
    <m/>
    <s v="Added later to master ledger as not added - Corps required no credits - INDOT 1802958 I-65 from SR 46 to SR 59"/>
  </r>
  <r>
    <d v="2021-04-07T00:00:00"/>
    <s v="April"/>
    <n v="2021"/>
    <x v="10"/>
    <n v="-0.12"/>
    <x v="0"/>
    <n v="9600"/>
    <n v="178"/>
    <s v="Federal"/>
    <x v="3"/>
    <n v="0.06"/>
    <s v="INDOT"/>
    <s v="LRL-2020-44-djd"/>
    <s v="2020-649-03-JBT-A"/>
    <m/>
    <s v="Bartholomew"/>
    <n v="39.141649999999998"/>
    <n v="-85.957999999999998"/>
    <s v="Transportation"/>
    <m/>
    <s v="No"/>
    <m/>
    <n v="1440"/>
    <n v="6720"/>
    <n v="1440"/>
    <s v="L"/>
    <s v="J"/>
    <m/>
    <m/>
    <m/>
    <m/>
    <m/>
    <m/>
    <s v="Added later to master ledger as not added - Corps required no credits - INDOT 1802958 I-65 from SR 46 to SR 60"/>
  </r>
  <r>
    <d v="2021-04-15T00:00:00"/>
    <s v="April"/>
    <n v="2021"/>
    <x v="9"/>
    <n v="-1"/>
    <x v="0"/>
    <n v="80000"/>
    <n v="203"/>
    <s v="Federal"/>
    <x v="3"/>
    <m/>
    <s v="City of Fishers"/>
    <s v="LRL-2018-684-sjk"/>
    <s v="2021-030-29-ALF-A"/>
    <m/>
    <s v="Hamilton"/>
    <n v="39.947200000000002"/>
    <n v="-85.915199999999999"/>
    <s v="Development"/>
    <m/>
    <s v="No"/>
    <m/>
    <n v="12000"/>
    <n v="56000"/>
    <n v="12000"/>
    <s v="L"/>
    <s v="J"/>
    <m/>
    <m/>
    <m/>
    <m/>
    <m/>
    <m/>
    <s v="Open Water Impacts (1.97 acres fill within Geist Reservoir for beach development).  Corps did not require mitigation"/>
  </r>
  <r>
    <d v="2021-04-20T00:00:00"/>
    <s v="April"/>
    <n v="2021"/>
    <x v="9"/>
    <n v="-0.23"/>
    <x v="0"/>
    <n v="18400"/>
    <n v="207"/>
    <s v="State Isolated"/>
    <x v="4"/>
    <n v="0.09"/>
    <s v="Todd Katz"/>
    <s v="N/A"/>
    <s v="IWIP 2021-028-29-ALF-A"/>
    <m/>
    <s v="Hamilton"/>
    <n v="39.93177"/>
    <n v="-86.240660000000005"/>
    <s v="Development"/>
    <m/>
    <s v="No"/>
    <m/>
    <n v="2760"/>
    <n v="12880"/>
    <n v="2760"/>
    <s v="L"/>
    <s v="SI"/>
    <s v="2 F"/>
    <m/>
    <m/>
    <m/>
    <m/>
    <m/>
    <s v="Class II Forested Wetland impact"/>
  </r>
  <r>
    <d v="2021-04-20T00:00:00"/>
    <s v="April"/>
    <n v="2021"/>
    <x v="10"/>
    <n v="-0.48"/>
    <x v="0"/>
    <n v="38400"/>
    <n v="206"/>
    <s v="State Isolated"/>
    <x v="4"/>
    <n v="0.32"/>
    <s v="CenterPoint Energy"/>
    <s v="N/A"/>
    <s v="IWGP 2021-184-30-A"/>
    <m/>
    <s v="Hancock"/>
    <n v="39.819391000000003"/>
    <n v="-85.866478999999998"/>
    <s v="Energy Production"/>
    <m/>
    <s v="No"/>
    <m/>
    <n v="5760"/>
    <n v="26880"/>
    <n v="5760"/>
    <s v="L"/>
    <s v="SI"/>
    <s v="2 F"/>
    <m/>
    <m/>
    <m/>
    <m/>
    <m/>
    <s v="Class II Forested Wetland impact"/>
  </r>
  <r>
    <d v="2021-05-03T00:00:00"/>
    <s v="May"/>
    <n v="2021"/>
    <x v="0"/>
    <n v="-1.2"/>
    <x v="0"/>
    <n v="114000"/>
    <n v="156"/>
    <s v="Federal"/>
    <x v="3"/>
    <n v="0.67"/>
    <s v="Luke Family of Brands"/>
    <s v="LRC-2019-676-RGP"/>
    <s v="2020-428-45-MTM-A"/>
    <m/>
    <s v="Lake"/>
    <n v="41.515949999999997"/>
    <n v="-87.469719999999995"/>
    <s v="Development"/>
    <m/>
    <s v="No"/>
    <m/>
    <n v="17100"/>
    <n v="79800"/>
    <n v="17100"/>
    <s v="C"/>
    <s v="J"/>
    <m/>
    <m/>
    <m/>
    <m/>
    <m/>
    <m/>
    <m/>
  </r>
  <r>
    <d v="2021-05-04T00:00:00"/>
    <s v="May"/>
    <n v="2021"/>
    <x v="0"/>
    <n v="-112"/>
    <x v="1"/>
    <n v="67200"/>
    <n v="198"/>
    <s v="Federal"/>
    <x v="2"/>
    <n v="198.72"/>
    <s v="INDOT"/>
    <s v="LRC-2020-753-RGP"/>
    <s v="2020-839-64-JBT-A"/>
    <m/>
    <s v="Porter"/>
    <n v="41.521599999999999"/>
    <n v="-87.209000000000003"/>
    <s v="Transportation"/>
    <m/>
    <s v="No"/>
    <m/>
    <n v="10080"/>
    <n v="47040"/>
    <n v="10080"/>
    <s v="C"/>
    <s v="J"/>
    <m/>
    <m/>
    <m/>
    <m/>
    <m/>
    <m/>
    <m/>
  </r>
  <r>
    <d v="2021-05-04T00:00:00"/>
    <s v="May"/>
    <n v="2021"/>
    <x v="0"/>
    <n v="-0.45"/>
    <x v="0"/>
    <n v="42750"/>
    <n v="198"/>
    <s v="Federal"/>
    <x v="3"/>
    <n v="0.25580000000000003"/>
    <s v="INDOT"/>
    <s v="LRC-2020-753-RGP"/>
    <s v="2020-839-64-JBT-A"/>
    <m/>
    <s v="Porter"/>
    <n v="41.521599999999999"/>
    <n v="-87.209000000000003"/>
    <s v="Transportation"/>
    <m/>
    <s v="No"/>
    <m/>
    <n v="6412.5"/>
    <n v="29924.999999999996"/>
    <n v="6412.5"/>
    <s v="C"/>
    <s v="J"/>
    <m/>
    <m/>
    <m/>
    <m/>
    <m/>
    <m/>
    <m/>
  </r>
  <r>
    <d v="2021-05-04T00:00:00"/>
    <s v="May"/>
    <n v="2021"/>
    <x v="0"/>
    <n v="-0.32400000000000001"/>
    <x v="0"/>
    <n v="30780"/>
    <n v="198"/>
    <s v="Federal"/>
    <x v="4"/>
    <n v="8.1000000000000003E-2"/>
    <s v="INDOT"/>
    <s v="LRC-2020-753-RGP"/>
    <s v="2020-839-64-JBT-A"/>
    <m/>
    <s v="Porter"/>
    <n v="41.521599999999999"/>
    <n v="-87.209000000000003"/>
    <s v="Transportation"/>
    <m/>
    <s v="No"/>
    <m/>
    <n v="4617"/>
    <n v="21546"/>
    <n v="4617"/>
    <s v="C"/>
    <s v="J"/>
    <m/>
    <m/>
    <m/>
    <m/>
    <m/>
    <m/>
    <m/>
  </r>
  <r>
    <d v="2021-05-05T00:00:00"/>
    <s v="May"/>
    <n v="2021"/>
    <x v="9"/>
    <n v="-1.37"/>
    <x v="0"/>
    <n v="109600"/>
    <n v="211"/>
    <s v="State Isolated"/>
    <x v="3"/>
    <n v="1.37"/>
    <s v="AEP"/>
    <s v="None"/>
    <s v="IWGP 2021-278-18-WRH-A"/>
    <m/>
    <s v="Delaware"/>
    <n v="40.262307"/>
    <n v="-85.431628000000003"/>
    <s v="Energy Production"/>
    <m/>
    <s v="No"/>
    <m/>
    <n v="16440"/>
    <n v="76720"/>
    <n v="16440"/>
    <s v="L"/>
    <s v="SI"/>
    <s v="1 NF"/>
    <m/>
    <m/>
    <m/>
    <m/>
    <m/>
    <m/>
  </r>
  <r>
    <d v="2021-05-27T00:00:00"/>
    <s v="May"/>
    <n v="2021"/>
    <x v="8"/>
    <n v="-349.4"/>
    <x v="1"/>
    <n v="139760"/>
    <n v="212"/>
    <s v="Federal"/>
    <x v="6"/>
    <n v="349.4"/>
    <s v="INDOT"/>
    <s v="LRE-2020-02409-143-R21"/>
    <s v="2021-217-43-JBT-X"/>
    <m/>
    <s v="Kosciusko"/>
    <n v="41.281999999999996"/>
    <n v="-86.046999999999997"/>
    <s v="Transportation"/>
    <m/>
    <s v="No"/>
    <m/>
    <n v="20964"/>
    <n v="97832"/>
    <n v="20964"/>
    <s v="D"/>
    <s v="J"/>
    <m/>
    <m/>
    <m/>
    <m/>
    <m/>
    <m/>
    <s v="Corps required more ILF stream credit than IDEM"/>
  </r>
  <r>
    <d v="2021-05-27T00:00:00"/>
    <s v="May"/>
    <n v="2021"/>
    <x v="8"/>
    <n v="-2.9600000000000001E-2"/>
    <x v="0"/>
    <n v="2368"/>
    <n v="212"/>
    <s v="Federal"/>
    <x v="3"/>
    <n v="1.4800000000000001E-2"/>
    <s v="INDOT"/>
    <s v="LRE-2020-02409-143-R21"/>
    <s v="2021-217-43-JBT-X"/>
    <m/>
    <s v="Kosciusko"/>
    <n v="41.281999999999996"/>
    <n v="-86.046999999999997"/>
    <s v="Transportation"/>
    <m/>
    <s v="No"/>
    <m/>
    <n v="355.2"/>
    <n v="1657.6"/>
    <n v="355.2"/>
    <s v="D"/>
    <s v="J"/>
    <m/>
    <m/>
    <m/>
    <m/>
    <m/>
    <m/>
    <m/>
  </r>
  <r>
    <d v="2021-05-27T00:00:00"/>
    <s v="May"/>
    <n v="2021"/>
    <x v="8"/>
    <n v="-0.13"/>
    <x v="0"/>
    <n v="10400"/>
    <n v="210"/>
    <s v="Federal"/>
    <x v="3"/>
    <n v="0.02"/>
    <s v="INDOT"/>
    <s v="LRL-2020-452-scm"/>
    <s v="2020-468-34-JBT-A"/>
    <m/>
    <s v="Howard"/>
    <n v="40.485999999999997"/>
    <n v="-86.107500000000002"/>
    <s v="Transportation"/>
    <m/>
    <s v="No"/>
    <m/>
    <n v="1560"/>
    <n v="7279.9999999999991"/>
    <n v="1560"/>
    <s v="L"/>
    <s v="J"/>
    <m/>
    <m/>
    <m/>
    <m/>
    <m/>
    <m/>
    <m/>
  </r>
  <r>
    <d v="2021-05-27T00:00:00"/>
    <s v="May"/>
    <n v="2021"/>
    <x v="10"/>
    <n v="-131"/>
    <x v="1"/>
    <n v="52400"/>
    <n v="162"/>
    <s v="Federal"/>
    <x v="1"/>
    <n v="109"/>
    <s v="INDOT"/>
    <s v="LRL-2019-137-sjk"/>
    <s v="202-537-70-ALF-A "/>
    <m/>
    <s v="Rush"/>
    <n v="39.613289999999999"/>
    <n v="-85.613870000000006"/>
    <s v="Transportation"/>
    <m/>
    <s v="No"/>
    <m/>
    <n v="7860"/>
    <n v="36680"/>
    <n v="7860"/>
    <s v="L"/>
    <s v="J"/>
    <m/>
    <m/>
    <m/>
    <m/>
    <m/>
    <m/>
    <m/>
  </r>
  <r>
    <d v="2021-05-27T00:00:00"/>
    <s v="May"/>
    <n v="2021"/>
    <x v="10"/>
    <n v="-1.5"/>
    <x v="0"/>
    <n v="120000"/>
    <n v="162"/>
    <s v="Federal"/>
    <x v="4"/>
    <n v="0.375"/>
    <s v="INDOT "/>
    <s v="LRL-2019-137-sjk"/>
    <s v="202-537-70-ALF-A "/>
    <m/>
    <s v="Rush"/>
    <n v="39.613289999999999"/>
    <n v="-85.613870000000006"/>
    <s v="Transportation"/>
    <m/>
    <s v="No"/>
    <m/>
    <n v="18000"/>
    <n v="84000"/>
    <n v="18000"/>
    <s v="L"/>
    <s v="J"/>
    <m/>
    <m/>
    <m/>
    <m/>
    <m/>
    <m/>
    <m/>
  </r>
  <r>
    <d v="2021-06-03T00:00:00"/>
    <s v="June"/>
    <n v="2021"/>
    <x v="0"/>
    <n v="-0.05"/>
    <x v="0"/>
    <n v="4750"/>
    <n v="216"/>
    <s v="State Isolated"/>
    <x v="3"/>
    <n v="0.05"/>
    <s v="Excel Development"/>
    <s v="None"/>
    <s v="IWGP 2021-35-45-MTM-A"/>
    <m/>
    <s v="Lake"/>
    <n v="41.541547999999999"/>
    <s v="–87.511936"/>
    <s v="Development"/>
    <m/>
    <s v="No"/>
    <m/>
    <n v="712.5"/>
    <n v="3325"/>
    <n v="712.5"/>
    <s v="C"/>
    <s v="SI"/>
    <s v="1 NF"/>
    <m/>
    <m/>
    <m/>
    <m/>
    <m/>
    <m/>
  </r>
  <r>
    <d v="2021-06-10T00:00:00"/>
    <s v="June"/>
    <n v="2021"/>
    <x v="7"/>
    <n v="-0.78"/>
    <x v="0"/>
    <n v="62400"/>
    <n v="214"/>
    <s v="Federal"/>
    <x v="4"/>
    <n v="0.26"/>
    <s v="Duke Energy"/>
    <s v="LRL-2018-495-MKD"/>
    <s v="2020-978-10-TMS "/>
    <m/>
    <s v="Clark"/>
    <n v="38.450719999999997"/>
    <n v="-85.725769999999997"/>
    <s v="Energy Production"/>
    <m/>
    <s v="No"/>
    <m/>
    <n v="9360"/>
    <n v="43680"/>
    <n v="9360"/>
    <s v="L"/>
    <s v="J"/>
    <m/>
    <m/>
    <m/>
    <m/>
    <m/>
    <m/>
    <m/>
  </r>
  <r>
    <d v="2021-06-10T00:00:00"/>
    <s v="June "/>
    <n v="2021"/>
    <x v="9"/>
    <n v="-0.03"/>
    <x v="0"/>
    <n v="2400"/>
    <n v="188"/>
    <s v="State Isolated"/>
    <x v="4"/>
    <n v="0.03"/>
    <s v="Pulte Homes of Indiana"/>
    <s v="None"/>
    <s v="IWGP 2020-968-29-ALF-A"/>
    <m/>
    <s v="Hamilton"/>
    <n v="40.019039999999997"/>
    <n v="-86.210729999999998"/>
    <s v="Development"/>
    <m/>
    <s v="No"/>
    <m/>
    <n v="360"/>
    <n v="1680"/>
    <n v="360"/>
    <s v="L"/>
    <s v="SI"/>
    <s v="1 f"/>
    <m/>
    <m/>
    <m/>
    <m/>
    <m/>
    <m/>
  </r>
  <r>
    <d v="2021-06-10T00:00:00"/>
    <s v="June"/>
    <n v="2021"/>
    <x v="9"/>
    <n v="-0.8"/>
    <x v="0"/>
    <n v="64000"/>
    <n v="213"/>
    <s v="Federal"/>
    <x v="4"/>
    <n v="0.2"/>
    <s v="Pulte Homes of Indiana"/>
    <s v="LRL-2016-994-sjk"/>
    <s v="2017-221-29-HAP-A"/>
    <m/>
    <s v="Hamilton"/>
    <n v="39.9831"/>
    <n v="-85.875500000000002"/>
    <s v="Development"/>
    <m/>
    <s v="No"/>
    <m/>
    <n v="9600"/>
    <n v="44800"/>
    <n v="9600"/>
    <s v="L"/>
    <s v="J"/>
    <m/>
    <m/>
    <m/>
    <m/>
    <m/>
    <m/>
    <m/>
  </r>
  <r>
    <d v="2021-06-16T00:00:00"/>
    <s v="June"/>
    <n v="2021"/>
    <x v="0"/>
    <n v="-0.04"/>
    <x v="0"/>
    <n v="3800"/>
    <n v="224"/>
    <s v="State Isolated"/>
    <x v="3"/>
    <n v="0.04"/>
    <s v="Pure Development"/>
    <m/>
    <s v="2021-425-45-MTM-X"/>
    <m/>
    <s v="Lake "/>
    <n v="41.441094999999997"/>
    <n v="-87.323815999999994"/>
    <s v="Development"/>
    <m/>
    <s v="No"/>
    <m/>
    <n v="570"/>
    <n v="2660"/>
    <n v="570"/>
    <s v="C"/>
    <s v="J"/>
    <m/>
    <m/>
    <m/>
    <m/>
    <m/>
    <m/>
    <m/>
  </r>
  <r>
    <d v="2021-06-16T00:00:00"/>
    <s v="June"/>
    <n v="2021"/>
    <x v="7"/>
    <n v="-155"/>
    <x v="1"/>
    <n v="62000"/>
    <n v="221"/>
    <s v="Federal"/>
    <x v="2"/>
    <n v="86"/>
    <s v="Ports of Indiana"/>
    <s v="LRL-1979-00062"/>
    <s v="2021-205-10-TMS-A"/>
    <m/>
    <s v="Clark"/>
    <n v="38.330910000000003"/>
    <n v="-85.672910000000002"/>
    <s v="Transportation"/>
    <m/>
    <s v="No"/>
    <m/>
    <n v="9300"/>
    <n v="43400"/>
    <n v="9300"/>
    <s v="L"/>
    <s v="COMB"/>
    <m/>
    <m/>
    <m/>
    <m/>
    <m/>
    <m/>
    <s v="Corps required more stream and wetland credits"/>
  </r>
  <r>
    <d v="2021-06-16T00:00:00"/>
    <s v="June"/>
    <n v="2021"/>
    <x v="7"/>
    <n v="-0.94"/>
    <x v="0"/>
    <n v="75200"/>
    <n v="221"/>
    <s v="Federal"/>
    <x v="3"/>
    <n v="0.38900000000000001"/>
    <s v="Ports of Indiana"/>
    <s v="LRL-1979-00062"/>
    <s v="2021-205-10-TMS-A"/>
    <m/>
    <s v="Clark"/>
    <n v="38.322290000000002"/>
    <n v="-85.661090000000002"/>
    <s v="Transportation"/>
    <m/>
    <s v="No"/>
    <m/>
    <n v="11280"/>
    <n v="52640"/>
    <n v="11280"/>
    <s v="L"/>
    <s v="COMB"/>
    <m/>
    <m/>
    <m/>
    <m/>
    <m/>
    <m/>
    <m/>
  </r>
  <r>
    <d v="2021-06-16T00:00:00"/>
    <s v="June"/>
    <n v="2021"/>
    <x v="7"/>
    <n v="-5.0999999999999997E-2"/>
    <x v="0"/>
    <n v="4080"/>
    <n v="221"/>
    <s v="State Isolated"/>
    <x v="3"/>
    <n v="3.4000000000000002E-2"/>
    <s v="Ports of Indiana"/>
    <s v="LRL-1979-00062"/>
    <s v="IWGP 2021-205-10-TMS-A "/>
    <m/>
    <s v="Clark"/>
    <n v="38.322290000000002"/>
    <n v="-85.661090000000002"/>
    <s v="Transportation"/>
    <m/>
    <s v="No"/>
    <m/>
    <n v="612"/>
    <n v="2856"/>
    <n v="612"/>
    <s v="L"/>
    <s v="COMB"/>
    <s v="1 NF"/>
    <m/>
    <m/>
    <m/>
    <m/>
    <m/>
    <s v="Called wanting credit sale now so invoiced for ISO W too"/>
  </r>
  <r>
    <d v="2021-06-21T00:00:00"/>
    <s v="June"/>
    <n v="2021"/>
    <x v="8"/>
    <n v="-2.09"/>
    <x v="0"/>
    <n v="167200"/>
    <n v="217"/>
    <s v="State Isolated"/>
    <x v="4"/>
    <n v="0.83599999999999997"/>
    <s v="CP215, LLC"/>
    <s v="None"/>
    <s v="IWIP 2020-970-35-WRH-A"/>
    <m/>
    <s v="Huntington"/>
    <n v="40.894539999999999"/>
    <n v="-85.518429999999995"/>
    <s v="Development"/>
    <m/>
    <s v="No"/>
    <m/>
    <n v="25080"/>
    <n v="117039.99999999999"/>
    <n v="25080"/>
    <s v="L"/>
    <s v="SI"/>
    <s v="2 F"/>
    <m/>
    <m/>
    <m/>
    <m/>
    <m/>
    <m/>
  </r>
  <r>
    <d v="2021-06-29T00:00:00"/>
    <s v="June"/>
    <n v="2021"/>
    <x v="7"/>
    <n v="-2254.6"/>
    <x v="1"/>
    <n v="901840"/>
    <n v="219"/>
    <s v="Federal"/>
    <x v="2"/>
    <n v="2019.5"/>
    <s v="Harrison County"/>
    <s v="LRL-2017-773-djd"/>
    <s v="2017-533-31-ALF-A"/>
    <m/>
    <s v="Harrison"/>
    <n v="38.01473"/>
    <n v="-86.168059999999997"/>
    <s v="Transportation"/>
    <m/>
    <s v="No"/>
    <m/>
    <n v="135276"/>
    <n v="631288"/>
    <n v="135276"/>
    <s v="L"/>
    <s v="J"/>
    <m/>
    <m/>
    <m/>
    <m/>
    <m/>
    <m/>
    <s v="Non-Compliance Required Credit Purchase, appears to have not been sent, so proceeding. "/>
  </r>
  <r>
    <d v="2021-06-29T00:00:00"/>
    <s v="June"/>
    <n v="2021"/>
    <x v="7"/>
    <n v="-0.51200000000000001"/>
    <x v="0"/>
    <n v="40960"/>
    <n v="219"/>
    <s v="Federal"/>
    <x v="4"/>
    <n v="0.128"/>
    <s v="Harrison County"/>
    <s v="LRL-2017-773-djd"/>
    <s v="2017-533-31-ALF-A"/>
    <m/>
    <s v="Harrison"/>
    <n v="38.01473"/>
    <n v="-86.168059999999997"/>
    <s v="Transportation"/>
    <m/>
    <s v="No"/>
    <m/>
    <n v="6144"/>
    <n v="28672"/>
    <n v="6144"/>
    <s v="L"/>
    <s v="J"/>
    <m/>
    <m/>
    <m/>
    <m/>
    <m/>
    <m/>
    <m/>
  </r>
  <r>
    <d v="2021-06-29T00:00:00"/>
    <s v="June"/>
    <n v="2021"/>
    <x v="7"/>
    <n v="-8.7999999999999995E-2"/>
    <x v="0"/>
    <n v="7040"/>
    <n v="219"/>
    <s v="Federal"/>
    <x v="3"/>
    <n v="0.04"/>
    <s v="Harrison County"/>
    <s v="LRL-2017-773-djd"/>
    <s v="2017-533-31-ALF-A"/>
    <m/>
    <s v="Harrison"/>
    <n v="38.01473"/>
    <n v="-86.168059999999997"/>
    <s v="Transportation"/>
    <m/>
    <s v="No"/>
    <m/>
    <n v="1056"/>
    <n v="4928"/>
    <n v="1056"/>
    <s v="L"/>
    <s v="J"/>
    <m/>
    <m/>
    <m/>
    <m/>
    <m/>
    <m/>
    <m/>
  </r>
  <r>
    <d v="2021-06-29T00:00:00"/>
    <s v="June"/>
    <n v="2021"/>
    <x v="9"/>
    <n v="-600"/>
    <x v="1"/>
    <n v="270000"/>
    <n v="226"/>
    <s v="Federal"/>
    <x v="6"/>
    <n v="500"/>
    <s v="Citizens Energy Group"/>
    <s v="LRL-2019-806-LCL"/>
    <s v="2020-914-49-ALF-A"/>
    <s v="FW-30807-0"/>
    <s v="Marion"/>
    <n v="39.801600000000001"/>
    <n v="-86.197400000000002"/>
    <s v="Dam"/>
    <m/>
    <s v="No"/>
    <m/>
    <n v="40500"/>
    <n v="189000"/>
    <n v="40500"/>
    <s v="L"/>
    <s v="J"/>
    <m/>
    <m/>
    <m/>
    <m/>
    <m/>
    <m/>
    <s v="Corps permit requires 600, IDEM permit requires 500, DNR Permit requires 0.25 FW purchase.  Had thought also 500 additional credits per FW permit, but are modifying permit to clarify. "/>
  </r>
  <r>
    <d v="2021-06-29T00:00:00"/>
    <s v="June"/>
    <n v="2021"/>
    <x v="9"/>
    <n v="-1.464"/>
    <x v="0"/>
    <n v="117120"/>
    <n v="222"/>
    <s v="State Isolated"/>
    <x v="3"/>
    <n v="1.613"/>
    <s v="Arco/Murray"/>
    <s v="None"/>
    <s v="IWIP 2021-104-32-ERL-A"/>
    <m/>
    <s v="Hendricks"/>
    <n v="39.742600000000003"/>
    <n v="-86.340800000000002"/>
    <s v="Development"/>
    <m/>
    <s v="No"/>
    <m/>
    <n v="17568"/>
    <n v="81984"/>
    <n v="17568"/>
    <s v="L"/>
    <s v="SI"/>
    <s v="2 NF"/>
    <m/>
    <m/>
    <m/>
    <m/>
    <m/>
    <s v="Note: Permit to purchase Class I was rescinded.  Thus requirement changed.   IWIP 2021-104-32-ERL-A:  1.464 credits for 0.732 impacts Class II Isolated PEM, IWGP 2021-104-32-ERL-A:  0.881 credits for 0.881 impacts to 0.881 Class I PEM - rescinded. _x000a_"/>
  </r>
  <r>
    <d v="2021-07-01T00:00:00"/>
    <s v="July"/>
    <n v="2021"/>
    <x v="5"/>
    <n v="-0.1875"/>
    <x v="0"/>
    <n v="15000"/>
    <n v="227"/>
    <s v="Federal"/>
    <x v="4"/>
    <n v="0.25"/>
    <s v="Eagle Enclave"/>
    <s v="LRL-2013-8807-RJB"/>
    <s v="2013-543-82-DCC-V."/>
    <m/>
    <s v="Vanderburgh"/>
    <n v="37.967385999999998"/>
    <n v="-87.661501000000001"/>
    <s v="Development"/>
    <m/>
    <s v="No"/>
    <m/>
    <n v="2250"/>
    <n v="10500"/>
    <n v="2250"/>
    <s v="L"/>
    <s v="J"/>
    <m/>
    <m/>
    <m/>
    <m/>
    <m/>
    <m/>
    <s v="Purchase in Agreed Judgement 82D05-1707-MI-003721 to resolve violations in 401 Permit 2013-543-82-DCC-V."/>
  </r>
  <r>
    <d v="2021-07-01T00:00:00"/>
    <s v="July"/>
    <n v="2021"/>
    <x v="9"/>
    <n v="-6.91"/>
    <x v="0"/>
    <n v="552800"/>
    <n v="209"/>
    <s v="Federal"/>
    <x v="4"/>
    <n v="2.88"/>
    <s v="Duke Energy"/>
    <s v="LRL-2020-1000-sjk"/>
    <s v="2020-994-49-ALF-A"/>
    <m/>
    <s v="Marion"/>
    <n v="39.702300000000001"/>
    <n v="-86.1631"/>
    <s v="Transportation"/>
    <m/>
    <s v="No"/>
    <m/>
    <n v="82920"/>
    <n v="386960"/>
    <n v="82920"/>
    <s v="L"/>
    <s v="J"/>
    <m/>
    <m/>
    <m/>
    <m/>
    <m/>
    <m/>
    <m/>
  </r>
  <r>
    <d v="2021-07-08T00:00:00"/>
    <s v="July"/>
    <n v="2021"/>
    <x v="9"/>
    <n v="-48"/>
    <x v="1"/>
    <n v="21600"/>
    <n v="228"/>
    <s v="Federal"/>
    <x v="6"/>
    <n v="121"/>
    <s v="City of Carmel"/>
    <s v="LRL-2020-194-sjk"/>
    <s v="2021-0369-29-JBT-X"/>
    <m/>
    <s v="Hamilton"/>
    <n v="39.957799999999999"/>
    <n v="-86.090299999999999"/>
    <s v="Transportation"/>
    <m/>
    <s v="No"/>
    <m/>
    <n v="3240"/>
    <n v="15119.999999999998"/>
    <n v="3240"/>
    <s v="L"/>
    <s v="J"/>
    <m/>
    <m/>
    <m/>
    <m/>
    <m/>
    <m/>
    <m/>
  </r>
  <r>
    <d v="2021-07-19T00:00:00"/>
    <s v="July"/>
    <n v="2021"/>
    <x v="9"/>
    <n v="-24"/>
    <x v="1"/>
    <n v="10800"/>
    <n v="232"/>
    <s v="Federal"/>
    <x v="2"/>
    <s v="Mitig Shortfall"/>
    <s v="Poindexter Excavating"/>
    <s v="LRL-2018-446-sam"/>
    <s v="2018-899-32-JMK-A"/>
    <m/>
    <s v="Hendricks"/>
    <n v="39.665999999999997"/>
    <n v="-86.376999999999995"/>
    <s v="Transportation"/>
    <m/>
    <s v="No"/>
    <m/>
    <n v="1620"/>
    <n v="7559.9999999999991"/>
    <n v="1620"/>
    <s v="L"/>
    <s v="J"/>
    <m/>
    <m/>
    <m/>
    <m/>
    <m/>
    <m/>
    <s v="401 Modification - mitigation shortfall - permit modification for ILF credit purchase for remainder. "/>
  </r>
  <r>
    <d v="2021-07-21T00:00:00"/>
    <s v="July"/>
    <n v="2021"/>
    <x v="7"/>
    <n v="-140"/>
    <x v="1"/>
    <n v="56000"/>
    <n v="223"/>
    <s v="Federal"/>
    <x v="2"/>
    <n v="151"/>
    <s v="Clark County "/>
    <s v="LRL-2020-807-MKD"/>
    <s v="2020-993-10-TMS-A"/>
    <m/>
    <s v="Clark"/>
    <n v="38.48592"/>
    <n v="-85.530699999999996"/>
    <s v="Transportation"/>
    <m/>
    <s v="No"/>
    <m/>
    <n v="8400"/>
    <n v="39200"/>
    <n v="8400"/>
    <s v="L"/>
    <s v="J"/>
    <m/>
    <m/>
    <m/>
    <m/>
    <m/>
    <m/>
    <s v="No Corps Mitigation required. "/>
  </r>
  <r>
    <d v="2021-07-21T00:00:00"/>
    <s v="July"/>
    <n v="2021"/>
    <x v="9"/>
    <n v="-122"/>
    <x v="1"/>
    <n v="54900"/>
    <n v="231"/>
    <s v="Federal"/>
    <x v="6"/>
    <n v="1035"/>
    <s v="Park 100 Development"/>
    <s v="LRL-2019-642-sjk"/>
    <s v="2021-222-49-JWR-A"/>
    <m/>
    <s v="Marion"/>
    <n v="39.894840000000002"/>
    <n v="-86.266040000000004"/>
    <s v="Development"/>
    <m/>
    <s v="No"/>
    <m/>
    <n v="8235"/>
    <n v="38430"/>
    <n v="8235"/>
    <s v="L"/>
    <s v="J"/>
    <m/>
    <m/>
    <m/>
    <m/>
    <m/>
    <m/>
    <s v="IDEM requires total stream mitigation of 440 intermittent and the rest is remediation done by the Permittee, Corps a total of 441. "/>
  </r>
  <r>
    <d v="2021-07-21T00:00:00"/>
    <s v="July"/>
    <n v="2021"/>
    <x v="9"/>
    <n v="-319"/>
    <x v="1"/>
    <n v="143550"/>
    <n v="231"/>
    <s v="Federal"/>
    <x v="2"/>
    <n v="266"/>
    <s v="Park 100 Development"/>
    <s v="LRL-2019-642-sjk"/>
    <s v="2021-222-49-JWR-A"/>
    <m/>
    <s v="Marion"/>
    <n v="39.894840000000002"/>
    <n v="-86.266040000000004"/>
    <s v="Development"/>
    <m/>
    <s v="No"/>
    <m/>
    <n v="21532.5"/>
    <n v="100485"/>
    <n v="21532.5"/>
    <s v="L"/>
    <s v="J"/>
    <m/>
    <m/>
    <m/>
    <m/>
    <m/>
    <m/>
    <s v="IWGP related to this not sub w other permits, credit sale will be processed separately. "/>
  </r>
  <r>
    <d v="2021-07-21T00:00:00"/>
    <s v="July"/>
    <n v="2021"/>
    <x v="9"/>
    <n v="-1.1000000000000001"/>
    <x v="0"/>
    <n v="88000"/>
    <n v="231"/>
    <s v="Federal"/>
    <x v="4"/>
    <n v="0.24"/>
    <s v="Park 100 Development"/>
    <s v="LRL-2019-642-sjk"/>
    <s v="2021-222-49-JWR-A"/>
    <m/>
    <s v="Marion"/>
    <n v="39.894840000000002"/>
    <n v="-86.266040000000004"/>
    <s v="Development"/>
    <m/>
    <s v="No"/>
    <m/>
    <n v="13200"/>
    <n v="61599.999999999993"/>
    <n v="13200"/>
    <s v="L"/>
    <s v="J"/>
    <m/>
    <m/>
    <m/>
    <m/>
    <m/>
    <m/>
    <s v="IDEM has a larger amount of credit purchase requirements. "/>
  </r>
  <r>
    <d v="2021-07-27T00:00:00"/>
    <s v="July"/>
    <n v="2021"/>
    <x v="10"/>
    <n v="-0.37"/>
    <x v="0"/>
    <n v="29600"/>
    <n v="220"/>
    <s v="Federal"/>
    <x v="3"/>
    <n v="0.154"/>
    <s v="Hancock Co Hway"/>
    <s v="LRL-2020-783-sjk"/>
    <s v="2020-718-30-ALF-A"/>
    <m/>
    <s v="Hancock"/>
    <n v="39.924570000000003"/>
    <n v="-85.692149999999998"/>
    <s v="Transportation"/>
    <m/>
    <s v="No"/>
    <m/>
    <n v="4440"/>
    <n v="20720"/>
    <n v="4440"/>
    <s v="L"/>
    <s v="J"/>
    <m/>
    <m/>
    <m/>
    <m/>
    <m/>
    <m/>
    <s v="Corrected from permit to be WW EF, Corps requires slightly more. "/>
  </r>
  <r>
    <d v="2021-07-27T00:00:00"/>
    <s v="July"/>
    <n v="2021"/>
    <x v="10"/>
    <n v="-0.1"/>
    <x v="0"/>
    <n v="8000"/>
    <n v="220"/>
    <s v="Federal"/>
    <x v="4"/>
    <n v="2.9000000000000001E-2"/>
    <s v="Hancock Co Hway"/>
    <s v="LRL-2020-783-sjk"/>
    <s v="2020-718-30-ALF-A"/>
    <m/>
    <s v="Hancock"/>
    <n v="39.924570000000003"/>
    <n v="-85.692149999999998"/>
    <s v="Transportation"/>
    <m/>
    <s v="No"/>
    <m/>
    <n v="1200"/>
    <n v="5600"/>
    <n v="1200"/>
    <s v="L"/>
    <s v="J"/>
    <m/>
    <m/>
    <m/>
    <m/>
    <m/>
    <m/>
    <s v="Corrected from permit to be WW EF"/>
  </r>
  <r>
    <d v="2021-08-07T00:00:00"/>
    <s v="August"/>
    <n v="2021"/>
    <x v="2"/>
    <n v="-408"/>
    <x v="1"/>
    <n v="163200"/>
    <n v="229"/>
    <s v="Federal"/>
    <x v="2"/>
    <n v="340"/>
    <s v="Crider and Crider"/>
    <s v="LRL-2020-815-MKD"/>
    <s v="2021-246-53-TMS-A"/>
    <m/>
    <s v="Monroe"/>
    <n v="39.196618999999998"/>
    <n v="-86.575967000000006"/>
    <s v="Development"/>
    <m/>
    <s v="No"/>
    <m/>
    <n v="24480"/>
    <n v="114240"/>
    <n v="24480"/>
    <s v="L"/>
    <s v="J"/>
    <m/>
    <m/>
    <m/>
    <m/>
    <m/>
    <m/>
    <m/>
  </r>
  <r>
    <d v="2021-08-10T00:00:00"/>
    <s v="August"/>
    <n v="2021"/>
    <x v="0"/>
    <n v="-1.476"/>
    <x v="0"/>
    <n v="140220"/>
    <n v="233"/>
    <s v="Federal"/>
    <x v="3"/>
    <n v="25.08"/>
    <s v="NIPSCO"/>
    <s v="LRC-2020-490"/>
    <s v="2020-818-45-MTM-A"/>
    <m/>
    <s v="Lake and Porter"/>
    <n v="41.58399"/>
    <n v="-87.299000000000007"/>
    <s v="Energy Production"/>
    <m/>
    <s v="No"/>
    <m/>
    <n v="21033"/>
    <n v="98154"/>
    <n v="21033"/>
    <s v="C"/>
    <s v="J"/>
    <m/>
    <m/>
    <m/>
    <m/>
    <m/>
    <m/>
    <s v="Aetna to Tassinong Gas Transmission Upgrade Project"/>
  </r>
  <r>
    <d v="2021-08-10T00:00:00"/>
    <s v="August"/>
    <n v="2021"/>
    <x v="0"/>
    <n v="-0.216"/>
    <x v="0"/>
    <n v="20520"/>
    <n v="233"/>
    <s v="Federal"/>
    <x v="5"/>
    <n v="0.73"/>
    <s v="NIPSCO"/>
    <s v="LRC-2020-490"/>
    <s v="2020-818-45-MTM-A"/>
    <m/>
    <s v="Lake and Porter"/>
    <n v="41.58399"/>
    <n v="-87.299000000000007"/>
    <s v="Energy Production"/>
    <m/>
    <s v="No"/>
    <m/>
    <n v="3078"/>
    <n v="14363.999999999998"/>
    <n v="3078"/>
    <s v="C"/>
    <s v="J"/>
    <m/>
    <m/>
    <m/>
    <m/>
    <m/>
    <m/>
    <s v="Aetna to Tassinong Gas Transmission Upgrade Project"/>
  </r>
  <r>
    <d v="2021-08-10T00:00:00"/>
    <s v="August"/>
    <n v="2021"/>
    <x v="0"/>
    <n v="-0.13800000000000001"/>
    <x v="0"/>
    <n v="13110.000000000002"/>
    <n v="233"/>
    <s v="Federal"/>
    <x v="4"/>
    <n v="0.23"/>
    <s v="NIPSCO"/>
    <s v="LRC-2020-490"/>
    <s v="2020-818-45-MTM-A"/>
    <m/>
    <s v="Lake and Porter"/>
    <n v="41.58399"/>
    <n v="-87.299000000000007"/>
    <s v="Energy Production"/>
    <m/>
    <s v="No"/>
    <m/>
    <n v="1966.5000000000002"/>
    <n v="9177"/>
    <n v="1966.5000000000002"/>
    <s v="C"/>
    <s v="J"/>
    <m/>
    <m/>
    <m/>
    <m/>
    <m/>
    <m/>
    <s v="Aetna to Tassinong Gas Transmission Upgrade Project"/>
  </r>
  <r>
    <d v="2021-08-24T00:00:00"/>
    <s v="August"/>
    <n v="2021"/>
    <x v="3"/>
    <n v="-0.96"/>
    <x v="0"/>
    <n v="76800"/>
    <n v="235"/>
    <s v="Federal"/>
    <x v="4"/>
    <n v="0.24"/>
    <s v="ANR Pipeline Company’s MP26.71 Integrity Dig"/>
    <s v="LRE-2021-00699-117"/>
    <s v="2021-520-17-WRH-X"/>
    <m/>
    <s v="DeKalb"/>
    <n v="41.484231999999999"/>
    <n v="-84.836512999999997"/>
    <s v="Energy Production"/>
    <m/>
    <s v="No"/>
    <m/>
    <n v="11520"/>
    <n v="53760"/>
    <n v="11520"/>
    <s v="D"/>
    <s v="J"/>
    <m/>
    <m/>
    <m/>
    <m/>
    <m/>
    <m/>
    <m/>
  </r>
  <r>
    <d v="2021-08-24T00:00:00"/>
    <s v="August"/>
    <n v="2021"/>
    <x v="9"/>
    <n v="-7.4999999999999997E-2"/>
    <x v="0"/>
    <n v="6000"/>
    <n v="236"/>
    <s v="State Isolated"/>
    <x v="4"/>
    <n v="0.03"/>
    <s v="Park 100 Development"/>
    <s v="None"/>
    <s v="IWGP 2021-222-49-JWR-A"/>
    <m/>
    <s v="Marion"/>
    <n v="39.894840000000002"/>
    <n v="-86.266040000000004"/>
    <s v="Development"/>
    <m/>
    <s v="No"/>
    <m/>
    <n v="900"/>
    <n v="4200"/>
    <n v="900"/>
    <s v="L"/>
    <s v="COMB"/>
    <s v="2 F"/>
    <m/>
    <m/>
    <m/>
    <m/>
    <m/>
    <s v="401/404 credit sale issued separately.  Didn't submit this w the other permits related to the credit request.  Discovered during clarification with agencies on permit language. "/>
  </r>
  <r>
    <d v="2021-09-07T00:00:00"/>
    <s v="September"/>
    <n v="2021"/>
    <x v="1"/>
    <n v="-215"/>
    <x v="1"/>
    <n v="107500"/>
    <n v="179"/>
    <s v="Federal"/>
    <x v="2"/>
    <n v="289"/>
    <s v="INDOT"/>
    <s v=" LRC-2019-854 -DES 1401029"/>
    <s v="2020-574-64-MTM-A "/>
    <m/>
    <s v="Porter"/>
    <n v="41.420140000000004"/>
    <n v="-87.201599999999999"/>
    <s v="Transportation"/>
    <m/>
    <s v="No"/>
    <m/>
    <n v="16125"/>
    <n v="75250"/>
    <n v="16125"/>
    <s v="C"/>
    <s v="J"/>
    <m/>
    <m/>
    <m/>
    <m/>
    <m/>
    <m/>
    <s v="Emergent credits purchased elsewhere. "/>
  </r>
  <r>
    <d v="2021-09-07T00:00:00"/>
    <s v="September"/>
    <n v="2021"/>
    <x v="1"/>
    <n v="-0.24640000000000001"/>
    <x v="0"/>
    <n v="23408"/>
    <n v="179"/>
    <s v="Federal"/>
    <x v="5"/>
    <n v="9.4E-2"/>
    <s v="INDOT"/>
    <s v=" LRC-2019-854 -DES 1401029"/>
    <s v="2020-574-64-MTM-A "/>
    <m/>
    <s v="Porter"/>
    <n v="41.420140000000004"/>
    <n v="-87.201599999999999"/>
    <s v="Transportation"/>
    <m/>
    <s v="No"/>
    <m/>
    <n v="3511.2"/>
    <n v="16385.599999999999"/>
    <n v="3511.2"/>
    <s v="C"/>
    <s v="J"/>
    <m/>
    <m/>
    <m/>
    <m/>
    <m/>
    <m/>
    <s v="Emergent credits purchased elsewhere. "/>
  </r>
  <r>
    <d v="2021-09-07T00:00:00"/>
    <s v="September"/>
    <n v="2021"/>
    <x v="1"/>
    <n v="-0.10920000000000001"/>
    <x v="0"/>
    <n v="10374"/>
    <n v="179"/>
    <s v="Federal"/>
    <x v="4"/>
    <n v="2.5999999999999999E-2"/>
    <s v="INDOT"/>
    <s v=" LRC-2019-854 -DES 1401029"/>
    <s v="2020-574-64-MTM-A "/>
    <m/>
    <s v="Porter"/>
    <n v="41.420140000000004"/>
    <n v="-87.201599999999999"/>
    <s v="Transportation"/>
    <m/>
    <s v="No"/>
    <m/>
    <n v="1556.1"/>
    <n v="7261.7999999999993"/>
    <n v="1556.1"/>
    <s v="C"/>
    <s v="J"/>
    <m/>
    <m/>
    <m/>
    <m/>
    <m/>
    <m/>
    <s v="Emergent credits purchased elsewhere. "/>
  </r>
  <r>
    <d v="2021-09-15T00:00:00"/>
    <s v="September"/>
    <n v="2021"/>
    <x v="0"/>
    <n v="-0.7"/>
    <x v="0"/>
    <n v="66500"/>
    <n v="247"/>
    <s v="State Isolated"/>
    <x v="4"/>
    <n v="0.54"/>
    <s v="Lennar Corporation"/>
    <s v="None"/>
    <s v="IWIP 2021-472-45-MTM-A"/>
    <m/>
    <s v="Lake"/>
    <n v="41.412514999999999"/>
    <n v="-87.261118999999994"/>
    <s v="Development"/>
    <m/>
    <s v="No"/>
    <m/>
    <n v="9975"/>
    <n v="46550"/>
    <n v="9975"/>
    <s v="C"/>
    <s v="SI"/>
    <s v="2 F"/>
    <m/>
    <m/>
    <m/>
    <m/>
    <m/>
    <s v="Aylesworth Farm"/>
  </r>
  <r>
    <d v="2021-09-23T00:00:00"/>
    <s v="September"/>
    <n v="2021"/>
    <x v="8"/>
    <n v="-7.4999999999999997E-3"/>
    <x v="0"/>
    <n v="600"/>
    <n v="250"/>
    <s v="State Isolated"/>
    <x v="4"/>
    <n v="3.0000000000000001E-3"/>
    <s v="Oakmont Development"/>
    <s v="None"/>
    <s v="IWGP 2021-445-02-WRH-A"/>
    <m/>
    <s v="Allen"/>
    <n v="41.08502"/>
    <n v="-85.295559999999995"/>
    <s v="Development"/>
    <m/>
    <s v="No"/>
    <m/>
    <n v="90"/>
    <n v="420"/>
    <n v="90"/>
    <s v="D"/>
    <s v="SI"/>
    <s v="2 F"/>
    <m/>
    <m/>
    <m/>
    <m/>
    <m/>
    <s v="Orig Impacts permitted under IWGP 2020-974-02-WRH-A,these are addtl impacts. "/>
  </r>
  <r>
    <d v="2021-09-27T00:00:00"/>
    <s v="September"/>
    <n v="2021"/>
    <x v="1"/>
    <n v="-1.2E-2"/>
    <x v="0"/>
    <n v="1140"/>
    <n v="251"/>
    <s v="Federal"/>
    <x v="3"/>
    <n v="0.02"/>
    <s v="Graythorne Development"/>
    <s v="LRC-2019-190"/>
    <s v="2021-92-45-MTM-A"/>
    <m/>
    <s v="Lake"/>
    <n v="41.315891999999998"/>
    <n v="-87.387343000000001"/>
    <s v="Development"/>
    <m/>
    <s v="No"/>
    <m/>
    <n v="171"/>
    <n v="798"/>
    <n v="171"/>
    <s v="C"/>
    <s v="COMB"/>
    <m/>
    <m/>
    <m/>
    <m/>
    <m/>
    <m/>
    <s v="Credit Sale Ltr Inadvertently sent later.  IDEM required 0 emergent. IDEM had wrong SA on permit, used Corps and IDEM noted this. "/>
  </r>
  <r>
    <d v="2021-09-27T00:00:00"/>
    <s v="September"/>
    <n v="2021"/>
    <x v="1"/>
    <n v="-0.3"/>
    <x v="0"/>
    <n v="28500"/>
    <n v="251"/>
    <s v="Federal"/>
    <x v="4"/>
    <n v="0.63"/>
    <s v="Graythorne Development"/>
    <s v="LRC-2019-190"/>
    <s v="2021-92-45-MTM-A"/>
    <m/>
    <s v="Lake"/>
    <n v="41.315891999999998"/>
    <n v="-87.387343000000001"/>
    <s v="Development"/>
    <m/>
    <s v="No"/>
    <m/>
    <n v="4275"/>
    <n v="19950"/>
    <n v="4275"/>
    <s v="C"/>
    <s v="COMB"/>
    <m/>
    <m/>
    <m/>
    <m/>
    <m/>
    <m/>
    <s v="IDEM required 0.26 Forested. IDEM had wrong SA on permit, used Corps and IDEM noted this. "/>
  </r>
  <r>
    <d v="2021-09-27T00:00:00"/>
    <s v="September"/>
    <n v="2021"/>
    <x v="1"/>
    <n v="-0.05"/>
    <x v="0"/>
    <n v="4750"/>
    <n v="251"/>
    <s v="State Isolated"/>
    <x v="4"/>
    <n v="0.14000000000000001"/>
    <s v="Graythorne Development"/>
    <s v="None"/>
    <s v="IWIP 2021-92-45-MTM-A"/>
    <m/>
    <s v="Lake"/>
    <n v="41.315891999999998"/>
    <n v="-87.387343000000001"/>
    <s v="Development"/>
    <m/>
    <s v="No"/>
    <m/>
    <n v="712.5"/>
    <n v="3325"/>
    <n v="712.5"/>
    <s v="C"/>
    <s v="COMB"/>
    <s v="3 F"/>
    <m/>
    <m/>
    <m/>
    <m/>
    <m/>
    <s v="IDEM had wrong SA on permit, used Corps and IDEM noted this. "/>
  </r>
  <r>
    <d v="2021-09-27T00:00:00"/>
    <s v="September"/>
    <n v="2021"/>
    <x v="10"/>
    <n v="-478"/>
    <x v="1"/>
    <n v="191200"/>
    <n v="237"/>
    <s v="Federal"/>
    <x v="6"/>
    <n v="398"/>
    <s v="Force Holdings - Project Husky"/>
    <s v="LRL-2021-277-sjk"/>
    <s v="2021-407-03-TMS-A"/>
    <m/>
    <s v="Bartholomew"/>
    <n v="39.144100000000002"/>
    <n v="-85.944559999999996"/>
    <s v="Development"/>
    <m/>
    <s v="No"/>
    <m/>
    <n v="28680"/>
    <n v="133840"/>
    <n v="28680"/>
    <s v="L"/>
    <s v="COMB"/>
    <m/>
    <m/>
    <m/>
    <m/>
    <m/>
    <m/>
    <s v="Requested invoice re-sent to diff recipient.  Corps requires more at 478 perennial, state 398. "/>
  </r>
  <r>
    <d v="2021-09-27T00:00:00"/>
    <s v="September"/>
    <n v="2021"/>
    <x v="10"/>
    <n v="-1271"/>
    <x v="1"/>
    <n v="508400"/>
    <n v="237"/>
    <s v="Federal"/>
    <x v="2"/>
    <n v="1059"/>
    <s v="Force Holdings - Project Husky"/>
    <s v="LRL-2021-277-sjk"/>
    <s v="2021-407-03-TMS-A"/>
    <m/>
    <s v="Bartholomew"/>
    <n v="39.144100000000002"/>
    <n v="-85.944559999999996"/>
    <s v="Development"/>
    <m/>
    <s v="No"/>
    <m/>
    <n v="76260"/>
    <n v="355880"/>
    <n v="76260"/>
    <s v="L"/>
    <s v="COMB"/>
    <m/>
    <m/>
    <m/>
    <m/>
    <m/>
    <m/>
    <s v="Corps is more at 1271 intermittent stream, State is 1059 intermittent stream. "/>
  </r>
  <r>
    <d v="2021-09-27T00:00:00"/>
    <s v="September"/>
    <n v="2021"/>
    <x v="10"/>
    <n v="-0.61719999999999997"/>
    <x v="0"/>
    <n v="49376"/>
    <n v="237"/>
    <s v="Federal"/>
    <x v="4"/>
    <n v="0.15429999999999999"/>
    <s v="Force Holdings - Project Husky"/>
    <s v="LRL-2021-277-sjk"/>
    <s v="2021-407-03-TMS-A"/>
    <m/>
    <s v="Bartholomew"/>
    <n v="39.144100000000002"/>
    <n v="-85.944559999999996"/>
    <s v="Development"/>
    <m/>
    <s v="No"/>
    <m/>
    <n v="7406.4"/>
    <n v="34563.199999999997"/>
    <n v="7406.4"/>
    <s v="L"/>
    <s v="COMB"/>
    <m/>
    <m/>
    <m/>
    <m/>
    <m/>
    <m/>
    <s v="Corps is less at .56 forested wetland credits"/>
  </r>
  <r>
    <d v="2021-09-27T00:00:00"/>
    <s v="September"/>
    <n v="2021"/>
    <x v="10"/>
    <n v="-0.30549999999999999"/>
    <x v="0"/>
    <n v="24440"/>
    <n v="237"/>
    <s v="State Isolated"/>
    <x v="4"/>
    <n v="0.1222"/>
    <s v="Force Holdings - Project Husky"/>
    <s v="LRL-2021-277-sjk"/>
    <s v="IWIP-2021-407-03-TMS-A"/>
    <m/>
    <s v="Bartholomew"/>
    <n v="39.144100000000002"/>
    <n v="-85.944559999999996"/>
    <s v="Development"/>
    <m/>
    <s v="No"/>
    <m/>
    <n v="3666"/>
    <n v="17108"/>
    <n v="3666"/>
    <s v="L"/>
    <s v="COMB"/>
    <s v="3 F"/>
    <m/>
    <m/>
    <m/>
    <m/>
    <m/>
    <s v="IWIP Class III Forested "/>
  </r>
  <r>
    <d v="2021-09-30T00:00:00"/>
    <s v="September"/>
    <n v="2021"/>
    <x v="7"/>
    <n v="-0.29799999999999999"/>
    <x v="0"/>
    <n v="23840"/>
    <n v="252"/>
    <s v="Federal"/>
    <x v="3"/>
    <n v="0.10100000000000001"/>
    <s v="Stonecrest Development"/>
    <s v="LRL-2017-00451"/>
    <s v="2019-779-22-TMS-A"/>
    <m/>
    <s v="Floyd"/>
    <n v="38.355286"/>
    <s v="-85.81 8652"/>
    <s v="Development"/>
    <m/>
    <s v="No"/>
    <m/>
    <n v="3576"/>
    <n v="16688"/>
    <n v="3576"/>
    <s v="L"/>
    <s v="J"/>
    <m/>
    <m/>
    <m/>
    <m/>
    <m/>
    <m/>
    <s v="Corps requires .91 total wetland mitig - IDEM .202 emergent"/>
  </r>
  <r>
    <d v="2021-09-30T00:00:00"/>
    <s v="September"/>
    <n v="2021"/>
    <x v="7"/>
    <n v="-0.38400000000000001"/>
    <x v="0"/>
    <n v="30720"/>
    <n v="252"/>
    <s v="Federal"/>
    <x v="5"/>
    <n v="0.10100000000000001"/>
    <s v="Stonecrest Development"/>
    <s v="LRL-2017-00451"/>
    <s v="2019-779-22-TMS-A"/>
    <m/>
    <s v="Floyd"/>
    <n v="38.355286"/>
    <s v="-85.81 8652"/>
    <s v="Development"/>
    <m/>
    <s v="No"/>
    <m/>
    <n v="4608"/>
    <n v="21504"/>
    <n v="4608"/>
    <s v="L"/>
    <s v="J"/>
    <m/>
    <m/>
    <m/>
    <m/>
    <m/>
    <m/>
    <s v="Corps requires .91 total wetland mitig - IDEM .384 shrub"/>
  </r>
  <r>
    <d v="2021-09-30T00:00:00"/>
    <s v="September"/>
    <n v="2021"/>
    <x v="7"/>
    <n v="-0.22800000000000001"/>
    <x v="0"/>
    <n v="18240"/>
    <n v="252"/>
    <s v="Federal"/>
    <x v="4"/>
    <n v="0.10100000000000001"/>
    <s v="Stonecrest Development"/>
    <s v="LRL-2017-00451"/>
    <s v="2019-779-22-TMS-A"/>
    <m/>
    <s v="Floyd"/>
    <n v="38.355286"/>
    <s v="-85.81 8652"/>
    <s v="Development"/>
    <m/>
    <s v="No"/>
    <m/>
    <n v="2736"/>
    <n v="12768"/>
    <n v="2736"/>
    <s v="L"/>
    <s v="J"/>
    <m/>
    <m/>
    <m/>
    <m/>
    <m/>
    <m/>
    <s v="Corps requires .91 total wetland mitig - IDEM .228 forested"/>
  </r>
  <r>
    <d v="2021-09-30T00:00:00"/>
    <s v="September"/>
    <n v="2021"/>
    <x v="9"/>
    <n v="-0.34"/>
    <x v="0"/>
    <n v="27200"/>
    <n v="204"/>
    <s v="State Isolated"/>
    <x v="3"/>
    <n v="0.34"/>
    <s v="INDOT"/>
    <s v="None"/>
    <s v="IWGP 2020-787-80-JBT-A"/>
    <m/>
    <s v="Tipton"/>
    <n v="40.289437"/>
    <n v="-86.127049"/>
    <s v="Transportation"/>
    <m/>
    <s v="No"/>
    <m/>
    <n v="4080"/>
    <n v="19040"/>
    <n v="4080"/>
    <s v="L"/>
    <s v="SI"/>
    <s v="1 NF"/>
    <m/>
    <m/>
    <m/>
    <m/>
    <m/>
    <s v="Class I Non-Forested (PEM) DES 1592421"/>
  </r>
  <r>
    <d v="2021-10-06T00:00:00"/>
    <s v="October"/>
    <n v="2021"/>
    <x v="1"/>
    <n v="-0.99"/>
    <x v="0"/>
    <n v="94050"/>
    <n v="239"/>
    <s v="Federal"/>
    <x v="4"/>
    <n v="0.34100000000000003"/>
    <s v="INDOT"/>
    <s v="LRE-2020-1742-137-R21"/>
    <s v="2021-0231-37-JBT-A"/>
    <m/>
    <s v="Jasper"/>
    <n v="40.907580000000003"/>
    <n v="-87.210695999999999"/>
    <s v="Transportation"/>
    <m/>
    <s v="No"/>
    <m/>
    <n v="14107.5"/>
    <n v="65835"/>
    <n v="14107.5"/>
    <s v="L"/>
    <s v="J"/>
    <m/>
    <m/>
    <m/>
    <m/>
    <m/>
    <m/>
    <s v="1700378 - I-65 Unnamed Tributary to Iroquois Liner - Corps required no mitigation. "/>
  </r>
  <r>
    <d v="2021-10-06T00:00:00"/>
    <s v="October"/>
    <n v="2021"/>
    <x v="2"/>
    <n v="-449.5"/>
    <x v="1"/>
    <n v="179800"/>
    <n v="241"/>
    <s v="Federal"/>
    <x v="2"/>
    <n v="516.5"/>
    <s v="INDOT"/>
    <s v="LRL-2020-1097-scm"/>
    <s v="2021-110-42-JBT-A"/>
    <m/>
    <s v="Knox"/>
    <n v="38.867088000000003"/>
    <n v="-87.250826000000004"/>
    <s v="Transportation"/>
    <m/>
    <s v="No"/>
    <m/>
    <n v="26970"/>
    <n v="125859.99999999999"/>
    <n v="26970"/>
    <s v="L"/>
    <s v="J"/>
    <m/>
    <m/>
    <m/>
    <m/>
    <m/>
    <m/>
    <s v="Corps required no credits, confirmed - INDOT 1700156 &amp; 1700159"/>
  </r>
  <r>
    <d v="2021-10-06T00:00:00"/>
    <s v="October"/>
    <n v="2021"/>
    <x v="2"/>
    <n v="-89.5"/>
    <x v="1"/>
    <n v="35800"/>
    <n v="241"/>
    <s v="Federal"/>
    <x v="6"/>
    <n v="33"/>
    <s v="INDOT "/>
    <s v="LRL-2020-1097-scm"/>
    <s v="2021-110-42-JBT-A"/>
    <m/>
    <s v="Knox"/>
    <n v="38.867088000000003"/>
    <n v="-87.250826000000004"/>
    <s v="Transportation"/>
    <m/>
    <s v="No"/>
    <m/>
    <n v="5370"/>
    <n v="25060"/>
    <n v="5370"/>
    <s v="L"/>
    <s v="J"/>
    <m/>
    <m/>
    <m/>
    <m/>
    <m/>
    <m/>
    <s v="Corps required no credits, confirmed - INDOT 1700156 &amp; 1700159"/>
  </r>
  <r>
    <d v="2021-10-06T00:00:00"/>
    <s v="October"/>
    <n v="2021"/>
    <x v="10"/>
    <n v="-1.36"/>
    <x v="0"/>
    <n v="108800.00000000001"/>
    <n v="244"/>
    <s v="Federal"/>
    <x v="3"/>
    <n v="0.56569999999999998"/>
    <s v="INDOT"/>
    <s v="LRL-2020-217-scm"/>
    <s v="2021-0106-73-JBT-A, IWGP"/>
    <m/>
    <s v="Shelby"/>
    <n v="39.588799999999999"/>
    <n v="-85.828999999999994"/>
    <s v="Transportation"/>
    <m/>
    <s v="No"/>
    <m/>
    <n v="16320.000000000002"/>
    <n v="76160"/>
    <n v="16320.000000000002"/>
    <s v="L"/>
    <s v="COMB"/>
    <m/>
    <m/>
    <m/>
    <m/>
    <m/>
    <m/>
    <s v="Requested credits - then asked to hold off due to IWGP - then replied to proceed on purchase.  Corps required more credits -IDEM 1.132, Corps 1.36, I-74 INDOT 1601973 1601974 1601978 1601980"/>
  </r>
  <r>
    <d v="2021-10-06T00:00:00"/>
    <s v="October"/>
    <n v="2021"/>
    <x v="10"/>
    <n v="-0.29799999999999999"/>
    <x v="0"/>
    <n v="23840"/>
    <n v="244"/>
    <s v="State Isolated"/>
    <x v="3"/>
    <n v="0.29799999999999999"/>
    <s v="INDOT"/>
    <s v="LRL-2020-217-scm"/>
    <s v="IWGP 2021-106-73-JBT-A"/>
    <m/>
    <s v="Shelby"/>
    <n v="39.588799999999999"/>
    <n v="-85.828999999999994"/>
    <s v="Transportation"/>
    <m/>
    <s v="No"/>
    <m/>
    <n v="3576"/>
    <n v="16688"/>
    <n v="3576"/>
    <s v="L"/>
    <s v="COMB"/>
    <s v="1 NF"/>
    <m/>
    <m/>
    <m/>
    <m/>
    <m/>
    <s v="Requested credits - then asked to hold off due to IWGP - then replied to proceed on purchase.  Corps required more credits -IDEM 1.132, Corps 1.36, I-74 INDOT 1601973 1601974 1601978 1601980"/>
  </r>
  <r>
    <d v="2021-10-06T00:00:00"/>
    <s v="October"/>
    <n v="2021"/>
    <x v="10"/>
    <n v="-4"/>
    <x v="1"/>
    <n v="1600"/>
    <n v="242"/>
    <s v="Federal"/>
    <x v="6"/>
    <n v="300.3"/>
    <s v="INDOT"/>
    <s v="LRL-2020-44-djd"/>
    <s v="2020-649-03-JBT-A"/>
    <m/>
    <s v="Bartholomew"/>
    <n v="39.141649999999998"/>
    <n v="-85.957999999999998"/>
    <s v="Transportation"/>
    <m/>
    <s v="No"/>
    <m/>
    <n v="240"/>
    <n v="1120"/>
    <n v="240"/>
    <s v="L"/>
    <s v="COMB"/>
    <m/>
    <m/>
    <m/>
    <m/>
    <m/>
    <m/>
    <s v="Note 0.12 jurisdictional wetland credits and 296.3 stream credits were purchased under the original IDEM 401 WQC and Corps 404 permits and a credit sale letter was issued on April 6, 2021 when those credits were purchased.   "/>
  </r>
  <r>
    <d v="2021-10-06T00:00:00"/>
    <s v="October"/>
    <n v="2021"/>
    <x v="10"/>
    <n v="-0.98"/>
    <x v="0"/>
    <n v="78400"/>
    <n v="242"/>
    <s v="State Isolated"/>
    <x v="3"/>
    <n v="0.06"/>
    <s v="INDOT "/>
    <s v="LRL-2020-44-djd"/>
    <s v="IWGP-2020-649-03-JBT-A"/>
    <m/>
    <s v="Bartholomew"/>
    <n v="39.141649999999998"/>
    <n v="-85.957999999999998"/>
    <s v="Transportation"/>
    <m/>
    <s v="No"/>
    <m/>
    <n v="11760"/>
    <n v="54880"/>
    <n v="11760"/>
    <s v="L"/>
    <s v="COMB"/>
    <s v="1 NF"/>
    <m/>
    <m/>
    <m/>
    <m/>
    <m/>
    <s v="Note 0.12 jurisdictional wetland credits and 296.3 stream credits were purchased under the original IDEM 401 WQC and Corps 404 permits and a credit sale letter was issued on April 6, 2021 when those credits were purchased.   "/>
  </r>
  <r>
    <d v="2021-10-18T00:00:00"/>
    <s v="October"/>
    <n v="2021"/>
    <x v="2"/>
    <n v="-114"/>
    <x v="1"/>
    <n v="45600"/>
    <n v="215"/>
    <s v="Federal"/>
    <x v="6"/>
    <n v="95"/>
    <s v="INDOT"/>
    <s v="LRL-2010-506-djd"/>
    <s v="2021-0083-60-JBT-X "/>
    <m/>
    <s v="Owen"/>
    <s v="39.289348°"/>
    <s v="86.779420°"/>
    <s v="Transportation"/>
    <m/>
    <s v="No"/>
    <m/>
    <n v="6840"/>
    <n v="31919.999999999996"/>
    <n v="6840"/>
    <s v="L"/>
    <s v="J"/>
    <m/>
    <m/>
    <m/>
    <m/>
    <m/>
    <m/>
    <s v="Des. No. 0014380 - Corps required more than IDEM required for mitigation. "/>
  </r>
  <r>
    <d v="2021-10-19T00:00:00"/>
    <s v="October"/>
    <n v="2021"/>
    <x v="9"/>
    <n v="-3.6669999999999998"/>
    <x v="0"/>
    <n v="293360"/>
    <n v="256"/>
    <s v="State Isolated"/>
    <x v="4"/>
    <n v="1.837"/>
    <s v="Raindrop, LLC "/>
    <s v="None"/>
    <s v="IWIP 2021-558-32-ERL-A"/>
    <m/>
    <s v="Hendricks &amp; Morgan"/>
    <n v="39.623800000000003"/>
    <n v="-86.468000000000004"/>
    <s v="Development"/>
    <m/>
    <s v="No"/>
    <m/>
    <n v="44004"/>
    <n v="205352"/>
    <n v="44004"/>
    <s v="L"/>
    <s v="SI"/>
    <s v="2 F"/>
    <m/>
    <m/>
    <m/>
    <m/>
    <m/>
    <s v="Previously had permits IWGP 2020-985-32-ERL-A -rescinded, IWIP 2020-985-32-ERL-A- modified for no credit purchase.  IWIP 2021-558-32-ERL-A is a new permit on same project. "/>
  </r>
  <r>
    <d v="2021-10-19T00:00:00"/>
    <s v="October"/>
    <n v="2021"/>
    <x v="9"/>
    <n v="-1.115"/>
    <x v="0"/>
    <n v="89200"/>
    <n v="256"/>
    <s v="State Isolated"/>
    <x v="5"/>
    <n v="0.82699999999999996"/>
    <s v="Raindrop, LLC "/>
    <s v="None"/>
    <s v="IWIP 2021-558-32-ERL-A"/>
    <m/>
    <s v="Hendricks &amp; Morgan"/>
    <n v="39.623800000000003"/>
    <n v="-86.468000000000004"/>
    <s v="Development"/>
    <m/>
    <s v="No"/>
    <m/>
    <n v="13380"/>
    <n v="62439.999999999993"/>
    <n v="13380"/>
    <s v="L"/>
    <s v="SI"/>
    <s v="2 NF"/>
    <m/>
    <m/>
    <m/>
    <m/>
    <m/>
    <s v="Previously had permits IWGP 2020-985-32-ERL-A -rescinded, IWIP 2020-985-32-ERL-A- modified for no credit purchase.  IWIP 2021-558-32-ERL-A is a new permit on same project. "/>
  </r>
  <r>
    <d v="2021-10-19T00:00:00"/>
    <s v="October"/>
    <n v="2021"/>
    <x v="9"/>
    <n v="-0.83"/>
    <x v="0"/>
    <n v="66400"/>
    <n v="249"/>
    <s v="Federal"/>
    <x v="4"/>
    <n v="0.23"/>
    <s v="City of Indianapolis DPW"/>
    <s v="LRL-2021-477-sam"/>
    <s v="2021-348-49-MTM-A"/>
    <m/>
    <s v="Marion"/>
    <n v="39.887799999999999"/>
    <n v="86.300210000000007"/>
    <s v="Dam"/>
    <m/>
    <s v="No"/>
    <m/>
    <n v="9960"/>
    <n v="46480"/>
    <n v="9960"/>
    <s v="L"/>
    <s v="J"/>
    <m/>
    <m/>
    <m/>
    <m/>
    <m/>
    <m/>
    <s v="After the fact Credit Sale - Corps and IDEM required the same amounts. "/>
  </r>
  <r>
    <d v="2021-10-19T00:00:00"/>
    <s v="October"/>
    <n v="2021"/>
    <x v="9"/>
    <n v="-0.98"/>
    <x v="0"/>
    <n v="78400"/>
    <n v="249"/>
    <s v="Federal"/>
    <x v="3"/>
    <n v="0.41"/>
    <s v="City of Indianapolis DPW"/>
    <s v="LRL-2021-477-sam"/>
    <s v="2021-348-49-MTM-A"/>
    <m/>
    <s v="Marion"/>
    <n v="39.887799999999999"/>
    <n v="86.300210000000007"/>
    <s v="Dam"/>
    <m/>
    <s v="No"/>
    <m/>
    <n v="11760"/>
    <n v="54880"/>
    <n v="11760"/>
    <s v="L"/>
    <s v="J"/>
    <m/>
    <m/>
    <m/>
    <m/>
    <m/>
    <m/>
    <s v="After the fact Credit Sale - Corps and IDEM required the same amounts. "/>
  </r>
  <r>
    <d v="2021-10-22T00:00:00"/>
    <s v="October"/>
    <n v="2021"/>
    <x v="6"/>
    <n v="-0.84"/>
    <x v="0"/>
    <n v="100800"/>
    <n v="218"/>
    <s v="Federal"/>
    <x v="3"/>
    <n v="0.21"/>
    <s v="INDOT"/>
    <s v="LRE-2021-00232-144-R21"/>
    <s v="2021-0207-44-JBT-A"/>
    <m/>
    <s v="LaGrange"/>
    <n v="41.697600000000001"/>
    <n v="-85.581199999999995"/>
    <s v="Transportation"/>
    <m/>
    <s v="No"/>
    <m/>
    <n v="15120"/>
    <n v="70560"/>
    <n v="15120"/>
    <s v="D"/>
    <s v="J"/>
    <m/>
    <m/>
    <m/>
    <m/>
    <m/>
    <m/>
    <m/>
  </r>
  <r>
    <d v="2021-10-25T00:00:00"/>
    <s v="October"/>
    <n v="2021"/>
    <x v="0"/>
    <n v="-0.27600000000000002"/>
    <x v="0"/>
    <n v="26220.000000000004"/>
    <n v="246"/>
    <s v="Federal"/>
    <x v="3"/>
    <n v="0.15"/>
    <s v="Boys and Girls Clubs of Greater Northwest Indiana"/>
    <s v="LRC-2020-01139"/>
    <s v="2021-527-64-MTM-X"/>
    <m/>
    <s v="Porter"/>
    <n v="41.447586000000001"/>
    <n v="-87.052993999999998"/>
    <s v="Development"/>
    <m/>
    <s v="No"/>
    <m/>
    <n v="3933.0000000000005"/>
    <n v="18354"/>
    <n v="3933.0000000000005"/>
    <s v="C"/>
    <s v="J"/>
    <m/>
    <m/>
    <m/>
    <m/>
    <m/>
    <m/>
    <s v="IDEM 0.23, Corps .276"/>
  </r>
  <r>
    <d v="2021-10-25T00:00:00"/>
    <s v="October"/>
    <n v="2021"/>
    <x v="2"/>
    <n v="-0.25"/>
    <x v="0"/>
    <n v="20000"/>
    <n v="234"/>
    <s v="Federal"/>
    <x v="3"/>
    <n v="0.25"/>
    <s v="Bloomington Parks - Griffy Lake "/>
    <s v="None"/>
    <s v="2021-383-53-TMS-X"/>
    <m/>
    <s v="Monroe"/>
    <n v="39.198"/>
    <n v="-86.513000000000005"/>
    <s v="Transportation"/>
    <m/>
    <s v="No"/>
    <m/>
    <n v="3000"/>
    <n v="14000"/>
    <n v="3000"/>
    <s v="L"/>
    <s v="J"/>
    <m/>
    <m/>
    <m/>
    <m/>
    <m/>
    <m/>
    <s v="RGP"/>
  </r>
  <r>
    <d v="2021-10-25T00:00:00"/>
    <s v="October"/>
    <n v="2021"/>
    <x v="2"/>
    <n v="-740"/>
    <x v="1"/>
    <n v="296000"/>
    <n v="259"/>
    <s v="Federal"/>
    <x v="1"/>
    <n v="1369"/>
    <s v="Monroe County Highway Departmentt"/>
    <s v="LRL-2020-00189"/>
    <s v="2020-197-53-TMS-A"/>
    <m/>
    <s v="Monroe"/>
    <s v="39.260854,"/>
    <n v="-86.51088"/>
    <s v="Transportation"/>
    <m/>
    <s v="No"/>
    <m/>
    <n v="44400"/>
    <n v="207200"/>
    <n v="44400"/>
    <s v="L"/>
    <s v="J"/>
    <m/>
    <m/>
    <m/>
    <m/>
    <m/>
    <m/>
    <s v="Corps did not require a credit purchase. "/>
  </r>
  <r>
    <d v="2021-11-17T00:00:00"/>
    <s v="November "/>
    <n v="2021"/>
    <x v="0"/>
    <n v="-0.11"/>
    <x v="0"/>
    <n v="10450"/>
    <n v="189"/>
    <s v="State Isolated"/>
    <x v="3"/>
    <n v="0.11"/>
    <s v="Savannah Ridge"/>
    <s v="None"/>
    <s v="IWGP-2020-912-45-MTMA"/>
    <m/>
    <s v="Lake"/>
    <n v="41.47925"/>
    <n v="-87.358260000000001"/>
    <s v="Development"/>
    <m/>
    <s v="No"/>
    <m/>
    <n v="1567.5"/>
    <n v="7314.9999999999991"/>
    <n v="1567.5"/>
    <s v="C"/>
    <s v="SI"/>
    <s v="1 NF"/>
    <m/>
    <m/>
    <m/>
    <m/>
    <m/>
    <s v="Emailed - Credit receipt dated 1/25/2021 - letter inadvertently sent later.  "/>
  </r>
  <r>
    <d v="2021-11-17T00:00:00"/>
    <s v="November "/>
    <n v="2021"/>
    <x v="2"/>
    <n v="-115.5"/>
    <x v="1"/>
    <n v="46200"/>
    <n v="255"/>
    <s v="Federal"/>
    <x v="1"/>
    <n v="345"/>
    <s v="INDOT"/>
    <s v="LRL-2019-699-dds"/>
    <s v="2019-506-28-JBT-A"/>
    <m/>
    <s v="Greene and Sullivan"/>
    <n v="39.015700000000002"/>
    <n v="-87.213310000000007"/>
    <s v="Transportation"/>
    <m/>
    <s v="No"/>
    <m/>
    <n v="6930"/>
    <n v="32339.999999999996"/>
    <n v="6930"/>
    <s v="L"/>
    <s v="J"/>
    <m/>
    <m/>
    <m/>
    <m/>
    <m/>
    <m/>
    <s v="Redbird recreational area -  Des. No. 1601178 - Corps required no mitigation"/>
  </r>
  <r>
    <d v="2021-11-17T00:00:00"/>
    <s v="November "/>
    <n v="2021"/>
    <x v="2"/>
    <n v="-71"/>
    <x v="1"/>
    <n v="28400"/>
    <n v="255"/>
    <s v="Federal"/>
    <x v="2"/>
    <n v="209.5"/>
    <s v="INDOT"/>
    <s v="LRL-2019-699-dds"/>
    <s v="2019-506-28-JBT-A"/>
    <m/>
    <s v="Greene and Sullivan"/>
    <n v="39.015700000000002"/>
    <n v="-87.213310000000007"/>
    <s v="Transportation"/>
    <m/>
    <s v="No"/>
    <m/>
    <n v="4260"/>
    <n v="19880"/>
    <n v="4260"/>
    <s v="L"/>
    <s v="J"/>
    <m/>
    <m/>
    <m/>
    <m/>
    <m/>
    <m/>
    <s v="Redbird recreational area -  Des. No. 1601178 - Corps required no mitigation"/>
  </r>
  <r>
    <d v="2021-11-17T00:00:00"/>
    <s v="November "/>
    <n v="2021"/>
    <x v="2"/>
    <n v="-0.1"/>
    <x v="0"/>
    <n v="8000"/>
    <n v="255"/>
    <s v="Federal"/>
    <x v="3"/>
    <n v="0.05"/>
    <s v="INDOT"/>
    <s v="LRL-2019-699-dds"/>
    <s v="2019-506-28-JBT-A"/>
    <m/>
    <s v="Greene and Sullivan"/>
    <n v="39.015700000000002"/>
    <n v="-87.213310000000007"/>
    <s v="Transportation"/>
    <m/>
    <s v="No"/>
    <m/>
    <n v="1200"/>
    <n v="5600"/>
    <n v="1200"/>
    <s v="L"/>
    <s v="J"/>
    <m/>
    <m/>
    <m/>
    <m/>
    <m/>
    <m/>
    <s v="Redbird recreational area -  Des. No. 1601178 - Corps required no mitigation"/>
  </r>
  <r>
    <d v="2021-11-17T00:00:00"/>
    <s v="November "/>
    <n v="2021"/>
    <x v="2"/>
    <n v="-0.08"/>
    <x v="0"/>
    <n v="6400"/>
    <n v="255"/>
    <s v="Federal"/>
    <x v="4"/>
    <n v="0.02"/>
    <s v="INDOT"/>
    <s v="LRL-2019-699-dds"/>
    <s v="2019-506-28-JBT-A"/>
    <m/>
    <s v="Greene and Sullivan"/>
    <n v="39.015700000000002"/>
    <n v="-87.213310000000007"/>
    <s v="Transportation"/>
    <m/>
    <s v="No"/>
    <m/>
    <n v="960"/>
    <n v="4480"/>
    <n v="960"/>
    <s v="L"/>
    <s v="J"/>
    <m/>
    <m/>
    <m/>
    <m/>
    <m/>
    <m/>
    <s v="Redbird recreational area -  Des. No. 1601178 - Corps required no mitigation"/>
  </r>
  <r>
    <d v="2021-11-17T00:00:00"/>
    <s v="November "/>
    <n v="2021"/>
    <x v="6"/>
    <n v="-124"/>
    <x v="1"/>
    <n v="74400"/>
    <n v="253"/>
    <s v="Federal"/>
    <x v="6"/>
    <n v="124"/>
    <s v="INDOT"/>
    <s v="LRE-2008-103-120--R21"/>
    <s v="2021-366-20-JBT-X"/>
    <m/>
    <s v="Elkhart"/>
    <n v="41.654051000000003"/>
    <n v="-85.670492999999993"/>
    <s v="Transportation"/>
    <m/>
    <s v="No"/>
    <m/>
    <n v="11160"/>
    <n v="52080"/>
    <n v="11160"/>
    <s v="D"/>
    <s v="J"/>
    <m/>
    <m/>
    <m/>
    <m/>
    <m/>
    <m/>
    <s v="Corps did not require any credit purchase - 1600421 US20"/>
  </r>
  <r>
    <d v="2021-11-17T00:00:00"/>
    <s v="November "/>
    <n v="2021"/>
    <x v="6"/>
    <n v="-8.9999999999999993E-3"/>
    <x v="0"/>
    <n v="1080"/>
    <n v="253"/>
    <s v="Federal"/>
    <x v="3"/>
    <n v="4.4999999999999997E-3"/>
    <s v="INDOT"/>
    <s v="LRE-2008-103-120--R21"/>
    <s v="2021-366-20-JBT-X"/>
    <m/>
    <s v="Elkhart"/>
    <n v="41.654051000000003"/>
    <n v="-85.670492999999993"/>
    <s v="Transportation"/>
    <m/>
    <s v="No"/>
    <m/>
    <n v="162"/>
    <n v="756"/>
    <n v="162"/>
    <s v="D"/>
    <s v="J"/>
    <m/>
    <m/>
    <m/>
    <m/>
    <m/>
    <m/>
    <s v="Corps did not require any credit purchase - 1600421 US21"/>
  </r>
  <r>
    <d v="2021-11-17T00:00:00"/>
    <s v="November "/>
    <n v="2021"/>
    <x v="6"/>
    <n v="-6.6E-3"/>
    <x v="0"/>
    <n v="792"/>
    <n v="253"/>
    <s v="Federal"/>
    <x v="5"/>
    <n v="2.2000000000000001E-3"/>
    <s v="INDOT"/>
    <s v="LRE-2008-103-120--R21"/>
    <s v="2021-366-20-JBT-X"/>
    <m/>
    <s v="Elkhart"/>
    <n v="41.654051000000003"/>
    <n v="-85.670492999999993"/>
    <s v="Transportation"/>
    <m/>
    <s v="No"/>
    <m/>
    <n v="118.8"/>
    <n v="554.4"/>
    <n v="118.8"/>
    <s v="D"/>
    <s v="J"/>
    <m/>
    <m/>
    <m/>
    <m/>
    <m/>
    <m/>
    <s v="Corps did not require any credit purchase - 1600421 US22"/>
  </r>
  <r>
    <d v="2021-11-17T00:00:00"/>
    <s v="November "/>
    <n v="2021"/>
    <x v="6"/>
    <n v="-0.2954"/>
    <x v="0"/>
    <n v="35448"/>
    <n v="253"/>
    <s v="Federal"/>
    <x v="4"/>
    <n v="7.2599999999999998E-2"/>
    <s v="INDOT"/>
    <s v="LRE-2008-103-120--R21"/>
    <s v="2021-366-20-JBT-X"/>
    <m/>
    <s v="Elkhart"/>
    <n v="41.654051000000003"/>
    <n v="-85.670492999999993"/>
    <s v="Transportation"/>
    <m/>
    <s v="No"/>
    <m/>
    <n v="5317.2"/>
    <n v="24813.599999999999"/>
    <n v="5317.2"/>
    <s v="D"/>
    <s v="J"/>
    <m/>
    <m/>
    <m/>
    <m/>
    <m/>
    <m/>
    <s v="Corps did not require any credit purchase - 1600421 US23"/>
  </r>
  <r>
    <d v="2021-11-17T00:00:00"/>
    <s v="November "/>
    <n v="2021"/>
    <x v="6"/>
    <n v="-52"/>
    <x v="1"/>
    <n v="31200"/>
    <n v="254"/>
    <s v="Federal"/>
    <x v="6"/>
    <n v="100"/>
    <s v="INDOT"/>
    <s v="LRE-2010-00799-120-S20"/>
    <s v="2020-981-20-JBT-A"/>
    <m/>
    <s v="Elkhart &amp; Kosciusko"/>
    <n v="41.667400000000001"/>
    <n v="-85.821399999999997"/>
    <s v="Transportation"/>
    <m/>
    <s v="No"/>
    <m/>
    <n v="4680"/>
    <n v="21840"/>
    <n v="4680"/>
    <s v="D"/>
    <s v="J"/>
    <m/>
    <m/>
    <m/>
    <m/>
    <m/>
    <m/>
    <s v="IDEM 52 - INDOT 1600517 - Permit revision changing amounts"/>
  </r>
  <r>
    <d v="2021-11-17T00:00:00"/>
    <s v="November "/>
    <n v="2021"/>
    <x v="6"/>
    <n v="-7.1829999999999998"/>
    <x v="0"/>
    <n v="861960"/>
    <n v="254"/>
    <s v="Federal"/>
    <x v="3"/>
    <n v="3.831"/>
    <s v="INDOT"/>
    <s v="LRE-2010-00799-120-S20"/>
    <s v="2020-981-20-JBT-A"/>
    <m/>
    <s v="Elkhart &amp; Kosciusko"/>
    <n v="41.667400000000001"/>
    <n v="-85.821399999999997"/>
    <s v="Transportation"/>
    <m/>
    <s v="No"/>
    <m/>
    <n v="129294"/>
    <n v="603372"/>
    <n v="129294"/>
    <s v="D"/>
    <s v="J"/>
    <m/>
    <m/>
    <m/>
    <m/>
    <m/>
    <m/>
    <s v="IDEM 7.183, Corps all wetland credits total of 7.705"/>
  </r>
  <r>
    <d v="2021-11-17T00:00:00"/>
    <s v="November "/>
    <n v="2021"/>
    <x v="6"/>
    <n v="-0.28199999999999997"/>
    <x v="0"/>
    <n v="33840"/>
    <n v="254"/>
    <s v="Federal"/>
    <x v="5"/>
    <n v="9.4E-2"/>
    <s v="INDOT"/>
    <s v="LRE-2010-00799-120-S20"/>
    <s v="2020-981-20-JBT-A"/>
    <m/>
    <s v="Elkhart &amp; Kosciusko"/>
    <n v="41.667400000000001"/>
    <n v="-85.821399999999997"/>
    <s v="Transportation"/>
    <m/>
    <s v="No"/>
    <m/>
    <n v="5076"/>
    <n v="23688"/>
    <n v="5076"/>
    <s v="D"/>
    <s v="J"/>
    <m/>
    <m/>
    <m/>
    <m/>
    <m/>
    <m/>
    <s v="IDEM 0.282"/>
  </r>
  <r>
    <d v="2021-11-17T00:00:00"/>
    <s v="November "/>
    <n v="2021"/>
    <x v="6"/>
    <n v="-0.24"/>
    <x v="0"/>
    <n v="28800"/>
    <n v="254"/>
    <s v="Federal"/>
    <x v="4"/>
    <n v="5.3999999999999999E-2"/>
    <s v="INDOT"/>
    <s v="LRE-2010-00799-120-S20"/>
    <s v="2020-981-20-JBT-A"/>
    <m/>
    <s v="Elkhart &amp; Kosciusko"/>
    <n v="41.667400000000001"/>
    <n v="-85.821399999999997"/>
    <s v="Transportation"/>
    <m/>
    <s v="No"/>
    <m/>
    <n v="4320"/>
    <n v="20160"/>
    <n v="4320"/>
    <s v="D"/>
    <s v="J"/>
    <m/>
    <m/>
    <m/>
    <m/>
    <m/>
    <m/>
    <s v="IDEM 0.24"/>
  </r>
  <r>
    <d v="2021-11-30T00:00:00"/>
    <s v="November "/>
    <n v="2021"/>
    <x v="8"/>
    <n v="-65"/>
    <x v="1"/>
    <n v="26000"/>
    <n v="121"/>
    <s v="Federal"/>
    <x v="6"/>
    <n v="65"/>
    <s v="Love's Travel Stops and Country Stores, Inc."/>
    <s v="LRL-2019-473-lcl"/>
    <s v="2020-293-79-ERL-A"/>
    <m/>
    <s v="Tippecanoe"/>
    <n v="40.4529"/>
    <n v="-86.850300000000004"/>
    <s v="Development"/>
    <m/>
    <s v="No"/>
    <m/>
    <n v="3900"/>
    <n v="18200"/>
    <n v="3900"/>
    <s v="L"/>
    <s v="J"/>
    <m/>
    <m/>
    <m/>
    <m/>
    <m/>
    <m/>
    <s v="IDEM required more ILF stream credit than the Corps"/>
  </r>
  <r>
    <d v="2021-11-30T00:00:00"/>
    <s v="November "/>
    <n v="2021"/>
    <x v="8"/>
    <n v="-1.54"/>
    <x v="0"/>
    <n v="123200"/>
    <n v="121"/>
    <s v="Federal"/>
    <x v="3"/>
    <n v="0.64"/>
    <s v="Love's Travel Stops and Country Stores, Inc."/>
    <s v="LRL-2019-473-lcl"/>
    <s v="2020-293-79-ERL-A"/>
    <m/>
    <s v="Tippecanoe"/>
    <n v="40.4529"/>
    <n v="-86.850300000000004"/>
    <s v="Development"/>
    <m/>
    <s v="No"/>
    <m/>
    <n v="18480"/>
    <n v="86240"/>
    <n v="18480"/>
    <s v="L"/>
    <s v="J"/>
    <m/>
    <m/>
    <m/>
    <m/>
    <m/>
    <m/>
    <s v="Corps required more PEM ILF credit"/>
  </r>
  <r>
    <d v="2021-11-30T00:00:00"/>
    <s v="November "/>
    <n v="2021"/>
    <x v="8"/>
    <n v="-0.34"/>
    <x v="0"/>
    <n v="27200"/>
    <n v="121"/>
    <s v="Federal"/>
    <x v="5"/>
    <n v="0.14000000000000001"/>
    <s v="Love's Travel Stops and Country Stores, Inc."/>
    <s v="LRL-2019-473-lcl"/>
    <s v="2020-293-79-ERL-A"/>
    <m/>
    <s v="Tippecanoe"/>
    <n v="40.4529"/>
    <n v="-86.850300000000004"/>
    <s v="Development"/>
    <m/>
    <s v="No"/>
    <m/>
    <n v="4080"/>
    <n v="19040"/>
    <n v="4080"/>
    <s v="L"/>
    <s v="J"/>
    <m/>
    <m/>
    <m/>
    <m/>
    <m/>
    <m/>
    <s v="IDEM required more PSS credit, but accepted the additional PSS for the compensation"/>
  </r>
  <r>
    <d v="2021-11-30T00:00:00"/>
    <s v="November "/>
    <n v="2021"/>
    <x v="9"/>
    <n v="-429"/>
    <x v="1"/>
    <n v="193050"/>
    <n v="257"/>
    <s v="Federal"/>
    <x v="6"/>
    <n v="357"/>
    <s v="Indy South Greenwood Airport"/>
    <s v="LRL-2019-1080-sjk"/>
    <s v="2021-397-41-TMS-A"/>
    <m/>
    <s v="Johnson"/>
    <n v="39.628300000000003"/>
    <n v="-86.090199999999996"/>
    <s v="Transportation"/>
    <m/>
    <s v="No"/>
    <m/>
    <n v="28957.5"/>
    <n v="135135"/>
    <n v="28957.5"/>
    <s v="L"/>
    <s v="J"/>
    <m/>
    <m/>
    <m/>
    <m/>
    <m/>
    <m/>
    <m/>
  </r>
  <r>
    <d v="2021-11-30T00:00:00"/>
    <s v="November "/>
    <n v="2021"/>
    <x v="9"/>
    <n v="-0.43"/>
    <x v="0"/>
    <n v="34400"/>
    <n v="257"/>
    <s v="Federal"/>
    <x v="3"/>
    <n v="0.18"/>
    <s v="Indy South Greenwood Airport"/>
    <s v="LRL-2019-1080-sjk"/>
    <s v="2021-397-41-TMS-A"/>
    <m/>
    <s v="Johnson"/>
    <n v="39.628300000000003"/>
    <n v="-86.090199999999996"/>
    <s v="Transportation"/>
    <m/>
    <s v="No"/>
    <m/>
    <n v="5160"/>
    <n v="24080"/>
    <n v="5160"/>
    <s v="L"/>
    <s v="J"/>
    <m/>
    <m/>
    <m/>
    <m/>
    <m/>
    <m/>
    <m/>
  </r>
  <r>
    <d v="2021-12-07T00:00:00"/>
    <s v="December"/>
    <n v="2021"/>
    <x v="0"/>
    <n v="-232"/>
    <x v="1"/>
    <n v="139200"/>
    <n v="258"/>
    <s v="Federal"/>
    <x v="2"/>
    <n v="1060"/>
    <s v="Lake County"/>
    <s v="LRE 2000-1450751"/>
    <s v="2021-360-45-MTM-A"/>
    <m/>
    <s v="Lake"/>
    <n v="41.53716"/>
    <n v="-87.398420000000002"/>
    <s v="Transportation"/>
    <m/>
    <s v="No"/>
    <m/>
    <n v="20880"/>
    <n v="97440"/>
    <n v="20880"/>
    <s v="C"/>
    <s v="J"/>
    <m/>
    <m/>
    <m/>
    <m/>
    <m/>
    <m/>
    <s v="45th Avenue Phase IIIA and IIIB – Des. 9980080"/>
  </r>
  <r>
    <d v="2021-12-07T00:00:00"/>
    <s v="December"/>
    <n v="2021"/>
    <x v="0"/>
    <n v="-0.93400000000000005"/>
    <x v="0"/>
    <n v="88730"/>
    <n v="258"/>
    <s v="Federal"/>
    <x v="3"/>
    <n v="0.42499999999999999"/>
    <s v="Lake County"/>
    <s v="LRE 2000-1450751"/>
    <s v="2021-360-45-MTM-A"/>
    <m/>
    <s v="Lake"/>
    <n v="41.53716"/>
    <n v="-87.398420000000002"/>
    <s v="Transportation"/>
    <m/>
    <s v="No"/>
    <m/>
    <n v="13309.5"/>
    <n v="62110.999999999993"/>
    <n v="13309.5"/>
    <s v="C"/>
    <s v="J"/>
    <m/>
    <m/>
    <m/>
    <m/>
    <m/>
    <m/>
    <s v="46th Avenue Phase IIIA and IIIB – Des. 9980080"/>
  </r>
  <r>
    <d v="2021-12-07T00:00:00"/>
    <s v="December"/>
    <n v="2021"/>
    <x v="0"/>
    <n v="-0.01"/>
    <x v="0"/>
    <n v="950"/>
    <n v="258"/>
    <s v="Federal"/>
    <x v="5"/>
    <n v="3.0000000000000001E-3"/>
    <s v="Lake County"/>
    <s v="LRE 2000-1450751"/>
    <s v="2021-360-45-MTM-A"/>
    <m/>
    <s v="Lake"/>
    <n v="41.53716"/>
    <n v="-87.398420000000002"/>
    <s v="Transportation"/>
    <m/>
    <s v="No"/>
    <m/>
    <n v="142.5"/>
    <n v="665"/>
    <n v="142.5"/>
    <s v="C"/>
    <s v="J"/>
    <m/>
    <m/>
    <m/>
    <m/>
    <m/>
    <m/>
    <s v="47th Avenue Phase IIIA and IIIB – Des. 9980080"/>
  </r>
  <r>
    <d v="2021-12-07T00:00:00"/>
    <s v="December"/>
    <n v="2021"/>
    <x v="0"/>
    <n v="-0.185"/>
    <x v="0"/>
    <n v="17575"/>
    <n v="258"/>
    <s v="Federal"/>
    <x v="4"/>
    <n v="4.3999999999999997E-2"/>
    <s v="Lake County"/>
    <s v="LRE 2000-1450751"/>
    <s v="2021-360-45-MTM-A"/>
    <m/>
    <s v="Lake"/>
    <n v="41.53716"/>
    <n v="-87.398420000000002"/>
    <s v="Transportation"/>
    <m/>
    <s v="No"/>
    <m/>
    <n v="2636.25"/>
    <n v="12302.5"/>
    <n v="2636.25"/>
    <s v="C"/>
    <s v="J"/>
    <m/>
    <m/>
    <m/>
    <m/>
    <m/>
    <m/>
    <s v="48th Avenue Phase IIIA and IIIB – Des. 9980080"/>
  </r>
  <r>
    <d v="2021-12-07T00:00:00"/>
    <s v="December"/>
    <n v="2021"/>
    <x v="5"/>
    <n v="-0.16"/>
    <x v="0"/>
    <n v="12800"/>
    <n v="267"/>
    <s v="Federal"/>
    <x v="3"/>
    <n v="0.16"/>
    <s v="Old Dominion Road - Failed mitig - short time period"/>
    <s v="LRL-2019-152-jmb"/>
    <s v="2018-693-82"/>
    <m/>
    <s v="Vanderburgh"/>
    <n v="38.104962999999998"/>
    <n v="-87.512309999999999"/>
    <s v="Development"/>
    <m/>
    <s v="No"/>
    <m/>
    <n v="1920"/>
    <n v="8960"/>
    <n v="1920"/>
    <s v="L"/>
    <s v="J"/>
    <m/>
    <m/>
    <m/>
    <m/>
    <m/>
    <m/>
    <s v="Non-Compliance letter sent via IDEM 11/21 - Corps did not pursue as determined impacts pre-2014"/>
  </r>
  <r>
    <d v="2021-12-07T00:00:00"/>
    <s v="December"/>
    <n v="2021"/>
    <x v="9"/>
    <n v="-2.1749999999999998"/>
    <x v="0"/>
    <n v="174000"/>
    <n v="266"/>
    <s v="State Isolated"/>
    <x v="4"/>
    <n v="0.87"/>
    <s v="Vail Properties"/>
    <s v="None"/>
    <s v="IWIP 2021-682-30-JBT-A"/>
    <m/>
    <s v="Hancock"/>
    <n v="39.869999999999997"/>
    <n v="-85.91"/>
    <s v="Development"/>
    <m/>
    <s v="No"/>
    <m/>
    <n v="26100"/>
    <n v="121799.99999999999"/>
    <n v="26100"/>
    <s v="L"/>
    <s v="SI"/>
    <s v="3 F"/>
    <m/>
    <m/>
    <m/>
    <m/>
    <m/>
    <m/>
  </r>
  <r>
    <d v="2021-12-15T00:00:00"/>
    <s v="December"/>
    <n v="2021"/>
    <x v="9"/>
    <n v="-230"/>
    <x v="1"/>
    <n v="103500"/>
    <n v="194"/>
    <s v="Federal"/>
    <x v="2"/>
    <n v="230"/>
    <s v="City of Greenwood"/>
    <s v="LRL-2020-01079-htm"/>
    <s v="2020-951-41-TMS-A"/>
    <m/>
    <s v="Johnson"/>
    <n v="39.581670000000003"/>
    <n v="-86.139799999999994"/>
    <s v="Transportation"/>
    <m/>
    <s v="No"/>
    <m/>
    <n v="15525"/>
    <n v="72450"/>
    <n v="15525"/>
    <s v="L"/>
    <s v="J"/>
    <m/>
    <m/>
    <m/>
    <m/>
    <m/>
    <m/>
    <s v="Corps RGP did not require ILF mitigation"/>
  </r>
  <r>
    <d v="2021-12-15T00:00:00"/>
    <s v="December"/>
    <n v="2021"/>
    <x v="9"/>
    <n v="-4"/>
    <x v="0"/>
    <n v="320000"/>
    <n v="248"/>
    <s v="Federal"/>
    <x v="4"/>
    <n v="1"/>
    <s v="City of Indianapolis DPW"/>
    <s v="LRL-1991-119-sam"/>
    <s v="1995-304-49-HAK-A"/>
    <m/>
    <s v="Marion"/>
    <n v="39.865496"/>
    <n v="-86.045828"/>
    <s v="Development"/>
    <m/>
    <s v="No"/>
    <m/>
    <n v="48000"/>
    <n v="224000"/>
    <n v="48000"/>
    <s v="L"/>
    <s v="J"/>
    <m/>
    <m/>
    <m/>
    <m/>
    <m/>
    <m/>
    <s v="Failed mitigation - Shadeland Avenue over Fall Creek Mitigation Resolution - 90 days to complete purchase. "/>
  </r>
  <r>
    <d v="2021-12-15T00:00:00"/>
    <s v="December"/>
    <n v="2021"/>
    <x v="8"/>
    <n v="-0.35"/>
    <x v="0"/>
    <n v="28000"/>
    <n v="263"/>
    <s v="State Isolated"/>
    <x v="3"/>
    <n v="0.18"/>
    <s v="AEP"/>
    <s v="None"/>
    <s v="IWIP 2021-629-05-WRH-A"/>
    <m/>
    <s v="Blackford and Jay"/>
    <n v="40.406025"/>
    <n v="-85.276526000000004"/>
    <s v="Transportation"/>
    <m/>
    <s v="No"/>
    <m/>
    <n v="4200"/>
    <n v="19600"/>
    <n v="4200"/>
    <s v="L"/>
    <s v="SI"/>
    <s v="2 F"/>
    <m/>
    <m/>
    <m/>
    <m/>
    <m/>
    <m/>
  </r>
  <r>
    <d v="2021-12-28T00:00:00"/>
    <s v="December"/>
    <n v="2021"/>
    <x v="0"/>
    <n v="-126"/>
    <x v="1"/>
    <n v="75600"/>
    <n v="238"/>
    <s v="Federal"/>
    <x v="2"/>
    <n v="101"/>
    <s v="INDOT"/>
    <s v="LRC-2021-00335"/>
    <s v="2020-804-45-JBT-A"/>
    <m/>
    <s v="Lake"/>
    <n v="41.42"/>
    <n v="-87.3215"/>
    <s v="Transportation"/>
    <m/>
    <s v="No"/>
    <m/>
    <n v="11340"/>
    <n v="52920"/>
    <n v="11340"/>
    <s v="C"/>
    <s v="J"/>
    <m/>
    <m/>
    <m/>
    <m/>
    <m/>
    <m/>
    <s v="Corps required more - IDEM 101, Corps 126 - INDOT DES 1801500"/>
  </r>
  <r>
    <d v="2021-12-28T00:00:00"/>
    <s v="December"/>
    <n v="2021"/>
    <x v="0"/>
    <n v="-1.45"/>
    <x v="0"/>
    <n v="137750"/>
    <n v="238"/>
    <s v="Federal"/>
    <x v="3"/>
    <n v="0.66700000000000004"/>
    <s v="INDOT"/>
    <s v="LRC-2021-00335"/>
    <s v="2020-804-45-JBT-A"/>
    <m/>
    <s v="Lake"/>
    <n v="41.42"/>
    <n v="-87.3215"/>
    <s v="Transportation"/>
    <m/>
    <s v="No"/>
    <m/>
    <n v="20662.5"/>
    <n v="96425"/>
    <n v="20662.5"/>
    <s v="C"/>
    <s v="J"/>
    <m/>
    <m/>
    <m/>
    <m/>
    <m/>
    <m/>
    <s v="IDEM was 1.16, Corps was 1.45, Corps added surcharge for impacts while projects being planned/implemented"/>
  </r>
  <r>
    <m/>
    <m/>
    <m/>
    <x v="11"/>
    <m/>
    <x v="2"/>
    <m/>
    <m/>
    <m/>
    <x v="0"/>
    <m/>
    <m/>
    <m/>
    <m/>
    <m/>
    <m/>
    <m/>
    <m/>
    <m/>
    <m/>
    <m/>
    <m/>
    <m/>
    <m/>
    <m/>
    <m/>
    <m/>
    <m/>
    <m/>
    <m/>
    <m/>
    <m/>
    <m/>
    <m/>
  </r>
  <r>
    <d v="2022-01-04T00:00:00"/>
    <s v="January"/>
    <n v="2022"/>
    <x v="9"/>
    <n v="-0.5"/>
    <x v="0"/>
    <n v="40000"/>
    <n v="262"/>
    <s v="State Isolated"/>
    <x v="4"/>
    <n v="0.2"/>
    <s v="INDOT"/>
    <s v="LRL-2020-426-scm"/>
    <s v="IWIP 2020-407-29-JBT-A "/>
    <m/>
    <s v="Hamilton"/>
    <n v="40.131169999999997"/>
    <n v="86.128159999999994"/>
    <s v="Transportation"/>
    <m/>
    <s v="No"/>
    <m/>
    <n v="6000"/>
    <n v="28000"/>
    <n v="6000"/>
    <s v="L"/>
    <s v="SI"/>
    <s v="2 FO"/>
    <m/>
    <m/>
    <m/>
    <m/>
    <m/>
    <s v="Class II Forested  DES 1702149"/>
  </r>
  <r>
    <d v="2022-01-04T00:00:00"/>
    <s v="January"/>
    <n v="2022"/>
    <x v="9"/>
    <n v="-1654"/>
    <x v="1"/>
    <n v="744300"/>
    <n v="262"/>
    <s v="Federal"/>
    <x v="2"/>
    <n v="1654"/>
    <s v="INDOT"/>
    <s v="LRL-2020-426-scm"/>
    <s v="2020-407-29-JBT-A "/>
    <m/>
    <s v="Hamilton"/>
    <n v="40.131169999999997"/>
    <n v="86.128159999999994"/>
    <s v="Transportation"/>
    <m/>
    <s v="No"/>
    <m/>
    <n v="111645"/>
    <n v="521009.99999999994"/>
    <n v="111645"/>
    <s v="L"/>
    <s v="COMB"/>
    <m/>
    <m/>
    <m/>
    <m/>
    <m/>
    <m/>
    <s v="Corps required 526 lf int.  IDEM required more ILF stream credits than the Corps. IWGP Wetland credits 0.223, and .016 from 401, purchased from bank. 1702149"/>
  </r>
  <r>
    <d v="2022-01-04T00:00:00"/>
    <s v="January"/>
    <n v="2022"/>
    <x v="9"/>
    <n v="-2.68"/>
    <x v="0"/>
    <n v="214400"/>
    <n v="260"/>
    <s v="Federal"/>
    <x v="4"/>
    <n v="1.8"/>
    <s v="Scannell Properties"/>
    <s v="LRL-2020-1066-lcl"/>
    <s v="2021-324-32-ERL-A"/>
    <m/>
    <s v="Hendricks"/>
    <n v="39.832799999999999"/>
    <n v="-86.349500000000006"/>
    <s v="Development"/>
    <m/>
    <s v="No"/>
    <m/>
    <n v="32160"/>
    <n v="150080"/>
    <n v="32160"/>
    <s v="L"/>
    <s v="J"/>
    <m/>
    <m/>
    <m/>
    <m/>
    <m/>
    <m/>
    <s v="WOSD revision issued - IWGP was rescinded, and IWIP was modified.  Held until mod final and revised credit amount."/>
  </r>
  <r>
    <d v="2022-01-05T00:00:00"/>
    <s v="January"/>
    <n v="2022"/>
    <x v="5"/>
    <n v="-0.86"/>
    <x v="0"/>
    <n v="68800"/>
    <n v="230"/>
    <s v="Federal"/>
    <x v="3"/>
    <n v="0.35589999999999999"/>
    <s v="INDOT"/>
    <s v="LRL-2021-83-scm"/>
    <s v="2021-0297-82-JBT-A"/>
    <m/>
    <s v="Vanderburgh"/>
    <s v="38.004,"/>
    <n v="-87.538600000000002"/>
    <s v="Transportation"/>
    <m/>
    <s v="No"/>
    <m/>
    <n v="10320"/>
    <n v="48160"/>
    <n v="10320"/>
    <s v="L"/>
    <s v="J"/>
    <m/>
    <m/>
    <m/>
    <m/>
    <m/>
    <m/>
    <s v="US41 Pigeon Creek DES 2001766 &amp; 200514 - DNR no addtl mitigation - IDEM .96 as all emergent - Corps broke out emergent and forested and .97 total"/>
  </r>
  <r>
    <d v="2022-01-05T00:00:00"/>
    <s v="January"/>
    <n v="2022"/>
    <x v="5"/>
    <n v="-0.11"/>
    <x v="0"/>
    <n v="8800"/>
    <n v="230"/>
    <s v="Federal"/>
    <x v="4"/>
    <n v="2.9000000000000001E-2"/>
    <s v="INDOT"/>
    <s v="LRL-2021-83-scm"/>
    <s v="2021-0297-82-JBT-A"/>
    <m/>
    <s v="Vanderburgh"/>
    <s v="38.004,"/>
    <n v="-87.538600000000002"/>
    <s v="Transportation"/>
    <m/>
    <s v="No"/>
    <m/>
    <n v="1320"/>
    <n v="6160"/>
    <n v="1320"/>
    <s v="L"/>
    <s v="J"/>
    <m/>
    <m/>
    <m/>
    <m/>
    <m/>
    <m/>
    <s v="US41 Pigeon Creek DES 2001766 &amp; 200514"/>
  </r>
  <r>
    <d v="2022-01-12T00:00:00"/>
    <s v="January"/>
    <n v="2022"/>
    <x v="1"/>
    <n v="-0.46"/>
    <x v="0"/>
    <n v="43700"/>
    <n v="281"/>
    <s v="Federal"/>
    <x v="3"/>
    <n v="0.19"/>
    <s v="NIPSCO"/>
    <s v="LRC-2021-00964"/>
    <s v="2021-872-45-MTM-X"/>
    <m/>
    <s v="Lake"/>
    <n v="41.443241700000002"/>
    <n v="-87.488253999999998"/>
    <s v="Energy Production"/>
    <m/>
    <s v="No"/>
    <m/>
    <n v="6555"/>
    <n v="30589.999999999996"/>
    <n v="6555"/>
    <s v="C"/>
    <s v="J"/>
    <m/>
    <m/>
    <m/>
    <m/>
    <m/>
    <m/>
    <m/>
  </r>
  <r>
    <d v="2022-01-18T00:00:00"/>
    <s v="January"/>
    <n v="2022"/>
    <x v="9"/>
    <n v="-1.8"/>
    <x v="0"/>
    <n v="144000"/>
    <n v="268"/>
    <s v="State Isolated"/>
    <x v="4"/>
    <n v="0.7"/>
    <s v="Point 70 Logistic Ventures"/>
    <s v="N/A"/>
    <s v="IWIP 2021-506-30-SLG-A"/>
    <m/>
    <s v="Hancock"/>
    <n v="39.820034999999997"/>
    <n v="-85.927935000000005"/>
    <s v="Development"/>
    <m/>
    <s v="No"/>
    <m/>
    <n v="21600"/>
    <n v="100800"/>
    <n v="21600"/>
    <s v="L"/>
    <s v="SI"/>
    <s v="2 FO"/>
    <m/>
    <m/>
    <m/>
    <m/>
    <m/>
    <s v="Bridge Replacement - INDOT DES 1701595"/>
  </r>
  <r>
    <d v="2022-01-18T00:00:00"/>
    <s v="January"/>
    <n v="2022"/>
    <x v="10"/>
    <n v="-3.0000000000000001E-3"/>
    <x v="0"/>
    <n v="240"/>
    <n v="273"/>
    <s v="State Isolated"/>
    <x v="3"/>
    <n v="2E-3"/>
    <s v="INDOT"/>
    <s v="N/A"/>
    <s v="IWGP 2021-0060-30-JBT-A,"/>
    <m/>
    <s v="Hancock and Henry"/>
    <n v="39.8416"/>
    <n v="-85.551199999999994"/>
    <s v="Transportation"/>
    <m/>
    <s v="No"/>
    <m/>
    <n v="36"/>
    <n v="168"/>
    <n v="36"/>
    <s v="L"/>
    <s v="SI"/>
    <s v="2 NF"/>
    <m/>
    <m/>
    <m/>
    <m/>
    <m/>
    <s v="INDOT 1700897 - confirmed 401/404 did not require any mitigation"/>
  </r>
  <r>
    <d v="2022-01-24T00:00:00"/>
    <s v="January"/>
    <n v="2022"/>
    <x v="4"/>
    <n v="-52"/>
    <x v="1"/>
    <n v="20800"/>
    <n v="271"/>
    <s v="Federal"/>
    <x v="6"/>
    <n v="184.2"/>
    <s v="INDOT "/>
    <s v="LRL-2021-118"/>
    <s v="2021-505-60-JBT-A"/>
    <m/>
    <s v="Owen"/>
    <n v="39.353000000000002"/>
    <n v="-86.930999999999997"/>
    <s v="Transportation"/>
    <m/>
    <s v="No"/>
    <m/>
    <n v="3120"/>
    <n v="14559.999999999998"/>
    <n v="3120"/>
    <s v="L"/>
    <s v="J"/>
    <m/>
    <m/>
    <m/>
    <m/>
    <m/>
    <m/>
    <s v="Corps requires 52, IDEM 51.1 - INDOT 1701595 SR 46 Bridge Replacement - note table provides wrong SA. "/>
  </r>
  <r>
    <d v="2022-01-24T00:00:00"/>
    <s v="January"/>
    <n v="2022"/>
    <x v="4"/>
    <n v="-0.755"/>
    <x v="0"/>
    <n v="60400"/>
    <n v="271"/>
    <s v="Federal"/>
    <x v="4"/>
    <n v="0.19"/>
    <s v="INDOT "/>
    <s v="LRL-2021-118"/>
    <s v="2021-505-60-JBT-A"/>
    <m/>
    <s v="Owen"/>
    <n v="39.353000000000002"/>
    <n v="-86.930999999999997"/>
    <s v="Transportation"/>
    <m/>
    <s v="No"/>
    <m/>
    <n v="9060"/>
    <n v="42280"/>
    <n v="9060"/>
    <s v="L"/>
    <s v="J"/>
    <m/>
    <m/>
    <m/>
    <m/>
    <m/>
    <m/>
    <s v="Corps requires 0.68, IDEM 0.755 INDOT 1701595 SR 46 Bridge Replacement - note table provides wrong SA. "/>
  </r>
  <r>
    <d v="2022-01-25T00:00:00"/>
    <s v="January"/>
    <n v="2022"/>
    <x v="9"/>
    <n v="1.85"/>
    <x v="0"/>
    <n v="-125800"/>
    <n v="80"/>
    <s v="State Isolated"/>
    <x v="3"/>
    <n v="1.85"/>
    <s v="Raindrop, LLC"/>
    <s v="N/A"/>
    <s v="IWIP 2019-079-32-JMK-A "/>
    <m/>
    <s v="Hendricks"/>
    <n v="39.624200000000002"/>
    <n v="-86.468299999999999"/>
    <s v="Development"/>
    <m/>
    <s v="No"/>
    <m/>
    <n v="0"/>
    <n v="-103600"/>
    <n v="-22200"/>
    <s v="L"/>
    <s v="SI"/>
    <s v="1 NF"/>
    <m/>
    <m/>
    <m/>
    <m/>
    <m/>
    <s v="Refund 1/25/22 - Funds except for Admin.  1.85 Class 1 Wetlands refunded - rest of the  Credit Purchase is unaffected.  Original Invoice #80. "/>
  </r>
  <r>
    <d v="2022-01-26T00:00:00"/>
    <s v="January"/>
    <n v="2022"/>
    <x v="9"/>
    <n v="-231"/>
    <x v="1"/>
    <n v="103950"/>
    <n v="275"/>
    <s v="Federal"/>
    <x v="2"/>
    <n v="231"/>
    <s v="City of Fishers"/>
    <s v="LRL-2021-00711-DDC"/>
    <s v="2021-667-29-JBT-A"/>
    <m/>
    <s v="Hamilton"/>
    <n v="39.972700000000003"/>
    <n v="-85.908000000000001"/>
    <s v="Development"/>
    <m/>
    <s v="No"/>
    <m/>
    <n v="15592.5"/>
    <n v="72765"/>
    <n v="15592.5"/>
    <s v="L"/>
    <s v="J"/>
    <m/>
    <m/>
    <m/>
    <m/>
    <m/>
    <m/>
    <s v="Geist Trail"/>
  </r>
  <r>
    <d v="2022-01-26T00:00:00"/>
    <s v="January"/>
    <n v="2022"/>
    <x v="9"/>
    <n v="-2.14"/>
    <x v="0"/>
    <n v="171200"/>
    <n v="275"/>
    <s v="Federal"/>
    <x v="4"/>
    <n v="0.53500000000000003"/>
    <s v="City of Fishers"/>
    <s v="LRL-2021-00711-DDC"/>
    <s v="2021-667-29-JBT-A"/>
    <m/>
    <s v="Hamilton"/>
    <n v="39.972700000000003"/>
    <n v="-85.908000000000001"/>
    <s v="Development"/>
    <m/>
    <s v="No"/>
    <m/>
    <n v="25680"/>
    <n v="119839.99999999999"/>
    <n v="25680"/>
    <s v="L"/>
    <s v="J"/>
    <m/>
    <m/>
    <m/>
    <m/>
    <m/>
    <m/>
    <s v="Geist Trail - Corps requires 1.926 PFO only "/>
  </r>
  <r>
    <d v="2022-02-08T00:00:00"/>
    <s v="February"/>
    <n v="2022"/>
    <x v="0"/>
    <n v="-3.0000000000000001E-3"/>
    <x v="0"/>
    <n v="285"/>
    <n v="274"/>
    <s v="Federal"/>
    <x v="3"/>
    <n v="1.4E-3"/>
    <s v="INDOT "/>
    <s v="LRC-2021-00529"/>
    <s v="2021-0328-45-JBT-A"/>
    <m/>
    <s v="Lake"/>
    <n v="41.519300000000001"/>
    <n v="-87.259100000000004"/>
    <s v="Transportation"/>
    <m/>
    <s v="No"/>
    <m/>
    <n v="42.75"/>
    <n v="199.5"/>
    <n v="42.75"/>
    <s v="C"/>
    <s v="J"/>
    <m/>
    <m/>
    <m/>
    <m/>
    <m/>
    <m/>
    <s v="1701454 - Corps did not require mitigation. "/>
  </r>
  <r>
    <d v="2022-02-08T00:00:00"/>
    <s v="February"/>
    <n v="2022"/>
    <x v="4"/>
    <n v="-6.8000000000000005E-2"/>
    <x v="0"/>
    <n v="5440"/>
    <n v="276"/>
    <s v="State Isolated"/>
    <x v="3"/>
    <n v="4.4999999999999998E-2"/>
    <s v="INDOT"/>
    <s v="N/A"/>
    <s v="IWIP-2021-681-86-JBT-A"/>
    <m/>
    <s v="Warren"/>
    <n v="40.454700000000003"/>
    <n v="-87.373999999999995"/>
    <s v="Transportation"/>
    <m/>
    <s v="No"/>
    <m/>
    <n v="816"/>
    <n v="3807.9999999999995"/>
    <n v="816"/>
    <s v="L"/>
    <s v="SI"/>
    <s v="2 NF"/>
    <m/>
    <m/>
    <m/>
    <m/>
    <m/>
    <s v="DES 1400249 State Road 26 Overlay - 401 and 404 did not require mitigation. "/>
  </r>
  <r>
    <d v="2022-02-08T00:00:00"/>
    <s v="February"/>
    <n v="2022"/>
    <x v="8"/>
    <n v="-39"/>
    <x v="1"/>
    <n v="15600"/>
    <n v="289"/>
    <s v="Federal"/>
    <x v="6"/>
    <n v="26"/>
    <s v="City of Kokomo"/>
    <s v="LRL-2021-00739"/>
    <s v="2019-602-00-JWR-A"/>
    <m/>
    <s v="Howard"/>
    <n v="40.433100000000003"/>
    <n v="86.140900000000002"/>
    <s v="Transportation"/>
    <m/>
    <s v="No"/>
    <m/>
    <n v="2340"/>
    <n v="10920"/>
    <n v="2340"/>
    <s v="L"/>
    <s v="J"/>
    <m/>
    <m/>
    <m/>
    <m/>
    <m/>
    <m/>
    <s v="IDEM not requiring mitigation"/>
  </r>
  <r>
    <d v="2022-02-08T00:00:00"/>
    <s v="February"/>
    <n v="2022"/>
    <x v="9"/>
    <n v="-1.56"/>
    <x v="0"/>
    <n v="124800"/>
    <n v="287"/>
    <s v="State Isolated"/>
    <x v="4"/>
    <n v="0.78"/>
    <s v="421 Realty Corporation"/>
    <s v="N/A"/>
    <s v="IWIP 2021-787-49-JWR-A"/>
    <m/>
    <s v="Hamilton"/>
    <n v="39.899299999999997"/>
    <n v="-86.053600000000003"/>
    <s v="Development"/>
    <m/>
    <s v="No"/>
    <m/>
    <n v="18720"/>
    <n v="87360"/>
    <n v="18720"/>
    <s v="L"/>
    <s v="SI"/>
    <s v="2 FO"/>
    <m/>
    <m/>
    <m/>
    <m/>
    <m/>
    <s v="Permit mod 1/25/22 reduced credits from 3.87 to 1.56"/>
  </r>
  <r>
    <d v="2022-02-09T00:00:00"/>
    <s v="February"/>
    <n v="2022"/>
    <x v="0"/>
    <n v="-93"/>
    <x v="1"/>
    <n v="55800"/>
    <n v="278"/>
    <s v="Federal"/>
    <x v="2"/>
    <n v="93"/>
    <s v="INDOT"/>
    <s v="LRC-2021-00482"/>
    <s v="2021-0356-46-JBT-A"/>
    <m/>
    <s v="LaPorte"/>
    <n v="41.687600000000003"/>
    <n v="-86.7637"/>
    <s v="Transportation"/>
    <m/>
    <s v="No"/>
    <m/>
    <n v="8370"/>
    <n v="39060"/>
    <n v="8370"/>
    <s v="C"/>
    <s v="J"/>
    <m/>
    <m/>
    <m/>
    <m/>
    <m/>
    <m/>
    <s v="INDOT 1700021 US 20"/>
  </r>
  <r>
    <d v="2022-02-09T00:00:00"/>
    <s v="February"/>
    <n v="2022"/>
    <x v="0"/>
    <n v="-0.24"/>
    <x v="0"/>
    <n v="22800"/>
    <n v="278"/>
    <s v="Federal"/>
    <x v="3"/>
    <n v="0.12"/>
    <s v="INDOT"/>
    <s v="LRC-2021-00482"/>
    <s v="2021-0356-46-JBT-A"/>
    <m/>
    <s v="LaPorte"/>
    <n v="41.687600000000003"/>
    <n v="-86.7637"/>
    <s v="Transportation"/>
    <m/>
    <s v="No"/>
    <m/>
    <n v="3420"/>
    <n v="15959.999999999998"/>
    <n v="3420"/>
    <s v="C"/>
    <s v="J"/>
    <m/>
    <m/>
    <m/>
    <m/>
    <m/>
    <m/>
    <s v="INDOT 1700021 US 20"/>
  </r>
  <r>
    <d v="2022-02-09T00:00:00"/>
    <s v="February"/>
    <n v="2022"/>
    <x v="1"/>
    <n v="-63"/>
    <x v="1"/>
    <n v="31500"/>
    <n v="279"/>
    <s v="Federal"/>
    <x v="2"/>
    <n v="63"/>
    <s v="INDOT"/>
    <s v="LRE-2020-01227-150-R20"/>
    <s v="2020-584-50-JBT-A"/>
    <m/>
    <s v="Marshall"/>
    <n v="41.1905"/>
    <n v="-86.251300000000001"/>
    <s v="Transportation"/>
    <m/>
    <s v="No"/>
    <m/>
    <n v="4725"/>
    <n v="22050"/>
    <n v="4725"/>
    <s v="L"/>
    <s v="J"/>
    <m/>
    <m/>
    <m/>
    <m/>
    <m/>
    <m/>
    <s v="1700331 - Corps did not require any mitigation. "/>
  </r>
  <r>
    <d v="2022-02-09T00:00:00"/>
    <s v="February"/>
    <n v="2022"/>
    <x v="9"/>
    <n v="-5501.3"/>
    <x v="1"/>
    <n v="2475585"/>
    <n v="283"/>
    <s v="Federal"/>
    <x v="2"/>
    <n v="9404.7000000000007"/>
    <s v="INDOT"/>
    <s v="LRL-2017-1021"/>
    <s v="2021-626-49-JBT-A"/>
    <m/>
    <s v="Marion"/>
    <n v="39.865000000000002"/>
    <n v="-86.046999999999997"/>
    <s v="Transportation"/>
    <m/>
    <s v="No"/>
    <m/>
    <n v="371337.75"/>
    <n v="1732909.5"/>
    <n v="371337.75"/>
    <s v="L"/>
    <s v="J"/>
    <m/>
    <m/>
    <m/>
    <m/>
    <m/>
    <m/>
    <s v="I-465 NE Clear Path -DES 1400075 - corps required 924 int stream credits"/>
  </r>
  <r>
    <d v="2022-02-09T00:00:00"/>
    <s v="February"/>
    <n v="2022"/>
    <x v="9"/>
    <n v="-68.3"/>
    <x v="1"/>
    <n v="30735"/>
    <n v="283"/>
    <s v="Federal"/>
    <x v="6"/>
    <n v="863.3"/>
    <s v="INDOT"/>
    <s v="LRL-2017-1021"/>
    <s v="2021-626-49-JBT-A"/>
    <m/>
    <s v="Marion"/>
    <n v="39.865000000000002"/>
    <n v="-86.046999999999997"/>
    <s v="Transportation"/>
    <m/>
    <s v="No"/>
    <m/>
    <n v="4610.25"/>
    <n v="21514.5"/>
    <n v="4610.25"/>
    <s v="L"/>
    <s v="J"/>
    <m/>
    <m/>
    <m/>
    <m/>
    <m/>
    <m/>
    <s v="I-465 NE Clear Path -DES 1400076 - Corps did not require any PER"/>
  </r>
  <r>
    <d v="2022-02-09T00:00:00"/>
    <s v="February"/>
    <n v="2022"/>
    <x v="9"/>
    <n v="-4.0000000000000001E-3"/>
    <x v="0"/>
    <n v="320"/>
    <n v="283"/>
    <s v="Federal"/>
    <x v="4"/>
    <n v="1E-3"/>
    <s v="INDOT"/>
    <s v="LRL-2017-1021"/>
    <s v="2021-626-49-JBT-A"/>
    <m/>
    <s v="Marion"/>
    <n v="39.865000000000002"/>
    <n v="-86.046999999999997"/>
    <s v="Transportation"/>
    <m/>
    <s v="No"/>
    <m/>
    <n v="48"/>
    <n v="224"/>
    <n v="48"/>
    <s v="L"/>
    <s v="J"/>
    <m/>
    <m/>
    <m/>
    <m/>
    <m/>
    <m/>
    <s v="I-465 NE Clear Path -DES 1400076 - Corps did not require any wetland mitig other than emergent through a Bank. "/>
  </r>
  <r>
    <d v="2022-02-10T00:00:00"/>
    <s v="February"/>
    <n v="2022"/>
    <x v="2"/>
    <n v="-1.2E-2"/>
    <x v="0"/>
    <n v="960"/>
    <n v="277"/>
    <s v="State Isolated"/>
    <x v="3"/>
    <n v="6.0000000000000001E-3"/>
    <s v="INDOT "/>
    <s v="N/A"/>
    <s v="IWGP 2021-169-47-JBT-A"/>
    <m/>
    <s v="Lawrence"/>
    <n v="38.724705999999998"/>
    <n v="-86.672685999999999"/>
    <s v="Transportation"/>
    <m/>
    <s v="No"/>
    <m/>
    <n v="144"/>
    <n v="672"/>
    <n v="144"/>
    <s v="L"/>
    <s v="SI"/>
    <s v="2 NF"/>
    <m/>
    <m/>
    <m/>
    <m/>
    <m/>
    <s v="1801377 &amp; 0400077 - IDEM 401 and 404 did not require any mitigation. "/>
  </r>
  <r>
    <d v="2022-02-10T00:00:00"/>
    <s v="February"/>
    <n v="2022"/>
    <x v="2"/>
    <n v="-1.2E-2"/>
    <x v="0"/>
    <n v="960"/>
    <n v="277"/>
    <s v="State Isolated"/>
    <x v="5"/>
    <n v="6.0000000000000001E-3"/>
    <s v="INDOT"/>
    <s v="N/A"/>
    <s v="IWGP 2021-169-47-JBT-A"/>
    <m/>
    <s v="Lawrence"/>
    <n v="38.724705999999998"/>
    <n v="-86.672685999999999"/>
    <s v="Transportation"/>
    <m/>
    <s v="No"/>
    <m/>
    <n v="144"/>
    <n v="672"/>
    <n v="144"/>
    <s v="L"/>
    <s v="SI"/>
    <s v="2 NF"/>
    <m/>
    <m/>
    <m/>
    <m/>
    <m/>
    <s v="1801377 &amp; 0400077 - IDEM 401 and 404 did not require any mitigation. "/>
  </r>
  <r>
    <d v="2022-02-10T00:00:00"/>
    <s v="February"/>
    <n v="2022"/>
    <x v="2"/>
    <n v="-0.1"/>
    <x v="0"/>
    <n v="8000"/>
    <n v="277"/>
    <s v="State Isolated"/>
    <x v="4"/>
    <n v="0.04"/>
    <s v="INDOT"/>
    <s v="N/A"/>
    <s v="IWGP 2021-169-47-JBT-A"/>
    <m/>
    <s v="Lawrence"/>
    <n v="38.724705999999998"/>
    <n v="-86.672685999999999"/>
    <s v="Transportation"/>
    <m/>
    <s v="No"/>
    <m/>
    <n v="1200"/>
    <n v="5600"/>
    <n v="1200"/>
    <s v="L"/>
    <s v="SI"/>
    <s v="2 FO"/>
    <m/>
    <m/>
    <m/>
    <m/>
    <m/>
    <s v="1801377 &amp; 0400077 - IDEM 401 and 404 did not require any mitigation. "/>
  </r>
  <r>
    <d v="2022-02-25T00:00:00"/>
    <s v="February"/>
    <n v="2022"/>
    <x v="0"/>
    <n v="-2.5"/>
    <x v="0"/>
    <n v="237500"/>
    <n v="286"/>
    <s v="Federal"/>
    <x v="3"/>
    <n v="2.04"/>
    <s v="Northern Indiana Commuter Transportation District"/>
    <s v="LRC-2016-00529"/>
    <s v="2021-21-45-MTM-A"/>
    <m/>
    <s v="Lake"/>
    <n v="41.573615420000003"/>
    <n v="-87.518517250000002"/>
    <s v="Transportation"/>
    <m/>
    <s v="No"/>
    <m/>
    <n v="35625"/>
    <n v="166250"/>
    <n v="35625"/>
    <s v="C"/>
    <s v="J"/>
    <m/>
    <m/>
    <m/>
    <m/>
    <m/>
    <m/>
    <m/>
  </r>
  <r>
    <d v="2022-02-25T00:00:00"/>
    <s v="February"/>
    <n v="2022"/>
    <x v="0"/>
    <n v="-3.6"/>
    <x v="0"/>
    <n v="342000"/>
    <n v="286"/>
    <s v="Federal"/>
    <x v="4"/>
    <n v="1.02"/>
    <s v="Northern Indiana Commuter Transportation District"/>
    <s v="LRC-2016-00529"/>
    <s v="2021-21-45-MTM-A"/>
    <m/>
    <s v="Lake"/>
    <n v="41.573615420000003"/>
    <n v="-87.518517250000002"/>
    <s v="Transportation"/>
    <m/>
    <s v="No"/>
    <m/>
    <n v="51300"/>
    <n v="239399.99999999997"/>
    <n v="51300"/>
    <s v="C"/>
    <s v="J"/>
    <m/>
    <m/>
    <m/>
    <m/>
    <m/>
    <m/>
    <m/>
  </r>
  <r>
    <d v="2022-02-25T00:00:00"/>
    <s v="February"/>
    <n v="2022"/>
    <x v="10"/>
    <n v="-0.1"/>
    <x v="0"/>
    <n v="8000"/>
    <n v="68"/>
    <s v="Federal"/>
    <x v="3"/>
    <n v="4.3999999999999997E-2"/>
    <s v="Johnson County Board Commissioners"/>
    <s v="LRL-2019-866-sjk"/>
    <s v="2019-656-41-TMS-A"/>
    <m/>
    <s v="Johnson"/>
    <n v="39.47645"/>
    <n v="-86.076970000000003"/>
    <s v="Development"/>
    <m/>
    <s v="No"/>
    <m/>
    <n v="1200"/>
    <n v="5600"/>
    <n v="1200"/>
    <s v="L"/>
    <s v="J"/>
    <m/>
    <m/>
    <m/>
    <m/>
    <m/>
    <m/>
    <m/>
  </r>
  <r>
    <d v="2022-02-25T00:00:00"/>
    <s v="February"/>
    <n v="2022"/>
    <x v="10"/>
    <n v="-340"/>
    <x v="1"/>
    <n v="136000"/>
    <n v="68"/>
    <s v="Federal"/>
    <x v="2"/>
    <n v="348"/>
    <s v="Johnson County Board Commissioners"/>
    <s v="LRL-2019-866-sjk"/>
    <s v="2019-656-41-TMS-A"/>
    <m/>
    <s v="Johnson"/>
    <n v="39.47645"/>
    <n v="-86.076970000000003"/>
    <s v="Development"/>
    <m/>
    <s v="No"/>
    <m/>
    <n v="20400"/>
    <n v="95200"/>
    <n v="20400"/>
    <s v="L"/>
    <s v="J"/>
    <m/>
    <m/>
    <m/>
    <m/>
    <m/>
    <m/>
    <m/>
  </r>
  <r>
    <d v="2022-03-09T00:00:00"/>
    <s v="March "/>
    <n v="2022"/>
    <x v="9"/>
    <n v="-0.8"/>
    <x v="0"/>
    <n v="64000"/>
    <n v="284"/>
    <s v="State Isolated"/>
    <x v="3"/>
    <n v="0.54"/>
    <s v="M/I Homes"/>
    <s v="N/A"/>
    <s v="IWIP 2021-952-29-SCF-A"/>
    <m/>
    <s v="Hamilton"/>
    <n v="40.040506000000001"/>
    <n v="-86.096855000000005"/>
    <s v="Development"/>
    <m/>
    <s v="No"/>
    <m/>
    <n v="9600"/>
    <n v="44800"/>
    <n v="9600"/>
    <s v="L"/>
    <s v="SI"/>
    <s v="2 NF"/>
    <m/>
    <m/>
    <m/>
    <m/>
    <m/>
    <m/>
  </r>
  <r>
    <d v="2022-03-09T00:00:00"/>
    <s v="March"/>
    <n v="2022"/>
    <x v="10"/>
    <n v="-53"/>
    <x v="1"/>
    <n v="21200"/>
    <n v="290"/>
    <s v="Federal"/>
    <x v="6"/>
    <n v="44"/>
    <s v="Bartholomew County"/>
    <s v="LRL-2021-806-sjk"/>
    <s v="2019-602-00-JWR-A "/>
    <m/>
    <s v="Bartholomew"/>
    <n v="39.115299999999998"/>
    <n v="-85.985699999999994"/>
    <s v="Transportation"/>
    <m/>
    <s v="No"/>
    <m/>
    <n v="3180"/>
    <n v="14839.999999999998"/>
    <n v="3180"/>
    <s v="L"/>
    <s v="J"/>
    <m/>
    <m/>
    <m/>
    <m/>
    <m/>
    <m/>
    <s v="IDEM and Corps same amounts"/>
  </r>
  <r>
    <d v="2022-03-09T00:00:00"/>
    <s v="March"/>
    <n v="2022"/>
    <x v="10"/>
    <n v="-0.6"/>
    <x v="0"/>
    <n v="48000"/>
    <n v="290"/>
    <s v="Federal"/>
    <x v="3"/>
    <n v="0.25"/>
    <s v="Bartholomew County"/>
    <s v="LRL-2021-806-sjk"/>
    <s v="2019-602-00-JWR-A "/>
    <m/>
    <s v="Bartholomew"/>
    <n v="39.115299999999998"/>
    <n v="-85.985699999999994"/>
    <s v="Transportation"/>
    <m/>
    <s v="No"/>
    <m/>
    <n v="7200"/>
    <n v="33600"/>
    <n v="7200"/>
    <s v="L"/>
    <s v="J"/>
    <m/>
    <m/>
    <m/>
    <m/>
    <m/>
    <m/>
    <s v="IDEM and Corps same amounts"/>
  </r>
  <r>
    <d v="2022-03-09T00:00:00"/>
    <s v="March"/>
    <n v="2022"/>
    <x v="10"/>
    <n v="-0.08"/>
    <x v="1"/>
    <n v="6400"/>
    <n v="290"/>
    <s v="Federal"/>
    <x v="6"/>
    <n v="0.02"/>
    <s v="Bartholomew County"/>
    <s v="LRL-2021-806-sjk"/>
    <s v="2019-602-00-JWR-A "/>
    <m/>
    <s v="Bartholomew"/>
    <n v="39.115299999999998"/>
    <n v="-85.985699999999994"/>
    <s v="Transportation"/>
    <m/>
    <s v="No"/>
    <m/>
    <n v="960"/>
    <n v="4480"/>
    <n v="960"/>
    <s v="L"/>
    <s v="J"/>
    <m/>
    <m/>
    <m/>
    <m/>
    <m/>
    <m/>
    <s v="IDEM 0.08 forested wetland - Corps 0.07 "/>
  </r>
  <r>
    <d v="2022-03-16T00:00:00"/>
    <s v="March"/>
    <n v="2022"/>
    <x v="6"/>
    <n v="-91.27"/>
    <x v="1"/>
    <n v="54762"/>
    <n v="269"/>
    <s v="Federal"/>
    <x v="6"/>
    <n v="91.27"/>
    <s v="INDOT"/>
    <s v="LRE-1998-1200250-R21"/>
    <s v="2021-432-20-JBT-X"/>
    <m/>
    <s v="Elkhart"/>
    <n v="41.574416999999997"/>
    <n v="-85.838414999999998"/>
    <s v="Transportation"/>
    <m/>
    <s v="No"/>
    <m/>
    <n v="8214.2999999999993"/>
    <n v="38333.399999999994"/>
    <n v="8214.2999999999993"/>
    <s v="D"/>
    <s v="J"/>
    <m/>
    <m/>
    <m/>
    <m/>
    <m/>
    <m/>
    <s v=" INDOT 1602099 SR 119 Elkhart River Bridge Replacement - Corps required 0 "/>
  </r>
  <r>
    <d v="2022-03-16T00:00:00"/>
    <s v="March"/>
    <n v="2022"/>
    <x v="6"/>
    <n v="-0.28360000000000002"/>
    <x v="0"/>
    <n v="34032"/>
    <n v="269"/>
    <s v="Federal"/>
    <x v="4"/>
    <n v="7.0900000000000005E-2"/>
    <s v="INDOT"/>
    <s v="LRE-1998-1200250-R22"/>
    <s v="2021-432-20-JBT-X"/>
    <m/>
    <s v="Elkhart"/>
    <n v="41.574416999999997"/>
    <n v="-85.838414999999998"/>
    <s v="Transportation"/>
    <m/>
    <s v="No"/>
    <m/>
    <n v="5104.8"/>
    <n v="23822.399999999998"/>
    <n v="5104.8"/>
    <s v="D"/>
    <s v="J"/>
    <m/>
    <m/>
    <m/>
    <m/>
    <m/>
    <m/>
    <s v="INDOT 1602099 SR 119 Elkhart River Bridge Replacement - Corps required 0 "/>
  </r>
  <r>
    <d v="2022-03-16T00:00:00"/>
    <s v="March"/>
    <n v="2022"/>
    <x v="8"/>
    <n v="-3.98"/>
    <x v="0"/>
    <n v="318400"/>
    <n v="297"/>
    <s v="Federal"/>
    <x v="3"/>
    <n v="1.81"/>
    <s v="Pioneer Packaging, LLC"/>
    <s v="LRL-2021-1079-SAM"/>
    <s v="2021-954-38-WLR"/>
    <m/>
    <s v="Jay"/>
    <n v="40.448405000000001"/>
    <n v="-84.971175000000002"/>
    <s v="Development"/>
    <m/>
    <s v="No"/>
    <m/>
    <n v="47760"/>
    <n v="222880"/>
    <n v="47760"/>
    <s v="L"/>
    <s v="J"/>
    <m/>
    <m/>
    <m/>
    <m/>
    <m/>
    <m/>
    <s v="After the fact credit sale. "/>
  </r>
  <r>
    <d v="2022-03-17T00:00:00"/>
    <s v="March"/>
    <n v="2022"/>
    <x v="8"/>
    <n v="-0.94"/>
    <x v="0"/>
    <n v="75200"/>
    <n v="291"/>
    <s v="Federal"/>
    <x v="4"/>
    <n v="0.23499999999999999"/>
    <s v="Autumn Woods"/>
    <s v="LRE-2021-00600-102"/>
    <s v="2021-960-2-WLR-A"/>
    <m/>
    <s v="Allen"/>
    <n v="41.082974"/>
    <n v="-85.332701"/>
    <s v="Development"/>
    <m/>
    <s v="No"/>
    <m/>
    <n v="11280"/>
    <n v="52640"/>
    <n v="11280"/>
    <s v="D"/>
    <s v="J"/>
    <m/>
    <m/>
    <m/>
    <m/>
    <m/>
    <m/>
    <s v="After the fact credit sale. "/>
  </r>
  <r>
    <d v="2022-03-24T00:00:00"/>
    <s v="March"/>
    <n v="2022"/>
    <x v="0"/>
    <n v="-0.27"/>
    <x v="0"/>
    <n v="25650"/>
    <n v="172"/>
    <s v="State Isolated"/>
    <x v="3"/>
    <n v="0.18"/>
    <s v="Franciscan Health"/>
    <s v="N/A"/>
    <s v="IWIP 2020-715-45-MTM-A"/>
    <m/>
    <s v="Lake"/>
    <n v="41.384070000000001"/>
    <n v="-87.323250000000002"/>
    <s v="Development"/>
    <m/>
    <s v="No"/>
    <m/>
    <n v="3847.5"/>
    <n v="17955"/>
    <n v="3847.5"/>
    <s v="C"/>
    <s v="SI"/>
    <s v="1 NF"/>
    <m/>
    <m/>
    <m/>
    <m/>
    <m/>
    <s v="Class I Non-Forested Wetland impacts"/>
  </r>
  <r>
    <d v="2022-03-24T00:00:00"/>
    <s v="March"/>
    <n v="2022"/>
    <x v="9"/>
    <n v="-5.26"/>
    <x v="0"/>
    <n v="420800"/>
    <n v="270"/>
    <s v="State Isolated"/>
    <x v="4"/>
    <n v="2.63"/>
    <s v="Red Rocks Developments - Hancock Industrial"/>
    <s v="N/A"/>
    <s v="IWIP 2021-611-30-SLG-A"/>
    <m/>
    <s v="Hancock"/>
    <n v="39.817"/>
    <n v="-85.95"/>
    <s v="Development"/>
    <m/>
    <s v="No"/>
    <m/>
    <n v="63120"/>
    <n v="294560"/>
    <n v="63120"/>
    <s v="L"/>
    <s v="SI"/>
    <s v="2 FO"/>
    <m/>
    <m/>
    <m/>
    <m/>
    <m/>
    <s v="Class II Forested Wetland Impacts"/>
  </r>
  <r>
    <d v="2022-03-24T00:00:00"/>
    <s v="March"/>
    <n v="2022"/>
    <x v="9"/>
    <n v="-1.71"/>
    <x v="0"/>
    <n v="136800"/>
    <n v="270"/>
    <s v="State Isolated"/>
    <x v="3"/>
    <n v="1.1399999999999999"/>
    <s v="Red Rocks Developments - Hancock Industrial"/>
    <s v="N/A"/>
    <s v="IWIP 2021-611-30-SLG-A"/>
    <m/>
    <s v="Hancock"/>
    <n v="39.817"/>
    <n v="-85.95"/>
    <s v="Development"/>
    <m/>
    <s v="No"/>
    <m/>
    <n v="20520"/>
    <n v="95760"/>
    <n v="20520"/>
    <s v="L"/>
    <s v="SI"/>
    <s v="2 NF"/>
    <m/>
    <m/>
    <m/>
    <m/>
    <m/>
    <s v="Class II Non-Forested Wetland Impacts"/>
  </r>
  <r>
    <d v="2022-03-29T00:00:00"/>
    <s v="March"/>
    <n v="2022"/>
    <x v="7"/>
    <n v="-402"/>
    <x v="1"/>
    <n v="160800"/>
    <n v="285"/>
    <s v="Federal"/>
    <x v="1"/>
    <n v="335"/>
    <s v="Amazon.com Services"/>
    <s v="LRL-2021-655-MKD"/>
    <s v="2021-908-31-TMS-A"/>
    <m/>
    <s v="Harrison"/>
    <n v="38.267583999999999"/>
    <n v="-86.005077999999997"/>
    <s v="Development"/>
    <m/>
    <s v="No"/>
    <m/>
    <n v="24120"/>
    <n v="112560"/>
    <n v="24120"/>
    <s v="L"/>
    <s v="J"/>
    <m/>
    <m/>
    <m/>
    <m/>
    <m/>
    <m/>
    <s v="Corps required 402, IDEM required 335"/>
  </r>
  <r>
    <d v="2022-03-29T00:00:00"/>
    <s v="March"/>
    <n v="2022"/>
    <x v="9"/>
    <n v="-1.18"/>
    <x v="0"/>
    <n v="94400"/>
    <n v="282"/>
    <s v="Federal"/>
    <x v="3"/>
    <n v="0.49"/>
    <s v="Pulte Homes of Indiana"/>
    <s v="LRL-2020-89-sjk"/>
    <s v="2021-848-29-WLR-A"/>
    <m/>
    <s v="Hamilton"/>
    <s v="40.0057"/>
    <n v="-86.210599999999999"/>
    <s v="Development"/>
    <m/>
    <s v="No"/>
    <m/>
    <n v="14160"/>
    <n v="66080"/>
    <n v="14160"/>
    <s v="L"/>
    <s v="J"/>
    <m/>
    <m/>
    <m/>
    <m/>
    <m/>
    <m/>
    <m/>
  </r>
  <r>
    <d v="2022-03-31T00:00:00"/>
    <s v="March"/>
    <n v="2022"/>
    <x v="4"/>
    <n v="-0.25"/>
    <x v="0"/>
    <n v="20000"/>
    <n v="296"/>
    <s v="State Isolated"/>
    <x v="4"/>
    <n v="0.1"/>
    <s v="Tippecanoe Development"/>
    <s v="N/A"/>
    <s v="IWP 2021-943-79-ERL"/>
    <m/>
    <s v="Tippecanoe"/>
    <n v="40.475900000000003"/>
    <s v=" -86.8967."/>
    <s v="Development"/>
    <m/>
    <s v="No"/>
    <m/>
    <n v="3000"/>
    <n v="14000"/>
    <n v="3000"/>
    <s v="L"/>
    <s v="SI"/>
    <s v="3 FO"/>
    <m/>
    <m/>
    <m/>
    <m/>
    <m/>
    <m/>
  </r>
  <r>
    <d v="2022-03-31T00:00:00"/>
    <s v="March"/>
    <n v="2022"/>
    <x v="8"/>
    <n v="-0.62"/>
    <x v="0"/>
    <n v="49600"/>
    <n v="288"/>
    <s v="Federal"/>
    <x v="4"/>
    <n v="0.13"/>
    <s v="City of Portland "/>
    <s v="LRL-2008-267-sam"/>
    <s v="2007-728-38-SSA-V"/>
    <m/>
    <s v="Jay"/>
    <n v="40.457900000000002"/>
    <n v="-84.964799999999997"/>
    <s v="Development"/>
    <m/>
    <s v="No"/>
    <m/>
    <n v="7440"/>
    <n v="34720"/>
    <n v="7440"/>
    <s v="L"/>
    <s v="J"/>
    <m/>
    <m/>
    <m/>
    <m/>
    <m/>
    <m/>
    <s v="Permit mod after mitigation failed. "/>
  </r>
  <r>
    <d v="2022-03-31T00:00:00"/>
    <s v="March"/>
    <n v="2022"/>
    <x v="9"/>
    <n v="-0.53"/>
    <x v="0"/>
    <n v="42400"/>
    <n v="293"/>
    <s v="Federal"/>
    <x v="3"/>
    <n v="5.0999999999999997E-2"/>
    <s v="CRG Residential"/>
    <s v="LRL-2018-469-sjk"/>
    <s v="2021-631-29-JBT-A"/>
    <m/>
    <s v="Hamilton"/>
    <n v="39.93"/>
    <n v="-86.07"/>
    <s v="Development"/>
    <m/>
    <s v="No"/>
    <m/>
    <n v="6360"/>
    <n v="29679.999999999996"/>
    <n v="6360"/>
    <s v="L"/>
    <s v="J"/>
    <m/>
    <m/>
    <m/>
    <m/>
    <m/>
    <m/>
    <s v="Corps Rev permit required .0.53, 0.482 IDEM"/>
  </r>
  <r>
    <d v="2022-03-31T00:00:00"/>
    <s v="March"/>
    <n v="2022"/>
    <x v="9"/>
    <n v="-0.18"/>
    <x v="0"/>
    <n v="14400"/>
    <n v="293"/>
    <s v="Federal"/>
    <x v="5"/>
    <n v="0.219"/>
    <s v="CRG Residential"/>
    <s v="LRL-2018-469-sjk"/>
    <s v="2021-631-29-JBT-A"/>
    <m/>
    <s v="Hamilton"/>
    <n v="39.93"/>
    <n v="-86.07"/>
    <s v="Development"/>
    <m/>
    <s v="No"/>
    <m/>
    <n v="2160"/>
    <n v="10080"/>
    <n v="2160"/>
    <s v="L"/>
    <s v="J"/>
    <m/>
    <m/>
    <m/>
    <m/>
    <m/>
    <m/>
    <s v="Corps REV permit 0.18, IDEM 0.163 "/>
  </r>
  <r>
    <d v="2022-03-31T00:00:00"/>
    <s v="March"/>
    <n v="2022"/>
    <x v="9"/>
    <n v="-96"/>
    <x v="1"/>
    <n v="43200"/>
    <n v="293"/>
    <s v="Federal"/>
    <x v="2"/>
    <n v="791"/>
    <s v="CRG Residential"/>
    <s v="LRL-2018-469-sjk"/>
    <s v="2021-631-29-JBT-A"/>
    <m/>
    <s v="Hamilton"/>
    <n v="39.93"/>
    <n v="-86.07"/>
    <s v="Development"/>
    <m/>
    <s v="No"/>
    <m/>
    <n v="6480"/>
    <n v="30239.999999999996"/>
    <n v="6480"/>
    <s v="L"/>
    <s v="J"/>
    <m/>
    <m/>
    <m/>
    <m/>
    <m/>
    <m/>
    <s v="IDEM table is incorrect and they do require stream credits. Both require 96."/>
  </r>
  <r>
    <d v="2022-03-31T00:00:00"/>
    <s v="March"/>
    <n v="2022"/>
    <x v="9"/>
    <n v="-282"/>
    <x v="1"/>
    <n v="126900"/>
    <n v="294"/>
    <s v="Federal"/>
    <x v="2"/>
    <n v="414"/>
    <s v="Gradison Land Development"/>
    <s v="LRL-2021-583-sjk"/>
    <s v="2021-869-29-JBT-A"/>
    <m/>
    <s v="Hamilton"/>
    <n v="39.936799999999998"/>
    <n v="-86.186599999999999"/>
    <s v="Development"/>
    <m/>
    <s v="No"/>
    <m/>
    <n v="19035"/>
    <n v="88830"/>
    <n v="19035"/>
    <s v="L"/>
    <s v="J"/>
    <m/>
    <m/>
    <m/>
    <m/>
    <m/>
    <m/>
    <s v="Corps requires 282 and IDEM 235"/>
  </r>
  <r>
    <d v="2022-03-31T00:00:00"/>
    <s v="March"/>
    <n v="2022"/>
    <x v="9"/>
    <n v="-0.32"/>
    <x v="0"/>
    <n v="25600"/>
    <n v="294"/>
    <s v="Federal"/>
    <x v="3"/>
    <n v="0.26900000000000002"/>
    <s v="Gradison Land Development"/>
    <s v="LRL-2021-583-sjk"/>
    <s v="2021-869-29-JBT-A"/>
    <m/>
    <s v="Hamilton"/>
    <n v="39.936799999999998"/>
    <n v="-86.186599999999999"/>
    <s v="Development"/>
    <m/>
    <s v="No"/>
    <m/>
    <n v="3840"/>
    <n v="17920"/>
    <n v="3840"/>
    <s v="L"/>
    <s v="J"/>
    <m/>
    <m/>
    <m/>
    <m/>
    <m/>
    <m/>
    <s v="Both require 0.32"/>
  </r>
  <r>
    <d v="2022-04-06T00:00:00"/>
    <s v="April"/>
    <n v="2022"/>
    <x v="9"/>
    <n v="-3000"/>
    <x v="1"/>
    <n v="1350000"/>
    <n v="299"/>
    <s v="Federal"/>
    <x v="2"/>
    <n v="1834"/>
    <s v="INDOT"/>
    <s v="LRL-2008-1418-djd"/>
    <s v="2009-509-49-JWR-A"/>
    <m/>
    <s v="Marion"/>
    <n v="39.865000000000002"/>
    <n v="-86.046999999999997"/>
    <s v="Transportation"/>
    <m/>
    <s v="No"/>
    <m/>
    <n v="202500"/>
    <n v="944999.99999999988"/>
    <n v="202500"/>
    <s v="L"/>
    <s v="J"/>
    <m/>
    <m/>
    <m/>
    <m/>
    <m/>
    <m/>
    <s v="Sent as one CS Letter with same Des #.  This is the modified total - Corps at 2384 and IDEM at 3000 eff 7/23/21.  All related to Pleasant Run Golf Course and one new DES # DES 1383193 .  Modified Permit Numbers -orig permittee responsibility - IDEM email changing all mitig to INT."/>
  </r>
  <r>
    <d v="2022-04-06T00:00:00"/>
    <s v="April"/>
    <n v="2022"/>
    <x v="9"/>
    <n v="-640"/>
    <x v="1"/>
    <n v="288000"/>
    <n v="299"/>
    <s v="Federal"/>
    <x v="2"/>
    <n v="273"/>
    <s v="INDOT"/>
    <s v="LRL-2010-74-sam"/>
    <s v="2010-259-32-JWR-A"/>
    <m/>
    <s v="Hendricks"/>
    <n v="39.750999999999998"/>
    <n v="-86.528000000000006"/>
    <s v="Transportation"/>
    <m/>
    <s v="No"/>
    <m/>
    <n v="43200"/>
    <n v="201600"/>
    <n v="43200"/>
    <s v="L"/>
    <s v="J"/>
    <m/>
    <m/>
    <m/>
    <m/>
    <m/>
    <m/>
    <s v="Sent as one CS Letter with same Des #. All related to Pleasant Run Golf Course and one new DES # DES 1383193 .  Modified Permit Numbers -orig permittee responsibility - IDEM email changing all mitig to INT."/>
  </r>
  <r>
    <d v="2022-04-06T00:00:00"/>
    <s v="April"/>
    <n v="2022"/>
    <x v="9"/>
    <n v="-960"/>
    <x v="1"/>
    <n v="432000"/>
    <n v="299"/>
    <s v="Federal"/>
    <x v="2"/>
    <n v="389"/>
    <s v="INDOT"/>
    <s v="LRL-2012-89-sjk"/>
    <s v="2012-066-06-JWR-A"/>
    <m/>
    <s v="Boone"/>
    <n v="40.040529999999997"/>
    <n v="-86.312359999999998"/>
    <s v="Transportation"/>
    <m/>
    <s v="No"/>
    <m/>
    <n v="64800"/>
    <n v="302400"/>
    <n v="64800"/>
    <s v="L"/>
    <s v="J "/>
    <m/>
    <m/>
    <m/>
    <m/>
    <m/>
    <m/>
    <s v="Sent as one CS Letter with same Des #. Per INDOT IDEM 778 Corps 960. All related to Pleasant Run Golf Course and one new DES # DES 1383193 .  Modified Permit Numbers -orig permittee responsibility -IDEM email changing all mitig to INT."/>
  </r>
  <r>
    <d v="2022-04-12T00:00:00"/>
    <s v="April"/>
    <n v="2022"/>
    <x v="9"/>
    <n v="-0.41"/>
    <x v="0"/>
    <n v="32800"/>
    <n v="298"/>
    <s v="Federal"/>
    <x v="3"/>
    <n v="0.34"/>
    <s v="Midwest Logistics"/>
    <s v="LRL-2012-820-sjk"/>
    <s v="2021-1026-49-JWR"/>
    <m/>
    <s v="Marion"/>
    <n v="39.684100000000001"/>
    <n v="-86.317800000000005"/>
    <s v="Development"/>
    <m/>
    <s v="No"/>
    <m/>
    <n v="4920"/>
    <n v="22960"/>
    <n v="4920"/>
    <s v="L"/>
    <s v="J"/>
    <m/>
    <m/>
    <m/>
    <m/>
    <m/>
    <m/>
    <s v="This is the second half of project"/>
  </r>
  <r>
    <d v="2022-04-27T00:00:00"/>
    <s v="April"/>
    <n v="2022"/>
    <x v="9"/>
    <n v="-2.33"/>
    <x v="0"/>
    <n v="186400"/>
    <n v="306"/>
    <s v="State Isolated"/>
    <x v="4"/>
    <n v="0.93"/>
    <s v="OMPI"/>
    <s v="N/A"/>
    <s v="IWiP-2022-117-29-EKB"/>
    <m/>
    <s v="Hamilton"/>
    <n v="39.967770999999999"/>
    <n v="-85.994855999999999"/>
    <s v="Development"/>
    <m/>
    <s v="No"/>
    <m/>
    <n v="27960"/>
    <n v="130479.99999999999"/>
    <n v="27960"/>
    <s v="L"/>
    <s v="SI"/>
    <s v="2 FO"/>
    <m/>
    <m/>
    <m/>
    <m/>
    <m/>
    <m/>
  </r>
  <r>
    <d v="2022-04-27T00:00:00"/>
    <s v="April"/>
    <n v="2022"/>
    <x v="9"/>
    <n v="-0.66"/>
    <x v="0"/>
    <n v="52800"/>
    <n v="295"/>
    <s v="State Isolated"/>
    <x v="3"/>
    <n v="0.44"/>
    <s v="Duke Energy"/>
    <s v="N/A"/>
    <s v="IWIP 2022-15-32-ERL-A"/>
    <m/>
    <s v="Hendricks"/>
    <n v="39.832500000000003"/>
    <n v="-86.342399999999998"/>
    <s v="Development"/>
    <m/>
    <s v="No"/>
    <m/>
    <n v="7920"/>
    <n v="36960"/>
    <n v="7920"/>
    <s v="L"/>
    <s v="SI"/>
    <s v="2 NF"/>
    <m/>
    <m/>
    <m/>
    <m/>
    <m/>
    <m/>
  </r>
  <r>
    <d v="2022-04-27T00:00:00"/>
    <s v="April"/>
    <n v="2022"/>
    <x v="9"/>
    <n v="-0.32"/>
    <x v="0"/>
    <n v="25600"/>
    <n v="295"/>
    <s v="State Isolated"/>
    <x v="4"/>
    <n v="0.16"/>
    <s v="Duke Energy"/>
    <s v="N/A"/>
    <s v="IWIP 2022-15-32-ERL-A"/>
    <m/>
    <s v="Hendricks"/>
    <n v="39.832500000000003"/>
    <n v="-86.342399999999998"/>
    <s v="Development"/>
    <m/>
    <s v="No"/>
    <m/>
    <n v="3840"/>
    <n v="17920"/>
    <n v="3840"/>
    <s v="L"/>
    <s v="SI"/>
    <s v="2 FO"/>
    <m/>
    <m/>
    <m/>
    <m/>
    <m/>
    <m/>
  </r>
  <r>
    <d v="2022-05-16T00:00:00"/>
    <s v="May"/>
    <n v="2022"/>
    <x v="0"/>
    <n v="-0.05"/>
    <x v="0"/>
    <n v="4750"/>
    <n v="307"/>
    <s v="State Isolated"/>
    <x v="4"/>
    <n v="0.05"/>
    <s v="NIPSCO"/>
    <s v="N/A"/>
    <s v="IWIP-2022-26-45-MTM"/>
    <m/>
    <s v="Lake"/>
    <s v="41.420329     "/>
    <n v="-87.451724999999996"/>
    <s v="Energy Production"/>
    <m/>
    <s v="No"/>
    <m/>
    <n v="712.5"/>
    <n v="3325"/>
    <n v="712.5"/>
    <s v="C"/>
    <s v="SI"/>
    <s v="2 FO"/>
    <m/>
    <m/>
    <m/>
    <m/>
    <m/>
    <m/>
  </r>
  <r>
    <d v="2022-05-16T00:00:00"/>
    <s v="May"/>
    <n v="2022"/>
    <x v="1"/>
    <n v="-123"/>
    <x v="1"/>
    <n v="61500"/>
    <n v="302"/>
    <s v="Federal"/>
    <x v="6"/>
    <n v="123"/>
    <s v="INDOT"/>
    <s v="LRE-2008-01048-156-R21"/>
    <s v="2021-712-56-JBT-A"/>
    <m/>
    <s v="Newton"/>
    <n v="40.865900000000003"/>
    <n v="-87.281000000000006"/>
    <s v="Transportation"/>
    <s v="Credit Refund to INDOT 1/31/2023"/>
    <s v="Yes"/>
    <d v="2023-01-31T00:00:00"/>
    <n v="9225"/>
    <n v="43050"/>
    <n v="9225"/>
    <s v="D"/>
    <s v="J"/>
    <m/>
    <m/>
    <s v="Credit Refund to INDOT"/>
    <m/>
    <m/>
    <m/>
    <s v="Corps verified no mitigation required. *Refund 1/31/24"/>
  </r>
  <r>
    <d v="2022-05-16T00:00:00"/>
    <s v="May"/>
    <n v="2022"/>
    <x v="1"/>
    <n v="-1.7999999999999999E-2"/>
    <x v="0"/>
    <n v="1710"/>
    <n v="302"/>
    <s v="Federal"/>
    <x v="3"/>
    <n v="8.9999999999999993E-3"/>
    <s v="INDOT"/>
    <s v="LRE-2008-01048-156-R21"/>
    <s v="2021-712-56-JBT-A"/>
    <m/>
    <s v="Newton"/>
    <n v="40.865900000000003"/>
    <n v="-87.281000000000006"/>
    <s v="Transportation"/>
    <s v="Credit Refund to INDOT 1/31/2023"/>
    <s v="Yes"/>
    <d v="2023-01-31T00:00:00"/>
    <n v="256.5"/>
    <n v="1197"/>
    <n v="256.5"/>
    <s v="D"/>
    <s v="J"/>
    <m/>
    <m/>
    <s v="Credit Refund to INDOT"/>
    <m/>
    <m/>
    <m/>
    <s v="Corps verified no mitigation required. *Refund 1/31/24"/>
  </r>
  <r>
    <d v="2022-05-16T00:00:00"/>
    <s v="May"/>
    <n v="2022"/>
    <x v="7"/>
    <n v="-17.68"/>
    <x v="0"/>
    <n v="1414400"/>
    <n v="301"/>
    <s v="Federal"/>
    <x v="4"/>
    <n v="17.68"/>
    <s v="INDOT"/>
    <s v="LRL-1990-568"/>
    <s v="1991-001-10-GPN-A"/>
    <s v="91-085"/>
    <s v="Clark"/>
    <n v="38.3459"/>
    <n v="-85.723299999999995"/>
    <s v="Transportation"/>
    <m/>
    <s v="No"/>
    <m/>
    <n v="212160"/>
    <n v="990079.99999999988"/>
    <n v="212160"/>
    <s v="L"/>
    <s v="J"/>
    <m/>
    <m/>
    <m/>
    <m/>
    <m/>
    <m/>
    <s v="INDOT Interstate-265 Mitigation - IDEM verified permits are one and the same and only using LRL-1990-568 now. . 1991-001-10-GPN-A had referenced a Corps permit number of 91-085.  However, the Corps permit I have for the I-265 project is LRL-1990-568-djd.  1902145"/>
  </r>
  <r>
    <d v="2022-05-18T00:00:00"/>
    <s v="May"/>
    <n v="2022"/>
    <x v="8"/>
    <n v="-0.4"/>
    <x v="0"/>
    <n v="32000"/>
    <n v="304"/>
    <s v="Federal"/>
    <x v="4"/>
    <n v="0.1"/>
    <s v="INDOT"/>
    <s v="LRL-2021-1089-scm"/>
    <s v="2019-602-00-JWR-A"/>
    <m/>
    <s v="Delaware"/>
    <n v="40.283152999999999"/>
    <n v="-85.309426000000002"/>
    <s v="Transportation"/>
    <m/>
    <s v="No"/>
    <m/>
    <n v="4800"/>
    <n v="22400"/>
    <n v="4800"/>
    <s v="L"/>
    <s v="J"/>
    <m/>
    <m/>
    <m/>
    <m/>
    <m/>
    <m/>
    <s v="1701336 - Corps required no mitigation "/>
  </r>
  <r>
    <d v="2022-05-18T00:00:00"/>
    <s v="May"/>
    <n v="2022"/>
    <x v="10"/>
    <n v="-110"/>
    <x v="1"/>
    <n v="44000"/>
    <n v="305"/>
    <s v="Federal"/>
    <x v="2"/>
    <n v="796"/>
    <s v="INDOT"/>
    <s v="LRL-2020-973-scm"/>
    <s v="2021-477-30-JBT-A"/>
    <m/>
    <s v="Hancock"/>
    <s v="39.81146 to 39.82161"/>
    <s v="85.93942 to  -85.74089 "/>
    <s v="Transportation"/>
    <m/>
    <s v="No"/>
    <m/>
    <n v="6600"/>
    <n v="30799.999999999996"/>
    <n v="6600"/>
    <s v="L"/>
    <s v="COMB"/>
    <m/>
    <m/>
    <m/>
    <m/>
    <m/>
    <m/>
    <s v="Corps 0 - INDOT 1702919 - I 70 add travel lanes - INDOT 1702919"/>
  </r>
  <r>
    <d v="2022-05-18T00:00:00"/>
    <s v="May"/>
    <n v="2022"/>
    <x v="10"/>
    <n v="-359"/>
    <x v="1"/>
    <n v="143600"/>
    <n v="305"/>
    <s v="Federal"/>
    <x v="6"/>
    <n v="399"/>
    <s v="INDOT"/>
    <s v="LRL-2020-973-scm"/>
    <s v="2021-477-30-JBT-A"/>
    <m/>
    <s v="Hancock"/>
    <s v="39.81146 to 39.82161"/>
    <s v="85.93942 to  -85.74089 "/>
    <s v="Transportation"/>
    <m/>
    <s v="No"/>
    <m/>
    <n v="21540"/>
    <n v="100520"/>
    <n v="21540"/>
    <s v="L"/>
    <s v="COMB"/>
    <m/>
    <m/>
    <m/>
    <m/>
    <m/>
    <m/>
    <s v="Corps 0 - INDOT 1702919 - I 70 add travel lanes - INDOT 1702919"/>
  </r>
  <r>
    <d v="2022-05-18T00:00:00"/>
    <s v="May"/>
    <n v="2022"/>
    <x v="10"/>
    <n v="-7.86"/>
    <x v="0"/>
    <n v="628800"/>
    <n v="305"/>
    <s v="Federal"/>
    <x v="3"/>
    <n v="3.93"/>
    <s v="INDOT"/>
    <s v="LRL-2020-973-scm"/>
    <s v="2021-477-30-JBT-A"/>
    <m/>
    <s v="Hancock"/>
    <s v="39.81146 to 39.82161"/>
    <s v="85.93942 to  -85.74089 "/>
    <s v="Transportation"/>
    <m/>
    <s v="No"/>
    <m/>
    <n v="94320"/>
    <n v="440160"/>
    <n v="94320"/>
    <s v="L"/>
    <s v="SOMB"/>
    <m/>
    <m/>
    <m/>
    <m/>
    <m/>
    <m/>
    <s v="Corps 3.7 - INDOT 1702919 - I 70 add travel lanes - INDOT 1702919"/>
  </r>
  <r>
    <d v="2022-05-18T00:00:00"/>
    <s v="May"/>
    <n v="2022"/>
    <x v="10"/>
    <n v="-1.6559999999999999"/>
    <x v="0"/>
    <n v="132480"/>
    <n v="305"/>
    <s v="Federal"/>
    <x v="5"/>
    <n v="0.55200000000000005"/>
    <s v="INDOT"/>
    <s v="LRL-2020-973-scm"/>
    <s v="2021-477-30-JBT-A"/>
    <m/>
    <s v="Hancock"/>
    <s v="39.81146 to 39.82161"/>
    <s v="85.93942 to  -85.74089 "/>
    <s v="Transportation"/>
    <m/>
    <s v="No"/>
    <m/>
    <n v="19872"/>
    <n v="92736"/>
    <n v="19872"/>
    <s v="L"/>
    <s v="COMB"/>
    <m/>
    <m/>
    <m/>
    <m/>
    <m/>
    <m/>
    <s v="Corps 1.33 - INDOT 1702919 - I 70 add travel lanes - INDOT 1702919"/>
  </r>
  <r>
    <d v="2022-05-18T00:00:00"/>
    <s v="May"/>
    <n v="2022"/>
    <x v="10"/>
    <n v="-11.32"/>
    <x v="0"/>
    <n v="905600"/>
    <n v="305"/>
    <s v="State Isolated"/>
    <x v="3"/>
    <n v="7.5469999999999997"/>
    <s v="INDOT"/>
    <s v="N/A"/>
    <s v="IWGP 2021-477-30-JBT-A"/>
    <m/>
    <s v="Hancock"/>
    <s v="39.81146 to 39.82161"/>
    <s v="85.93942 to  -85.74089 "/>
    <s v="Transportation"/>
    <m/>
    <s v="No"/>
    <m/>
    <n v="135840"/>
    <n v="633920"/>
    <n v="135840"/>
    <s v="L"/>
    <s v="COMB"/>
    <s v="1 NF"/>
    <m/>
    <m/>
    <m/>
    <m/>
    <m/>
    <s v="INDOT 1702919 - I 70 add travel lanes - INDOT 1702919"/>
  </r>
  <r>
    <d v="2022-05-18T00:00:00"/>
    <s v="May"/>
    <n v="2022"/>
    <x v="10"/>
    <n v="-1.06"/>
    <x v="0"/>
    <n v="84800"/>
    <n v="305"/>
    <s v="State Isolated"/>
    <x v="4"/>
    <n v="0.53"/>
    <s v="INDOT"/>
    <s v="N/A"/>
    <s v="IWGP 2021-477-30-JBT-A"/>
    <m/>
    <s v="Hancock"/>
    <s v="39.81146 to 39.82161"/>
    <s v="85.93942 to  -85.74089 "/>
    <s v="Transportation"/>
    <m/>
    <s v="No"/>
    <m/>
    <n v="12720"/>
    <n v="59359.999999999993"/>
    <n v="12720"/>
    <s v="L"/>
    <s v="COMB"/>
    <s v="1 FO"/>
    <m/>
    <m/>
    <m/>
    <m/>
    <m/>
    <s v="INDOT 1702919 - I 70 add travel lanes - INDOT 1702919"/>
  </r>
  <r>
    <d v="2022-06-06T00:00:00"/>
    <s v="June"/>
    <n v="2022"/>
    <x v="1"/>
    <n v="-0.48599999999999999"/>
    <x v="0"/>
    <n v="46170"/>
    <n v="314"/>
    <s v="Federal"/>
    <x v="4"/>
    <n v="0.20899999999999999"/>
    <s v="TC Energy"/>
    <s v="LRC-2020-128"/>
    <s v="2020-228-45-MTM-A, 2020-229-45-MTM-A"/>
    <m/>
    <s v="Lake"/>
    <n v="41.428739999999998"/>
    <n v="-87.508480000000006"/>
    <s v="Energy Production"/>
    <m/>
    <s v="No"/>
    <m/>
    <n v="6925.5"/>
    <n v="32318.999999999996"/>
    <n v="6925.5"/>
    <s v="C"/>
    <s v="J"/>
    <m/>
    <m/>
    <m/>
    <m/>
    <m/>
    <m/>
    <s v="Corps P1 required 0.209, P2 0.26 required (total 0.469)total,  IDEM required 0.26 in mod permit - but per Marty it’s a $26,315 which would be 0.277 credit purchase - consultant requested a purchase of 0.43.  Modified IDEM Permits for P1 and 2, so greatest total is P1 Corps at 0.209 and P2 0.277 IDEM. "/>
  </r>
  <r>
    <d v="2022-06-06T00:00:00"/>
    <s v="June "/>
    <n v="2022"/>
    <x v="5"/>
    <n v="-0.93"/>
    <x v="0"/>
    <n v="74400"/>
    <n v="101"/>
    <s v="Federal"/>
    <x v="3"/>
    <n v="1.44"/>
    <s v="Sun Energy"/>
    <s v="LRL-2019-645"/>
    <s v="General WQC NWP49"/>
    <s v="Mining Permit S-00376"/>
    <s v="Spencer"/>
    <n v="38.162215000000003"/>
    <n v="-86.951781999999994"/>
    <s v="Energy Production"/>
    <m/>
    <s v="No"/>
    <m/>
    <n v="11160"/>
    <n v="52080"/>
    <n v="11160"/>
    <s v="L"/>
    <s v="J"/>
    <m/>
    <m/>
    <m/>
    <m/>
    <m/>
    <m/>
    <s v=".51 of required Corps credit purchase is open water but to be classified under Emergent. IDEM did not require a credit purchase. "/>
  </r>
  <r>
    <d v="2022-06-06T00:00:00"/>
    <s v="June"/>
    <n v="2022"/>
    <x v="9"/>
    <n v="-0.68"/>
    <x v="0"/>
    <n v="54400.000000000007"/>
    <n v="309"/>
    <s v="State Isolated"/>
    <x v="4"/>
    <n v="0.34"/>
    <s v="COA Avon Landings"/>
    <s v="N/A"/>
    <s v="IWIP 2022-289-32-ERL-A"/>
    <m/>
    <s v="Hendricks"/>
    <n v="39.802050999999999"/>
    <n v="-86.352631000000002"/>
    <s v="Development"/>
    <m/>
    <s v="No"/>
    <m/>
    <n v="8160.0000000000009"/>
    <n v="38080"/>
    <n v="8160.0000000000009"/>
    <s v="L"/>
    <s v="SI "/>
    <s v="2 FO"/>
    <m/>
    <m/>
    <m/>
    <m/>
    <m/>
    <m/>
  </r>
  <r>
    <d v="2022-06-06T00:00:00"/>
    <s v="June"/>
    <n v="2022"/>
    <x v="10"/>
    <n v="-0.28000000000000003"/>
    <x v="0"/>
    <n v="22400.000000000004"/>
    <s v="313 C"/>
    <s v="Federal"/>
    <x v="3"/>
    <n v="0.14000000000000001"/>
    <s v="Arbor Homes"/>
    <s v="LRL-2022-110-sam"/>
    <s v="2022-311-49"/>
    <m/>
    <s v="Marion"/>
    <n v="39.743665"/>
    <n v="-85.971991000000003"/>
    <s v="Development"/>
    <m/>
    <s v="No"/>
    <m/>
    <n v="3360.0000000000005"/>
    <n v="15680.000000000002"/>
    <n v="3360.0000000000005"/>
    <s v="L"/>
    <s v="J"/>
    <m/>
    <m/>
    <m/>
    <m/>
    <m/>
    <m/>
    <s v="Corps did not require a credit purchase. "/>
  </r>
  <r>
    <d v="2022-06-06T00:00:00"/>
    <s v="June"/>
    <n v="2022"/>
    <x v="10"/>
    <n v="-0.06"/>
    <x v="0"/>
    <n v="4800"/>
    <s v="317 C"/>
    <s v="Federal"/>
    <x v="3"/>
    <n v="0.03"/>
    <s v="Arbor Homes"/>
    <s v="LRL-2022-110-sam"/>
    <s v="2022-311-49"/>
    <m/>
    <s v="Marion"/>
    <n v="39.743665"/>
    <n v="-85.971991000000003"/>
    <s v="Development"/>
    <m/>
    <s v="No"/>
    <m/>
    <n v="720"/>
    <n v="3360"/>
    <n v="720"/>
    <s v="L"/>
    <s v="J"/>
    <m/>
    <m/>
    <m/>
    <m/>
    <m/>
    <m/>
    <s v="Additional amount related to original credit purchase reflecting the increased amount of Corps over the required IDEM amount (0.34-0.28) Invoice changed to reflect incorrect SA identification in permit. "/>
  </r>
  <r>
    <d v="2022-06-13T00:00:00"/>
    <s v="June"/>
    <n v="2022"/>
    <x v="4"/>
    <n v="-0.04"/>
    <x v="0"/>
    <n v="3200"/>
    <n v="308"/>
    <s v="Federal"/>
    <x v="3"/>
    <n v="0.02"/>
    <s v="City of West Lafayette"/>
    <s v="LRL-2020-976-sjk"/>
    <s v="2021-268-79"/>
    <m/>
    <s v="Tippecanoe"/>
    <n v="40.453299999999999"/>
    <n v="-86.895799999999994"/>
    <s v="Transportation"/>
    <m/>
    <s v="No"/>
    <m/>
    <n v="480"/>
    <n v="2240"/>
    <n v="480"/>
    <s v="L"/>
    <s v="J"/>
    <m/>
    <m/>
    <m/>
    <m/>
    <m/>
    <m/>
    <s v="Corps did not require mitigation"/>
  </r>
  <r>
    <d v="2022-06-13T00:00:00"/>
    <s v="June"/>
    <n v="2022"/>
    <x v="4"/>
    <n v="-228"/>
    <x v="1"/>
    <n v="91200"/>
    <n v="308"/>
    <s v="Federal"/>
    <x v="2"/>
    <n v="228"/>
    <s v="City of West Lafayette"/>
    <s v="LRL-2020-976-sjk"/>
    <s v="2021-268-79"/>
    <m/>
    <s v="Tippecanoe"/>
    <n v="40.453299999999999"/>
    <n v="-86.895799999999994"/>
    <s v="Transportation"/>
    <m/>
    <s v="No"/>
    <m/>
    <n v="13680"/>
    <n v="63839.999999999993"/>
    <n v="13680"/>
    <s v="L"/>
    <s v="J"/>
    <m/>
    <m/>
    <m/>
    <m/>
    <m/>
    <m/>
    <s v="Corps did not require mitigation"/>
  </r>
  <r>
    <d v="2022-06-13T00:00:00"/>
    <s v="June"/>
    <n v="2022"/>
    <x v="10"/>
    <n v="-2153"/>
    <x v="1"/>
    <n v="861200"/>
    <n v="318"/>
    <s v="Federal"/>
    <x v="2"/>
    <n v="1794"/>
    <s v="Arbor Homes"/>
    <s v="LRL-2021-845-sjk"/>
    <s v="2022-198-30-EKB-A"/>
    <m/>
    <s v="Hancock"/>
    <n v="39.789845"/>
    <n v="-85.818917999999996"/>
    <s v="Development"/>
    <m/>
    <s v="No"/>
    <m/>
    <n v="129180"/>
    <n v="602840"/>
    <n v="129180"/>
    <s v="L"/>
    <s v="J"/>
    <m/>
    <m/>
    <m/>
    <m/>
    <m/>
    <m/>
    <s v="IDEM Permit mod to change SA. Corps required 2153 and IDEM required 1794 INT. "/>
  </r>
  <r>
    <d v="2022-06-23T00:00:00"/>
    <s v="June"/>
    <n v="2022"/>
    <x v="8"/>
    <n v="-0.78"/>
    <x v="0"/>
    <n v="62400"/>
    <n v="315"/>
    <s v="State Isolated"/>
    <x v="4"/>
    <n v="0.39"/>
    <s v="Oakmont Development"/>
    <s v="N/A"/>
    <s v="2022-261-2-WLR"/>
    <m/>
    <s v="Allen"/>
    <n v="41.065807999999997"/>
    <n v="-85.303758999999999"/>
    <s v="Development"/>
    <m/>
    <s v="No"/>
    <m/>
    <n v="9360"/>
    <n v="43680"/>
    <n v="9360"/>
    <s v="D"/>
    <s v="SI"/>
    <s v="2 FO"/>
    <m/>
    <m/>
    <m/>
    <m/>
    <m/>
    <m/>
  </r>
  <r>
    <d v="2022-06-23T00:00:00"/>
    <s v="June"/>
    <n v="2022"/>
    <x v="10"/>
    <n v="-0.375"/>
    <x v="0"/>
    <n v="30000"/>
    <n v="320"/>
    <s v="State Isolated"/>
    <x v="4"/>
    <n v="0.15"/>
    <s v="Arbor Homes"/>
    <s v="N/A"/>
    <s v="IWIP-2022-311-49"/>
    <m/>
    <s v="Marion"/>
    <n v="39.743665"/>
    <n v="-85.971991000000003"/>
    <s v="Development"/>
    <m/>
    <s v="No"/>
    <m/>
    <n v="4500"/>
    <n v="21000"/>
    <n v="4500"/>
    <s v="L"/>
    <s v="SI"/>
    <s v="3 FO"/>
    <m/>
    <m/>
    <m/>
    <m/>
    <m/>
    <s v="Changed SA Upper White to WWEF in Permit "/>
  </r>
  <r>
    <d v="2022-07-01T00:00:00"/>
    <s v="July"/>
    <n v="2022"/>
    <x v="3"/>
    <n v="-3"/>
    <x v="0"/>
    <n v="240000"/>
    <n v="311"/>
    <s v="Federal"/>
    <x v="4"/>
    <n v="1.29"/>
    <s v="AEP"/>
    <s v="LRE-2021-01169-117-N21"/>
    <s v="2022-3-17-WLR-A"/>
    <m/>
    <s v="Dekalb"/>
    <n v="41.427"/>
    <n v="-84.861999999999995"/>
    <s v="Energy Production"/>
    <m/>
    <s v="No"/>
    <m/>
    <n v="36000"/>
    <n v="168000"/>
    <n v="36000"/>
    <s v="D"/>
    <s v="J"/>
    <m/>
    <m/>
    <m/>
    <m/>
    <m/>
    <m/>
    <s v="Corps did not require any credit purchase"/>
  </r>
  <r>
    <d v="2022-07-21T00:00:00"/>
    <s v="July"/>
    <n v="2022"/>
    <x v="10"/>
    <n v="-0.41899999999999998"/>
    <x v="0"/>
    <n v="33520"/>
    <n v="321"/>
    <s v="State Isolated"/>
    <x v="4"/>
    <n v="0.27900000000000003"/>
    <s v="AEP  "/>
    <s v="N/A"/>
    <s v="IWIP-2022-210-68-EKB-A"/>
    <m/>
    <s v="Randolph"/>
    <n v="40.077447999999997"/>
    <n v="-84.955867999999995"/>
    <s v="Energy Production"/>
    <m/>
    <s v="No"/>
    <m/>
    <n v="5028"/>
    <n v="23464"/>
    <n v="5028"/>
    <s v="L"/>
    <s v="SI"/>
    <s v="3 FO"/>
    <m/>
    <m/>
    <m/>
    <m/>
    <m/>
    <s v="Initiatlly recorded as being in Upper White SA. GPS points check put it in Whitewater. Confirmation with IDEM as Whitewater so it was changed."/>
  </r>
  <r>
    <d v="2022-07-25T00:00:00"/>
    <s v="July"/>
    <n v="2022"/>
    <x v="4"/>
    <n v="-0.12"/>
    <x v="0"/>
    <n v="9600"/>
    <n v="325"/>
    <s v="State Isolated"/>
    <x v="3"/>
    <n v="0.08"/>
    <s v="D.R. Horton"/>
    <s v="N/A"/>
    <s v="IWIP-2022-339-32-ERL"/>
    <m/>
    <s v="Hendricks"/>
    <n v="39.767499999999998"/>
    <n v="-86.546000000000006"/>
    <s v="Development"/>
    <m/>
    <s v="No"/>
    <m/>
    <n v="1440"/>
    <n v="6720"/>
    <n v="1440"/>
    <s v="L"/>
    <s v="SI"/>
    <s v="2 NF"/>
    <m/>
    <m/>
    <m/>
    <m/>
    <m/>
    <m/>
  </r>
  <r>
    <d v="2022-07-25T00:00:00"/>
    <s v="July"/>
    <n v="2022"/>
    <x v="9"/>
    <n v="-1255"/>
    <x v="1"/>
    <n v="564750"/>
    <n v="325"/>
    <s v="Federal"/>
    <x v="1"/>
    <n v="1045"/>
    <s v="D.R. Horton"/>
    <s v="LRL-2021-1093"/>
    <s v="2022-339-32-ERL"/>
    <m/>
    <s v="Hendricks"/>
    <n v="39.763013999999998"/>
    <n v="-86.539390999999995"/>
    <s v="Development"/>
    <m/>
    <s v="No"/>
    <m/>
    <n v="84712.5"/>
    <n v="395325"/>
    <n v="84712.5"/>
    <s v="L"/>
    <s v="J"/>
    <m/>
    <m/>
    <m/>
    <m/>
    <m/>
    <m/>
    <s v="IDEM required 1045 and Corps 1255"/>
  </r>
  <r>
    <d v="2022-08-04T00:00:00"/>
    <s v="August"/>
    <n v="2022"/>
    <x v="10"/>
    <n v="-520"/>
    <x v="1"/>
    <n v="208000"/>
    <n v="322"/>
    <s v="Federal"/>
    <x v="1"/>
    <n v="580"/>
    <s v="City of Seymour"/>
    <s v="LRL-2018-970-scm"/>
    <s v="2019-382-36-TMS-A"/>
    <m/>
    <s v="Jackson"/>
    <n v="38.946480000000001"/>
    <n v="-85.887319000000005"/>
    <s v="Transportation"/>
    <m/>
    <s v="No"/>
    <m/>
    <n v="31200"/>
    <n v="145600"/>
    <n v="31200"/>
    <s v="L"/>
    <s v="J"/>
    <m/>
    <m/>
    <m/>
    <m/>
    <m/>
    <m/>
    <s v="Burkhart Bypass - Corps required 312 EPH, state required 520 EPH and 691 INT. Note incorrect CORPS permit number listed on IDEM permit.  Correct Corps number verified.  DES 1600743 and 1601943"/>
  </r>
  <r>
    <d v="2022-08-04T00:00:00"/>
    <s v="August"/>
    <n v="2022"/>
    <x v="10"/>
    <n v="-1.27"/>
    <x v="0"/>
    <n v="101600"/>
    <n v="322"/>
    <s v="Federal"/>
    <x v="3"/>
    <n v="0.61199999999999999"/>
    <s v="City of Seymour"/>
    <s v="LRL-2018-970-scm"/>
    <s v="2019-382-36-TMS-A"/>
    <m/>
    <s v="Jackson"/>
    <n v="38.946480000000001"/>
    <n v="-85.887319000000005"/>
    <s v="Transportation"/>
    <m/>
    <s v="No"/>
    <m/>
    <n v="15240"/>
    <n v="71120"/>
    <n v="15240"/>
    <s v="L"/>
    <s v="J"/>
    <m/>
    <m/>
    <m/>
    <m/>
    <m/>
    <m/>
    <s v="Burkhart Bypass -Corps required 1.27 PEM -  state required 1.224 PEM and .004 FOR"/>
  </r>
  <r>
    <d v="2022-08-04T00:00:00"/>
    <s v="August"/>
    <n v="2022"/>
    <x v="10"/>
    <n v="-691"/>
    <x v="1"/>
    <n v="276400"/>
    <n v="322"/>
    <s v="Federal"/>
    <x v="2"/>
    <n v="691"/>
    <s v="City of Seymour"/>
    <s v="LRL-2018-970-scm"/>
    <s v="2019-382-36-TMS-A"/>
    <m/>
    <s v="Jackson"/>
    <n v="38.946480000000001"/>
    <n v="-85.887319000000005"/>
    <s v="Transportation"/>
    <m/>
    <s v="No"/>
    <m/>
    <n v="41460"/>
    <n v="193480"/>
    <n v="41460"/>
    <s v="L"/>
    <s v="J"/>
    <m/>
    <m/>
    <m/>
    <m/>
    <m/>
    <m/>
    <s v="Burkhart Bypass - Corps required 312 EPH, state required 520 EPH and 691 INT"/>
  </r>
  <r>
    <d v="2022-08-04T00:00:00"/>
    <s v="August"/>
    <n v="2022"/>
    <x v="10"/>
    <n v="-4.0000000000000001E-3"/>
    <x v="0"/>
    <n v="320"/>
    <n v="322"/>
    <s v="Federal"/>
    <x v="4"/>
    <n v="1E-3"/>
    <s v="City of Seymour"/>
    <s v="LRL-2018-970-scm"/>
    <s v="2019-382-36-TMS-A"/>
    <m/>
    <s v="Jackson"/>
    <n v="38.946480000000001"/>
    <n v="-85.887319000000005"/>
    <s v="Transportation"/>
    <m/>
    <s v="No"/>
    <m/>
    <n v="48"/>
    <n v="224"/>
    <n v="48"/>
    <s v="L"/>
    <s v="J"/>
    <m/>
    <m/>
    <m/>
    <m/>
    <m/>
    <m/>
    <s v="Burkhart Bypass -Corps required 1.27 PEM -  state required 1.224 PEM and .004 FOR"/>
  </r>
  <r>
    <d v="2022-08-09T00:00:00"/>
    <s v="August"/>
    <n v="2022"/>
    <x v="6"/>
    <n v="-0.23"/>
    <x v="0"/>
    <n v="27600"/>
    <n v="300"/>
    <s v="Federal"/>
    <x v="3"/>
    <n v="0.23"/>
    <s v="AEP"/>
    <s v="LRE-2012-00268-120-N21"/>
    <s v="2021-693-20-JWR-A"/>
    <m/>
    <s v="Elkhart"/>
    <n v="41.693517"/>
    <n v="-85.965565999999995"/>
    <s v="Energy Production"/>
    <m/>
    <s v="No"/>
    <m/>
    <n v="4140"/>
    <n v="19320"/>
    <n v="4140"/>
    <s v="D"/>
    <s v="J"/>
    <m/>
    <m/>
    <m/>
    <m/>
    <m/>
    <m/>
    <s v="Open Water Impacts - Emergent wetland credits"/>
  </r>
  <r>
    <d v="2022-08-09T00:00:00"/>
    <s v="August"/>
    <n v="2022"/>
    <x v="9"/>
    <n v="-275"/>
    <x v="1"/>
    <n v="123750"/>
    <n v="303"/>
    <s v="Federal"/>
    <x v="6"/>
    <n v="229"/>
    <s v="Lennar Homes "/>
    <s v="LRL-2017-334-sjk"/>
    <s v="2021-907-29-SCF-A"/>
    <m/>
    <s v="Hamilton"/>
    <n v="40.069056000000003"/>
    <n v="-86.065216000000007"/>
    <s v="Development"/>
    <m/>
    <s v="No"/>
    <m/>
    <n v="18562.5"/>
    <n v="86625"/>
    <n v="18562.5"/>
    <s v="L"/>
    <s v="J"/>
    <m/>
    <m/>
    <m/>
    <m/>
    <m/>
    <m/>
    <s v="IDEM 229 Corps 275"/>
  </r>
  <r>
    <d v="2022-08-09T00:00:00"/>
    <s v="August"/>
    <n v="2022"/>
    <x v="9"/>
    <n v="-0.216"/>
    <x v="0"/>
    <n v="17280"/>
    <n v="303"/>
    <s v="Federal"/>
    <x v="4"/>
    <n v="5.3999999999999999E-2"/>
    <s v="Lennar Homes "/>
    <s v="LRL-2017-334-sjk"/>
    <s v="2021-907-29-SCF-A"/>
    <m/>
    <s v="Hamilton"/>
    <n v="40.069056000000003"/>
    <n v="-86.065216000000007"/>
    <s v="Development"/>
    <m/>
    <s v="No"/>
    <m/>
    <n v="2592"/>
    <n v="12096"/>
    <n v="2592"/>
    <s v="L"/>
    <s v="J"/>
    <m/>
    <m/>
    <m/>
    <m/>
    <m/>
    <m/>
    <s v="IDEM .216 and Corps 0.19"/>
  </r>
  <r>
    <d v="2022-08-17T00:00:00"/>
    <s v="August "/>
    <n v="2022"/>
    <x v="9"/>
    <n v="-98"/>
    <x v="1"/>
    <n v="44100"/>
    <n v="324"/>
    <s v="Federal"/>
    <x v="1"/>
    <n v="98"/>
    <s v="Hendricks County Highway Department"/>
    <s v="LRL-2019-1083-jlt"/>
    <s v="2020-294-32-ERL-A"/>
    <m/>
    <s v="Hendricks"/>
    <n v="39.651600000000002"/>
    <n v="-86.462500000000006"/>
    <s v="Transportation"/>
    <m/>
    <s v="No"/>
    <m/>
    <n v="6615"/>
    <n v="30869.999999999996"/>
    <n v="6615"/>
    <s v="L"/>
    <s v="J"/>
    <m/>
    <m/>
    <m/>
    <m/>
    <m/>
    <m/>
    <m/>
  </r>
  <r>
    <d v="2022-08-18T00:00:00"/>
    <s v="August"/>
    <n v="2022"/>
    <x v="9"/>
    <n v="-6.0999999999999999E-2"/>
    <x v="0"/>
    <n v="4880"/>
    <n v="330"/>
    <s v="Federal"/>
    <x v="3"/>
    <n v="1.7999999999999999E-2"/>
    <s v="Indianapolis Department of Public Works"/>
    <s v="LRL-2019-22-sjk"/>
    <s v="2022-401-49-EKB-A"/>
    <m/>
    <s v="Marion"/>
    <n v="39.872276999999997"/>
    <n v="-86.308274999999995"/>
    <s v="Development"/>
    <m/>
    <s v="No"/>
    <m/>
    <n v="732"/>
    <n v="3416"/>
    <n v="732"/>
    <s v="L"/>
    <s v="J"/>
    <m/>
    <m/>
    <m/>
    <m/>
    <m/>
    <m/>
    <s v="Corps did not require mitigation"/>
  </r>
  <r>
    <d v="2022-08-22T00:00:00"/>
    <s v="August"/>
    <n v="2022"/>
    <x v="5"/>
    <n v="-671"/>
    <x v="1"/>
    <n v="268400"/>
    <s v="326C"/>
    <s v="Federal"/>
    <x v="2"/>
    <n v="671"/>
    <s v="Center Point"/>
    <s v="N/A"/>
    <s v="2022-449-82-TMS"/>
    <m/>
    <s v="Vanderburgh"/>
    <n v="38.003590000000003"/>
    <n v="-87.628496999999996"/>
    <s v="Energy Production"/>
    <m/>
    <s v="No"/>
    <m/>
    <n v="40260"/>
    <n v="187880"/>
    <n v="40260"/>
    <s v="L"/>
    <s v="J"/>
    <m/>
    <m/>
    <m/>
    <m/>
    <m/>
    <m/>
    <s v="No Corps Permit Issued"/>
  </r>
  <r>
    <d v="2022-08-22T00:00:00"/>
    <s v="August"/>
    <n v="2022"/>
    <x v="5"/>
    <n v="-0.1"/>
    <x v="0"/>
    <n v="8000"/>
    <s v="326C"/>
    <s v="Federal"/>
    <x v="3"/>
    <n v="0.05"/>
    <s v="Center Point"/>
    <s v="N/A"/>
    <s v="2022-449-82-TMS"/>
    <m/>
    <s v="Vanderburgh"/>
    <n v="38.003590000000003"/>
    <n v="-87.628496999999996"/>
    <s v="Energy Production"/>
    <m/>
    <s v="No"/>
    <m/>
    <n v="1200"/>
    <n v="5600"/>
    <n v="1200"/>
    <s v="L"/>
    <s v="J"/>
    <m/>
    <m/>
    <m/>
    <m/>
    <m/>
    <m/>
    <s v="No Corps Permit Issued"/>
  </r>
  <r>
    <d v="2022-08-26T00:00:00"/>
    <s v="August"/>
    <n v="2022"/>
    <x v="1"/>
    <n v="-40.5"/>
    <x v="1"/>
    <n v="20250"/>
    <n v="329"/>
    <s v="Federal"/>
    <x v="6"/>
    <n v="75.5"/>
    <s v="INDOT"/>
    <s v="LRE-2022-00212-146"/>
    <s v="2022-362-46-JBT"/>
    <m/>
    <s v="LaPorte"/>
    <n v="41.317303000000003"/>
    <n v="-86.896017000000001"/>
    <s v="Transportation"/>
    <m/>
    <s v="No"/>
    <m/>
    <n v="3037.5"/>
    <n v="14175"/>
    <n v="3037.5"/>
    <s v="C"/>
    <s v="J"/>
    <m/>
    <m/>
    <m/>
    <m/>
    <m/>
    <m/>
    <s v="Corps did not require mitigation. DES 1703002"/>
  </r>
  <r>
    <d v="2022-08-31T00:00:00"/>
    <s v="August"/>
    <n v="2022"/>
    <x v="5"/>
    <n v="-0.45"/>
    <x v="0"/>
    <n v="36000"/>
    <n v="333"/>
    <s v="Federal"/>
    <x v="3"/>
    <n v="0.187"/>
    <s v="INDOT"/>
    <s v="LRL-2018-840"/>
    <s v="2022-247-88-JBT"/>
    <m/>
    <s v="Vanderburgh"/>
    <n v="37.976823000000003"/>
    <n v="-87.444322999999997"/>
    <s v="Transportation"/>
    <m/>
    <s v="No"/>
    <m/>
    <n v="5400"/>
    <n v="25200"/>
    <n v="5400"/>
    <s v="L"/>
    <s v="J"/>
    <m/>
    <m/>
    <m/>
    <m/>
    <m/>
    <m/>
    <s v="INDOT DES 1400195 - Corps required 0.45 Emergent, IDEM 0.374 "/>
  </r>
  <r>
    <d v="2022-08-31T00:00:00"/>
    <s v="August"/>
    <n v="2022"/>
    <x v="5"/>
    <n v="-310"/>
    <x v="1"/>
    <n v="124000"/>
    <n v="333"/>
    <s v="Federal"/>
    <x v="2"/>
    <n v="766"/>
    <s v="INDOT"/>
    <s v="LRL-2018-840"/>
    <s v="2022-247-88-JBT"/>
    <m/>
    <s v="Vanderburgh"/>
    <n v="37.976823000000003"/>
    <n v="-87.444322999999997"/>
    <s v="Transportation"/>
    <m/>
    <s v="No"/>
    <m/>
    <n v="18600"/>
    <n v="86800"/>
    <n v="18600"/>
    <s v="L"/>
    <s v="J"/>
    <m/>
    <m/>
    <m/>
    <m/>
    <m/>
    <m/>
    <s v="INDOT DES 1400195 - Corps required 284, IDEM required 310"/>
  </r>
  <r>
    <d v="2022-08-31T00:00:00"/>
    <s v="August"/>
    <n v="2022"/>
    <x v="10"/>
    <n v="-166"/>
    <x v="1"/>
    <n v="74700"/>
    <n v="334"/>
    <s v="Federal"/>
    <x v="2"/>
    <n v="313"/>
    <s v="INDOT"/>
    <s v="LRL-2022-92-djd"/>
    <s v="2022-86-68-SCF-X"/>
    <m/>
    <s v="Randolph"/>
    <n v="40.04862"/>
    <n v="-84.968459999999993"/>
    <s v="Transportation"/>
    <m/>
    <s v="No"/>
    <m/>
    <n v="11205"/>
    <n v="52290"/>
    <n v="11205"/>
    <s v="L"/>
    <s v="J"/>
    <m/>
    <m/>
    <m/>
    <m/>
    <m/>
    <m/>
    <s v="INDOT DES 1702882, amount not in permit in email from IDEM. "/>
  </r>
  <r>
    <d v="2022-09-06T00:00:00"/>
    <s v="September"/>
    <n v="2022"/>
    <x v="4"/>
    <n v="-0.26"/>
    <x v="0"/>
    <n v="20800"/>
    <n v="336"/>
    <s v="Federal"/>
    <x v="3"/>
    <n v="0.11"/>
    <s v="Duke Energy"/>
    <s v="LRL-2022-708-sjk"/>
    <s v="2022-726-79-ERL-X"/>
    <m/>
    <s v="Tippecanoe"/>
    <n v="40.432400000000001"/>
    <n v="-86.943200000000004"/>
    <s v="Transportation"/>
    <m/>
    <s v="No"/>
    <m/>
    <n v="3120"/>
    <n v="14560"/>
    <n v="3120"/>
    <s v="L"/>
    <s v="J"/>
    <m/>
    <m/>
    <m/>
    <m/>
    <m/>
    <m/>
    <m/>
  </r>
  <r>
    <d v="2022-09-15T00:00:00"/>
    <s v="September"/>
    <n v="2022"/>
    <x v="7"/>
    <n v="-3908"/>
    <x v="1"/>
    <n v="1563200"/>
    <s v="280C"/>
    <s v="Federal"/>
    <x v="2"/>
    <n v="1496"/>
    <s v="Harrison County"/>
    <s v="LRL-2021-30-MKD"/>
    <s v="2021-729-31-TMS-A"/>
    <m/>
    <s v="Harrison"/>
    <n v="38.293999999999997"/>
    <n v="-86.013999999999996"/>
    <s v="Transportation"/>
    <m/>
    <s v="No"/>
    <m/>
    <n v="234480"/>
    <n v="1094240"/>
    <n v="234480"/>
    <s v="L"/>
    <s v="J"/>
    <m/>
    <m/>
    <m/>
    <m/>
    <m/>
    <m/>
    <s v="INDOT DES 1702960 - Corps required more ILF mitigation credits than IDEM"/>
  </r>
  <r>
    <d v="2022-09-20T00:00:00"/>
    <s v="September"/>
    <n v="2022"/>
    <x v="7"/>
    <n v="-576"/>
    <x v="1"/>
    <n v="230400"/>
    <n v="338"/>
    <s v="Federal"/>
    <x v="1"/>
    <n v="1554"/>
    <s v="Clark County Board of Commissioners (Landfill)"/>
    <s v="LRL-2013-00374"/>
    <s v="2021-189-10-TMS-A"/>
    <m/>
    <s v="Clark"/>
    <n v="38.457000000000001"/>
    <n v="-85.847740000000002"/>
    <s v="Development"/>
    <m/>
    <s v="No"/>
    <m/>
    <n v="34560"/>
    <n v="161280"/>
    <n v="34560"/>
    <s v="L"/>
    <m/>
    <m/>
    <m/>
    <m/>
    <m/>
    <m/>
    <m/>
    <s v="Purchase 1 of 7 scheduled credit purchases per the 404 and 401"/>
  </r>
  <r>
    <d v="2022-09-20T00:00:00"/>
    <s v="September"/>
    <n v="2022"/>
    <x v="7"/>
    <n v="-1.3"/>
    <x v="0"/>
    <n v="104000"/>
    <n v="338"/>
    <s v="Federal"/>
    <x v="3"/>
    <n v="1.59"/>
    <s v="Clark County Board of Commissioners (Landfill)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m/>
    <m/>
    <m/>
    <m/>
    <m/>
    <m/>
    <m/>
    <s v="Purchase 1 of 7 scheduled credit purchases per the 404 and 401"/>
  </r>
  <r>
    <d v="2022-09-22T00:00:00"/>
    <s v="September"/>
    <n v="2022"/>
    <x v="3"/>
    <n v="-37.549999999999997"/>
    <x v="1"/>
    <n v="16898"/>
    <n v="332"/>
    <s v="Federal"/>
    <x v="6"/>
    <n v="37.549999999999997"/>
    <s v="Steuben County Highway Department"/>
    <s v="LRE-2021-00264-176"/>
    <s v="2021-129-76-WRH-A"/>
    <m/>
    <s v="Steuben"/>
    <n v="41.645215999999998"/>
    <n v="-84.840986000000001"/>
    <s v="Transportation"/>
    <m/>
    <s v="No"/>
    <m/>
    <n v="2534.6999999999998"/>
    <n v="11828.599999999999"/>
    <n v="2534.6999999999998"/>
    <s v="D"/>
    <s v="J"/>
    <m/>
    <m/>
    <m/>
    <m/>
    <m/>
    <m/>
    <m/>
  </r>
  <r>
    <d v="2022-09-22T00:00:00"/>
    <s v="September"/>
    <n v="2022"/>
    <x v="7"/>
    <n v="-150"/>
    <x v="1"/>
    <n v="60000"/>
    <n v="335"/>
    <s v="Federal"/>
    <x v="1"/>
    <n v="250"/>
    <s v="Clayton Properties"/>
    <s v="LRL-2021-949-MKD"/>
    <s v="2022-430-22-JWR-A"/>
    <m/>
    <s v="Floyd"/>
    <n v="38.313028000000003"/>
    <n v="-85.902213000000003"/>
    <s v="Development"/>
    <m/>
    <s v="No"/>
    <m/>
    <n v="9000"/>
    <n v="42000"/>
    <n v="9000"/>
    <s v="L"/>
    <s v="J"/>
    <m/>
    <m/>
    <m/>
    <m/>
    <m/>
    <m/>
    <m/>
  </r>
  <r>
    <d v="2022-09-22T00:00:00"/>
    <s v="September"/>
    <n v="2022"/>
    <x v="7"/>
    <n v="-600"/>
    <x v="1"/>
    <n v="240000"/>
    <n v="335"/>
    <s v="Federal"/>
    <x v="2"/>
    <n v="434"/>
    <s v="Clayton Properties"/>
    <s v="LRL-2021-949-MKD"/>
    <s v="2022-430-22-JWR-A"/>
    <m/>
    <s v="Floyd"/>
    <n v="38.313028000000003"/>
    <n v="-85.902213000000003"/>
    <s v="Development"/>
    <m/>
    <s v="No"/>
    <m/>
    <n v="36000"/>
    <n v="168000"/>
    <n v="36000"/>
    <s v="L"/>
    <s v="J"/>
    <m/>
    <m/>
    <m/>
    <m/>
    <m/>
    <m/>
    <m/>
  </r>
  <r>
    <d v="2022-09-22T00:00:00"/>
    <s v="September"/>
    <n v="2022"/>
    <x v="7"/>
    <n v="-4.1000000000000002E-2"/>
    <x v="0"/>
    <n v="3280"/>
    <n v="335"/>
    <s v="Federal"/>
    <x v="3"/>
    <n v="1.6E-2"/>
    <s v="Clayton Properties"/>
    <s v="LRL-2021-949-MKD"/>
    <s v="2022-430-22-JWR-A"/>
    <m/>
    <s v="Floyd"/>
    <n v="38.313028000000003"/>
    <n v="-85.902213000000003"/>
    <s v="Development"/>
    <m/>
    <s v="No"/>
    <m/>
    <n v="492"/>
    <n v="2296"/>
    <n v="492"/>
    <s v="L"/>
    <s v="J"/>
    <m/>
    <m/>
    <m/>
    <m/>
    <m/>
    <m/>
    <m/>
  </r>
  <r>
    <d v="2022-09-22T00:00:00"/>
    <s v="September"/>
    <n v="2022"/>
    <x v="7"/>
    <n v="-5.8999999999999997E-2"/>
    <x v="0"/>
    <n v="4720"/>
    <n v="335"/>
    <s v="Federal"/>
    <x v="5"/>
    <n v="0.02"/>
    <s v="Clayton Properties"/>
    <s v="LRL-2021-949-MKD"/>
    <s v="2022-430-22-JWR-A"/>
    <m/>
    <s v="Floyd"/>
    <n v="38.313028000000003"/>
    <n v="-85.902213000000003"/>
    <s v="Development"/>
    <m/>
    <s v="No"/>
    <m/>
    <n v="708"/>
    <n v="3304"/>
    <n v="708"/>
    <s v="L"/>
    <s v="J"/>
    <m/>
    <m/>
    <m/>
    <m/>
    <m/>
    <m/>
    <m/>
  </r>
  <r>
    <d v="2022-09-22T00:00:00"/>
    <s v="September"/>
    <n v="2022"/>
    <x v="9"/>
    <n v="-0.34100000000000003"/>
    <x v="0"/>
    <n v="27280"/>
    <s v="86C"/>
    <s v="State Isolated"/>
    <x v="3"/>
    <n v="0.34100000000000003"/>
    <s v="The Club at Holiday Farms, LLP"/>
    <s v="N/A"/>
    <s v="IWIP 2018-728-06-JMK"/>
    <m/>
    <s v="Boone"/>
    <n v="39.983576999999997"/>
    <n v="-86.265264999999999"/>
    <s v="Development"/>
    <m/>
    <s v="No"/>
    <m/>
    <n v="4092"/>
    <n v="19096"/>
    <n v="4092"/>
    <s v="L"/>
    <s v="SI"/>
    <s v="1 NF"/>
    <m/>
    <m/>
    <m/>
    <m/>
    <m/>
    <s v="Revised Permit and Invoice - new invoice 86C 0 Class I Non-Forested (PEM)"/>
  </r>
  <r>
    <d v="2022-09-22T00:00:00"/>
    <s v="September"/>
    <n v="2022"/>
    <x v="9"/>
    <n v="-0.51500000000000001"/>
    <x v="0"/>
    <n v="41200"/>
    <s v="86C"/>
    <s v="State Isolated"/>
    <x v="4"/>
    <n v="0.25700000000000001"/>
    <s v="The Club at Holiday Farms, LLP"/>
    <s v="N/A"/>
    <s v="IWIP 2018-728-06-JMK"/>
    <m/>
    <s v="Boone"/>
    <n v="39.983576999999997"/>
    <n v="-86.265264999999999"/>
    <s v="Development"/>
    <m/>
    <s v="No"/>
    <m/>
    <n v="6180"/>
    <n v="28839.999999999996"/>
    <n v="6180"/>
    <s v="L"/>
    <s v="SI"/>
    <s v="2 FO"/>
    <m/>
    <m/>
    <m/>
    <m/>
    <m/>
    <s v="Revised Permit and Invoice - new invoice 86C- Class II Forested - Revised amount"/>
  </r>
  <r>
    <d v="2022-09-22T00:00:00"/>
    <s v="September"/>
    <n v="2022"/>
    <x v="9"/>
    <n v="-1309"/>
    <x v="1"/>
    <n v="589050"/>
    <s v="86C"/>
    <s v="Federal"/>
    <x v="2"/>
    <n v="1091"/>
    <s v="The Club at Holiday Farms, LLP"/>
    <s v="LRL-2017-1101-lcl"/>
    <s v="2018-728-06-JMK-A"/>
    <m/>
    <s v="Boone"/>
    <n v="39.983576999999997"/>
    <n v="-86.265264999999999"/>
    <s v="Development"/>
    <m/>
    <s v="No"/>
    <m/>
    <n v="88357.5"/>
    <n v="412335"/>
    <n v="88357.5"/>
    <s v="L"/>
    <s v="J"/>
    <m/>
    <m/>
    <m/>
    <m/>
    <m/>
    <m/>
    <s v="Revised Permit and Invoice - new invoice 86C- Revised Permit - 401 Requirements same as the Corps"/>
  </r>
  <r>
    <d v="2022-09-22T00:00:00"/>
    <s v="September"/>
    <n v="2022"/>
    <x v="9"/>
    <n v="-2.87"/>
    <x v="0"/>
    <n v="229600"/>
    <s v="86C"/>
    <s v="Federal"/>
    <x v="4"/>
    <n v="1.64"/>
    <s v="The Club at Holiday Farms, LLP"/>
    <s v="LRL-2017-1101-lcl"/>
    <s v="2018-728-06-JMK-A"/>
    <m/>
    <s v="Boone"/>
    <n v="39.983576999999997"/>
    <n v="-86.265264999999999"/>
    <s v="Development"/>
    <m/>
    <s v="No"/>
    <m/>
    <n v="34440"/>
    <n v="160720"/>
    <n v="34440"/>
    <s v="L"/>
    <s v="J"/>
    <m/>
    <m/>
    <m/>
    <m/>
    <m/>
    <m/>
    <s v="Revised Permit and Invoice - new invoice 86C- Revised Permit - 401 Requirements same as the Corps"/>
  </r>
  <r>
    <d v="2022-09-22T00:00:00"/>
    <s v="September"/>
    <n v="2022"/>
    <x v="9"/>
    <n v="-2.161"/>
    <x v="0"/>
    <n v="172880"/>
    <n v="337"/>
    <s v="Federal"/>
    <x v="5"/>
    <n v="0.76400000000000001"/>
    <s v="Pulte Homes of Indiana"/>
    <s v="LRL-2022-467"/>
    <s v="2022-411-32"/>
    <m/>
    <s v="Hendricks"/>
    <n v="39.667650000000002"/>
    <n v="-86.410212999999999"/>
    <s v="Development"/>
    <m/>
    <s v="No"/>
    <m/>
    <n v="25932"/>
    <n v="121015.99999999999"/>
    <n v="25932"/>
    <s v="L"/>
    <s v="J"/>
    <m/>
    <m/>
    <m/>
    <m/>
    <m/>
    <m/>
    <s v="IDEM Required 2.161, Corps 1.82"/>
  </r>
  <r>
    <d v="2022-09-26T00:00:00"/>
    <s v="September"/>
    <n v="2022"/>
    <x v="7"/>
    <n v="-1.1000000000000001"/>
    <x v="0"/>
    <n v="88000"/>
    <n v="346"/>
    <s v="Federal"/>
    <x v="3"/>
    <n v="0.629"/>
    <s v="New Albany Senior Partners, LLC"/>
    <s v="LRL-2017-94-MKD"/>
    <s v="2022-471-22-TMS-A"/>
    <m/>
    <s v="Floyd"/>
    <n v="38.358026000000002"/>
    <n v="-85.815745000000007"/>
    <s v="Development"/>
    <m/>
    <s v="No"/>
    <m/>
    <n v="13200"/>
    <n v="61599.999999999993"/>
    <n v="13200"/>
    <s v="L"/>
    <s v="J"/>
    <m/>
    <m/>
    <m/>
    <m/>
    <m/>
    <m/>
    <m/>
  </r>
  <r>
    <d v="2022-09-26T00:00:00"/>
    <s v="September"/>
    <n v="2022"/>
    <x v="7"/>
    <n v="-74.400000000000006"/>
    <x v="1"/>
    <n v="29760.000000000004"/>
    <n v="346"/>
    <s v="Federal"/>
    <x v="1"/>
    <n v="124"/>
    <s v="New Albany Senior Partners, LLC"/>
    <s v="LRL-2017-94-MKD"/>
    <s v="2022-471-22-TMS-A"/>
    <m/>
    <s v="Floyd"/>
    <n v="38.358026000000002"/>
    <n v="-85.815745000000007"/>
    <s v="Development"/>
    <m/>
    <s v="No"/>
    <m/>
    <n v="4464"/>
    <n v="20832"/>
    <n v="4464"/>
    <s v="L"/>
    <s v="J"/>
    <m/>
    <m/>
    <m/>
    <m/>
    <m/>
    <m/>
    <m/>
  </r>
  <r>
    <d v="2022-09-27T00:00:00"/>
    <s v="September"/>
    <n v="2022"/>
    <x v="9"/>
    <n v="-0.15"/>
    <x v="0"/>
    <n v="12000"/>
    <n v="340"/>
    <s v="State Isolated"/>
    <x v="4"/>
    <n v="0.15"/>
    <s v="Browning Investment, Inc."/>
    <s v="N/A"/>
    <s v="IWIP 2022-549-32-ERL-A"/>
    <m/>
    <s v="Hendricks"/>
    <n v="39.852600000000002"/>
    <n v="-86.418139999999994"/>
    <s v="Development"/>
    <m/>
    <s v="No"/>
    <m/>
    <n v="1800"/>
    <n v="8400"/>
    <n v="1800"/>
    <s v="L"/>
    <s v="SI"/>
    <s v="3 FO"/>
    <m/>
    <m/>
    <m/>
    <m/>
    <m/>
    <m/>
  </r>
  <r>
    <d v="2022-10-06T00:00:00"/>
    <s v="October"/>
    <n v="2022"/>
    <x v="1"/>
    <n v="-2.2000000000000002"/>
    <x v="0"/>
    <n v="209000"/>
    <n v="347"/>
    <s v="State Isolated"/>
    <x v="3"/>
    <n v="2.2000000000000002"/>
    <s v="CDS Mixers &amp; Parts"/>
    <s v="N/A"/>
    <s v="IWIP 2022-871-50-SCF-A"/>
    <m/>
    <s v="Marshall"/>
    <n v="41.364803999999999"/>
    <n v="-86.319647000000003"/>
    <s v="Development"/>
    <m/>
    <s v="No"/>
    <m/>
    <n v="31350"/>
    <n v="146300"/>
    <n v="31350"/>
    <s v="D"/>
    <s v="SI"/>
    <s v="2 NF"/>
    <m/>
    <m/>
    <m/>
    <m/>
    <m/>
    <m/>
  </r>
  <r>
    <d v="2022-10-06T00:00:00"/>
    <s v="October"/>
    <n v="2022"/>
    <x v="9"/>
    <n v="-0.499"/>
    <x v="0"/>
    <n v="39320"/>
    <n v="327"/>
    <s v="Federal"/>
    <x v="3"/>
    <n v="0.499"/>
    <s v="City of Noblesville"/>
    <s v="LRL-2022-108-sjk"/>
    <s v="2022-444-29-EJW-A"/>
    <m/>
    <s v="Hamilton"/>
    <n v="40.090819000000003"/>
    <n v="-86.071279000000004"/>
    <s v="Transportation"/>
    <m/>
    <s v="No"/>
    <m/>
    <n v="5898"/>
    <n v="27524"/>
    <n v="5898"/>
    <s v="L"/>
    <s v="J"/>
    <m/>
    <m/>
    <m/>
    <m/>
    <m/>
    <m/>
    <s v="Corps did not require mitigation"/>
  </r>
  <r>
    <d v="2022-10-26T00:00:00"/>
    <s v="October"/>
    <n v="2022"/>
    <x v="0"/>
    <n v="-0.40649999999999997"/>
    <x v="0"/>
    <n v="38617.51"/>
    <n v="349"/>
    <s v="State Isolated"/>
    <x v="3"/>
    <n v="0.27100000000000002"/>
    <s v="Maple Leaf Crossing, LLC"/>
    <s v="N/A"/>
    <s v="IWIP 2022-689-45-MTM-A"/>
    <m/>
    <s v="Lake"/>
    <n v="41.543187000000003"/>
    <n v="-87.511863000000005"/>
    <s v="Development"/>
    <m/>
    <s v="No"/>
    <m/>
    <n v="5792.63"/>
    <n v="27032.25"/>
    <n v="5792.63"/>
    <s v="C"/>
    <s v="SI"/>
    <s v="2 NF"/>
    <m/>
    <m/>
    <m/>
    <m/>
    <m/>
    <m/>
  </r>
  <r>
    <d v="2022-11-09T00:00:00"/>
    <s v="November "/>
    <n v="2022"/>
    <x v="0"/>
    <n v="-1.39"/>
    <x v="0"/>
    <n v="132050"/>
    <n v="331"/>
    <s v="State Isolated"/>
    <x v="3"/>
    <n v="0.86"/>
    <s v="VJW Basin, Inc."/>
    <s v="N/A"/>
    <s v="IWIP 2019-871-64-MTM-A"/>
    <m/>
    <s v="Porter"/>
    <n v="41.496250000000003"/>
    <n v="-87.080566000000005"/>
    <s v="Development"/>
    <m/>
    <s v="No"/>
    <m/>
    <n v="19807.5"/>
    <n v="92435"/>
    <n v="19807.5"/>
    <s v="C"/>
    <s v="SI"/>
    <s v="2 NF"/>
    <m/>
    <m/>
    <m/>
    <m/>
    <m/>
    <m/>
  </r>
  <r>
    <d v="2022-11-09T00:00:00"/>
    <s v="November "/>
    <n v="2022"/>
    <x v="0"/>
    <n v="-418"/>
    <x v="1"/>
    <n v="250800"/>
    <n v="331"/>
    <s v="Federal"/>
    <x v="6"/>
    <n v="275"/>
    <s v="VJW Basin, Inc."/>
    <s v="LRC-2018-217"/>
    <s v="2019-871-64-MTM-A"/>
    <m/>
    <s v="Porter"/>
    <n v="41.496250000000003"/>
    <n v="-87.080566000000005"/>
    <s v="Development"/>
    <m/>
    <s v="No"/>
    <m/>
    <n v="37620"/>
    <n v="175560"/>
    <n v="37620"/>
    <s v="C"/>
    <m/>
    <m/>
    <m/>
    <m/>
    <m/>
    <m/>
    <m/>
    <m/>
  </r>
  <r>
    <d v="2022-11-09T00:00:00"/>
    <s v="November "/>
    <n v="2022"/>
    <x v="5"/>
    <n v="-58"/>
    <x v="1"/>
    <n v="23200"/>
    <n v="342"/>
    <s v="Federal"/>
    <x v="2"/>
    <n v="56"/>
    <s v="CenterPoint Energy Indiana South"/>
    <s v="N/A"/>
    <s v="2022-795-82-TMS-X"/>
    <m/>
    <s v="Vanderburgh"/>
    <n v="38.012479999999996"/>
    <n v="-87.640253999999999"/>
    <s v="Energy Production"/>
    <m/>
    <s v="No"/>
    <m/>
    <n v="3480"/>
    <n v="16239.999999999998"/>
    <n v="3480"/>
    <s v="L"/>
    <s v="J"/>
    <m/>
    <m/>
    <m/>
    <m/>
    <m/>
    <m/>
    <s v="NWP - Corps did not require mitigation - No Corps 404 No."/>
  </r>
  <r>
    <d v="2022-11-09T00:00:00"/>
    <s v="November "/>
    <n v="2022"/>
    <x v="8"/>
    <n v="-210"/>
    <x v="1"/>
    <n v="84000"/>
    <n v="350"/>
    <s v="Federal"/>
    <x v="2"/>
    <n v="175"/>
    <s v="INDOT"/>
    <s v="LRL-2022-285-djd"/>
    <s v="2022-556-08-JBT-A"/>
    <m/>
    <s v="Carroll"/>
    <n v="40.464647999999997"/>
    <n v="-86.636566000000002"/>
    <s v="Transportation"/>
    <m/>
    <s v="No"/>
    <m/>
    <n v="12600"/>
    <n v="58799.999999999993"/>
    <n v="12600"/>
    <s v="L"/>
    <s v="J"/>
    <m/>
    <m/>
    <m/>
    <m/>
    <m/>
    <m/>
    <m/>
  </r>
  <r>
    <d v="2022-11-09T00:00:00"/>
    <s v="November "/>
    <n v="2022"/>
    <x v="8"/>
    <n v="-66"/>
    <x v="1"/>
    <n v="26400"/>
    <n v="350"/>
    <s v="Federal"/>
    <x v="6"/>
    <n v="101"/>
    <s v="INDOT"/>
    <s v="LRL-2022-285-djd"/>
    <s v="2022-556-08-JBT-A"/>
    <m/>
    <s v="Carroll"/>
    <n v="40.464647999999997"/>
    <n v="-86.636566000000002"/>
    <s v="Transportation"/>
    <m/>
    <s v="No"/>
    <m/>
    <n v="3960"/>
    <n v="18480"/>
    <n v="3960"/>
    <s v="L"/>
    <s v="J"/>
    <m/>
    <m/>
    <m/>
    <m/>
    <m/>
    <m/>
    <m/>
  </r>
  <r>
    <d v="2022-11-09T00:00:00"/>
    <s v="November "/>
    <n v="2022"/>
    <x v="8"/>
    <n v="-0.18"/>
    <x v="0"/>
    <n v="14400"/>
    <n v="350"/>
    <s v="Federal"/>
    <x v="3"/>
    <n v="7.5999999999999998E-2"/>
    <s v="INDOT"/>
    <s v="LRL-2022-285-djd"/>
    <s v="2022-556-08-JBT-A"/>
    <m/>
    <s v="Carroll"/>
    <n v="40.464647999999997"/>
    <n v="-86.636566000000002"/>
    <s v="Transportation"/>
    <m/>
    <s v="No"/>
    <m/>
    <n v="2160"/>
    <n v="10080"/>
    <n v="2160"/>
    <s v="L"/>
    <s v="J"/>
    <m/>
    <m/>
    <m/>
    <m/>
    <m/>
    <m/>
    <m/>
  </r>
  <r>
    <d v="2022-11-09T00:00:00"/>
    <s v="November "/>
    <n v="2022"/>
    <x v="8"/>
    <n v="-0.14000000000000001"/>
    <x v="0"/>
    <n v="11200"/>
    <n v="350"/>
    <s v="Federal"/>
    <x v="4"/>
    <n v="0.04"/>
    <s v="INDOT"/>
    <s v="LRL-2022-285-djd"/>
    <s v="2022-556-08-JBT-A"/>
    <m/>
    <s v="Carroll"/>
    <n v="40.464647999999997"/>
    <n v="-86.636566000000002"/>
    <s v="Transportation"/>
    <m/>
    <s v="No"/>
    <m/>
    <n v="1680"/>
    <n v="7839.9999999999991"/>
    <n v="1680"/>
    <s v="L"/>
    <s v="J"/>
    <m/>
    <m/>
    <m/>
    <m/>
    <m/>
    <m/>
    <m/>
  </r>
  <r>
    <d v="2022-11-09T00:00:00"/>
    <s v="November "/>
    <n v="2022"/>
    <x v="10"/>
    <n v="-1.431"/>
    <x v="0"/>
    <n v="114480"/>
    <n v="341"/>
    <s v="State Isolated"/>
    <x v="3"/>
    <n v="0.95399999999999996"/>
    <s v="Lennar Homes of Indiana "/>
    <s v="N/A"/>
    <s v="IWIP 2022-681-41-JWR-A"/>
    <m/>
    <s v="Johnson"/>
    <n v="39.591644000000002"/>
    <n v="-86.077051999999995"/>
    <s v="Development"/>
    <m/>
    <s v="No"/>
    <m/>
    <n v="17172"/>
    <n v="80136"/>
    <n v="17172"/>
    <s v="L"/>
    <s v="SI"/>
    <s v="2 NF"/>
    <m/>
    <m/>
    <m/>
    <m/>
    <m/>
    <m/>
  </r>
  <r>
    <d v="2022-11-09T00:00:00"/>
    <s v="November "/>
    <n v="2022"/>
    <x v="10"/>
    <n v="-0.13400000000000001"/>
    <x v="0"/>
    <n v="10720"/>
    <n v="341"/>
    <s v="State Isolated"/>
    <x v="4"/>
    <n v="6.7000000000000004E-2"/>
    <s v="Lennar Homes of Indiana "/>
    <s v="N/A"/>
    <s v="IWIP 2022-681-41-JWR-A"/>
    <m/>
    <s v="Johnson"/>
    <n v="39.591644000000002"/>
    <n v="-86.077051999999995"/>
    <s v="Development"/>
    <m/>
    <s v="No"/>
    <m/>
    <n v="1608"/>
    <n v="7503.9999999999991"/>
    <n v="1608"/>
    <s v="L"/>
    <s v="SI"/>
    <s v="2 FO"/>
    <m/>
    <m/>
    <m/>
    <m/>
    <m/>
    <m/>
  </r>
  <r>
    <d v="2022-11-21T00:00:00"/>
    <s v="November "/>
    <n v="2022"/>
    <x v="7"/>
    <n v="-0.54"/>
    <x v="0"/>
    <n v="43200"/>
    <n v="354"/>
    <s v="State Isolated"/>
    <x v="3"/>
    <n v="0.35899999999999999"/>
    <s v="Holmans Crossing, LLC"/>
    <s v="N/A"/>
    <s v="IWIP 2022-826-10-JWR-A"/>
    <m/>
    <s v="Clark"/>
    <n v="38.328194000000003"/>
    <n v="-85.718721000000002"/>
    <s v="Development"/>
    <m/>
    <s v="No"/>
    <m/>
    <n v="6480"/>
    <n v="30239.999999999996"/>
    <n v="6480"/>
    <s v="L"/>
    <s v="SI"/>
    <s v="2 NF"/>
    <m/>
    <m/>
    <m/>
    <m/>
    <m/>
    <m/>
  </r>
  <r>
    <d v="2022-11-21T00:00:00"/>
    <s v="November "/>
    <n v="2022"/>
    <x v="9"/>
    <n v="-1271"/>
    <x v="1"/>
    <n v="571950"/>
    <n v="339"/>
    <s v="Federal"/>
    <x v="2"/>
    <n v="1059"/>
    <s v="Lawrence Central High School"/>
    <s v="LRL-2021-444-sjk"/>
    <s v="2022-421-49-JWR-A"/>
    <m/>
    <s v="Marion"/>
    <n v="39.859699999999997"/>
    <n v="-86.039199999999994"/>
    <s v="Development"/>
    <m/>
    <s v="No"/>
    <m/>
    <n v="85792.5"/>
    <n v="400365"/>
    <n v="85792.5"/>
    <s v="L"/>
    <s v="J"/>
    <m/>
    <m/>
    <m/>
    <m/>
    <m/>
    <m/>
    <s v="IDEM - 1059, Corps 1271"/>
  </r>
  <r>
    <d v="2022-11-21T00:00:00"/>
    <s v="November "/>
    <n v="2022"/>
    <x v="9"/>
    <n v="-315"/>
    <x v="1"/>
    <n v="141750"/>
    <n v="339"/>
    <s v="Federal"/>
    <x v="1"/>
    <n v="263"/>
    <s v="Lawrence Central High School"/>
    <s v="LRL-2021-444-sjk"/>
    <s v="2022-421-49-JWR-A"/>
    <m/>
    <s v="Marion"/>
    <n v="39.859699999999997"/>
    <n v="-86.039199999999994"/>
    <s v="Development"/>
    <m/>
    <s v="No"/>
    <m/>
    <n v="21262.5"/>
    <n v="99225"/>
    <n v="21262.5"/>
    <s v="L"/>
    <s v="J"/>
    <m/>
    <m/>
    <m/>
    <m/>
    <m/>
    <m/>
    <s v="IDEM -263, Corps - 315"/>
  </r>
  <r>
    <d v="2022-11-21T00:00:00"/>
    <s v="November "/>
    <n v="2022"/>
    <x v="9"/>
    <n v="-0.2"/>
    <x v="0"/>
    <n v="16000"/>
    <n v="352"/>
    <s v="State Isolated"/>
    <x v="3"/>
    <n v="0.2"/>
    <s v="Commercial Links, LLC"/>
    <s v="N/A"/>
    <s v="IWGP 2020-691-29-ALF-A"/>
    <m/>
    <s v="Hamilton"/>
    <n v="40.042999999999999"/>
    <n v="-86.161900000000003"/>
    <s v="Development"/>
    <m/>
    <s v="No"/>
    <m/>
    <n v="2400"/>
    <n v="11200"/>
    <n v="2400"/>
    <s v="L"/>
    <s v="SI"/>
    <s v="1 NF"/>
    <m/>
    <m/>
    <m/>
    <m/>
    <m/>
    <m/>
  </r>
  <r>
    <d v="2022-12-06T00:00:00"/>
    <s v="December"/>
    <n v="2022"/>
    <x v="4"/>
    <n v="-80.5"/>
    <x v="1"/>
    <n v="32200"/>
    <n v="344"/>
    <s v="Federal"/>
    <x v="1"/>
    <n v="80.5"/>
    <s v="Duke Energy"/>
    <s v="LRL-2019-576-MKD "/>
    <s v="2019-559-84-ALF-A "/>
    <m/>
    <s v="Vigo"/>
    <n v="39.557079999999999"/>
    <n v="-87.438710999999998"/>
    <s v="Energy Production"/>
    <m/>
    <s v="No"/>
    <m/>
    <n v="4830"/>
    <n v="22540"/>
    <n v="4830"/>
    <s v="L"/>
    <s v="J"/>
    <m/>
    <m/>
    <m/>
    <m/>
    <m/>
    <m/>
    <s v="Corps did not require mitigation"/>
  </r>
  <r>
    <d v="2022-12-06T00:00:00"/>
    <s v="December"/>
    <n v="2022"/>
    <x v="4"/>
    <n v="-0.53"/>
    <x v="0"/>
    <n v="42400"/>
    <n v="344"/>
    <s v="Federal"/>
    <x v="3"/>
    <n v="0.53"/>
    <s v="Duke Energy"/>
    <s v="LRL-2019-576-MKD "/>
    <s v="2019-559-84-ALF-A "/>
    <m/>
    <s v="Vigo"/>
    <n v="39.557079999999999"/>
    <n v="-87.438710999999998"/>
    <s v="Energy Production"/>
    <m/>
    <s v="No"/>
    <m/>
    <n v="6360"/>
    <n v="29679.999999999996"/>
    <n v="6360"/>
    <s v="L"/>
    <s v="J"/>
    <m/>
    <m/>
    <m/>
    <m/>
    <m/>
    <m/>
    <s v="Corps did not require mitigation"/>
  </r>
  <r>
    <d v="2022-12-15T00:00:00"/>
    <s v="December"/>
    <n v="2022"/>
    <x v="3"/>
    <n v="-6.9420000000000002"/>
    <x v="0"/>
    <n v="555360"/>
    <n v="365"/>
    <s v="State Isolated"/>
    <x v="4"/>
    <n v="3.4710000000000001"/>
    <s v="Auburn Holdings, LLC"/>
    <s v="N/A"/>
    <s v="IWIP 2022-905-17-EJW-A"/>
    <m/>
    <s v="DeKalb"/>
    <n v="41.368189000000001"/>
    <n v="-85.079463000000004"/>
    <s v="Development"/>
    <m/>
    <s v="No"/>
    <m/>
    <n v="83304"/>
    <n v="388752"/>
    <n v="83304"/>
    <s v="D"/>
    <s v="SI"/>
    <s v="2 FO"/>
    <m/>
    <m/>
    <m/>
    <m/>
    <m/>
    <m/>
  </r>
  <r>
    <d v="2022-12-19T00:00:00"/>
    <s v="December"/>
    <n v="2022"/>
    <x v="9"/>
    <n v="-1.875"/>
    <x v="0"/>
    <n v="150000"/>
    <n v="359"/>
    <s v="State Isolated"/>
    <x v="4"/>
    <n v="0.75"/>
    <s v="D.R. Horton"/>
    <s v="N/A"/>
    <s v="IWIP 2022-852-49-EKB-A"/>
    <m/>
    <s v="Marion"/>
    <n v="39.679664000000002"/>
    <n v="-86.277248"/>
    <s v="Development"/>
    <m/>
    <s v="No"/>
    <m/>
    <n v="22500"/>
    <n v="105000"/>
    <n v="22500"/>
    <s v="L"/>
    <s v="SI"/>
    <s v="3 FO"/>
    <m/>
    <m/>
    <m/>
    <m/>
    <m/>
    <m/>
  </r>
  <r>
    <d v="2022-12-19T00:00:00"/>
    <s v="December"/>
    <n v="2022"/>
    <x v="9"/>
    <n v="-158"/>
    <x v="1"/>
    <n v="71100"/>
    <n v="359"/>
    <s v="Federal"/>
    <x v="1"/>
    <n v="132"/>
    <s v="D.R. Horton"/>
    <s v="LRL-2021-681-sam"/>
    <s v="2022-852-49-EKB-A"/>
    <m/>
    <s v="Marion"/>
    <n v="39.673189999999998"/>
    <n v="-86.279008000000005"/>
    <s v="Development"/>
    <m/>
    <s v="No"/>
    <m/>
    <n v="10665"/>
    <n v="49770"/>
    <n v="10665"/>
    <s v="L"/>
    <s v="J"/>
    <m/>
    <m/>
    <m/>
    <m/>
    <m/>
    <m/>
    <m/>
  </r>
  <r>
    <d v="2022-12-19T00:00:00"/>
    <s v="December"/>
    <n v="2022"/>
    <x v="9"/>
    <n v="-0.31"/>
    <x v="0"/>
    <n v="24800"/>
    <n v="359"/>
    <s v="Federal"/>
    <x v="3"/>
    <n v="0.13"/>
    <s v="D.R. Horton"/>
    <s v="LRL-2021-681-sam"/>
    <s v="2022-852-49-EKB-A"/>
    <m/>
    <s v="Marion"/>
    <n v="39.673189999999998"/>
    <n v="-86.279008000000005"/>
    <s v="Development"/>
    <m/>
    <s v="No"/>
    <m/>
    <n v="3720"/>
    <n v="17360"/>
    <n v="3720"/>
    <s v="L"/>
    <s v="J"/>
    <m/>
    <m/>
    <m/>
    <m/>
    <m/>
    <m/>
    <m/>
  </r>
  <r>
    <d v="2022-12-19T00:00:00"/>
    <s v="December"/>
    <n v="2022"/>
    <x v="9"/>
    <n v="-0.14399999999999999"/>
    <x v="0"/>
    <n v="11520"/>
    <n v="358"/>
    <s v="Federal"/>
    <x v="4"/>
    <n v="3.5999999999999997E-2"/>
    <s v="Hamilton County Highway Department"/>
    <s v="LRL-2022-362-sam"/>
    <s v="2022-437-29-EKB-A"/>
    <m/>
    <s v="Hamilton"/>
    <n v="40.000300000000003"/>
    <n v="-86.019300000000001"/>
    <s v="Transportation"/>
    <m/>
    <s v="No"/>
    <m/>
    <n v="1728"/>
    <n v="8063.9999999999991"/>
    <n v="1728"/>
    <s v="L"/>
    <s v="J"/>
    <m/>
    <m/>
    <m/>
    <m/>
    <m/>
    <m/>
    <m/>
  </r>
  <r>
    <d v="2022-12-19T00:00:00"/>
    <s v="December"/>
    <n v="2022"/>
    <x v="9"/>
    <n v="-61"/>
    <x v="1"/>
    <n v="27450"/>
    <n v="358"/>
    <s v="Federal"/>
    <x v="6"/>
    <n v="51"/>
    <s v="Hamilton County Highway Department"/>
    <s v="LRL-2022-362-sam"/>
    <s v="2022-437-29-EKB-A"/>
    <m/>
    <s v="Hamilton"/>
    <n v="40.000300000000003"/>
    <n v="-86.019300000000001"/>
    <s v="Transportation"/>
    <m/>
    <s v="No"/>
    <m/>
    <n v="4117.5"/>
    <n v="19215"/>
    <n v="4117.5"/>
    <s v="L"/>
    <s v="J"/>
    <m/>
    <m/>
    <m/>
    <m/>
    <m/>
    <m/>
    <m/>
  </r>
  <r>
    <d v="2022-12-27T00:00:00"/>
    <s v="December"/>
    <n v="2022"/>
    <x v="4"/>
    <n v="-0.42"/>
    <x v="0"/>
    <n v="33600"/>
    <n v="360"/>
    <s v="Federal"/>
    <x v="3"/>
    <n v="0.36"/>
    <s v="City of Lafayette"/>
    <s v="LRL-2000-864-sam"/>
    <s v="2000-201-79-MTM-A"/>
    <m/>
    <s v="Tippecanoe"/>
    <n v="40.441000000000003"/>
    <n v="-86.885599999999997"/>
    <s v="Transportation"/>
    <m/>
    <s v="No"/>
    <m/>
    <n v="5040"/>
    <n v="23520"/>
    <n v="5040"/>
    <s v="L"/>
    <s v="J"/>
    <m/>
    <m/>
    <m/>
    <m/>
    <m/>
    <m/>
    <m/>
  </r>
  <r>
    <d v="2022-12-30T00:00:00"/>
    <s v="December"/>
    <n v="2022"/>
    <x v="0"/>
    <n v="-0.62"/>
    <x v="0"/>
    <n v="58900"/>
    <n v="362"/>
    <s v="Federal"/>
    <x v="3"/>
    <n v="0.31"/>
    <s v="INDOT"/>
    <s v="LRC-2022-00418"/>
    <s v="2022-1052-64-JBT-X"/>
    <m/>
    <s v="Porter"/>
    <n v="41.616900000000001"/>
    <n v="-87.041520000000006"/>
    <s v="Transportation"/>
    <m/>
    <s v="No"/>
    <m/>
    <n v="8835"/>
    <n v="41230"/>
    <n v="8835"/>
    <s v="C"/>
    <s v="J"/>
    <m/>
    <m/>
    <m/>
    <m/>
    <m/>
    <m/>
    <s v="IDEM required more mitgation than the Corps"/>
  </r>
  <r>
    <d v="2022-12-30T00:00:00"/>
    <s v="December"/>
    <n v="2022"/>
    <x v="7"/>
    <n v="-1370"/>
    <x v="1"/>
    <n v="548000"/>
    <n v="364"/>
    <s v="Federal"/>
    <x v="6"/>
    <n v="1370"/>
    <s v="INDOT"/>
    <s v="LRL-2022-223-scm"/>
    <s v="2022-477-78-SCF-A"/>
    <m/>
    <s v="Switzerland"/>
    <n v="38.792222000000002"/>
    <n v="-84.902221999999995"/>
    <s v="Transportation"/>
    <m/>
    <s v="No"/>
    <m/>
    <n v="82200"/>
    <n v="383600"/>
    <n v="82200"/>
    <s v="L"/>
    <s v="J"/>
    <m/>
    <m/>
    <m/>
    <m/>
    <m/>
    <m/>
    <s v="Corps did not require mitigation"/>
  </r>
  <r>
    <d v="2022-12-30T00:00:00"/>
    <s v="December"/>
    <n v="2022"/>
    <x v="8"/>
    <n v="-50"/>
    <x v="1"/>
    <n v="20000"/>
    <n v="355"/>
    <s v="Federal"/>
    <x v="1"/>
    <n v="50"/>
    <s v="INDOT"/>
    <s v="LRL-2021-608-djd"/>
    <s v="2022-482-27-SCF-A"/>
    <m/>
    <s v="Grant"/>
    <n v="40.449575000000003"/>
    <n v="-85.546802999999997"/>
    <s v="Transportation"/>
    <m/>
    <s v="No"/>
    <m/>
    <n v="3000"/>
    <n v="14000"/>
    <n v="3000"/>
    <s v="L"/>
    <s v="J"/>
    <m/>
    <m/>
    <m/>
    <m/>
    <m/>
    <m/>
    <m/>
  </r>
  <r>
    <d v="2022-12-30T00:00:00"/>
    <s v="December"/>
    <n v="2022"/>
    <x v="9"/>
    <n v="-50"/>
    <x v="1"/>
    <n v="22500"/>
    <n v="363"/>
    <s v="Federal"/>
    <x v="6"/>
    <n v="50"/>
    <s v="INDOT"/>
    <s v="LRL-2022-749-scm"/>
    <s v="2022-836-55-JBT-A"/>
    <m/>
    <s v="Morgan"/>
    <n v="39.566926000000002"/>
    <n v="-86.255801000000005"/>
    <s v="Transportation"/>
    <m/>
    <s v="No"/>
    <m/>
    <n v="3375"/>
    <n v="15749.999999999998"/>
    <n v="3375"/>
    <s v="L"/>
    <s v="J"/>
    <m/>
    <m/>
    <m/>
    <m/>
    <m/>
    <m/>
    <m/>
  </r>
  <r>
    <d v="2022-12-30T00:00:00"/>
    <s v="December"/>
    <n v="2022"/>
    <x v="9"/>
    <n v="-1.46"/>
    <x v="0"/>
    <n v="116800"/>
    <n v="363"/>
    <s v="Federal"/>
    <x v="3"/>
    <n v="0.60499999999999998"/>
    <s v="INDOT"/>
    <s v="LRL-2022-749-scm"/>
    <s v="2022-836-55-JBT-A"/>
    <m/>
    <s v="Morgan"/>
    <n v="39.566926000000002"/>
    <n v="-86.255801000000005"/>
    <s v="Transportation"/>
    <m/>
    <s v="No"/>
    <m/>
    <n v="17520"/>
    <n v="81760"/>
    <n v="17520"/>
    <s v="L"/>
    <s v="J"/>
    <m/>
    <m/>
    <m/>
    <m/>
    <m/>
    <m/>
    <m/>
  </r>
  <r>
    <d v="2022-12-30T00:00:00"/>
    <s v="December"/>
    <n v="2022"/>
    <x v="9"/>
    <n v="-1.004"/>
    <x v="0"/>
    <n v="80320"/>
    <n v="363"/>
    <s v="Federal"/>
    <x v="4"/>
    <n v="0.251"/>
    <s v="INDOT"/>
    <s v="LRL-2022-749-scm"/>
    <s v="2022-836-55-JBT-A"/>
    <m/>
    <s v="Morgan"/>
    <n v="39.566926000000002"/>
    <n v="-86.255801000000005"/>
    <s v="Transportation"/>
    <m/>
    <s v="No"/>
    <m/>
    <n v="12048"/>
    <n v="56224"/>
    <n v="12048"/>
    <s v="L"/>
    <s v="J"/>
    <m/>
    <m/>
    <m/>
    <m/>
    <m/>
    <m/>
    <m/>
  </r>
  <r>
    <d v="2022-12-30T00:00:00"/>
    <s v="December"/>
    <n v="2022"/>
    <x v="10"/>
    <n v="-110"/>
    <x v="1"/>
    <n v="44000"/>
    <n v="357"/>
    <s v="Federal"/>
    <x v="6"/>
    <n v="110"/>
    <s v="INDOT"/>
    <s v="LRL-2022-869-djd"/>
    <s v="2022-965-15-JBT-X"/>
    <m/>
    <s v="Dearborn"/>
    <n v="39.280039000000002"/>
    <n v="-84.874027999999996"/>
    <s v="Transportation"/>
    <m/>
    <s v="No"/>
    <m/>
    <n v="6600"/>
    <n v="30799.999999999996"/>
    <n v="6600"/>
    <s v="L"/>
    <s v="J"/>
    <m/>
    <m/>
    <m/>
    <m/>
    <m/>
    <m/>
    <s v="Corps did not require mitigation"/>
  </r>
  <r>
    <m/>
    <m/>
    <m/>
    <x v="11"/>
    <m/>
    <x v="2"/>
    <m/>
    <m/>
    <m/>
    <x v="0"/>
    <m/>
    <m/>
    <m/>
    <m/>
    <m/>
    <m/>
    <m/>
    <m/>
    <m/>
    <m/>
    <m/>
    <m/>
    <m/>
    <m/>
    <m/>
    <m/>
    <m/>
    <m/>
    <m/>
    <m/>
    <m/>
    <m/>
    <m/>
    <m/>
  </r>
  <r>
    <d v="2023-01-23T00:00:00"/>
    <s v="January"/>
    <n v="2023"/>
    <x v="9"/>
    <n v="-330.5"/>
    <x v="1"/>
    <n v="148725"/>
    <n v="356"/>
    <s v="Federal"/>
    <x v="6"/>
    <n v="330.5"/>
    <s v="City of Noblesville"/>
    <s v="LRL-2020-699-sjk"/>
    <s v="2021-0428-29-JBT-A"/>
    <m/>
    <s v="Hamilton"/>
    <n v="40.040700000000001"/>
    <n v="-86.025099999999995"/>
    <s v="Transportation"/>
    <m/>
    <s v="No"/>
    <m/>
    <n v="22308.75"/>
    <n v="104107.5"/>
    <n v="22308.75"/>
    <s v="L"/>
    <s v="J"/>
    <m/>
    <m/>
    <m/>
    <m/>
    <m/>
    <m/>
    <s v="Corps did not require mitigation"/>
  </r>
  <r>
    <d v="2023-01-30T00:00:00"/>
    <s v="January"/>
    <n v="2023"/>
    <x v="0"/>
    <n v="-0.15"/>
    <x v="0"/>
    <n v="14250"/>
    <n v="367"/>
    <s v="State Isolated"/>
    <x v="4"/>
    <n v="0.14699999999999999"/>
    <s v="ANR Pipeline Company"/>
    <s v="N/A"/>
    <s v="IWIP 2022-1040-46-MTM-A"/>
    <m/>
    <s v="LaPorte"/>
    <n v="41.653461"/>
    <n v="-86.894983999999994"/>
    <s v="Energy Production"/>
    <m/>
    <s v="No"/>
    <m/>
    <n v="2137.5"/>
    <n v="9975"/>
    <n v="2137.5"/>
    <s v="C"/>
    <s v="SI"/>
    <s v="2 FO"/>
    <m/>
    <m/>
    <m/>
    <m/>
    <m/>
    <m/>
  </r>
  <r>
    <d v="2023-02-02T00:00:00"/>
    <s v="February"/>
    <n v="2023"/>
    <x v="9"/>
    <n v="-0.02"/>
    <x v="0"/>
    <n v="1600"/>
    <n v="292"/>
    <s v="State Isolated"/>
    <x v="3"/>
    <n v="0.02"/>
    <s v="Strategic Capital Partners, LLC"/>
    <s v="N/A"/>
    <s v="IWGP 2021-327-06-ERL-A"/>
    <m/>
    <s v="Boone"/>
    <n v="39.954666000000003"/>
    <n v="-86.358998999999997"/>
    <s v="Development"/>
    <m/>
    <s v="No"/>
    <m/>
    <n v="240"/>
    <n v="1120"/>
    <n v="240"/>
    <s v="L"/>
    <s v="SI"/>
    <s v="1 NF"/>
    <m/>
    <m/>
    <m/>
    <m/>
    <m/>
    <m/>
  </r>
  <r>
    <d v="2023-02-07T00:00:00"/>
    <s v="February"/>
    <n v="2023"/>
    <x v="0"/>
    <n v="-2"/>
    <x v="0"/>
    <n v="190000"/>
    <n v="316"/>
    <s v="Federal"/>
    <x v="3"/>
    <n v="2"/>
    <s v="USACE Chicago District"/>
    <s v="N/A"/>
    <s v="2004-354-45-MTM-A"/>
    <m/>
    <s v="Lake"/>
    <n v="-87.417884000000001"/>
    <n v="41.560015999999997"/>
    <s v="Dam"/>
    <m/>
    <s v="No"/>
    <m/>
    <n v="28500"/>
    <n v="133000"/>
    <n v="28500"/>
    <s v="C"/>
    <s v="J"/>
    <m/>
    <m/>
    <m/>
    <m/>
    <m/>
    <m/>
    <s v="401 Modification"/>
  </r>
  <r>
    <d v="2023-02-09T00:00:00"/>
    <s v="February"/>
    <n v="2023"/>
    <x v="5"/>
    <n v="-151"/>
    <x v="1"/>
    <n v="60400"/>
    <n v="343"/>
    <s v="Federal"/>
    <x v="2"/>
    <n v="126"/>
    <s v="Evansville Water and Sewer Utility"/>
    <s v="LRL-2021-00537"/>
    <s v="2022-552-82-TMS-A"/>
    <m/>
    <s v="Vanderburg"/>
    <n v="38.010286000000001"/>
    <n v="-87.548895999999999"/>
    <s v="Energy Production"/>
    <m/>
    <s v="No"/>
    <m/>
    <n v="9060"/>
    <n v="42280"/>
    <n v="9060"/>
    <s v="L"/>
    <s v="J"/>
    <m/>
    <m/>
    <m/>
    <m/>
    <m/>
    <m/>
    <s v="Corps required more mitigation than IDEM"/>
  </r>
  <r>
    <d v="2023-02-09T00:00:00"/>
    <s v="February"/>
    <n v="2023"/>
    <x v="5"/>
    <n v="-48"/>
    <x v="1"/>
    <n v="19200"/>
    <n v="343"/>
    <s v="Federal"/>
    <x v="6"/>
    <n v="40"/>
    <s v="Evansville Water and Sewer Utility"/>
    <s v="LRL-2021-00537"/>
    <s v="2022-552-82-TMS-A"/>
    <m/>
    <s v="Vanderburg"/>
    <n v="38.010286000000001"/>
    <n v="-87.548895999999999"/>
    <s v="Energy Production"/>
    <m/>
    <s v="No"/>
    <m/>
    <n v="2880"/>
    <n v="13440"/>
    <n v="2880"/>
    <s v="L"/>
    <s v="J"/>
    <m/>
    <m/>
    <m/>
    <m/>
    <m/>
    <m/>
    <s v="Corps required more mitigation than IDEM"/>
  </r>
  <r>
    <d v="2023-02-16T00:00:00"/>
    <s v="February"/>
    <n v="2023"/>
    <x v="9"/>
    <n v="-5.3999999999999999E-2"/>
    <x v="0"/>
    <n v="4320"/>
    <n v="378"/>
    <s v="State Isolated"/>
    <x v="4"/>
    <n v="2.7E-2"/>
    <s v="Argo Family Stoarage"/>
    <s v="N/A"/>
    <s v="IWIP 2022-1108-30-EKB-A"/>
    <m/>
    <s v="Hancock"/>
    <n v="39.831012000000001"/>
    <n v="-85.952631999999994"/>
    <s v="Development"/>
    <m/>
    <s v="No"/>
    <m/>
    <n v="648"/>
    <n v="3024"/>
    <n v="648"/>
    <s v="L"/>
    <s v="SI"/>
    <s v="2 FO"/>
    <m/>
    <m/>
    <m/>
    <m/>
    <m/>
    <m/>
  </r>
  <r>
    <d v="2023-02-16T00:00:00"/>
    <s v="February"/>
    <n v="2023"/>
    <x v="9"/>
    <n v="-0.1095"/>
    <x v="0"/>
    <n v="8760"/>
    <n v="378"/>
    <s v="State Isolated"/>
    <x v="3"/>
    <n v="7.2999999999999995E-2"/>
    <s v="Argo Family Stoarage"/>
    <s v="N/A"/>
    <s v="IWIP 2022-1108-30-EKB-A"/>
    <m/>
    <s v="Hancock"/>
    <n v="39.831012000000001"/>
    <n v="-85.952631999999994"/>
    <s v="Development"/>
    <m/>
    <s v="No"/>
    <m/>
    <n v="1314"/>
    <n v="6132"/>
    <n v="1314"/>
    <s v="L"/>
    <s v="SI"/>
    <s v="2 NF"/>
    <m/>
    <m/>
    <m/>
    <m/>
    <m/>
    <m/>
  </r>
  <r>
    <d v="2023-02-20T00:00:00"/>
    <s v="February"/>
    <n v="2023"/>
    <x v="2"/>
    <n v="-79"/>
    <x v="1"/>
    <n v="31600"/>
    <n v="369"/>
    <s v="Federal"/>
    <x v="2"/>
    <n v="79"/>
    <s v="INDOT"/>
    <s v="LRL-2021-374-scm"/>
    <s v="2022-120-36-SCF-X"/>
    <m/>
    <s v="Jackson"/>
    <n v="39.008249999999997"/>
    <n v="-86.090530000000001"/>
    <s v="Transportation"/>
    <m/>
    <s v="No"/>
    <m/>
    <n v="4740"/>
    <n v="22120"/>
    <n v="4740"/>
    <s v="L"/>
    <s v="J"/>
    <m/>
    <m/>
    <m/>
    <m/>
    <m/>
    <m/>
    <m/>
  </r>
  <r>
    <d v="2023-02-20T00:00:00"/>
    <s v="February"/>
    <n v="2023"/>
    <x v="2"/>
    <n v="-16"/>
    <x v="1"/>
    <n v="6400"/>
    <n v="369"/>
    <s v="Federal"/>
    <x v="1"/>
    <n v="16"/>
    <s v="INDOT"/>
    <s v="LRL-2021-374-scm"/>
    <s v="2022-120-36-SCF-X"/>
    <m/>
    <s v="Jackson"/>
    <n v="39.008249999999997"/>
    <n v="-86.090530000000001"/>
    <s v="Transportation"/>
    <m/>
    <s v="No"/>
    <m/>
    <n v="960"/>
    <n v="4480"/>
    <n v="960"/>
    <s v="L"/>
    <s v="J"/>
    <m/>
    <m/>
    <m/>
    <m/>
    <m/>
    <m/>
    <m/>
  </r>
  <r>
    <d v="2023-02-20T00:00:00"/>
    <s v="February"/>
    <n v="2023"/>
    <x v="2"/>
    <n v="-266"/>
    <x v="1"/>
    <n v="106400"/>
    <n v="376"/>
    <s v="Federal"/>
    <x v="1"/>
    <n v="266"/>
    <s v="INDOT"/>
    <s v="LRL-2022-170-scm"/>
    <s v="2022-942-19-JBT-A"/>
    <m/>
    <s v="Dubois"/>
    <n v="38.285024999999997"/>
    <n v="-86.959277"/>
    <s v="Transportation"/>
    <m/>
    <s v="No"/>
    <m/>
    <n v="15960"/>
    <n v="74480"/>
    <n v="15960"/>
    <s v="L"/>
    <s v="J"/>
    <m/>
    <m/>
    <m/>
    <m/>
    <m/>
    <m/>
    <m/>
  </r>
  <r>
    <d v="2023-02-20T00:00:00"/>
    <s v="February"/>
    <n v="2023"/>
    <x v="8"/>
    <n v="-918"/>
    <x v="1"/>
    <n v="367200"/>
    <n v="370"/>
    <s v="Federal"/>
    <x v="2"/>
    <n v="918"/>
    <s v="INDOT"/>
    <s v="LRL-2022-395-dds"/>
    <s v="2022-766-35-JBT-A"/>
    <m/>
    <s v="Huntington"/>
    <n v="40.919710000000002"/>
    <n v="-85.533929999999998"/>
    <s v="Transportation"/>
    <m/>
    <s v="No"/>
    <m/>
    <n v="55080"/>
    <n v="257039.99999999997"/>
    <n v="55080"/>
    <s v="L"/>
    <s v="J"/>
    <m/>
    <m/>
    <m/>
    <m/>
    <m/>
    <m/>
    <m/>
  </r>
  <r>
    <d v="2023-02-20T00:00:00"/>
    <s v="February"/>
    <n v="2023"/>
    <x v="8"/>
    <n v="-199.4"/>
    <x v="1"/>
    <n v="79760"/>
    <n v="370"/>
    <s v="Federal"/>
    <x v="6"/>
    <n v="250.6"/>
    <s v="INDOT"/>
    <s v="LRL-2022-395-dds"/>
    <s v="2022-766-35-JBT-A"/>
    <m/>
    <s v="Huntington"/>
    <n v="40.919710000000002"/>
    <n v="-85.533929999999998"/>
    <s v="Transportation"/>
    <m/>
    <s v="No"/>
    <m/>
    <n v="11964"/>
    <n v="55832"/>
    <n v="11964"/>
    <s v="L"/>
    <s v="J"/>
    <m/>
    <m/>
    <m/>
    <m/>
    <m/>
    <m/>
    <m/>
  </r>
  <r>
    <d v="2023-02-20T00:00:00"/>
    <s v="February"/>
    <n v="2023"/>
    <x v="8"/>
    <n v="-3.55"/>
    <x v="0"/>
    <n v="284000"/>
    <n v="370"/>
    <s v="Federal"/>
    <x v="4"/>
    <n v="0.89"/>
    <s v="INDOT"/>
    <s v="LRL-2022-395-dds"/>
    <s v="2022-766-35-JBT-A"/>
    <m/>
    <s v="Huntington"/>
    <n v="40.919710000000002"/>
    <n v="-85.533929999999998"/>
    <s v="Transportation"/>
    <m/>
    <s v="No"/>
    <m/>
    <n v="42600"/>
    <n v="198800"/>
    <n v="42600"/>
    <s v="L"/>
    <s v="J"/>
    <m/>
    <m/>
    <m/>
    <m/>
    <m/>
    <m/>
    <m/>
  </r>
  <r>
    <d v="2023-02-20T00:00:00"/>
    <s v="February"/>
    <n v="2023"/>
    <x v="9"/>
    <n v="-0.153"/>
    <x v="0"/>
    <n v="12240"/>
    <n v="368"/>
    <s v="State Isolated"/>
    <x v="3"/>
    <n v="0.10199999999999999"/>
    <s v="INDOT"/>
    <s v="N/A"/>
    <s v="IWIP 2022-918-29-SCF-A"/>
    <m/>
    <s v="Hamilton"/>
    <n v="40.118119999999998"/>
    <n v="-86.123689999999996"/>
    <s v="Transportation"/>
    <m/>
    <s v="No"/>
    <m/>
    <n v="1836"/>
    <n v="8568"/>
    <n v="1836"/>
    <s v="L"/>
    <s v="SI"/>
    <s v="2 NF"/>
    <m/>
    <m/>
    <m/>
    <m/>
    <m/>
    <m/>
  </r>
  <r>
    <d v="2023-02-20T00:00:00"/>
    <s v="February"/>
    <n v="2023"/>
    <x v="10"/>
    <n v="-320"/>
    <x v="1"/>
    <n v="128000"/>
    <n v="375"/>
    <s v="Federal"/>
    <x v="2"/>
    <n v="382"/>
    <s v="INDOT"/>
    <s v="LRL-2022-874-scm"/>
    <s v="2022-923-36-JBT-A"/>
    <m/>
    <s v="Jackson"/>
    <n v="38.851390000000002"/>
    <n v="-85.885660000000001"/>
    <s v="Transportation"/>
    <m/>
    <s v="No"/>
    <m/>
    <n v="19200"/>
    <n v="89600"/>
    <n v="19200"/>
    <s v="L"/>
    <s v="J"/>
    <m/>
    <m/>
    <m/>
    <m/>
    <m/>
    <m/>
    <m/>
  </r>
  <r>
    <d v="2023-02-20T00:00:00"/>
    <s v="February"/>
    <n v="2023"/>
    <x v="10"/>
    <n v="-0.51"/>
    <x v="0"/>
    <n v="40800"/>
    <n v="375"/>
    <s v="Federal"/>
    <x v="3"/>
    <n v="0.21"/>
    <s v="INDOT"/>
    <s v="LRL-2022-874-scm"/>
    <s v="2022-923-36-JBT-A"/>
    <m/>
    <s v="Jackson"/>
    <n v="38.851390000000002"/>
    <n v="-85.885660000000001"/>
    <s v="Transportation"/>
    <m/>
    <s v="No"/>
    <m/>
    <n v="6120"/>
    <n v="28560"/>
    <n v="6120"/>
    <s v="L"/>
    <s v="J"/>
    <m/>
    <m/>
    <m/>
    <m/>
    <m/>
    <m/>
    <m/>
  </r>
  <r>
    <d v="2023-02-20T00:00:00"/>
    <s v="February"/>
    <n v="2023"/>
    <x v="10"/>
    <n v="-0.21"/>
    <x v="0"/>
    <n v="16800"/>
    <n v="375"/>
    <s v="Federal"/>
    <x v="4"/>
    <n v="5.6000000000000001E-2"/>
    <s v="INDOT"/>
    <s v="LRL-2022-874-scm"/>
    <s v="2022-923-36-JBT-A"/>
    <m/>
    <s v="Jackson"/>
    <n v="38.851390000000002"/>
    <n v="-85.885660000000001"/>
    <s v="Transportation"/>
    <m/>
    <s v="No"/>
    <m/>
    <n v="2520"/>
    <n v="11760"/>
    <n v="2520"/>
    <s v="L"/>
    <s v="J"/>
    <m/>
    <m/>
    <m/>
    <m/>
    <m/>
    <m/>
    <m/>
  </r>
  <r>
    <d v="2023-02-27T00:00:00"/>
    <s v="February"/>
    <n v="2023"/>
    <x v="4"/>
    <n v="-0.20300000000000001"/>
    <x v="0"/>
    <n v="16240"/>
    <n v="384"/>
    <s v="State Isolated"/>
    <x v="3"/>
    <n v="0.13500000000000001"/>
    <s v="INDOT"/>
    <s v="N/A"/>
    <s v="IWIP 2022-789-79-JBT-A"/>
    <m/>
    <s v="Tippecanoe and Montgomery"/>
    <n v="40.224794000000003"/>
    <n v="-86.904089999999997"/>
    <s v="Transportation"/>
    <m/>
    <s v="No"/>
    <m/>
    <n v="2436"/>
    <n v="11368"/>
    <n v="2436"/>
    <s v="L"/>
    <s v="SI"/>
    <s v="2 NF"/>
    <m/>
    <m/>
    <m/>
    <m/>
    <m/>
    <m/>
  </r>
  <r>
    <d v="2023-02-27T00:00:00"/>
    <s v="February"/>
    <n v="2023"/>
    <x v="5"/>
    <n v="-139"/>
    <x v="1"/>
    <n v="55600"/>
    <n v="383"/>
    <s v="Federal"/>
    <x v="1"/>
    <n v="139"/>
    <s v="INDOT"/>
    <s v="LRL-2022-39-djd"/>
    <s v="2022-233-87-JBT-A"/>
    <m/>
    <s v="Warrick"/>
    <n v="38.039859999999997"/>
    <n v="-87.192059999999998"/>
    <s v="Transportation"/>
    <m/>
    <s v="No"/>
    <m/>
    <n v="8340"/>
    <n v="38920"/>
    <n v="8340"/>
    <s v="L"/>
    <s v="J"/>
    <m/>
    <m/>
    <m/>
    <m/>
    <m/>
    <m/>
    <s v="USACE did not require mitigation"/>
  </r>
  <r>
    <d v="2023-02-27T00:00:00"/>
    <s v="February"/>
    <n v="2023"/>
    <x v="5"/>
    <n v="-41"/>
    <x v="1"/>
    <n v="16400"/>
    <n v="383"/>
    <s v="Federal"/>
    <x v="2"/>
    <n v="41"/>
    <s v="INDOT"/>
    <s v="LRL-2022-39-djd"/>
    <s v="2022-233-87-JBT-A"/>
    <m/>
    <s v="Warrick"/>
    <n v="38.039859999999997"/>
    <n v="-87.192059999999998"/>
    <s v="Transportation"/>
    <m/>
    <s v="No"/>
    <m/>
    <n v="2460"/>
    <n v="11480"/>
    <n v="2460"/>
    <s v="L"/>
    <s v="J"/>
    <m/>
    <m/>
    <m/>
    <m/>
    <m/>
    <m/>
    <s v="USACE did not require mitigation"/>
  </r>
  <r>
    <d v="2023-02-27T00:00:00"/>
    <s v="February"/>
    <n v="2023"/>
    <x v="9"/>
    <n v="-0.20399999999999999"/>
    <x v="0"/>
    <n v="16320"/>
    <n v="379"/>
    <s v="Federal"/>
    <x v="5"/>
    <n v="6.8000000000000005E-2"/>
    <s v="Meijer"/>
    <s v="LRL-2023-00072-jde"/>
    <s v="2022-1330-29-EKB-X"/>
    <m/>
    <s v="Hamilton"/>
    <n v="40.045099999999998"/>
    <n v="-86.069100000000006"/>
    <s v="Development"/>
    <m/>
    <s v="No"/>
    <m/>
    <n v="2448"/>
    <n v="11424"/>
    <n v="2448"/>
    <s v="L"/>
    <s v="J"/>
    <m/>
    <m/>
    <m/>
    <m/>
    <m/>
    <m/>
    <m/>
  </r>
  <r>
    <d v="2023-02-27T00:00:00"/>
    <s v="February"/>
    <n v="2023"/>
    <x v="10"/>
    <n v="-0.22500000000000001"/>
    <x v="0"/>
    <n v="18000"/>
    <n v="386"/>
    <s v="State Isolated"/>
    <x v="4"/>
    <n v="0.09"/>
    <s v="Shear GF1, LLC"/>
    <s v="N/A"/>
    <s v="IWIP 2022-955-30-EKB-A"/>
    <m/>
    <s v="Hancock"/>
    <n v="39.822262000000002"/>
    <n v="-85.790085000000005"/>
    <s v="Development"/>
    <m/>
    <s v="No"/>
    <m/>
    <n v="2700"/>
    <n v="12600"/>
    <n v="2700"/>
    <s v="L"/>
    <s v="SI"/>
    <s v="3 FO"/>
    <m/>
    <m/>
    <m/>
    <m/>
    <m/>
    <m/>
  </r>
  <r>
    <d v="2023-03-13T00:00:00"/>
    <s v="March"/>
    <n v="2023"/>
    <x v="10"/>
    <n v="-0.16200000000000001"/>
    <x v="0"/>
    <n v="12960"/>
    <n v="381"/>
    <s v="Federal"/>
    <x v="3"/>
    <n v="8.1000000000000003E-2"/>
    <s v="INDOT"/>
    <s v="LRL-2022-815-djd"/>
    <s v="2022-1065-36-JBT-A"/>
    <m/>
    <s v="Jackson"/>
    <n v="38.979213000000001"/>
    <n v="-86.021602000000001"/>
    <s v="Transportation"/>
    <m/>
    <s v="No"/>
    <m/>
    <n v="1944"/>
    <n v="9072"/>
    <n v="1944"/>
    <s v="L"/>
    <s v="J"/>
    <m/>
    <m/>
    <m/>
    <m/>
    <m/>
    <m/>
    <m/>
  </r>
  <r>
    <d v="2023-03-13T00:00:00"/>
    <s v="March"/>
    <n v="2023"/>
    <x v="10"/>
    <n v="-780"/>
    <x v="1"/>
    <n v="312000"/>
    <n v="381"/>
    <s v="Federal"/>
    <x v="1"/>
    <n v="780"/>
    <s v="INDOT"/>
    <s v="LRL-2022-815-djd"/>
    <s v="2022-1065-36-JBT-A"/>
    <m/>
    <s v="Jackson"/>
    <n v="38.979213000000001"/>
    <n v="-86.021602000000001"/>
    <s v="Transportation"/>
    <m/>
    <s v="No"/>
    <m/>
    <n v="46800"/>
    <n v="218400"/>
    <n v="46800"/>
    <s v="L"/>
    <s v="J"/>
    <m/>
    <m/>
    <m/>
    <m/>
    <m/>
    <m/>
    <m/>
  </r>
  <r>
    <d v="2023-03-13T00:00:00"/>
    <s v="March"/>
    <n v="2023"/>
    <x v="10"/>
    <n v="-17"/>
    <x v="1"/>
    <n v="6800"/>
    <n v="381"/>
    <s v="Federal"/>
    <x v="6"/>
    <n v="17"/>
    <s v="INDOT"/>
    <s v="LRL-2022-815-djd"/>
    <s v="2022-1065-36-JBT-A"/>
    <m/>
    <s v="Jackson"/>
    <n v="38.979213000000001"/>
    <n v="-86.021602000000001"/>
    <s v="Transportation"/>
    <m/>
    <s v="No"/>
    <m/>
    <n v="1020"/>
    <n v="4760"/>
    <n v="1020"/>
    <s v="L"/>
    <s v="J"/>
    <m/>
    <m/>
    <m/>
    <m/>
    <m/>
    <m/>
    <m/>
  </r>
  <r>
    <d v="2023-03-14T00:00:00"/>
    <s v="March"/>
    <n v="2023"/>
    <x v="7"/>
    <n v="-0.38"/>
    <x v="0"/>
    <n v="30400"/>
    <n v="372"/>
    <s v="Federal"/>
    <x v="3"/>
    <n v="0.19"/>
    <s v="Floyd County"/>
    <s v="N/A"/>
    <s v="2022-691-22-JWR-X"/>
    <m/>
    <s v="Floyd"/>
    <n v="38.316153"/>
    <n v="-85.901615000000007"/>
    <s v="Development"/>
    <m/>
    <s v="No"/>
    <m/>
    <n v="4560"/>
    <n v="21280"/>
    <n v="4560"/>
    <s v="L"/>
    <s v="J"/>
    <m/>
    <m/>
    <m/>
    <m/>
    <m/>
    <m/>
    <m/>
  </r>
  <r>
    <d v="2023-03-23T00:00:00"/>
    <s v="March"/>
    <n v="2023"/>
    <x v="0"/>
    <n v="-0.93799999999999994"/>
    <x v="0"/>
    <n v="89110"/>
    <n v="348"/>
    <s v="Federal"/>
    <x v="3"/>
    <n v="0.93799999999999994"/>
    <s v="North Porter County Conservation Club"/>
    <s v="LRC-2021-130"/>
    <s v="2022-305-64-MTM-A"/>
    <m/>
    <s v="Porter"/>
    <n v="41.569047126842499"/>
    <n v="87.042424098139605"/>
    <s v="Development"/>
    <m/>
    <s v="No"/>
    <m/>
    <n v="13366.5"/>
    <n v="62376.999999999993"/>
    <n v="13366.5"/>
    <s v="C"/>
    <s v="J"/>
    <m/>
    <m/>
    <m/>
    <m/>
    <m/>
    <m/>
    <s v="Required ILF credit purchased over two (2) payment instrallments - authorized by Corps and IDEM($50,000 paid in 2022, and 39,110 paid in 2023)"/>
  </r>
  <r>
    <d v="2023-03-27T00:00:00"/>
    <s v="March"/>
    <n v="2023"/>
    <x v="9"/>
    <n v="-385"/>
    <x v="1"/>
    <n v="173250"/>
    <n v="265"/>
    <s v="Federal"/>
    <x v="2"/>
    <n v="321"/>
    <s v="Schoolcraft Development Company"/>
    <s v="LRL-2014-608-lcl"/>
    <s v="2020-767-49-ALF-A"/>
    <m/>
    <s v="Marion"/>
    <n v="39.640099999999997"/>
    <n v="-86.130799999999994"/>
    <s v="Development"/>
    <m/>
    <s v="No"/>
    <m/>
    <n v="25987.5"/>
    <n v="121274.99999999999"/>
    <n v="25987.5"/>
    <s v="L"/>
    <s v="J"/>
    <m/>
    <m/>
    <m/>
    <m/>
    <m/>
    <m/>
    <s v="Corps required more ILF stream credit than IDEM - IDEM 321"/>
  </r>
  <r>
    <d v="2023-03-27T00:00:00"/>
    <s v="March"/>
    <n v="2023"/>
    <x v="9"/>
    <n v="-0.42"/>
    <x v="0"/>
    <n v="33600"/>
    <n v="265"/>
    <s v="Federal"/>
    <x v="5"/>
    <n v="0.14000000000000001"/>
    <s v="Schoolcraft Development Company"/>
    <s v="LRL-2014-608-lcl"/>
    <s v="2020-767-49-ALF-A"/>
    <m/>
    <s v="Marion"/>
    <n v="39.640099999999997"/>
    <n v="-86.130799999999994"/>
    <s v="Development"/>
    <m/>
    <s v="No"/>
    <m/>
    <n v="5040"/>
    <n v="23520"/>
    <n v="5040"/>
    <s v="L"/>
    <s v="J"/>
    <m/>
    <m/>
    <m/>
    <m/>
    <m/>
    <m/>
    <s v="IDEM required more ILF wetland credit than Corps - corps required .34 SS"/>
  </r>
  <r>
    <d v="2023-03-27T00:00:00"/>
    <s v="March"/>
    <n v="2023"/>
    <x v="9"/>
    <n v="-0.52"/>
    <x v="0"/>
    <n v="41600"/>
    <n v="265"/>
    <s v="Federal"/>
    <x v="3"/>
    <n v="0.14000000000000001"/>
    <s v="Schoolcraft Development Company"/>
    <s v="LRL-2014-608-lcl"/>
    <s v="2020-767-49-ALF-A"/>
    <m/>
    <s v="Marion"/>
    <n v="39.640099999999997"/>
    <n v="-86.130799999999994"/>
    <s v="Development"/>
    <m/>
    <s v="No"/>
    <m/>
    <n v="6240"/>
    <n v="29119.999999999996"/>
    <n v="6240"/>
    <s v="L"/>
    <s v="J"/>
    <m/>
    <m/>
    <m/>
    <m/>
    <m/>
    <m/>
    <s v="Corps didn't require any PEM - ILF required for 0.14 open water impacts? - not listed in table. "/>
  </r>
  <r>
    <d v="2023-03-27T00:00:00"/>
    <s v="March"/>
    <n v="2023"/>
    <x v="9"/>
    <n v="-245"/>
    <x v="1"/>
    <n v="110250"/>
    <n v="389"/>
    <s v="Federal"/>
    <x v="2"/>
    <n v="329"/>
    <s v="Old Town Development"/>
    <s v="LRL-2021-00804-ddc"/>
    <s v="2021-746-29-JBT-A"/>
    <m/>
    <s v="Hamilton"/>
    <n v="40.042230000000004"/>
    <n v="-86.128630000000001"/>
    <s v="Development"/>
    <m/>
    <s v="No"/>
    <m/>
    <n v="16537.5"/>
    <n v="77175"/>
    <n v="16537.5"/>
    <s v="L"/>
    <s v="J"/>
    <m/>
    <m/>
    <m/>
    <m/>
    <m/>
    <m/>
    <s v="Corps did not require mitigation"/>
  </r>
  <r>
    <d v="2023-04-18T00:00:00"/>
    <s v="April"/>
    <n v="2023"/>
    <x v="0"/>
    <n v="-1"/>
    <x v="0"/>
    <n v="95000"/>
    <n v="337"/>
    <s v="Federal"/>
    <x v="3"/>
    <n v="8.3000000000000004E-2"/>
    <s v="Atlantic Richfield Company"/>
    <s v="LRC-2022-00195"/>
    <s v="2022-904-45-MTM-A"/>
    <m/>
    <s v="Lake"/>
    <n v="41.646259000000001"/>
    <n v="-87.484943000000001"/>
    <s v="Development"/>
    <m/>
    <s v="No"/>
    <m/>
    <n v="14250"/>
    <n v="66500"/>
    <n v="14250"/>
    <s v="C"/>
    <s v="J"/>
    <m/>
    <m/>
    <m/>
    <m/>
    <m/>
    <m/>
    <m/>
  </r>
  <r>
    <d v="2023-04-18T00:00:00"/>
    <s v="April"/>
    <n v="2023"/>
    <x v="0"/>
    <n v="-0.48599999999999999"/>
    <x v="0"/>
    <n v="46170"/>
    <n v="402"/>
    <s v="Federal"/>
    <x v="3"/>
    <n v="0.27"/>
    <s v="Porter County"/>
    <s v="LRC-2022-00039"/>
    <s v="2022-13-64-MTM-A"/>
    <m/>
    <s v="Porter"/>
    <n v="41.560267000000003"/>
    <n v="-87.104940999999997"/>
    <s v="Development"/>
    <m/>
    <s v="No"/>
    <m/>
    <n v="6925.5"/>
    <n v="32318.999999999996"/>
    <n v="6925.5"/>
    <s v="C"/>
    <s v="J"/>
    <m/>
    <m/>
    <m/>
    <m/>
    <m/>
    <m/>
    <s v="IDEM 0.405 Corps .486"/>
  </r>
  <r>
    <d v="2023-04-18T00:00:00"/>
    <s v="April"/>
    <n v="2023"/>
    <x v="0"/>
    <n v="-0.14399999999999999"/>
    <x v="0"/>
    <n v="13680"/>
    <n v="402"/>
    <s v="Federal"/>
    <x v="5"/>
    <n v="0.14399999999999999"/>
    <s v="Porter County"/>
    <s v="LRC-2022-00039"/>
    <s v="2022-13-64-MTM-A"/>
    <m/>
    <s v="Porter"/>
    <n v="41.560267000000003"/>
    <n v="-87.104940999999997"/>
    <s v="Development"/>
    <m/>
    <s v="No"/>
    <m/>
    <n v="2052"/>
    <n v="9576"/>
    <n v="2052"/>
    <s v="C"/>
    <s v="J"/>
    <m/>
    <m/>
    <m/>
    <m/>
    <m/>
    <m/>
    <s v="IDEM 0.182 Corps 0.144"/>
  </r>
  <r>
    <d v="2023-04-18T00:00:00"/>
    <s v="April"/>
    <n v="2023"/>
    <x v="0"/>
    <n v="-0.22"/>
    <x v="0"/>
    <n v="20900"/>
    <n v="380"/>
    <s v="Federal"/>
    <x v="3"/>
    <n v="0.12"/>
    <s v="SP/DSP Portage Owner, LLC"/>
    <s v="LRC-2021-00756"/>
    <s v="2022-1088-64-MTM-A"/>
    <m/>
    <s v="Porter"/>
    <n v="41.598882000000003"/>
    <n v="-87.191326000000004"/>
    <s v="Development"/>
    <m/>
    <s v="No"/>
    <m/>
    <n v="3135"/>
    <n v="14629.999999999998"/>
    <n v="3135"/>
    <s v="C"/>
    <s v="J"/>
    <m/>
    <m/>
    <m/>
    <m/>
    <m/>
    <m/>
    <m/>
  </r>
  <r>
    <d v="2023-04-18T00:00:00"/>
    <s v="April"/>
    <n v="2023"/>
    <x v="0"/>
    <n v="-1.33"/>
    <x v="0"/>
    <n v="126350"/>
    <n v="380"/>
    <s v="Federal"/>
    <x v="4"/>
    <n v="0.37"/>
    <s v="SP/DSP Portage Owner, LLC"/>
    <s v="LRC-2021-00756"/>
    <s v="2022-1088-64-MTM-A"/>
    <m/>
    <s v="Porter"/>
    <n v="41.598882000000003"/>
    <n v="-87.191326000000004"/>
    <s v="Development"/>
    <m/>
    <s v="No"/>
    <m/>
    <n v="18952.5"/>
    <n v="88445"/>
    <n v="18952.5"/>
    <s v="C"/>
    <s v="J"/>
    <m/>
    <m/>
    <m/>
    <m/>
    <m/>
    <m/>
    <m/>
  </r>
  <r>
    <d v="2023-04-18T00:00:00"/>
    <s v="April"/>
    <n v="2023"/>
    <x v="5"/>
    <n v="-494"/>
    <x v="1"/>
    <n v="197600"/>
    <n v="398"/>
    <s v="Federal"/>
    <x v="2"/>
    <n v="412"/>
    <s v="Evansville-Vanderburgh Airport Authority"/>
    <s v="LRL-2022-547-tmb"/>
    <s v="2022-640-82-TMS"/>
    <m/>
    <s v="Vanderburgh"/>
    <n v="38.045692000000003"/>
    <n v="-87.529272000000006"/>
    <s v="Development"/>
    <m/>
    <s v="No"/>
    <m/>
    <n v="29640"/>
    <n v="138320"/>
    <n v="29640"/>
    <s v="L"/>
    <s v="J"/>
    <m/>
    <m/>
    <m/>
    <m/>
    <m/>
    <m/>
    <s v="Corps required 494, IDEM 412"/>
  </r>
  <r>
    <d v="2023-04-18T00:00:00"/>
    <s v="April"/>
    <n v="2023"/>
    <x v="7"/>
    <n v="-288"/>
    <x v="1"/>
    <n v="115200"/>
    <n v="400"/>
    <s v="Federal"/>
    <x v="1"/>
    <n v="288"/>
    <s v="Clark County Board of Commissioners"/>
    <s v="LRL-2013-00374"/>
    <s v="2021-189-10-TMS-A"/>
    <m/>
    <s v="Clark"/>
    <n v="38.457000000000001"/>
    <n v="-85.847740000000002"/>
    <s v="Development"/>
    <m/>
    <s v="No"/>
    <m/>
    <n v="17280"/>
    <n v="80640"/>
    <n v="17280"/>
    <s v="L"/>
    <s v="J"/>
    <m/>
    <m/>
    <m/>
    <m/>
    <m/>
    <m/>
    <s v="Purchase 2 of 7 required by 404 and 401"/>
  </r>
  <r>
    <d v="2023-04-18T00:00:00"/>
    <s v="April"/>
    <n v="2023"/>
    <x v="7"/>
    <n v="-1.3"/>
    <x v="0"/>
    <n v="104000"/>
    <n v="400"/>
    <s v="Federal"/>
    <x v="3"/>
    <n v="1.3"/>
    <s v="Clark County Board of Commissioners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s v="J"/>
    <m/>
    <m/>
    <m/>
    <m/>
    <m/>
    <m/>
    <s v="Purchase 2 of 7 required by 404 and 401"/>
  </r>
  <r>
    <d v="2023-04-18T00:00:00"/>
    <s v="April"/>
    <n v="2023"/>
    <x v="9"/>
    <n v="-17"/>
    <x v="1"/>
    <n v="7650"/>
    <n v="387"/>
    <s v="Federal"/>
    <x v="2"/>
    <n v="14"/>
    <s v="GSR Ground A, LLC"/>
    <s v="LRL-2022-942-DDC"/>
    <s v="2022-1034-49-EKB-X"/>
    <m/>
    <s v="Marion"/>
    <n v="39.757373000000001"/>
    <n v="-86.294821999999996"/>
    <s v="Development"/>
    <m/>
    <s v="No"/>
    <m/>
    <n v="1147.5"/>
    <n v="5355"/>
    <n v="1147.5"/>
    <s v="L"/>
    <s v="J"/>
    <m/>
    <m/>
    <m/>
    <m/>
    <m/>
    <m/>
    <m/>
  </r>
  <r>
    <d v="2023-04-18T00:00:00"/>
    <s v="April"/>
    <n v="2023"/>
    <x v="9"/>
    <n v="-0.32400000000000001"/>
    <x v="0"/>
    <n v="25920"/>
    <n v="387"/>
    <s v="Federal"/>
    <x v="5"/>
    <n v="0.09"/>
    <s v="GSR Ground A, LLC"/>
    <s v="LRL-2022-942-DDC"/>
    <s v="2022-1034-49-EKB-X"/>
    <m/>
    <s v="Marion"/>
    <n v="39.757373000000001"/>
    <n v="-86.294821999999996"/>
    <s v="Development"/>
    <m/>
    <s v="No"/>
    <m/>
    <n v="3888"/>
    <n v="18144"/>
    <n v="3888"/>
    <s v="L"/>
    <s v="J"/>
    <m/>
    <m/>
    <m/>
    <m/>
    <m/>
    <m/>
    <m/>
  </r>
  <r>
    <d v="2023-04-18T00:00:00"/>
    <s v="April"/>
    <n v="2023"/>
    <x v="9"/>
    <n v="-7.6799999999999993E-2"/>
    <x v="0"/>
    <n v="6144"/>
    <n v="387"/>
    <s v="Federal"/>
    <x v="4"/>
    <n v="1.6E-2"/>
    <s v="GSR Ground A, LLC"/>
    <s v="LRL-2022-942-DDC"/>
    <s v="2022-1034-49-EKB-X"/>
    <m/>
    <s v="Marion"/>
    <n v="39.757373000000001"/>
    <n v="-86.294821999999996"/>
    <s v="Development"/>
    <m/>
    <s v="No"/>
    <m/>
    <n v="921.59999999999991"/>
    <n v="4300.7999999999993"/>
    <n v="921.59999999999991"/>
    <s v="L"/>
    <s v="J"/>
    <m/>
    <m/>
    <m/>
    <m/>
    <m/>
    <m/>
    <m/>
  </r>
  <r>
    <d v="2023-04-18T00:00:00"/>
    <s v="April"/>
    <n v="2023"/>
    <x v="9"/>
    <n v="-3.42"/>
    <x v="0"/>
    <n v="273600"/>
    <s v="391 and 399"/>
    <s v="State Isolated"/>
    <x v="3"/>
    <n v="2.13"/>
    <s v="Henke Development Group, LLC"/>
    <s v="N/A"/>
    <s v="IWIP 2023-35-29-SCF-A"/>
    <m/>
    <s v="Hamilton"/>
    <n v="40.078893000000001"/>
    <n v="-86.129283999999998"/>
    <s v="Development"/>
    <m/>
    <s v="No"/>
    <m/>
    <n v="41040"/>
    <n v="191520"/>
    <n v="41040"/>
    <s v="L"/>
    <s v="SI"/>
    <s v="2 NF"/>
    <m/>
    <m/>
    <m/>
    <m/>
    <m/>
    <m/>
  </r>
  <r>
    <d v="2023-04-24T00:00:00"/>
    <s v="April"/>
    <n v="2023"/>
    <x v="8"/>
    <n v="-0.7"/>
    <x v="0"/>
    <n v="56000"/>
    <n v="403"/>
    <s v="Federal"/>
    <x v="4"/>
    <n v="0.2"/>
    <s v="New Venture Development Corp"/>
    <s v="LRE-2022-00515-102-N22"/>
    <s v="2022-1018-EJW-X"/>
    <m/>
    <s v="Allen"/>
    <n v="41.199486999999998"/>
    <n v="-85.202242999999996"/>
    <s v="Development"/>
    <m/>
    <s v="No"/>
    <m/>
    <n v="8400"/>
    <n v="39200"/>
    <n v="8400"/>
    <s v="D"/>
    <s v="J"/>
    <m/>
    <m/>
    <m/>
    <m/>
    <m/>
    <m/>
    <m/>
  </r>
  <r>
    <d v="2023-04-25T00:00:00"/>
    <s v="April"/>
    <n v="2023"/>
    <x v="7"/>
    <n v="-0.72"/>
    <x v="0"/>
    <n v="57600"/>
    <n v="388"/>
    <s v="Federal"/>
    <x v="3"/>
    <n v="0.29799999999999999"/>
    <s v="The Flats on 10th, LLC"/>
    <s v="LRL-2022-0823-kjs"/>
    <s v="2022-936-10-JWR-A"/>
    <m/>
    <s v="Clark"/>
    <n v="38.338082999999997"/>
    <n v="-85.712626"/>
    <s v="Development"/>
    <m/>
    <s v="No"/>
    <m/>
    <n v="8640"/>
    <n v="40320"/>
    <n v="8640"/>
    <s v="L"/>
    <s v="J"/>
    <m/>
    <m/>
    <m/>
    <m/>
    <m/>
    <m/>
    <m/>
  </r>
  <r>
    <d v="2023-04-26T00:00:00"/>
    <s v="April"/>
    <n v="2023"/>
    <x v="1"/>
    <n v="-1.74"/>
    <x v="0"/>
    <n v="165300"/>
    <n v="396"/>
    <s v="State Isolated"/>
    <x v="4"/>
    <n v="0.57999999999999996"/>
    <s v="NIPSCO"/>
    <s v="N/A"/>
    <s v="IWIP 2022-813-37-MTM-A"/>
    <m/>
    <s v="Jasper"/>
    <n v="41.217205"/>
    <n v="-87.005990999999995"/>
    <s v="Energy Production"/>
    <m/>
    <s v="No"/>
    <m/>
    <n v="24795"/>
    <n v="115709.99999999999"/>
    <n v="24795"/>
    <s v="D"/>
    <s v="SI"/>
    <s v="3 FO"/>
    <m/>
    <m/>
    <m/>
    <m/>
    <m/>
    <m/>
  </r>
  <r>
    <d v="2023-04-26T00:00:00"/>
    <s v="April"/>
    <n v="2023"/>
    <x v="4"/>
    <n v="-0.6"/>
    <x v="0"/>
    <n v="48000"/>
    <n v="408"/>
    <s v="Federal"/>
    <x v="3"/>
    <n v="0.25"/>
    <s v="Duke Energy"/>
    <s v="LRL-2022-0051-jde"/>
    <s v="2023-279-84-ERL-X"/>
    <m/>
    <s v="Vigo"/>
    <n v="39.397624"/>
    <n v="-87.479951"/>
    <s v="Transportation"/>
    <m/>
    <s v="No"/>
    <m/>
    <n v="7200"/>
    <n v="33600"/>
    <n v="7200"/>
    <s v="L"/>
    <s v="J"/>
    <m/>
    <m/>
    <m/>
    <m/>
    <m/>
    <m/>
    <m/>
  </r>
  <r>
    <d v="2023-04-26T00:00:00"/>
    <s v="April"/>
    <n v="2023"/>
    <x v="7"/>
    <n v="-113"/>
    <x v="1"/>
    <n v="45200"/>
    <n v="406"/>
    <s v="Federal"/>
    <x v="2"/>
    <n v="113"/>
    <s v="INDOT"/>
    <s v="LRL-2022-1041-djd"/>
    <s v="2023-91-78-SCF-A"/>
    <m/>
    <s v="Switzerland"/>
    <n v="38.892364999999998"/>
    <n v="-84.811717999999999"/>
    <s v="Transportation"/>
    <m/>
    <s v="No"/>
    <m/>
    <n v="6780"/>
    <n v="31639.999999999996"/>
    <n v="6780"/>
    <s v="L"/>
    <s v="J"/>
    <m/>
    <m/>
    <m/>
    <m/>
    <m/>
    <m/>
    <m/>
  </r>
  <r>
    <d v="2023-04-26T00:00:00"/>
    <s v="April"/>
    <n v="2023"/>
    <x v="7"/>
    <n v="-488"/>
    <x v="1"/>
    <n v="195200"/>
    <n v="406"/>
    <s v="Federal"/>
    <x v="6"/>
    <n v="488"/>
    <s v="INDOT"/>
    <s v="LRL-2022-1041-djd"/>
    <s v="2023-91-78-SCF-A"/>
    <m/>
    <s v="Switzerland"/>
    <n v="38.892364999999998"/>
    <n v="-84.811717999999999"/>
    <s v="Transportation"/>
    <m/>
    <s v="No"/>
    <m/>
    <n v="29280"/>
    <n v="136640"/>
    <n v="29280"/>
    <s v="L"/>
    <s v="J"/>
    <m/>
    <m/>
    <m/>
    <m/>
    <m/>
    <m/>
    <m/>
  </r>
  <r>
    <d v="2023-04-26T00:00:00"/>
    <s v="April"/>
    <n v="2023"/>
    <x v="7"/>
    <n v="-6.8000000000000005E-2"/>
    <x v="0"/>
    <n v="5440"/>
    <n v="406"/>
    <s v="Federal"/>
    <x v="4"/>
    <n v="1.7000000000000001E-2"/>
    <s v="INDOT"/>
    <s v="LRL-2022-1041-djd"/>
    <s v="2023-91-78-SCF-A"/>
    <m/>
    <s v="Switzerland"/>
    <n v="38.892364999999998"/>
    <n v="-84.811717999999999"/>
    <s v="Transportation"/>
    <m/>
    <s v="No"/>
    <m/>
    <n v="816"/>
    <n v="3807.9999999999995"/>
    <n v="816"/>
    <s v="L"/>
    <s v="J"/>
    <m/>
    <m/>
    <m/>
    <m/>
    <m/>
    <m/>
    <m/>
  </r>
  <r>
    <d v="2023-04-26T00:00:00"/>
    <s v="April"/>
    <n v="2023"/>
    <x v="8"/>
    <n v="-0.63"/>
    <x v="0"/>
    <n v="50400"/>
    <n v="345"/>
    <s v="Federal"/>
    <x v="3"/>
    <n v="0.26"/>
    <s v="City of Delphi"/>
    <s v="LRL-2022-318-sjk"/>
    <s v="2022-204-8-SCF"/>
    <m/>
    <s v="Carroll"/>
    <n v="40.580204000000002"/>
    <n v="-86.679981999999995"/>
    <s v="Development"/>
    <m/>
    <s v="No"/>
    <m/>
    <n v="7560"/>
    <n v="35280"/>
    <n v="7560"/>
    <s v="L"/>
    <s v="J"/>
    <m/>
    <m/>
    <m/>
    <m/>
    <m/>
    <m/>
    <s v="0.52 IDEM, 0.63 Corps"/>
  </r>
  <r>
    <d v="2023-04-26T00:00:00"/>
    <s v="April"/>
    <n v="2023"/>
    <x v="8"/>
    <n v="-0.36"/>
    <x v="0"/>
    <n v="28800"/>
    <n v="345"/>
    <s v="Federal"/>
    <x v="4"/>
    <n v="0.09"/>
    <s v="City of Delphi"/>
    <s v="LRL-2022-318-sjk"/>
    <s v="2022-204-8-SCF"/>
    <m/>
    <s v="Carroll"/>
    <n v="40.580204000000002"/>
    <n v="-86.679981999999995"/>
    <s v="Development"/>
    <m/>
    <s v="No"/>
    <m/>
    <n v="4320"/>
    <n v="20160"/>
    <n v="4320"/>
    <s v="L"/>
    <s v="J"/>
    <m/>
    <m/>
    <m/>
    <m/>
    <m/>
    <m/>
    <s v="0.36 IDEM, 0.32 Corps"/>
  </r>
  <r>
    <d v="2023-04-26T00:00:00"/>
    <s v="April"/>
    <n v="2023"/>
    <x v="9"/>
    <n v="-0.28749999999999998"/>
    <x v="0"/>
    <n v="23000"/>
    <n v="405"/>
    <s v="State Isolated"/>
    <x v="4"/>
    <n v="0.115"/>
    <s v="MSD of Wayne Township"/>
    <s v="N/A"/>
    <s v="IWIP 2023-105-49-EKB-A"/>
    <m/>
    <s v="Marion"/>
    <n v="39.774169999999998"/>
    <n v="-86.273200000000003"/>
    <s v="Development"/>
    <m/>
    <s v="No"/>
    <m/>
    <n v="3450"/>
    <n v="16099.999999999998"/>
    <n v="3450"/>
    <s v="L"/>
    <s v="SI"/>
    <s v="3 FO"/>
    <m/>
    <m/>
    <m/>
    <m/>
    <m/>
    <m/>
  </r>
  <r>
    <d v="2023-04-26T00:00:00"/>
    <s v="April"/>
    <n v="2023"/>
    <x v="9"/>
    <n v="-498"/>
    <x v="1"/>
    <n v="224100"/>
    <n v="393"/>
    <s v="Federal"/>
    <x v="1"/>
    <n v="415"/>
    <s v="Rise Commercial District"/>
    <s v="LRL-2022-536-sam"/>
    <s v="2022-742-32-ERL-A"/>
    <m/>
    <s v="Hendricks"/>
    <n v="39.739699999999999"/>
    <n v="-86.337599999999995"/>
    <s v="Development"/>
    <m/>
    <s v="No"/>
    <m/>
    <n v="33615"/>
    <n v="156870"/>
    <n v="33615"/>
    <s v="L"/>
    <s v="J"/>
    <m/>
    <m/>
    <m/>
    <m/>
    <m/>
    <m/>
    <s v="Corps required more stream"/>
  </r>
  <r>
    <d v="2023-04-26T00:00:00"/>
    <s v="April"/>
    <n v="2023"/>
    <x v="9"/>
    <n v="-7.0000000000000007E-2"/>
    <x v="0"/>
    <n v="5600"/>
    <n v="393"/>
    <s v="Federal"/>
    <x v="3"/>
    <n v="0.03"/>
    <s v="Rise Commercial District"/>
    <s v="LRL-2022-536-sam"/>
    <s v="2022-742-32-ERL-A"/>
    <m/>
    <s v="Hendricks"/>
    <n v="39.739699999999999"/>
    <n v="-86.337599999999995"/>
    <s v="Development"/>
    <m/>
    <s v="No"/>
    <m/>
    <n v="840"/>
    <n v="3919.9999999999995"/>
    <n v="840"/>
    <s v="L"/>
    <s v="J"/>
    <m/>
    <m/>
    <m/>
    <m/>
    <m/>
    <m/>
    <s v="Corps required more for PEM credit"/>
  </r>
  <r>
    <d v="2023-04-26T00:00:00"/>
    <s v="April"/>
    <n v="2023"/>
    <x v="9"/>
    <n v="-4.8000000000000001E-2"/>
    <x v="0"/>
    <n v="3840"/>
    <n v="393"/>
    <s v="Federal"/>
    <x v="5"/>
    <n v="1.6E-2"/>
    <s v="Rise Commercial District"/>
    <s v="LRL-2022-536-sam"/>
    <s v="2022-742-32-ERL-A"/>
    <m/>
    <s v="Hendricks"/>
    <n v="39.739699999999999"/>
    <n v="-86.337599999999995"/>
    <s v="Development"/>
    <m/>
    <s v="No"/>
    <m/>
    <n v="576"/>
    <n v="2688"/>
    <n v="576"/>
    <s v="L"/>
    <s v="J"/>
    <m/>
    <m/>
    <m/>
    <m/>
    <m/>
    <m/>
    <s v="IDEM required more for PSS credit"/>
  </r>
  <r>
    <d v="2023-04-26T00:00:00"/>
    <s v="April"/>
    <n v="2023"/>
    <x v="9"/>
    <n v="-0.26"/>
    <x v="0"/>
    <n v="20800"/>
    <n v="393"/>
    <s v="Federal"/>
    <x v="4"/>
    <n v="6.5000000000000002E-2"/>
    <s v="Rise Commercial District"/>
    <s v="LRL-2022-536-sam"/>
    <s v="2022-742-32-ERL-A"/>
    <m/>
    <s v="Hendricks"/>
    <n v="39.739699999999999"/>
    <n v="-86.337599999999995"/>
    <s v="Development"/>
    <m/>
    <s v="No"/>
    <m/>
    <n v="3120"/>
    <n v="14559.999999999998"/>
    <n v="3120"/>
    <s v="L"/>
    <s v="J"/>
    <m/>
    <m/>
    <m/>
    <m/>
    <m/>
    <m/>
    <s v="IDEM required more for PFO credit"/>
  </r>
  <r>
    <d v="2023-04-26T00:00:00"/>
    <s v="April"/>
    <n v="2023"/>
    <x v="9"/>
    <n v="-22"/>
    <x v="1"/>
    <n v="9900"/>
    <n v="407"/>
    <s v="Federal"/>
    <x v="1"/>
    <n v="22"/>
    <s v="INDOT"/>
    <s v="LRL-2022-946-scm"/>
    <s v="2022-1372-55-JBT-X"/>
    <m/>
    <s v="Morgan"/>
    <n v="39.53875"/>
    <n v="-86.383160000000004"/>
    <s v="Transportation"/>
    <m/>
    <s v="No"/>
    <m/>
    <n v="1485"/>
    <n v="6930"/>
    <n v="1485"/>
    <s v="L"/>
    <s v="J"/>
    <m/>
    <m/>
    <m/>
    <m/>
    <m/>
    <m/>
    <m/>
  </r>
  <r>
    <d v="2023-04-27T00:00:00"/>
    <s v="April"/>
    <n v="2023"/>
    <x v="6"/>
    <n v="-0.26"/>
    <x v="0"/>
    <n v="31200"/>
    <n v="394"/>
    <s v="Federal"/>
    <x v="4"/>
    <n v="0.22"/>
    <s v="NIPSCO"/>
    <s v="LRE-2022-00816-176-N22"/>
    <s v="2022-1148-76-EJW-X"/>
    <m/>
    <s v="Steuben"/>
    <n v="41.656427999999998"/>
    <n v="-85.101192999999995"/>
    <s v="Energy Production"/>
    <m/>
    <s v="No"/>
    <m/>
    <n v="4680"/>
    <n v="21840"/>
    <n v="4680"/>
    <s v="D"/>
    <s v="J"/>
    <m/>
    <m/>
    <m/>
    <m/>
    <m/>
    <m/>
    <m/>
  </r>
  <r>
    <d v="2023-05-15T00:00:00"/>
    <s v="May"/>
    <n v="2023"/>
    <x v="1"/>
    <n v="-0.39"/>
    <x v="0"/>
    <n v="97050"/>
    <n v="418"/>
    <s v="Federal"/>
    <x v="5"/>
    <n v="0.13"/>
    <s v="NIPSCO"/>
    <s v="LRE-2011-00199-137-S22"/>
    <s v="2022-813-37-MTM-A"/>
    <m/>
    <s v="Jasper"/>
    <n v="41.217205"/>
    <n v="-87.005990999999995"/>
    <s v="Energy Production"/>
    <m/>
    <s v="No"/>
    <m/>
    <n v="14557.5"/>
    <n v="67935"/>
    <n v="14557.5"/>
    <s v="D"/>
    <s v="J"/>
    <m/>
    <m/>
    <m/>
    <m/>
    <m/>
    <m/>
    <m/>
  </r>
  <r>
    <d v="2023-05-23T00:00:00"/>
    <s v="May"/>
    <n v="2023"/>
    <x v="9"/>
    <n v="-7"/>
    <x v="1"/>
    <n v="3150"/>
    <n v="413"/>
    <s v="Federal"/>
    <x v="1"/>
    <n v="6"/>
    <s v="Epcon Communities"/>
    <s v="LRL-2023-24-sjk"/>
    <s v="2023-130-29-GCW-A"/>
    <m/>
    <s v="Hamilton"/>
    <n v="39.956277"/>
    <n v="-85.874542000000005"/>
    <s v="Development"/>
    <m/>
    <s v="No"/>
    <m/>
    <n v="472.5"/>
    <n v="2205"/>
    <n v="472.5"/>
    <s v="L"/>
    <s v="J"/>
    <m/>
    <m/>
    <m/>
    <m/>
    <m/>
    <m/>
    <m/>
  </r>
  <r>
    <d v="2023-05-23T00:00:00"/>
    <s v="May"/>
    <n v="2023"/>
    <x v="9"/>
    <n v="-0.36"/>
    <x v="0"/>
    <n v="28800"/>
    <n v="413"/>
    <s v="Federal"/>
    <x v="3"/>
    <n v="0.11"/>
    <s v="Epcon Communities"/>
    <s v="LRL-2023-24-sjk"/>
    <s v="2023-130-29-GCW-A"/>
    <m/>
    <s v="Hamilton"/>
    <n v="39.956277"/>
    <n v="-85.874542000000005"/>
    <s v="Development"/>
    <m/>
    <s v="No"/>
    <m/>
    <n v="4320"/>
    <n v="20160"/>
    <n v="4320"/>
    <s v="L"/>
    <s v="J"/>
    <m/>
    <m/>
    <m/>
    <m/>
    <m/>
    <m/>
    <m/>
  </r>
  <r>
    <d v="2023-05-23T00:00:00"/>
    <s v="May"/>
    <n v="2023"/>
    <x v="9"/>
    <n v="-3"/>
    <x v="0"/>
    <n v="240000"/>
    <n v="413"/>
    <s v="Federal"/>
    <x v="4"/>
    <n v="0.75"/>
    <s v="Epcon Communities"/>
    <s v="LRL-2023-24-sjk"/>
    <s v="2023-130-29-GCW-A"/>
    <m/>
    <s v="Hamilton"/>
    <n v="39.956277"/>
    <n v="-85.874542000000005"/>
    <s v="Development"/>
    <m/>
    <s v="No"/>
    <m/>
    <n v="36000"/>
    <n v="168000"/>
    <n v="36000"/>
    <s v="L"/>
    <s v="J"/>
    <m/>
    <m/>
    <m/>
    <m/>
    <m/>
    <m/>
    <m/>
  </r>
  <r>
    <d v="2023-06-13T00:00:00"/>
    <s v="June"/>
    <n v="2023"/>
    <x v="3"/>
    <n v="-0.216"/>
    <x v="0"/>
    <n v="17280"/>
    <n v="401"/>
    <s v="Federal"/>
    <x v="4"/>
    <n v="0.09"/>
    <s v="DeKalb County Board of Commissioners"/>
    <s v="LRE-2005-1170220-N23"/>
    <s v="2023-24-17-EJW-X"/>
    <m/>
    <s v="DeKalb"/>
    <n v="41.323115999999999"/>
    <n v="-85.124328000000006"/>
    <s v="Transportation"/>
    <m/>
    <s v="No"/>
    <m/>
    <n v="2592"/>
    <n v="12096"/>
    <n v="2592"/>
    <s v="D"/>
    <s v="J"/>
    <m/>
    <m/>
    <m/>
    <m/>
    <m/>
    <m/>
    <m/>
  </r>
  <r>
    <d v="2023-06-13T00:00:00"/>
    <s v="June"/>
    <n v="2023"/>
    <x v="9"/>
    <n v="-1.575"/>
    <x v="0"/>
    <n v="126000"/>
    <n v="404"/>
    <s v="State Isolated"/>
    <x v="4"/>
    <n v="0.63"/>
    <s v="Hoosier Valley Development, LLC"/>
    <s v="N/A"/>
    <s v="IWIP 2022-986-32-ERL-A"/>
    <m/>
    <s v="Hendricks"/>
    <n v="39.820008000000001"/>
    <n v="-86.371840000000006"/>
    <s v="Development"/>
    <m/>
    <s v="No"/>
    <m/>
    <n v="18900"/>
    <n v="88200"/>
    <n v="18900"/>
    <s v="L"/>
    <s v="SI"/>
    <s v="3 FO"/>
    <m/>
    <m/>
    <m/>
    <m/>
    <m/>
    <m/>
  </r>
  <r>
    <d v="2023-06-14T00:00:00"/>
    <s v="June"/>
    <n v="2023"/>
    <x v="1"/>
    <n v="-0.121"/>
    <x v="0"/>
    <n v="11495"/>
    <n v="420"/>
    <s v="Federal"/>
    <x v="3"/>
    <n v="0.121"/>
    <s v="Graythorne Development"/>
    <s v="LRC-2019-190"/>
    <s v="2021-92-45-MTM-A"/>
    <m/>
    <s v="Lake"/>
    <n v="41.315891999999998"/>
    <n v="-87.387343000000001"/>
    <s v="Development"/>
    <m/>
    <s v="No"/>
    <m/>
    <n v="1724.25"/>
    <n v="8046.4999999999991"/>
    <n v="1724.25"/>
    <s v="C"/>
    <s v="J"/>
    <m/>
    <m/>
    <m/>
    <m/>
    <m/>
    <m/>
    <m/>
  </r>
  <r>
    <d v="2023-06-14T00:00:00"/>
    <s v="June"/>
    <n v="2023"/>
    <x v="3"/>
    <n v="-12.5"/>
    <x v="1"/>
    <n v="5625"/>
    <n v="416"/>
    <s v="Federal"/>
    <x v="2"/>
    <n v="500"/>
    <s v="INDOT"/>
    <s v="LRE-2022-00697-176-N22"/>
    <s v="2022-954-76-JBT-A"/>
    <m/>
    <s v="Steuben"/>
    <n v="41.558332999999998"/>
    <n v="-84.859443999999996"/>
    <s v="Transportation"/>
    <m/>
    <s v="No"/>
    <m/>
    <n v="843.75"/>
    <n v="3937.4999999999995"/>
    <n v="843.75"/>
    <s v="D"/>
    <s v="J"/>
    <m/>
    <m/>
    <m/>
    <m/>
    <m/>
    <m/>
    <m/>
  </r>
  <r>
    <d v="2023-06-14T00:00:00"/>
    <s v="June"/>
    <n v="2023"/>
    <x v="3"/>
    <n v="-111"/>
    <x v="1"/>
    <n v="49950"/>
    <n v="416"/>
    <s v="Federal"/>
    <x v="6"/>
    <n v="200"/>
    <s v="INDOT"/>
    <s v="LRE-2022-00697-176-N22"/>
    <s v="2022-954-76-JBT-A"/>
    <m/>
    <s v="Steuben"/>
    <n v="41.558332999999998"/>
    <n v="-84.859443999999996"/>
    <s v="Transportation"/>
    <m/>
    <s v="No"/>
    <m/>
    <n v="7492.5"/>
    <n v="34965"/>
    <n v="7492.5"/>
    <s v="D"/>
    <s v="J"/>
    <m/>
    <m/>
    <m/>
    <m/>
    <m/>
    <m/>
    <m/>
  </r>
  <r>
    <d v="2023-06-14T00:00:00"/>
    <s v="June"/>
    <n v="2023"/>
    <x v="3"/>
    <n v="-2.5"/>
    <x v="0"/>
    <n v="200000"/>
    <n v="414"/>
    <s v="State Isolated"/>
    <x v="4"/>
    <n v="1"/>
    <s v="INDOT"/>
    <s v="N/A"/>
    <s v="IWIP 2022-736-2-SCF-A"/>
    <m/>
    <s v="Allen"/>
    <n v="41.084394000000003"/>
    <n v="-84.995245999999995"/>
    <s v="Transportation"/>
    <m/>
    <s v="No"/>
    <m/>
    <n v="30000"/>
    <n v="140000"/>
    <n v="30000"/>
    <s v="D"/>
    <s v="SI"/>
    <s v="2 FO"/>
    <m/>
    <m/>
    <m/>
    <m/>
    <m/>
    <m/>
  </r>
  <r>
    <d v="2023-06-14T00:00:00"/>
    <s v="June"/>
    <n v="2023"/>
    <x v="4"/>
    <n v="-305"/>
    <x v="1"/>
    <n v="122000"/>
    <n v="417"/>
    <s v="Federal"/>
    <x v="2"/>
    <n v="305"/>
    <s v="INDOT"/>
    <s v="LRL-2022-701-djd"/>
    <s v="2023-153-55-SCF-A"/>
    <m/>
    <s v="Morgan"/>
    <n v="39.578830000000004"/>
    <n v="-86.504829999999998"/>
    <s v="Transportation"/>
    <m/>
    <s v="No"/>
    <m/>
    <n v="18300"/>
    <n v="85400"/>
    <n v="18300"/>
    <s v="L"/>
    <s v="J"/>
    <m/>
    <m/>
    <m/>
    <m/>
    <m/>
    <m/>
    <m/>
  </r>
  <r>
    <d v="2023-06-14T00:00:00"/>
    <s v="June"/>
    <n v="2023"/>
    <x v="4"/>
    <n v="-98"/>
    <x v="1"/>
    <n v="39200"/>
    <n v="417"/>
    <s v="Federal"/>
    <x v="6"/>
    <n v="98"/>
    <s v="INDOT"/>
    <s v="LRL-2022-701-djd"/>
    <s v="2023-153-55-SCF-A"/>
    <m/>
    <s v="Morgan"/>
    <n v="39.578830000000004"/>
    <n v="-86.504829999999998"/>
    <s v="Transportation"/>
    <m/>
    <s v="No"/>
    <m/>
    <n v="5880"/>
    <n v="27440"/>
    <n v="5880"/>
    <s v="L"/>
    <s v="J"/>
    <m/>
    <m/>
    <m/>
    <m/>
    <m/>
    <m/>
    <m/>
  </r>
  <r>
    <d v="2023-06-14T00:00:00"/>
    <s v="June"/>
    <n v="2023"/>
    <x v="4"/>
    <n v="-4.0000000000000001E-3"/>
    <x v="0"/>
    <n v="320"/>
    <n v="417"/>
    <s v="Federal"/>
    <x v="3"/>
    <n v="2E-3"/>
    <s v="INDOT"/>
    <s v="LRL-2022-701-djd"/>
    <s v="2023-153-55-SCF-A"/>
    <m/>
    <s v="Morgan"/>
    <n v="39.578830000000004"/>
    <n v="-86.504829999999998"/>
    <s v="Transportation"/>
    <m/>
    <s v="No"/>
    <m/>
    <n v="48"/>
    <n v="224"/>
    <n v="48"/>
    <s v="L"/>
    <s v="J"/>
    <m/>
    <m/>
    <m/>
    <m/>
    <m/>
    <m/>
    <m/>
  </r>
  <r>
    <d v="2023-06-14T00:00:00"/>
    <s v="June"/>
    <n v="2023"/>
    <x v="4"/>
    <n v="-2.4E-2"/>
    <x v="0"/>
    <n v="1920"/>
    <n v="417"/>
    <s v="State Isolated"/>
    <x v="3"/>
    <n v="1.6E-2"/>
    <s v="INDOT"/>
    <s v="N/A"/>
    <s v="IWIP 2023-153-55-SCF-A"/>
    <m/>
    <s v="Morgan"/>
    <n v="39.578830000000004"/>
    <n v="-86.504829999999998"/>
    <s v="Transportation"/>
    <m/>
    <s v="No"/>
    <m/>
    <n v="288"/>
    <n v="1344"/>
    <n v="288"/>
    <s v="L"/>
    <s v="SI"/>
    <s v="2 NF"/>
    <m/>
    <m/>
    <m/>
    <m/>
    <m/>
    <m/>
  </r>
  <r>
    <d v="2023-06-15T00:00:00"/>
    <s v="June"/>
    <n v="2023"/>
    <x v="10"/>
    <n v="-2.42"/>
    <x v="0"/>
    <n v="193600"/>
    <n v="421"/>
    <s v="Federal"/>
    <x v="3"/>
    <n v="1.01"/>
    <s v="INDOT"/>
    <s v="LRL-2014-621-sam"/>
    <s v="2022-858-40-SCF-A"/>
    <m/>
    <s v="Jennings"/>
    <n v="39.021799999999999"/>
    <n v="-85.620199999999997"/>
    <s v="Transportation"/>
    <m/>
    <s v="No"/>
    <m/>
    <n v="29040"/>
    <n v="135520"/>
    <n v="29040"/>
    <s v="L"/>
    <s v="J"/>
    <m/>
    <m/>
    <m/>
    <m/>
    <m/>
    <m/>
    <m/>
  </r>
  <r>
    <d v="2023-06-15T00:00:00"/>
    <s v="June"/>
    <n v="2023"/>
    <x v="10"/>
    <n v="-0.57999999999999996"/>
    <x v="0"/>
    <n v="46400"/>
    <n v="421"/>
    <s v="Federal"/>
    <x v="4"/>
    <n v="0.16"/>
    <s v="INDOT"/>
    <s v="LRL-2014-621-sam"/>
    <s v="2022-858-40-SCF-A"/>
    <m/>
    <s v="Jennings"/>
    <n v="39.021799999999999"/>
    <n v="-85.620199999999997"/>
    <s v="Transportation"/>
    <m/>
    <s v="No"/>
    <m/>
    <n v="6960"/>
    <n v="32479.999999999996"/>
    <n v="6960"/>
    <s v="L"/>
    <s v="J"/>
    <m/>
    <m/>
    <m/>
    <m/>
    <m/>
    <m/>
    <m/>
  </r>
  <r>
    <d v="2023-06-16T00:00:00"/>
    <s v="June"/>
    <n v="2023"/>
    <x v="9"/>
    <n v="-114"/>
    <x v="1"/>
    <n v="51300"/>
    <n v="412"/>
    <s v="Federal"/>
    <x v="2"/>
    <n v="114"/>
    <s v="Town of Plainfield"/>
    <s v="LRL-2021-01015-DDC"/>
    <s v="2021-990-32-ERL-A"/>
    <m/>
    <s v="Hendricks"/>
    <n v="39.771281999999999"/>
    <n v="-86.463390000000004"/>
    <s v="Transportation"/>
    <m/>
    <s v="No"/>
    <m/>
    <n v="7695"/>
    <n v="35910"/>
    <n v="7695"/>
    <s v="L"/>
    <s v="J"/>
    <m/>
    <m/>
    <m/>
    <m/>
    <m/>
    <m/>
    <m/>
  </r>
  <r>
    <d v="2023-06-27T00:00:00"/>
    <s v="June"/>
    <n v="2023"/>
    <x v="1"/>
    <n v="-2.9000000000000001E-2"/>
    <x v="0"/>
    <n v="2755"/>
    <n v="423"/>
    <s v="Federal"/>
    <x v="3"/>
    <n v="2.9000000000000001E-2"/>
    <s v="Graythorne Development"/>
    <s v="LRC-2019-190"/>
    <s v="2021-92-45-MTM-A"/>
    <m/>
    <s v="Lake"/>
    <n v="41.315891999999998"/>
    <n v="-87.387343000000001"/>
    <s v="Development"/>
    <m/>
    <s v="No"/>
    <m/>
    <n v="413.25"/>
    <n v="1928.4999999999998"/>
    <n v="413.25"/>
    <s v="C"/>
    <s v="J"/>
    <m/>
    <m/>
    <m/>
    <m/>
    <m/>
    <m/>
    <m/>
  </r>
  <r>
    <d v="2023-07-17T00:00:00"/>
    <s v="July"/>
    <n v="2023"/>
    <x v="4"/>
    <n v="-0.158"/>
    <x v="0"/>
    <n v="12640"/>
    <n v="419"/>
    <s v="State Isolated"/>
    <x v="3"/>
    <n v="0.105"/>
    <s v="INDOT"/>
    <s v="N/A"/>
    <s v="IWIP 2023-160-06-JBT-A"/>
    <m/>
    <s v="Boone"/>
    <n v="40.158392999999997"/>
    <n v="-86.539592999999996"/>
    <s v="Transportation"/>
    <m/>
    <s v="No"/>
    <m/>
    <n v="1896"/>
    <n v="8848"/>
    <n v="1896"/>
    <s v="L"/>
    <s v="SI"/>
    <s v="2 NF"/>
    <m/>
    <m/>
    <m/>
    <m/>
    <m/>
    <m/>
  </r>
  <r>
    <d v="2023-07-17T00:00:00"/>
    <s v="July"/>
    <n v="2023"/>
    <x v="4"/>
    <n v="-0.12"/>
    <x v="0"/>
    <n v="9600"/>
    <n v="353"/>
    <s v="Federal"/>
    <x v="3"/>
    <n v="5.3999999999999999E-2"/>
    <s v="T.J. Cole"/>
    <s v="LRL-2022-361-sam"/>
    <s v="2022-777-32-ERL-A"/>
    <m/>
    <s v="Hendricks"/>
    <n v="39.832208000000001"/>
    <n v="-86.664096999999998"/>
    <s v="Development"/>
    <m/>
    <s v="No"/>
    <m/>
    <n v="1440"/>
    <n v="6720"/>
    <n v="1440"/>
    <s v="L"/>
    <s v="J"/>
    <m/>
    <m/>
    <m/>
    <m/>
    <m/>
    <m/>
    <m/>
  </r>
  <r>
    <d v="2023-07-17T00:00:00"/>
    <s v="July"/>
    <n v="2023"/>
    <x v="4"/>
    <n v="-1.02"/>
    <x v="0"/>
    <n v="81600"/>
    <n v="353"/>
    <s v="Federal"/>
    <x v="4"/>
    <n v="0.255"/>
    <s v="T.J. Cole"/>
    <s v="LRL-2022-361-sam"/>
    <s v="2022-777-32-ERL-A"/>
    <m/>
    <s v="Hendricks"/>
    <n v="39.832208000000001"/>
    <n v="-86.664096999999998"/>
    <s v="Development"/>
    <m/>
    <s v="No"/>
    <m/>
    <n v="12240"/>
    <n v="57120"/>
    <n v="12240"/>
    <s v="L"/>
    <s v="J"/>
    <m/>
    <m/>
    <m/>
    <m/>
    <m/>
    <m/>
    <m/>
  </r>
  <r>
    <d v="2023-07-25T00:00:00"/>
    <s v="July"/>
    <n v="2023"/>
    <x v="9"/>
    <n v="-2.15"/>
    <x v="0"/>
    <n v="172000"/>
    <n v="422"/>
    <s v="State Isolated"/>
    <x v="4"/>
    <n v="0.86"/>
    <s v="Pedcor Community Development Corporation"/>
    <s v="N/A"/>
    <s v="IWIP 2023-367-29-GCW-A"/>
    <m/>
    <s v="Hamilton"/>
    <n v="39.951985999999998"/>
    <n v="-86.152573000000004"/>
    <s v="Development"/>
    <m/>
    <s v="No"/>
    <m/>
    <n v="25800"/>
    <n v="120399.99999999999"/>
    <n v="25800"/>
    <s v="L"/>
    <s v="SI"/>
    <s v="3 FO"/>
    <m/>
    <m/>
    <m/>
    <m/>
    <m/>
    <m/>
  </r>
  <r>
    <d v="2023-08-08T00:00:00"/>
    <s v="August"/>
    <n v="2023"/>
    <x v="8"/>
    <n v="-0.4"/>
    <x v="0"/>
    <n v="32000"/>
    <n v="409"/>
    <s v="State Isolated"/>
    <x v="4"/>
    <n v="0.16"/>
    <s v="Wildcat Resources, LLC"/>
    <s v="N/A"/>
    <s v="IWIP 2022-1000-12-ERL-A"/>
    <m/>
    <s v="Clinton"/>
    <n v="40.271099999999997"/>
    <n v="-86.492800000000003"/>
    <s v="Development"/>
    <m/>
    <s v="No"/>
    <m/>
    <n v="4800"/>
    <n v="22400"/>
    <n v="4800"/>
    <s v="L"/>
    <s v="SI"/>
    <s v="3 FO"/>
    <m/>
    <m/>
    <m/>
    <m/>
    <m/>
    <m/>
  </r>
  <r>
    <d v="2023-08-15T00:00:00"/>
    <s v="August"/>
    <n v="2023"/>
    <x v="7"/>
    <n v="-0.4"/>
    <x v="0"/>
    <n v="32000"/>
    <n v="426"/>
    <s v="Federal"/>
    <x v="3"/>
    <n v="0.34200000000000003"/>
    <s v="Blue Lick Development LLC"/>
    <s v="LRL-2022-00133"/>
    <s v="2023-396-10-ERL-A"/>
    <m/>
    <s v="Clark"/>
    <n v="38.423999999999999"/>
    <n v="-85.671000000000006"/>
    <s v="Development"/>
    <m/>
    <s v="No"/>
    <m/>
    <n v="4800"/>
    <n v="22400"/>
    <n v="4800"/>
    <s v="L"/>
    <s v="J"/>
    <m/>
    <m/>
    <m/>
    <m/>
    <m/>
    <m/>
    <m/>
  </r>
  <r>
    <d v="2023-08-15T00:00:00"/>
    <s v="August"/>
    <n v="2023"/>
    <x v="9"/>
    <n v="-0.6"/>
    <x v="0"/>
    <n v="48000"/>
    <n v="431"/>
    <s v="State Isolated"/>
    <x v="3"/>
    <n v="0.4"/>
    <s v="Strategic Capital Partners, LLC"/>
    <s v="N/A"/>
    <s v="IWIP 2023-76-49-EKB-A"/>
    <m/>
    <s v="Marion"/>
    <n v="39.665360999999997"/>
    <n v="-86.302817000000005"/>
    <s v="Development"/>
    <m/>
    <s v="No"/>
    <m/>
    <n v="7200"/>
    <n v="33600"/>
    <n v="7200"/>
    <s v="L"/>
    <s v="SI"/>
    <s v="2 NF"/>
    <m/>
    <m/>
    <m/>
    <m/>
    <m/>
    <m/>
  </r>
  <r>
    <d v="2023-08-21T00:00:00"/>
    <s v="August"/>
    <n v="2023"/>
    <x v="7"/>
    <n v="-0.2"/>
    <x v="0"/>
    <n v="16000"/>
    <n v="425"/>
    <s v="Federal"/>
    <x v="5"/>
    <n v="0.51100000000000001"/>
    <s v="Clark County Board of Commissioners"/>
    <s v="LRL-1994-01330-A"/>
    <s v="2023-422-10-JWR-A"/>
    <m/>
    <s v="Clark"/>
    <n v="38.458959999999998"/>
    <n v="-85.843382000000005"/>
    <s v="Development"/>
    <m/>
    <s v="No"/>
    <m/>
    <n v="2400"/>
    <n v="11200"/>
    <n v="2400"/>
    <s v="L"/>
    <s v="J"/>
    <m/>
    <m/>
    <m/>
    <m/>
    <m/>
    <m/>
    <s v="Phase I of 2 purchase requirements"/>
  </r>
  <r>
    <d v="2023-08-21T00:00:00"/>
    <s v="August"/>
    <n v="2023"/>
    <x v="7"/>
    <n v="-5.7"/>
    <x v="0"/>
    <n v="456000"/>
    <n v="425"/>
    <s v="Federal"/>
    <x v="4"/>
    <n v="1.4259999999999999"/>
    <s v="Clark County Board of Commissioners"/>
    <s v="LRL-1994-01330-A"/>
    <s v="2023-422-10-JWR-A"/>
    <m/>
    <s v="Clark"/>
    <n v="38.458959999999998"/>
    <n v="-85.843382000000005"/>
    <s v="Development"/>
    <m/>
    <s v="No"/>
    <m/>
    <n v="68400"/>
    <n v="319200"/>
    <n v="68400"/>
    <s v="L"/>
    <s v="J"/>
    <m/>
    <m/>
    <m/>
    <m/>
    <m/>
    <m/>
    <s v="Phase I of 2 purchase requirements"/>
  </r>
  <r>
    <d v="2023-08-25T00:00:00"/>
    <s v="August"/>
    <n v="2023"/>
    <x v="3"/>
    <n v="-76"/>
    <x v="1"/>
    <n v="34200"/>
    <n v="424"/>
    <s v="Federal"/>
    <x v="2"/>
    <n v="76"/>
    <s v="Allen County Highway Department"/>
    <s v="LRE-2022-00332-102"/>
    <s v="2021-963-2-WLR-X"/>
    <m/>
    <s v="Allen"/>
    <n v="41.200370999999997"/>
    <n v="-85.068593000000007"/>
    <s v="Transportation"/>
    <m/>
    <s v="No"/>
    <m/>
    <n v="5130"/>
    <n v="23940"/>
    <n v="5130"/>
    <s v="D"/>
    <s v="J"/>
    <m/>
    <m/>
    <m/>
    <m/>
    <m/>
    <m/>
    <m/>
  </r>
  <r>
    <d v="2023-08-25T00:00:00"/>
    <s v="August"/>
    <n v="2023"/>
    <x v="3"/>
    <n v="-0.28000000000000003"/>
    <x v="0"/>
    <n v="22400.000000000004"/>
    <n v="424"/>
    <s v="Federal"/>
    <x v="3"/>
    <n v="0.14000000000000001"/>
    <s v="Allen County Highway Department"/>
    <s v="LRE-2022-00332-102"/>
    <s v="2021-963-2-WLR-X"/>
    <m/>
    <s v="Allen"/>
    <n v="41.200370999999997"/>
    <n v="-85.068593000000007"/>
    <s v="Transportation"/>
    <m/>
    <s v="No"/>
    <m/>
    <n v="3360.0000000000005"/>
    <n v="15680.000000000002"/>
    <n v="3360.0000000000005"/>
    <s v="D"/>
    <s v="J"/>
    <m/>
    <m/>
    <m/>
    <m/>
    <m/>
    <m/>
    <m/>
  </r>
  <r>
    <d v="2023-08-25T00:00:00"/>
    <s v="August"/>
    <n v="2023"/>
    <x v="3"/>
    <n v="-0.32"/>
    <x v="0"/>
    <n v="25600"/>
    <n v="424"/>
    <s v="Federal"/>
    <x v="4"/>
    <n v="0.08"/>
    <s v="Allen County Highway Department"/>
    <s v="LRE-2022-00332-102"/>
    <s v="2021-963-2-WLR-X"/>
    <m/>
    <s v="Allen"/>
    <n v="41.200370999999997"/>
    <n v="-85.068593000000007"/>
    <s v="Transportation"/>
    <m/>
    <s v="No"/>
    <m/>
    <n v="3840"/>
    <n v="17920"/>
    <n v="3840"/>
    <s v="D"/>
    <s v="J"/>
    <m/>
    <m/>
    <m/>
    <m/>
    <m/>
    <m/>
    <m/>
  </r>
  <r>
    <d v="2023-08-28T00:00:00"/>
    <s v="August"/>
    <n v="2023"/>
    <x v="8"/>
    <n v="-88"/>
    <x v="1"/>
    <n v="35200"/>
    <n v="428"/>
    <s v="Federal"/>
    <x v="6"/>
    <n v="88"/>
    <s v="INDOT"/>
    <s v="LRL-2023-303-djd"/>
    <s v="2023-327-90-MPY-A"/>
    <m/>
    <s v="Wells"/>
    <n v="40.654705999999997"/>
    <n v="-85.191113000000001"/>
    <s v="Transportation"/>
    <m/>
    <s v="No"/>
    <m/>
    <n v="5280"/>
    <n v="24640"/>
    <n v="5280"/>
    <s v="L"/>
    <s v="J"/>
    <m/>
    <m/>
    <m/>
    <m/>
    <m/>
    <m/>
    <m/>
  </r>
  <r>
    <d v="2023-09-06T00:00:00"/>
    <s v="September"/>
    <n v="2023"/>
    <x v="10"/>
    <n v="-1.48"/>
    <x v="0"/>
    <n v="118400"/>
    <n v="437"/>
    <s v="Federal"/>
    <x v="3"/>
    <n v="1.23"/>
    <s v="CGS Services, Incorporated"/>
    <s v="LRL-2022-1015-sam"/>
    <s v="2023-226-73-ERL-A"/>
    <m/>
    <s v="Shelby"/>
    <n v="39.681652999999997"/>
    <n v="-85.719256999999999"/>
    <s v="Development"/>
    <m/>
    <s v="No"/>
    <m/>
    <n v="17760"/>
    <n v="82880"/>
    <n v="17760"/>
    <s v="L"/>
    <s v="J"/>
    <m/>
    <m/>
    <m/>
    <m/>
    <m/>
    <m/>
    <m/>
  </r>
  <r>
    <d v="2023-10-24T00:00:00"/>
    <s v="October"/>
    <n v="2023"/>
    <x v="9"/>
    <n v="-522"/>
    <x v="1"/>
    <n v="234900"/>
    <n v="453"/>
    <s v="Federal"/>
    <x v="2"/>
    <n v="870"/>
    <s v="Harris &amp; Ford LLC"/>
    <s v="LRL-2021-00027-sjk"/>
    <s v="2021-183-49-ALF-A"/>
    <m/>
    <s v="Marion"/>
    <n v="39.854599999999998"/>
    <n v="-86.001599999999996"/>
    <s v="Development"/>
    <m/>
    <s v="No"/>
    <m/>
    <n v="35235"/>
    <n v="164430"/>
    <n v="35235"/>
    <s v="L"/>
    <s v="J"/>
    <m/>
    <m/>
    <m/>
    <m/>
    <m/>
    <m/>
    <m/>
  </r>
  <r>
    <d v="2023-10-25T00:00:00"/>
    <s v="October"/>
    <n v="2023"/>
    <x v="6"/>
    <n v="-49.5"/>
    <x v="1"/>
    <n v="29700"/>
    <n v="429"/>
    <s v="Federal"/>
    <x v="6"/>
    <n v="49.5"/>
    <s v="INDOT"/>
    <s v="LRE-2023-00201-176-N23"/>
    <s v="2023-559-76-JBT-A"/>
    <m/>
    <s v="Steuben"/>
    <n v="41.664169000000001"/>
    <n v="-85.030517000000003"/>
    <s v="Transportation"/>
    <m/>
    <s v="No"/>
    <m/>
    <n v="4455"/>
    <n v="20790"/>
    <n v="4455"/>
    <s v="D"/>
    <s v="J"/>
    <m/>
    <m/>
    <m/>
    <m/>
    <m/>
    <m/>
    <m/>
  </r>
  <r>
    <d v="2023-10-25T00:00:00"/>
    <s v="October"/>
    <n v="2023"/>
    <x v="6"/>
    <n v="-2.8000000000000001E-2"/>
    <x v="0"/>
    <n v="3360"/>
    <n v="429"/>
    <s v="Federal"/>
    <x v="3"/>
    <n v="1.4E-2"/>
    <s v="INDOT"/>
    <s v="LRE-2023-00201-176-N23"/>
    <s v="2023-559-76-JBT-A"/>
    <m/>
    <s v="Steuben"/>
    <n v="41.664169000000001"/>
    <n v="-85.030517000000003"/>
    <s v="Transportation"/>
    <m/>
    <s v="No"/>
    <m/>
    <n v="504"/>
    <n v="2352"/>
    <n v="504"/>
    <s v="D"/>
    <s v="J"/>
    <m/>
    <m/>
    <m/>
    <m/>
    <m/>
    <m/>
    <m/>
  </r>
  <r>
    <d v="2023-10-25T00:00:00"/>
    <s v="October"/>
    <n v="2023"/>
    <x v="10"/>
    <n v="-0.16400000000000001"/>
    <x v="0"/>
    <n v="13120"/>
    <n v="430"/>
    <s v="State Isolated"/>
    <x v="3"/>
    <n v="8.2000000000000003E-2"/>
    <s v="INDOT"/>
    <s v="N/A"/>
    <s v="IWIP 2023-380-41-JBT-A"/>
    <m/>
    <s v="Johnson"/>
    <n v="39.463856"/>
    <n v="-86.053636999999995"/>
    <s v="Transportation"/>
    <m/>
    <s v="No"/>
    <m/>
    <n v="1968"/>
    <n v="9184"/>
    <n v="1968"/>
    <s v="L"/>
    <s v="SI"/>
    <s v="2 NF"/>
    <m/>
    <m/>
    <m/>
    <m/>
    <m/>
    <s v="INDOT DES No. 1800082"/>
  </r>
  <r>
    <d v="2023-11-01T00:00:00"/>
    <s v="November"/>
    <n v="2023"/>
    <x v="0"/>
    <n v="-1.22"/>
    <x v="0"/>
    <n v="115900"/>
    <n v="374"/>
    <s v="Federal"/>
    <x v="4"/>
    <n v="0.45"/>
    <s v="Viking Built Homes, LLC"/>
    <s v="LRC-2017-00132"/>
    <s v="2021-622-64-MTM-A"/>
    <m/>
    <s v="Porter"/>
    <n v="41.605400000000003"/>
    <n v="-87.028000000000006"/>
    <s v="Development"/>
    <m/>
    <s v="No"/>
    <m/>
    <n v="17385"/>
    <n v="81130"/>
    <n v="17385"/>
    <s v="C"/>
    <s v="J"/>
    <m/>
    <m/>
    <m/>
    <m/>
    <m/>
    <m/>
    <m/>
  </r>
  <r>
    <d v="2023-11-01T00:00:00"/>
    <s v="November"/>
    <n v="2023"/>
    <x v="3"/>
    <n v="-52"/>
    <x v="1"/>
    <n v="23400"/>
    <n v="433"/>
    <s v="Federal"/>
    <x v="2"/>
    <n v="52"/>
    <s v="INDOT"/>
    <s v="LRE-2023-00289-157-N23"/>
    <s v="2023-563-57-JWR-X"/>
    <m/>
    <s v="Noble"/>
    <n v="41.366273999999997"/>
    <n v="-85.221453999999994"/>
    <s v="Transportation"/>
    <m/>
    <s v="No"/>
    <m/>
    <n v="3510"/>
    <n v="16379.999999999998"/>
    <n v="3510"/>
    <s v="D"/>
    <s v="J"/>
    <m/>
    <m/>
    <m/>
    <m/>
    <m/>
    <m/>
    <s v="INDOT DES 2002226"/>
  </r>
  <r>
    <d v="2023-11-01T00:00:00"/>
    <s v="November"/>
    <n v="2023"/>
    <x v="5"/>
    <n v="-0.38"/>
    <x v="0"/>
    <n v="30400"/>
    <n v="371"/>
    <s v="Federal"/>
    <x v="3"/>
    <n v="0.38"/>
    <s v="INDOT"/>
    <s v="LRL-2008-00889-goc"/>
    <s v="2008-404-87-JWR-A "/>
    <m/>
    <s v="Warrick"/>
    <n v="38.194000000000003"/>
    <n v="-87.295000000000002"/>
    <s v="Transportation"/>
    <m/>
    <s v="No"/>
    <m/>
    <n v="4560"/>
    <n v="21280"/>
    <n v="4560"/>
    <s v="L"/>
    <s v="J"/>
    <m/>
    <m/>
    <m/>
    <m/>
    <m/>
    <m/>
    <m/>
  </r>
  <r>
    <d v="2023-11-01T00:00:00"/>
    <s v="November"/>
    <n v="2023"/>
    <x v="8"/>
    <n v="-67"/>
    <x v="1"/>
    <n v="26800"/>
    <n v="432"/>
    <s v="Federal"/>
    <x v="2"/>
    <n v="371"/>
    <s v="INDOT"/>
    <s v="LRL-2023-115-dds"/>
    <s v="2023-315-52-JBT-A"/>
    <m/>
    <s v="Miami"/>
    <n v="40.804890999999998"/>
    <n v="-86.023870000000002"/>
    <s v="Transportation"/>
    <m/>
    <s v="No"/>
    <m/>
    <n v="4020"/>
    <n v="18760"/>
    <n v="4020"/>
    <s v="L"/>
    <s v="J"/>
    <m/>
    <m/>
    <m/>
    <m/>
    <m/>
    <m/>
    <s v="INDOT DES 1900079"/>
  </r>
  <r>
    <d v="2023-11-01T00:00:00"/>
    <s v="November"/>
    <n v="2023"/>
    <x v="8"/>
    <n v="-0.1"/>
    <x v="0"/>
    <n v="8000"/>
    <n v="432"/>
    <s v="Federal"/>
    <x v="4"/>
    <n v="2.5000000000000001E-2"/>
    <s v="INDOT"/>
    <s v="LRL-2023-115-dds"/>
    <s v="2023-315-52-JBT-A"/>
    <m/>
    <s v="Miami"/>
    <n v="40.804890999999998"/>
    <n v="-86.023870000000002"/>
    <s v="Transportation"/>
    <m/>
    <s v="No"/>
    <m/>
    <n v="1200"/>
    <n v="5600"/>
    <n v="1200"/>
    <s v="L"/>
    <s v="J"/>
    <m/>
    <m/>
    <m/>
    <m/>
    <m/>
    <m/>
    <s v="INDOT DES 1900079"/>
  </r>
  <r>
    <d v="2023-11-07T00:00:00"/>
    <s v="November"/>
    <n v="2023"/>
    <x v="9"/>
    <n v="-0.13500000000000001"/>
    <x v="0"/>
    <n v="10800"/>
    <n v="427"/>
    <s v="State Isolated"/>
    <x v="4"/>
    <n v="5.3999999999999999E-2"/>
    <s v="Secure Holdings, LLC"/>
    <s v="N/A"/>
    <s v="IWIP 2023-551-29-WLR-A"/>
    <m/>
    <s v="Hamilton"/>
    <n v="40.04"/>
    <n v="-86.07"/>
    <s v="Development"/>
    <m/>
    <s v="No"/>
    <m/>
    <n v="1620"/>
    <n v="7559.9999999999991"/>
    <n v="1620"/>
    <s v="L"/>
    <s v="SI"/>
    <s v="3 FO"/>
    <m/>
    <m/>
    <m/>
    <m/>
    <m/>
    <m/>
  </r>
  <r>
    <d v="2023-11-07T00:00:00"/>
    <s v="November"/>
    <n v="2023"/>
    <x v="9"/>
    <n v="-0.45600000000000002"/>
    <x v="0"/>
    <n v="36000"/>
    <n v="434"/>
    <s v="State Isolated"/>
    <x v="4"/>
    <n v="0.18"/>
    <s v="Pulte Homes of Indiana"/>
    <s v="N/A"/>
    <s v="IWIP 2023-576-32-MPY-A"/>
    <m/>
    <s v="Hendricks"/>
    <n v="39.87256"/>
    <n v="-86.383250000000004"/>
    <s v="Development"/>
    <m/>
    <s v="No"/>
    <m/>
    <n v="5400"/>
    <n v="25200"/>
    <n v="5400"/>
    <s v="L"/>
    <s v="SI"/>
    <s v="3 FO"/>
    <m/>
    <m/>
    <m/>
    <m/>
    <m/>
    <m/>
  </r>
  <r>
    <d v="2023-11-08T00:00:00"/>
    <s v="November"/>
    <n v="2023"/>
    <x v="0"/>
    <n v="-0.39800000000000002"/>
    <x v="0"/>
    <n v="37810"/>
    <n v="382"/>
    <s v="Federal"/>
    <x v="3"/>
    <n v="0.33200000000000002"/>
    <s v="City of Hobart - US 30"/>
    <s v="LRC-2021-1116"/>
    <s v="2021-529-45-MTM-A"/>
    <m/>
    <s v="Lake"/>
    <n v="41.470463000000002"/>
    <n v="-87.297078999999997"/>
    <s v="Transportation"/>
    <m/>
    <s v="No"/>
    <m/>
    <n v="5671.5"/>
    <n v="26467"/>
    <n v="5671.5"/>
    <s v="C"/>
    <s v="J"/>
    <m/>
    <m/>
    <m/>
    <m/>
    <m/>
    <m/>
    <m/>
  </r>
  <r>
    <d v="2023-11-08T00:00:00"/>
    <s v="November"/>
    <n v="2023"/>
    <x v="2"/>
    <n v="-2E-3"/>
    <x v="0"/>
    <n v="160"/>
    <n v="444"/>
    <s v="Federal"/>
    <x v="3"/>
    <n v="2E-3"/>
    <s v="Monroe County Highway Department"/>
    <s v="LRL-2022-139-sjk"/>
    <s v="2022-131-53-TMS-X"/>
    <m/>
    <s v="Monroe"/>
    <n v="39.122239999999998"/>
    <n v="-86.544452000000007"/>
    <s v="Transportation"/>
    <m/>
    <s v="No"/>
    <m/>
    <n v="24"/>
    <n v="112"/>
    <n v="24"/>
    <s v="L"/>
    <s v="J"/>
    <m/>
    <m/>
    <m/>
    <m/>
    <m/>
    <m/>
    <m/>
  </r>
  <r>
    <d v="2023-11-08T00:00:00"/>
    <s v="November"/>
    <n v="2023"/>
    <x v="2"/>
    <n v="-6.3E-2"/>
    <x v="0"/>
    <n v="5040"/>
    <n v="444"/>
    <s v="Federal"/>
    <x v="5"/>
    <n v="0.02"/>
    <s v="Monroe County Highway Department"/>
    <s v="LRL-2022-139-sjk"/>
    <s v="2022-131-53-TMS-X"/>
    <m/>
    <s v="Monroe"/>
    <n v="39.122239999999998"/>
    <n v="-86.544452000000007"/>
    <s v="Transportation"/>
    <m/>
    <s v="No"/>
    <m/>
    <n v="756"/>
    <n v="3528"/>
    <n v="756"/>
    <s v="L"/>
    <s v="J"/>
    <m/>
    <m/>
    <m/>
    <m/>
    <m/>
    <m/>
    <m/>
  </r>
  <r>
    <d v="2023-11-08T00:00:00"/>
    <s v="November"/>
    <n v="2023"/>
    <x v="3"/>
    <n v="-108"/>
    <x v="1"/>
    <n v="48600"/>
    <n v="439"/>
    <s v="Federal"/>
    <x v="6"/>
    <n v="379"/>
    <s v="INDOT"/>
    <s v="LRE-2023-00345-157-N23"/>
    <s v="2023-681-57-JWR-X"/>
    <m/>
    <s v="Noble"/>
    <n v="41.372635000000002"/>
    <n v="-85.221468000000002"/>
    <s v="Transportation"/>
    <m/>
    <s v="No"/>
    <m/>
    <n v="7290"/>
    <n v="34020"/>
    <n v="7290"/>
    <s v="D"/>
    <s v="J"/>
    <m/>
    <m/>
    <m/>
    <m/>
    <m/>
    <m/>
    <s v="INDOT DES 2002217"/>
  </r>
  <r>
    <d v="2023-11-08T00:00:00"/>
    <s v="November"/>
    <n v="2023"/>
    <x v="4"/>
    <n v="-222"/>
    <x v="1"/>
    <n v="88800"/>
    <n v="411"/>
    <s v="Federal"/>
    <x v="1"/>
    <n v="222"/>
    <s v="INDOT"/>
    <s v="LRL-2023-66-djd"/>
    <s v="2023-107-79-WLR-A"/>
    <m/>
    <s v="Tippecanoe"/>
    <n v="40.445473999999997"/>
    <n v="-87.024084999999999"/>
    <s v="Transportation"/>
    <m/>
    <s v="No"/>
    <m/>
    <n v="13320"/>
    <n v="62159.999999999993"/>
    <n v="13320"/>
    <s v="L"/>
    <s v="J"/>
    <m/>
    <m/>
    <m/>
    <m/>
    <m/>
    <m/>
    <m/>
  </r>
  <r>
    <d v="2023-11-08T00:00:00"/>
    <s v="November"/>
    <n v="2023"/>
    <x v="4"/>
    <n v="-270"/>
    <x v="1"/>
    <n v="108000"/>
    <n v="411"/>
    <s v="Federal"/>
    <x v="2"/>
    <n v="270"/>
    <s v="INDOT"/>
    <s v="LRL-2023-66-djd"/>
    <s v="2023-107-79-WLR-A"/>
    <m/>
    <s v="Tippecanoe"/>
    <n v="40.445473999999997"/>
    <n v="-87.024084999999999"/>
    <s v="Transportation"/>
    <m/>
    <s v="No"/>
    <m/>
    <n v="16200"/>
    <n v="75600"/>
    <n v="16200"/>
    <s v="L"/>
    <s v="J"/>
    <m/>
    <m/>
    <m/>
    <m/>
    <m/>
    <m/>
    <m/>
  </r>
  <r>
    <d v="2023-11-08T00:00:00"/>
    <s v="November"/>
    <n v="2023"/>
    <x v="4"/>
    <n v="-120"/>
    <x v="1"/>
    <n v="48000"/>
    <n v="411"/>
    <s v="Federal"/>
    <x v="6"/>
    <n v="120"/>
    <s v="INDOT"/>
    <s v="LRL-2023-66-djd"/>
    <s v="2023-107-79-WLR-A"/>
    <m/>
    <s v="Tippecanoe"/>
    <n v="40.445473999999997"/>
    <n v="-87.024084999999999"/>
    <s v="Transportation"/>
    <m/>
    <s v="No"/>
    <m/>
    <n v="7200"/>
    <n v="33600"/>
    <n v="7200"/>
    <s v="L"/>
    <s v="J"/>
    <m/>
    <m/>
    <m/>
    <m/>
    <m/>
    <m/>
    <m/>
  </r>
  <r>
    <d v="2023-11-08T00:00:00"/>
    <s v="November"/>
    <n v="2023"/>
    <x v="5"/>
    <n v="-0.95"/>
    <x v="0"/>
    <n v="76000"/>
    <n v="443"/>
    <s v="Federal"/>
    <x v="3"/>
    <n v="0.39"/>
    <s v="Duke Energy"/>
    <s v="LRL-2022-00905"/>
    <s v="2023-444-26-WLR-A"/>
    <m/>
    <s v="Gibson"/>
    <n v="38.334499999999998"/>
    <n v="-87.787700000000001"/>
    <s v="Energy Production"/>
    <m/>
    <s v="No"/>
    <m/>
    <n v="11400"/>
    <n v="53200"/>
    <n v="11400"/>
    <s v="L"/>
    <s v="J"/>
    <m/>
    <m/>
    <m/>
    <m/>
    <m/>
    <m/>
    <m/>
  </r>
  <r>
    <d v="2023-11-08T00:00:00"/>
    <s v="November"/>
    <n v="2023"/>
    <x v="8"/>
    <n v="-83"/>
    <x v="1"/>
    <n v="33200"/>
    <n v="438"/>
    <s v="Federal"/>
    <x v="6"/>
    <n v="348"/>
    <s v="INDOT"/>
    <s v="LRE-2023-00342-102-N23"/>
    <s v="2023-663-2-JWR-X"/>
    <m/>
    <s v="Allen"/>
    <n v="41.013164000000003"/>
    <n v="-85.255988000000002"/>
    <s v="Transportation"/>
    <m/>
    <s v="No"/>
    <m/>
    <n v="4980"/>
    <n v="23240"/>
    <n v="4980"/>
    <s v="D"/>
    <s v="J"/>
    <m/>
    <m/>
    <m/>
    <m/>
    <m/>
    <m/>
    <s v="INDOT DES 2002214"/>
  </r>
  <r>
    <d v="2023-11-08T00:00:00"/>
    <s v="November"/>
    <n v="2023"/>
    <x v="9"/>
    <n v="-0.14000000000000001"/>
    <x v="0"/>
    <n v="11200"/>
    <n v="410"/>
    <s v="Federal"/>
    <x v="3"/>
    <n v="7.0000000000000007E-2"/>
    <s v="Indianapolis Department of Public Works"/>
    <s v="N/A"/>
    <s v="2023-170-49-GCW-X"/>
    <m/>
    <s v="Marion"/>
    <n v="39.759799999999998"/>
    <n v="-86.173699999999997"/>
    <s v="Transportation"/>
    <m/>
    <s v="No"/>
    <m/>
    <n v="1680"/>
    <n v="7839.9999999999991"/>
    <n v="1680"/>
    <s v="L"/>
    <s v="J"/>
    <m/>
    <m/>
    <m/>
    <m/>
    <m/>
    <m/>
    <m/>
  </r>
  <r>
    <d v="2023-11-08T00:00:00"/>
    <s v="November"/>
    <n v="2023"/>
    <x v="9"/>
    <n v="-0.96"/>
    <x v="0"/>
    <n v="76800"/>
    <n v="436"/>
    <s v="State Isolated"/>
    <x v="4"/>
    <n v="0.64"/>
    <s v="Citimark Realty Partners, LLC"/>
    <s v="N/A"/>
    <s v="IWIP 2023-554-06-ERL-A"/>
    <m/>
    <s v="Boone"/>
    <n v="39.991"/>
    <n v="-86.388000000000005"/>
    <s v="Development"/>
    <m/>
    <s v="No"/>
    <m/>
    <n v="11520"/>
    <n v="53760"/>
    <n v="11520"/>
    <s v="L"/>
    <s v="SI"/>
    <s v="3 FO"/>
    <m/>
    <m/>
    <m/>
    <m/>
    <m/>
    <m/>
  </r>
  <r>
    <d v="2023-11-08T00:00:00"/>
    <s v="November"/>
    <n v="2023"/>
    <x v="9"/>
    <n v="-257"/>
    <x v="1"/>
    <n v="115650"/>
    <n v="446"/>
    <s v="Federal"/>
    <x v="2"/>
    <n v="413"/>
    <s v="INDOT"/>
    <s v="LRL-2022-953-sam"/>
    <s v="2022-1064-32-ERL-A"/>
    <m/>
    <s v="Hendricks"/>
    <n v="39.741576000000002"/>
    <n v="-86.380613999999994"/>
    <s v="Transportation"/>
    <m/>
    <s v="No"/>
    <m/>
    <n v="17347.5"/>
    <n v="80955"/>
    <n v="17347.5"/>
    <s v="L"/>
    <s v="J"/>
    <m/>
    <m/>
    <m/>
    <m/>
    <m/>
    <m/>
    <m/>
  </r>
  <r>
    <d v="2023-11-08T00:00:00"/>
    <s v="November"/>
    <n v="2023"/>
    <x v="9"/>
    <n v="-6.5000000000000002E-2"/>
    <x v="0"/>
    <n v="5200"/>
    <n v="446"/>
    <s v="Federal"/>
    <x v="5"/>
    <n v="1.7999999999999999E-2"/>
    <s v="INDOT"/>
    <s v="LRL-2022-953-sam"/>
    <s v="2022-1064-32-ERL-A"/>
    <m/>
    <s v="Hendricks"/>
    <n v="39.741576000000002"/>
    <n v="-86.380613999999994"/>
    <s v="Transportation"/>
    <m/>
    <s v="No"/>
    <m/>
    <n v="780"/>
    <n v="3639.9999999999995"/>
    <n v="780"/>
    <s v="L"/>
    <s v="J"/>
    <m/>
    <m/>
    <m/>
    <m/>
    <m/>
    <m/>
    <m/>
  </r>
  <r>
    <d v="2023-11-08T00:00:00"/>
    <s v="November"/>
    <n v="2023"/>
    <x v="9"/>
    <n v="-5.7999999999999996E-3"/>
    <x v="0"/>
    <n v="464"/>
    <n v="446"/>
    <s v="Federal"/>
    <x v="4"/>
    <n v="1.1999999999999999E-3"/>
    <s v="INDOT"/>
    <s v="LRL-2022-953-sam"/>
    <s v="2022-1064-32-ERL-A"/>
    <m/>
    <s v="Hendricks"/>
    <n v="39.741576000000002"/>
    <n v="-86.380613999999994"/>
    <s v="Transportation"/>
    <m/>
    <s v="No"/>
    <m/>
    <n v="69.599999999999994"/>
    <n v="324.79999999999995"/>
    <n v="69.599999999999994"/>
    <s v="L"/>
    <s v="J"/>
    <m/>
    <m/>
    <m/>
    <m/>
    <m/>
    <m/>
    <m/>
  </r>
  <r>
    <d v="2023-11-08T00:00:00"/>
    <s v="November"/>
    <n v="2023"/>
    <x v="10"/>
    <n v="-0.14699999999999999"/>
    <x v="0"/>
    <n v="11760"/>
    <n v="435"/>
    <s v="Federal"/>
    <x v="3"/>
    <n v="0.14699999999999999"/>
    <s v="INDOT"/>
    <s v="LRL-2015-76-sam"/>
    <s v="2015-032-15-JWR-A"/>
    <m/>
    <s v="Dearborn"/>
    <n v="39.293591999999997"/>
    <n v="-84.878966000000005"/>
    <s v="Transportation"/>
    <m/>
    <s v="No"/>
    <m/>
    <n v="1764"/>
    <n v="8232"/>
    <n v="1764"/>
    <s v="L"/>
    <s v="J"/>
    <m/>
    <m/>
    <m/>
    <m/>
    <m/>
    <m/>
    <s v="For failed mitigation"/>
  </r>
  <r>
    <d v="2023-11-09T00:00:00"/>
    <s v="November"/>
    <n v="2023"/>
    <x v="0"/>
    <n v="-46.8"/>
    <x v="1"/>
    <n v="28080"/>
    <n v="445"/>
    <s v="Federal"/>
    <x v="2"/>
    <n v="39"/>
    <s v="Town of Chesterton"/>
    <s v="LRC-2021-107"/>
    <s v="2023-69-64-MTM-X"/>
    <m/>
    <s v="Porter"/>
    <n v="41.593614000000002"/>
    <n v="-87.053072999999998"/>
    <s v="Transportation"/>
    <m/>
    <s v="No"/>
    <m/>
    <n v="4212"/>
    <n v="19656"/>
    <n v="4212"/>
    <s v="C"/>
    <s v="J"/>
    <m/>
    <m/>
    <m/>
    <m/>
    <m/>
    <m/>
    <m/>
  </r>
  <r>
    <d v="2023-11-09T00:00:00"/>
    <s v="November"/>
    <n v="2023"/>
    <x v="0"/>
    <n v="-6"/>
    <x v="1"/>
    <n v="3600"/>
    <n v="445"/>
    <s v="Federal"/>
    <x v="6"/>
    <n v="5"/>
    <s v="Town of Chesterton"/>
    <s v="LRC-2021-107"/>
    <s v="2023-69-64-MTM-X"/>
    <m/>
    <s v="Porter"/>
    <n v="41.593614000000002"/>
    <n v="-87.053072999999998"/>
    <s v="Transportation"/>
    <m/>
    <s v="No"/>
    <m/>
    <n v="540"/>
    <n v="2520"/>
    <n v="540"/>
    <s v="C"/>
    <s v="J"/>
    <m/>
    <m/>
    <m/>
    <m/>
    <m/>
    <m/>
    <m/>
  </r>
  <r>
    <d v="2023-11-09T00:00:00"/>
    <s v="November"/>
    <n v="2023"/>
    <x v="0"/>
    <n v="-6.5280000000000005E-2"/>
    <x v="0"/>
    <n v="6202"/>
    <n v="445"/>
    <s v="Federal"/>
    <x v="3"/>
    <n v="2.7199999999999998E-2"/>
    <s v="Town of Chesterton"/>
    <s v="LRC-2021-107"/>
    <s v="2023-69-64-MTM-X"/>
    <m/>
    <s v="Porter"/>
    <n v="41.593614000000002"/>
    <n v="-87.053072999999998"/>
    <s v="Transportation"/>
    <m/>
    <s v="No"/>
    <m/>
    <n v="930.3"/>
    <n v="4341.3999999999996"/>
    <n v="930.3"/>
    <s v="C"/>
    <s v="J"/>
    <m/>
    <m/>
    <m/>
    <m/>
    <m/>
    <m/>
    <m/>
  </r>
  <r>
    <d v="2023-11-09T00:00:00"/>
    <s v="November"/>
    <n v="2023"/>
    <x v="0"/>
    <n v="-0.39410000000000001"/>
    <x v="0"/>
    <n v="37440"/>
    <n v="445"/>
    <s v="Federal"/>
    <x v="4"/>
    <n v="0.39410000000000001"/>
    <s v="Town of Chesterton"/>
    <s v="LRC-2021-107"/>
    <s v="2023-69-64-MTM-X"/>
    <m/>
    <s v="Porter"/>
    <n v="41.593614000000002"/>
    <n v="-87.053072999999998"/>
    <s v="Transportation"/>
    <m/>
    <s v="No"/>
    <m/>
    <n v="5616"/>
    <n v="26208"/>
    <n v="5616"/>
    <s v="C"/>
    <s v="J"/>
    <m/>
    <m/>
    <m/>
    <m/>
    <m/>
    <m/>
    <m/>
  </r>
  <r>
    <d v="2023-11-13T00:00:00"/>
    <s v="November"/>
    <n v="2023"/>
    <x v="0"/>
    <n v="-0.77"/>
    <x v="0"/>
    <n v="73150"/>
    <n v="366"/>
    <s v="State Isolated"/>
    <x v="4"/>
    <n v="0.38500000000000001"/>
    <s v="SPIN Munster"/>
    <s v="N/A"/>
    <s v="IWIP-2022-725-45-MTM-A"/>
    <m/>
    <s v="Lake"/>
    <n v="41.549857000000003"/>
    <n v="-87.520040100000003"/>
    <s v="Development"/>
    <m/>
    <s v="No"/>
    <m/>
    <n v="10972.5"/>
    <n v="51205"/>
    <n v="10972.5"/>
    <s v="C"/>
    <s v="SI"/>
    <s v="2 F"/>
    <m/>
    <m/>
    <m/>
    <m/>
    <m/>
    <m/>
  </r>
  <r>
    <d v="2023-11-13T00:00:00"/>
    <s v="November"/>
    <n v="2023"/>
    <x v="0"/>
    <n v="-2.0710000000000002"/>
    <x v="0"/>
    <n v="196745"/>
    <n v="366"/>
    <s v="State Isolated"/>
    <x v="3"/>
    <n v="1.381"/>
    <s v="SPIN Munster"/>
    <s v="N/A"/>
    <s v="IWIP-2022-725-45-MTM-A"/>
    <m/>
    <s v="Lake"/>
    <n v="41.549857000000003"/>
    <n v="-87.520040100000003"/>
    <s v="Development"/>
    <m/>
    <s v="No"/>
    <m/>
    <n v="29511.75"/>
    <n v="137721.5"/>
    <n v="29511.75"/>
    <s v="C"/>
    <s v="SI"/>
    <s v="2 NF"/>
    <m/>
    <m/>
    <m/>
    <m/>
    <m/>
    <m/>
  </r>
  <r>
    <d v="2023-11-30T00:00:00"/>
    <s v="November"/>
    <n v="2023"/>
    <x v="3"/>
    <n v="-1.4339999999999999"/>
    <x v="0"/>
    <n v="114720"/>
    <n v="440"/>
    <s v="Federal"/>
    <x v="4"/>
    <n v="0.47799999999999998"/>
    <s v="M.A. Mortenson Company"/>
    <s v="LRE-2023-00194-102-N23"/>
    <s v="2023-350-2-EJW-A"/>
    <m/>
    <s v="Allen"/>
    <n v="41.168756999999999"/>
    <n v="-85.095179999999999"/>
    <s v="Transportation"/>
    <m/>
    <s v="No"/>
    <m/>
    <n v="17208"/>
    <n v="80304"/>
    <n v="17208"/>
    <s v="D"/>
    <s v="J"/>
    <m/>
    <m/>
    <m/>
    <m/>
    <m/>
    <m/>
    <s v="Service Corridor"/>
  </r>
  <r>
    <d v="2023-11-30T00:00:00"/>
    <s v="November"/>
    <n v="2023"/>
    <x v="3"/>
    <n v="-6.0000000000000001E-3"/>
    <x v="0"/>
    <n v="480"/>
    <n v="440"/>
    <s v="Federal"/>
    <x v="3"/>
    <n v="3.0000000000000001E-3"/>
    <s v="M.A. Mortenson Company"/>
    <s v="LRE-2023-00194-102-N23"/>
    <s v="2023-350-2-EJW-A"/>
    <m/>
    <s v="Allen"/>
    <n v="41.168756999999999"/>
    <n v="-85.095179999999999"/>
    <s v="Transportation"/>
    <m/>
    <s v="No"/>
    <m/>
    <n v="72"/>
    <n v="336"/>
    <n v="72"/>
    <s v="D"/>
    <s v="J"/>
    <m/>
    <m/>
    <m/>
    <m/>
    <m/>
    <m/>
    <s v="Service Corridor"/>
  </r>
  <r>
    <d v="2023-11-30T00:00:00"/>
    <s v="November"/>
    <n v="2023"/>
    <x v="7"/>
    <n v="-76"/>
    <x v="1"/>
    <n v="30400"/>
    <n v="454"/>
    <s v="Federal"/>
    <x v="1"/>
    <n v="127"/>
    <s v="Clark County Board of Commissioners"/>
    <s v="LRL-1994-1330-gjd"/>
    <s v="2023-422-10-JWR-A"/>
    <m/>
    <s v="Clark"/>
    <n v="38.46"/>
    <n v="-85.831199999999995"/>
    <s v="Development"/>
    <m/>
    <s v="No"/>
    <m/>
    <n v="4560"/>
    <n v="21280"/>
    <n v="4560"/>
    <s v="L"/>
    <s v="J"/>
    <m/>
    <m/>
    <m/>
    <m/>
    <m/>
    <m/>
    <m/>
  </r>
  <r>
    <d v="2023-11-30T00:00:00"/>
    <s v="November"/>
    <n v="2023"/>
    <x v="7"/>
    <n v="-1.67"/>
    <x v="0"/>
    <n v="133600"/>
    <n v="454"/>
    <s v="Federal"/>
    <x v="5"/>
    <n v="0.623"/>
    <s v="Clark County Board of Commissioners"/>
    <s v="LRL-1994-1330-gjd"/>
    <s v="2023-422-10-JWR-A"/>
    <m/>
    <s v="Clark"/>
    <n v="38.46"/>
    <n v="-85.831199999999995"/>
    <s v="Development"/>
    <m/>
    <s v="No"/>
    <m/>
    <n v="20040"/>
    <n v="93520"/>
    <n v="20040"/>
    <s v="L"/>
    <s v="J"/>
    <m/>
    <m/>
    <m/>
    <m/>
    <m/>
    <m/>
    <m/>
  </r>
  <r>
    <d v="2023-11-30T00:00:00"/>
    <s v="November"/>
    <n v="2023"/>
    <x v="7"/>
    <n v="-1.63"/>
    <x v="0"/>
    <n v="130400"/>
    <n v="454"/>
    <s v="Federal"/>
    <x v="3"/>
    <n v="0.77300000000000002"/>
    <s v="Clark County Board of Commissioners"/>
    <s v="LRL-1994-1330-gjd"/>
    <s v="2023-422-10-JWR-A"/>
    <m/>
    <s v="Clark"/>
    <n v="38.46"/>
    <n v="-85.831199999999995"/>
    <s v="Development"/>
    <m/>
    <s v="No"/>
    <m/>
    <n v="19560"/>
    <n v="91280"/>
    <n v="19560"/>
    <s v="L"/>
    <s v="J"/>
    <m/>
    <m/>
    <m/>
    <m/>
    <m/>
    <m/>
    <m/>
  </r>
  <r>
    <d v="2023-11-30T00:00:00"/>
    <s v="November"/>
    <n v="2023"/>
    <x v="10"/>
    <n v="-0.248"/>
    <x v="0"/>
    <n v="19840"/>
    <n v="456"/>
    <s v="State Isolated"/>
    <x v="4"/>
    <n v="0.124"/>
    <s v="Shelby County Higthway Department"/>
    <s v="N/A"/>
    <s v="IWIP 2023-303-73-WLR-A"/>
    <m/>
    <s v="Shelby"/>
    <n v="39.652476"/>
    <n v="-85.942843999999994"/>
    <s v="Transportation"/>
    <m/>
    <s v="No"/>
    <m/>
    <n v="2976"/>
    <n v="13888"/>
    <n v="2976"/>
    <s v="L"/>
    <s v="SI"/>
    <s v="2 FO"/>
    <m/>
    <m/>
    <m/>
    <m/>
    <m/>
    <m/>
  </r>
  <r>
    <d v="2023-12-04T00:00:00"/>
    <s v="December"/>
    <n v="2023"/>
    <x v="1"/>
    <n v="-456.6"/>
    <x v="1"/>
    <n v="273960"/>
    <n v="449"/>
    <s v="Federal"/>
    <x v="6"/>
    <n v="456.6"/>
    <s v="INDOT"/>
    <s v="LRC-2022-818"/>
    <s v="2022-1359-64-JBT-X"/>
    <m/>
    <s v="Porter"/>
    <n v="41.439463000000003"/>
    <n v="-86.962601000000006"/>
    <s v="Transportation"/>
    <m/>
    <s v="No"/>
    <m/>
    <n v="41094"/>
    <n v="191772"/>
    <n v="41094"/>
    <s v="C"/>
    <s v="J"/>
    <m/>
    <m/>
    <m/>
    <m/>
    <m/>
    <m/>
    <s v="1703005 Was sold as Calumet-Dunes - needs to be corrected in INRF and determine either refund or credit with INDOT"/>
  </r>
  <r>
    <d v="2023-12-04T00:00:00"/>
    <s v="December"/>
    <n v="2023"/>
    <x v="1"/>
    <n v="-0.312"/>
    <x v="0"/>
    <n v="29640"/>
    <n v="449"/>
    <s v="Federal"/>
    <x v="3"/>
    <n v="0.13"/>
    <s v="INDOT"/>
    <s v="LRC-2022-818"/>
    <s v="2022-1359-64-JBT-X"/>
    <m/>
    <s v="Porter"/>
    <n v="41.439463000000003"/>
    <n v="-86.962601000000006"/>
    <s v="Transportation"/>
    <m/>
    <s v="No"/>
    <m/>
    <n v="4446"/>
    <n v="20748"/>
    <n v="4446"/>
    <s v="C"/>
    <s v="J"/>
    <m/>
    <m/>
    <m/>
    <m/>
    <m/>
    <m/>
    <s v="1703005 Same credit price as Calumet-Dunes, so just need to fix in INRF record as with above"/>
  </r>
  <r>
    <d v="2023-12-04T00:00:00"/>
    <s v="December"/>
    <n v="2023"/>
    <x v="8"/>
    <n v="-129"/>
    <x v="1"/>
    <n v="51600"/>
    <n v="448"/>
    <s v="Federal"/>
    <x v="2"/>
    <n v="129"/>
    <s v="INDOT"/>
    <s v="LRL-2022-936"/>
    <s v="2022-1007-35-JBT-X"/>
    <m/>
    <s v="Huntington"/>
    <n v="40.741500000000002"/>
    <n v="-85.565899999999999"/>
    <s v="Transportation"/>
    <m/>
    <s v="No"/>
    <m/>
    <n v="7740"/>
    <n v="36120"/>
    <n v="7740"/>
    <s v="L"/>
    <s v="J"/>
    <m/>
    <m/>
    <m/>
    <m/>
    <m/>
    <m/>
    <s v="1900242 and 1900241"/>
  </r>
  <r>
    <d v="2023-12-04T00:00:00"/>
    <s v="December"/>
    <n v="2023"/>
    <x v="9"/>
    <n v="-0.74"/>
    <x v="0"/>
    <n v="59200"/>
    <n v="459"/>
    <s v="State Isolated"/>
    <x v="3"/>
    <n v="0.49"/>
    <s v="Bastian Solutions LLC"/>
    <s v="N/A"/>
    <s v="IWIP 2023-781-29-GCW-A"/>
    <m/>
    <s v="Hamilton"/>
    <n v="39.997776999999999"/>
    <n v="-85.956790999999996"/>
    <s v="Development"/>
    <m/>
    <s v="No"/>
    <m/>
    <n v="8880"/>
    <n v="41440"/>
    <n v="8880"/>
    <s v="L"/>
    <s v="I"/>
    <s v="2 NF"/>
    <m/>
    <m/>
    <m/>
    <m/>
    <m/>
    <m/>
  </r>
  <r>
    <d v="2023-12-15T00:00:00"/>
    <s v="December"/>
    <n v="2023"/>
    <x v="0"/>
    <n v="-88"/>
    <x v="1"/>
    <n v="52800"/>
    <n v="450"/>
    <s v="Federal"/>
    <x v="6"/>
    <n v="88"/>
    <s v="INDOT"/>
    <s v="LRC-2023-0054"/>
    <s v="2023-111-45-GCW-X"/>
    <m/>
    <s v="Lake"/>
    <n v="41.499713"/>
    <n v="-87.258708999999996"/>
    <s v="Transportation"/>
    <m/>
    <s v="No"/>
    <m/>
    <n v="7920"/>
    <n v="36960"/>
    <n v="7920"/>
    <s v="C"/>
    <s v="J"/>
    <m/>
    <m/>
    <m/>
    <m/>
    <m/>
    <m/>
    <n v="1703043"/>
  </r>
  <r>
    <d v="2023-12-15T00:00:00"/>
    <s v="December"/>
    <n v="2023"/>
    <x v="0"/>
    <n v="-0.16600000000000001"/>
    <x v="0"/>
    <n v="15770"/>
    <n v="450"/>
    <s v="Federal"/>
    <x v="3"/>
    <n v="8.2799999999999999E-2"/>
    <s v="INDOT"/>
    <s v="LRC-2023-0054"/>
    <s v="2023-111-45-GCW-X"/>
    <m/>
    <s v="Lake"/>
    <n v="41.499713"/>
    <n v="-87.258708999999996"/>
    <s v="Transportation"/>
    <m/>
    <s v="No"/>
    <m/>
    <n v="2365.5"/>
    <n v="11039"/>
    <n v="2365.5"/>
    <s v="C"/>
    <s v="J"/>
    <m/>
    <m/>
    <m/>
    <m/>
    <m/>
    <m/>
    <n v="1703043"/>
  </r>
  <r>
    <d v="2023-12-15T00:00:00"/>
    <s v="December"/>
    <n v="2023"/>
    <x v="6"/>
    <n v="-313"/>
    <x v="1"/>
    <n v="187800"/>
    <n v="461"/>
    <s v="Federal"/>
    <x v="2"/>
    <n v="261"/>
    <s v="INDOT"/>
    <s v="LRE-2022-00522-157-N23"/>
    <s v="2023-684-57-JWR-A"/>
    <m/>
    <s v="Noble"/>
    <n v="41.425072999999998"/>
    <n v="-85.268182999999993"/>
    <s v="Transportation"/>
    <m/>
    <s v="No"/>
    <m/>
    <n v="28170"/>
    <n v="131460"/>
    <n v="28170"/>
    <s v="D"/>
    <s v="J"/>
    <m/>
    <m/>
    <m/>
    <m/>
    <m/>
    <m/>
    <s v="DES No. 1900138"/>
  </r>
  <r>
    <d v="2023-12-15T00:00:00"/>
    <s v="December"/>
    <n v="2023"/>
    <x v="6"/>
    <n v="-0.7"/>
    <x v="0"/>
    <n v="84000"/>
    <n v="461"/>
    <s v="Federal"/>
    <x v="3"/>
    <n v="0.28999999999999998"/>
    <s v="INDOT"/>
    <s v="LRE-2022-00522-157-N23"/>
    <s v="2023-684-57-JWR-A"/>
    <m/>
    <s v="Noble"/>
    <n v="41.425072999999998"/>
    <n v="-85.268182999999993"/>
    <s v="Transportation"/>
    <m/>
    <s v="No"/>
    <m/>
    <n v="12600"/>
    <n v="58799.999999999993"/>
    <n v="12600"/>
    <s v="D"/>
    <s v="J"/>
    <m/>
    <m/>
    <m/>
    <m/>
    <m/>
    <m/>
    <s v="DES No. 1900138"/>
  </r>
  <r>
    <d v="2023-12-15T00:00:00"/>
    <s v="December"/>
    <n v="2023"/>
    <x v="7"/>
    <n v="-104"/>
    <x v="1"/>
    <n v="41600"/>
    <n v="455"/>
    <s v="Federal"/>
    <x v="1"/>
    <n v="890"/>
    <s v="INDOT"/>
    <s v="LRL-2023-200-dds"/>
    <s v="2023-190-15-JBT-A"/>
    <m/>
    <s v="Dearborn, Ripley, Crawford"/>
    <n v="39.107306000000001"/>
    <n v="-85.047321999999994"/>
    <s v="Transportation"/>
    <m/>
    <s v="No"/>
    <m/>
    <n v="6240"/>
    <n v="29119.999999999996"/>
    <n v="6240"/>
    <s v="L"/>
    <s v="J"/>
    <m/>
    <m/>
    <m/>
    <m/>
    <m/>
    <m/>
    <s v="Linear project with several points. DES No. 2000516"/>
  </r>
  <r>
    <d v="2023-12-15T00:00:00"/>
    <s v="December"/>
    <n v="2023"/>
    <x v="8"/>
    <n v="-0.04"/>
    <x v="0"/>
    <n v="3200"/>
    <n v="451"/>
    <s v="Federal"/>
    <x v="4"/>
    <n v="0.01"/>
    <s v="INDOT"/>
    <s v="LRL-2022-118"/>
    <s v="2021-168-27-JBT-A"/>
    <m/>
    <s v="Grant "/>
    <n v="40.614331"/>
    <n v="-85.693918999999994"/>
    <s v="Transportation"/>
    <m/>
    <s v="No"/>
    <m/>
    <n v="480"/>
    <n v="2240"/>
    <n v="480"/>
    <s v="L"/>
    <s v="J"/>
    <m/>
    <m/>
    <m/>
    <m/>
    <m/>
    <m/>
    <s v="DES 2001581"/>
  </r>
  <r>
    <d v="2023-12-15T00:00:00"/>
    <s v="December"/>
    <n v="2023"/>
    <x v="8"/>
    <n v="-178"/>
    <x v="1"/>
    <n v="71200"/>
    <n v="451"/>
    <s v="Federal"/>
    <x v="2"/>
    <n v="175"/>
    <s v="INDOT"/>
    <s v="LRL-2022-118"/>
    <s v="2021-168-27-JBT-A"/>
    <m/>
    <s v="Grant "/>
    <n v="40.614331"/>
    <n v="-85.693918999999994"/>
    <s v="Transportation"/>
    <m/>
    <s v="No"/>
    <m/>
    <n v="10680"/>
    <n v="49840"/>
    <n v="10680"/>
    <s v="L"/>
    <s v="J"/>
    <m/>
    <m/>
    <m/>
    <m/>
    <m/>
    <m/>
    <s v="DES 2001581"/>
  </r>
  <r>
    <d v="2023-12-15T00:00:00"/>
    <s v="December"/>
    <n v="2023"/>
    <x v="10"/>
    <n v="-4"/>
    <x v="1"/>
    <n v="1600"/>
    <n v="447"/>
    <s v="Federal"/>
    <x v="1"/>
    <n v="4"/>
    <s v="INDOT"/>
    <s v="LRL-2022-898-scm"/>
    <s v="2022-1112-15-JBT-A"/>
    <m/>
    <s v="Dearborn"/>
    <s v="39.277158,"/>
    <n v="-84.903295"/>
    <s v="Transportation"/>
    <m/>
    <s v="No"/>
    <m/>
    <n v="240"/>
    <n v="1120"/>
    <n v="240"/>
    <s v="L"/>
    <s v="J"/>
    <m/>
    <m/>
    <m/>
    <m/>
    <m/>
    <m/>
    <n v="1600539"/>
  </r>
  <r>
    <d v="2023-12-15T00:00:00"/>
    <s v="December"/>
    <n v="2023"/>
    <x v="10"/>
    <n v="-314"/>
    <x v="1"/>
    <n v="125600"/>
    <n v="447"/>
    <s v="Federal"/>
    <x v="6"/>
    <n v="314"/>
    <s v="INDOT"/>
    <s v="LRL-2022-898-scm"/>
    <s v="2022-1112-15-JBT-A"/>
    <m/>
    <s v="Dearborn"/>
    <s v="39.277158,"/>
    <n v="-84.903295"/>
    <s v="Transportation"/>
    <m/>
    <s v="No"/>
    <m/>
    <n v="18840"/>
    <n v="87920"/>
    <n v="18840"/>
    <s v="L"/>
    <s v="J"/>
    <m/>
    <m/>
    <m/>
    <m/>
    <m/>
    <m/>
    <n v="1600539"/>
  </r>
  <r>
    <d v="2023-12-21T00:00:00"/>
    <s v="December"/>
    <n v="2023"/>
    <x v="8"/>
    <n v="-5.5999999999999999E-3"/>
    <x v="0"/>
    <n v="448"/>
    <n v="441"/>
    <s v="Federal"/>
    <x v="3"/>
    <n v="2.8E-3"/>
    <s v="Kiewit Power Constructors Co."/>
    <s v="LRL-2023-00195-jde"/>
    <s v="2023-203-27-EJW-A"/>
    <m/>
    <s v="Grant"/>
    <n v="40.574525999999999"/>
    <n v="-85.655218000000005"/>
    <s v="Transportation"/>
    <m/>
    <s v="No"/>
    <m/>
    <n v="67.2"/>
    <n v="313.59999999999997"/>
    <n v="67.2"/>
    <s v="L"/>
    <s v="J"/>
    <m/>
    <m/>
    <m/>
    <m/>
    <m/>
    <m/>
    <s v="Lat/Long start location of linear project"/>
  </r>
  <r>
    <d v="2023-12-21T00:00:00"/>
    <s v="December"/>
    <n v="2023"/>
    <x v="8"/>
    <n v="-2.3999999999999998E-3"/>
    <x v="0"/>
    <n v="192"/>
    <n v="441"/>
    <s v="Federal"/>
    <x v="5"/>
    <n v="8.0000000000000004E-4"/>
    <s v="Kiewit Power Constructors Co."/>
    <s v="LRL-2023-00195-jde"/>
    <s v="2023-203-27-EJW-A"/>
    <m/>
    <s v="Grant"/>
    <n v="40.574525999999999"/>
    <n v="-85.655218000000005"/>
    <s v="Transportation"/>
    <m/>
    <s v="No"/>
    <m/>
    <n v="28.799999999999997"/>
    <n v="134.39999999999998"/>
    <n v="28.799999999999997"/>
    <s v="L"/>
    <s v="J"/>
    <m/>
    <m/>
    <m/>
    <m/>
    <m/>
    <m/>
    <s v="Lat/Long start location of linear project"/>
  </r>
  <r>
    <d v="2023-12-21T00:00:00"/>
    <s v="December"/>
    <n v="2023"/>
    <x v="8"/>
    <n v="-1.26"/>
    <x v="0"/>
    <n v="100800"/>
    <n v="441"/>
    <s v="Federal"/>
    <x v="4"/>
    <n v="0.42"/>
    <s v="Kiewit Power Constructors Co."/>
    <s v="LRL-2023-00195-jde"/>
    <s v="2023-203-27-EJW-A"/>
    <m/>
    <s v="Grant"/>
    <n v="40.574525999999999"/>
    <n v="-85.655218000000005"/>
    <s v="Transportation"/>
    <m/>
    <s v="No"/>
    <m/>
    <n v="15120"/>
    <n v="70560"/>
    <n v="15120"/>
    <s v="L"/>
    <s v="J"/>
    <m/>
    <m/>
    <m/>
    <m/>
    <m/>
    <m/>
    <s v="Lat/Long start location of linear project"/>
  </r>
  <r>
    <d v="2023-12-22T00:00:00"/>
    <s v="December"/>
    <n v="2023"/>
    <x v="5"/>
    <n v="-180"/>
    <x v="1"/>
    <n v="72000"/>
    <n v="457"/>
    <s v="Federal"/>
    <x v="1"/>
    <n v="471"/>
    <s v="Vanderburgh County"/>
    <s v="LRL-2022-1077-tmb"/>
    <s v="2022-1362-82-JWR"/>
    <m/>
    <s v="Vanderburgh"/>
    <n v="38.042512000000002"/>
    <n v="-87.509769000000006"/>
    <s v="Transportation"/>
    <m/>
    <s v="No"/>
    <m/>
    <n v="10800"/>
    <n v="50400"/>
    <n v="10800"/>
    <s v="L"/>
    <s v="J"/>
    <m/>
    <m/>
    <m/>
    <m/>
    <m/>
    <m/>
    <m/>
  </r>
  <r>
    <d v="2023-12-22T00:00:00"/>
    <s v="December"/>
    <n v="2023"/>
    <x v="5"/>
    <n v="-154"/>
    <x v="1"/>
    <n v="61600"/>
    <n v="457"/>
    <s v="Federal"/>
    <x v="2"/>
    <n v="593"/>
    <s v="Vanderburgh County"/>
    <s v="LRL-2022-1077-tmb"/>
    <s v="2022-1362-82-JWR"/>
    <m/>
    <s v="Vanderburgh"/>
    <n v="38.042512000000002"/>
    <n v="-87.509769000000006"/>
    <s v="Transportation"/>
    <m/>
    <s v="No"/>
    <m/>
    <n v="9240"/>
    <n v="43120"/>
    <n v="9240"/>
    <s v="L"/>
    <s v="J"/>
    <m/>
    <m/>
    <m/>
    <m/>
    <m/>
    <m/>
    <m/>
  </r>
  <r>
    <d v="2023-12-22T00:00:00"/>
    <s v="December"/>
    <n v="2023"/>
    <x v="5"/>
    <n v="-257.5"/>
    <x v="1"/>
    <n v="103000"/>
    <n v="458"/>
    <s v="Federal"/>
    <x v="1"/>
    <n v="896.5"/>
    <s v="Vanderburgh County"/>
    <s v="LRL-2023-00275-dsp "/>
    <s v="2023-445-82-WLR-A"/>
    <m/>
    <s v="Vanderburgh"/>
    <n v="38.085591999999998"/>
    <n v="-87.505643000000006"/>
    <s v="Transportation"/>
    <m/>
    <s v="No"/>
    <m/>
    <n v="15450"/>
    <n v="72100"/>
    <n v="15450"/>
    <s v="L"/>
    <s v="J"/>
    <m/>
    <m/>
    <m/>
    <m/>
    <m/>
    <m/>
    <m/>
  </r>
  <r>
    <d v="2023-12-22T00:00:00"/>
    <s v="December"/>
    <n v="2023"/>
    <x v="5"/>
    <n v="-258"/>
    <x v="1"/>
    <n v="103200"/>
    <n v="458"/>
    <s v="Federal"/>
    <x v="2"/>
    <n v="335"/>
    <s v="Vanderburgh County"/>
    <s v="LRL-2023-00275-dsp "/>
    <s v="2023-445-82-WLR-A"/>
    <m/>
    <s v="Vanderburgh"/>
    <n v="38.085591999999998"/>
    <n v="-87.505643000000006"/>
    <s v="Transportation"/>
    <m/>
    <s v="No"/>
    <m/>
    <n v="15480"/>
    <n v="72240"/>
    <n v="15480"/>
    <s v="L"/>
    <s v="J"/>
    <m/>
    <m/>
    <m/>
    <m/>
    <m/>
    <m/>
    <m/>
  </r>
  <r>
    <d v="2023-12-22T00:00:00"/>
    <s v="December"/>
    <n v="2023"/>
    <x v="5"/>
    <n v="-0.16900000000000001"/>
    <x v="0"/>
    <n v="13520"/>
    <n v="458"/>
    <s v="Federal"/>
    <x v="3"/>
    <n v="8.4500000000000006E-2"/>
    <s v="Vanderburgh County"/>
    <s v="LRL-2023-00275-dsp "/>
    <s v="2023-445-82-WLR-A"/>
    <m/>
    <s v="Vanderburgh"/>
    <n v="38.085591999999998"/>
    <n v="-87.505643000000006"/>
    <s v="Transportation"/>
    <m/>
    <s v="No"/>
    <m/>
    <n v="2028"/>
    <n v="9464"/>
    <n v="2028"/>
    <s v="L"/>
    <s v="J"/>
    <m/>
    <m/>
    <m/>
    <m/>
    <m/>
    <m/>
    <m/>
  </r>
  <r>
    <d v="2023-12-22T00:00:00"/>
    <s v="December"/>
    <n v="2023"/>
    <x v="7"/>
    <n v="-68"/>
    <x v="1"/>
    <n v="27200"/>
    <n v="467"/>
    <s v="Federal"/>
    <x v="1"/>
    <n v="68"/>
    <s v="Clark County Board of Commissioners"/>
    <s v="LRL-2013-00374"/>
    <s v="2021-189-10-TMS-A"/>
    <m/>
    <s v="Clark"/>
    <n v="38.457000000000001"/>
    <n v="-85.847740000000002"/>
    <s v="Development"/>
    <m/>
    <s v="No"/>
    <m/>
    <n v="4080"/>
    <n v="19040"/>
    <n v="4080"/>
    <s v="L"/>
    <s v="SI"/>
    <m/>
    <m/>
    <m/>
    <m/>
    <m/>
    <m/>
    <s v="3 of 7"/>
  </r>
  <r>
    <d v="2023-12-22T00:00:00"/>
    <s v="December"/>
    <n v="2023"/>
    <x v="7"/>
    <n v="-220"/>
    <x v="1"/>
    <n v="88000"/>
    <n v="467"/>
    <s v="Federal"/>
    <x v="2"/>
    <n v="220"/>
    <s v="Clark County Board of Commissioners"/>
    <s v="LRL-2013-00374"/>
    <s v="2021-189-10-TMS-A"/>
    <m/>
    <s v="Clark"/>
    <n v="38.457000000000001"/>
    <n v="-85.847740000000002"/>
    <s v="Development"/>
    <m/>
    <s v="No"/>
    <m/>
    <n v="13200"/>
    <n v="61599.999999999993"/>
    <n v="13200"/>
    <s v="L"/>
    <s v="SI"/>
    <m/>
    <m/>
    <m/>
    <m/>
    <m/>
    <m/>
    <s v="3 of 7"/>
  </r>
  <r>
    <d v="2023-12-22T00:00:00"/>
    <s v="December"/>
    <n v="2023"/>
    <x v="7"/>
    <n v="-1.2"/>
    <x v="0"/>
    <n v="96000"/>
    <n v="467"/>
    <s v="Federal"/>
    <x v="3"/>
    <n v="1.2"/>
    <s v="Clark County Board of Commissioners"/>
    <s v="LRL-2013-00374"/>
    <s v="2021-189-10-TMS-A"/>
    <m/>
    <s v="Clark"/>
    <n v="38.457000000000001"/>
    <n v="-85.847740000000002"/>
    <s v="Development"/>
    <m/>
    <s v="No"/>
    <m/>
    <n v="14400"/>
    <n v="67200"/>
    <n v="14400"/>
    <s v="L"/>
    <s v="SI"/>
    <m/>
    <m/>
    <m/>
    <m/>
    <m/>
    <m/>
    <s v="3 of 7"/>
  </r>
  <r>
    <d v="2023-12-22T00:00:00"/>
    <s v="December"/>
    <n v="2023"/>
    <x v="7"/>
    <n v="-0.1"/>
    <x v="0"/>
    <n v="8000"/>
    <n v="467"/>
    <s v="Federal"/>
    <x v="4"/>
    <n v="0.1"/>
    <s v="Clark County Board of Commissioners"/>
    <s v="LRL-2013-00374"/>
    <s v="2021-189-10-TMS-A"/>
    <m/>
    <s v="Clark"/>
    <n v="38.457000000000001"/>
    <n v="-85.847740000000002"/>
    <s v="Development"/>
    <m/>
    <s v="No"/>
    <m/>
    <n v="1200"/>
    <n v="5600"/>
    <n v="1200"/>
    <s v="L"/>
    <s v="SI"/>
    <m/>
    <m/>
    <m/>
    <m/>
    <m/>
    <m/>
    <s v="3 of 7"/>
  </r>
  <r>
    <d v="2023-12-22T00:00:00"/>
    <s v="December"/>
    <n v="2023"/>
    <x v="8"/>
    <n v="-37"/>
    <x v="1"/>
    <n v="14800"/>
    <n v="462"/>
    <s v="Federal"/>
    <x v="2"/>
    <n v="37"/>
    <s v="INDOT"/>
    <s v="LRL-2023-00493-DDC "/>
    <s v="2023-613-85-JWR-X "/>
    <m/>
    <s v="Wabash"/>
    <n v="40.803916000000001"/>
    <n v="-85.903412000000003"/>
    <s v="Transportation"/>
    <m/>
    <s v="No"/>
    <m/>
    <n v="2220"/>
    <n v="10360"/>
    <n v="2220"/>
    <s v="L"/>
    <s v="J"/>
    <m/>
    <m/>
    <m/>
    <m/>
    <m/>
    <m/>
    <n v="1900080"/>
  </r>
  <r>
    <d v="2023-12-22T00:00:00"/>
    <s v="December"/>
    <n v="2023"/>
    <x v="9"/>
    <n v="-0.02"/>
    <x v="0"/>
    <n v="160"/>
    <n v="452"/>
    <s v="State Isolated"/>
    <x v="3"/>
    <n v="1E-3"/>
    <s v="INDOT"/>
    <s v="N/A"/>
    <s v="IWIP 2023-460-35-JBT-A"/>
    <m/>
    <s v="Hendricks"/>
    <n v="39.7577"/>
    <n v="-86.457887999999997"/>
    <s v="Transportation"/>
    <m/>
    <s v="No"/>
    <m/>
    <n v="24"/>
    <n v="112"/>
    <n v="24"/>
    <s v="L"/>
    <s v="I"/>
    <m/>
    <m/>
    <m/>
    <m/>
    <m/>
    <m/>
    <n v="1900357"/>
  </r>
  <r>
    <m/>
    <m/>
    <m/>
    <x v="11"/>
    <m/>
    <x v="2"/>
    <m/>
    <m/>
    <m/>
    <x v="0"/>
    <m/>
    <m/>
    <m/>
    <m/>
    <m/>
    <m/>
    <m/>
    <m/>
    <m/>
    <m/>
    <m/>
    <m/>
    <m/>
    <m/>
    <m/>
    <m/>
    <m/>
    <m/>
    <m/>
    <m/>
    <m/>
    <m/>
    <m/>
    <m/>
  </r>
  <r>
    <d v="2024-01-12T00:00:00"/>
    <s v="January"/>
    <n v="2024"/>
    <x v="0"/>
    <n v="-1.38"/>
    <x v="0"/>
    <n v="131100"/>
    <n v="460"/>
    <s v="Federal"/>
    <x v="3"/>
    <n v="0.9"/>
    <s v="Mississippi Parkway Partners"/>
    <s v="LRC-2022-00250"/>
    <s v="2022-662-45-MTM-A"/>
    <m/>
    <s v="Lake"/>
    <n v="41.375649000000003"/>
    <n v="-87.312011999999996"/>
    <s v="Development"/>
    <m/>
    <s v="No"/>
    <m/>
    <n v="19665"/>
    <n v="91770"/>
    <n v="19665"/>
    <s v="C"/>
    <s v="J"/>
    <m/>
    <m/>
    <m/>
    <m/>
    <m/>
    <m/>
    <m/>
  </r>
  <r>
    <d v="2024-01-12T00:00:00"/>
    <s v="January"/>
    <n v="2024"/>
    <x v="0"/>
    <n v="-0.65"/>
    <x v="0"/>
    <n v="61750"/>
    <n v="465"/>
    <s v="State Isolated"/>
    <x v="3"/>
    <n v="0.65"/>
    <s v="Gary Material Supply"/>
    <s v="N/A"/>
    <s v="IWIP 2022-32-45-MTM-A"/>
    <m/>
    <s v="Lake"/>
    <n v="41.592683000000001"/>
    <n v="-87.425911999999997"/>
    <s v="Development"/>
    <m/>
    <s v="No"/>
    <m/>
    <n v="9262.5"/>
    <n v="43225"/>
    <n v="9262.5"/>
    <s v="C"/>
    <s v="SI"/>
    <s v="3 NF"/>
    <m/>
    <m/>
    <m/>
    <m/>
    <m/>
    <m/>
  </r>
  <r>
    <d v="2024-01-12T00:00:00"/>
    <s v="January"/>
    <n v="2024"/>
    <x v="8"/>
    <n v="-0.5"/>
    <x v="0"/>
    <n v="40000"/>
    <n v="466"/>
    <s v="Federal"/>
    <x v="4"/>
    <n v="0.5"/>
    <s v="Taylor University"/>
    <s v="LRL-2013-00869-sjk"/>
    <s v="2013-506-27-HAP-V"/>
    <m/>
    <s v="Grant"/>
    <n v="40.452800000000003"/>
    <n v="-85.499099999999999"/>
    <s v="Development"/>
    <m/>
    <s v="No"/>
    <m/>
    <n v="6000"/>
    <n v="28000"/>
    <n v="6000"/>
    <s v="L"/>
    <s v="J"/>
    <m/>
    <m/>
    <m/>
    <m/>
    <m/>
    <m/>
    <m/>
  </r>
  <r>
    <d v="2024-01-12T00:00:00"/>
    <s v="January"/>
    <n v="2024"/>
    <x v="9"/>
    <n v="-1.7250000000000001"/>
    <x v="0"/>
    <n v="138000"/>
    <n v="468"/>
    <s v="State Isolated"/>
    <x v="4"/>
    <n v="1.7250000000000001"/>
    <s v="Chill Land, LLC"/>
    <s v="N/A"/>
    <s v="IWIP 2023-280-6-ERL-A"/>
    <m/>
    <s v="Boone"/>
    <n v="39.947789"/>
    <n v="-86.384957"/>
    <s v="Development"/>
    <m/>
    <s v="No"/>
    <m/>
    <n v="20700"/>
    <n v="96600"/>
    <n v="20700"/>
    <s v="L"/>
    <s v="SI"/>
    <s v="3 FO"/>
    <m/>
    <m/>
    <m/>
    <m/>
    <m/>
    <m/>
  </r>
  <r>
    <d v="2024-01-26T00:00:00"/>
    <s v="January"/>
    <n v="2024"/>
    <x v="9"/>
    <n v="-153.5"/>
    <x v="1"/>
    <n v="69075"/>
    <n v="469"/>
    <s v="Federal"/>
    <x v="6"/>
    <n v="155"/>
    <s v="Epcon Communities"/>
    <s v="LRL-2016-00893-jde"/>
    <s v="2023-509-6-MRP-A"/>
    <m/>
    <s v="Boone"/>
    <n v="39.947549000000002"/>
    <n v="-86.294589000000002"/>
    <s v="Development"/>
    <m/>
    <s v="No"/>
    <m/>
    <n v="10361.25"/>
    <n v="48352.5"/>
    <n v="10361.25"/>
    <s v="L"/>
    <s v="J"/>
    <m/>
    <m/>
    <m/>
    <m/>
    <m/>
    <m/>
    <m/>
  </r>
  <r>
    <d v="2024-01-31T00:00:00"/>
    <s v="January"/>
    <n v="2024"/>
    <x v="1"/>
    <n v="123"/>
    <x v="1"/>
    <n v="-61500"/>
    <n v="302"/>
    <s v="Federal"/>
    <x v="6"/>
    <n v="123"/>
    <s v="INDOT"/>
    <s v="LRE-2008-01048-156-R21"/>
    <s v="2021-712-56-JBT-A"/>
    <m/>
    <s v="Newton"/>
    <n v="40.865900000000003"/>
    <n v="-87.281000000000006"/>
    <s v="Transportation"/>
    <s v="Credit Refund to INDOT 1/31/2023"/>
    <s v="n/a"/>
    <d v="2023-01-31T00:00:00"/>
    <n v="-9225"/>
    <n v="-43050"/>
    <n v="-9225"/>
    <s v="D"/>
    <s v="J"/>
    <m/>
    <m/>
    <s v="Credit Refund to INDOT"/>
    <m/>
    <m/>
    <m/>
    <s v="Corps verified no mitigation required. *Refund 1/31/24"/>
  </r>
  <r>
    <d v="2024-01-31T00:00:00"/>
    <s v="January"/>
    <n v="2024"/>
    <x v="1"/>
    <n v="1.7999999999999999E-2"/>
    <x v="0"/>
    <n v="-1710"/>
    <n v="302"/>
    <s v="Federal"/>
    <x v="3"/>
    <n v="8.9999999999999993E-3"/>
    <s v="INDOT"/>
    <s v="LRE-2008-01048-156-R21"/>
    <s v="2021-712-56-JBT-A"/>
    <m/>
    <s v="Newton"/>
    <n v="40.865900000000003"/>
    <n v="-87.281000000000006"/>
    <s v="Transportation"/>
    <s v="Credit Refund to INDOT 1/31/2023"/>
    <s v="n/a"/>
    <d v="2023-01-31T00:00:00"/>
    <n v="-256.5"/>
    <n v="-1197"/>
    <n v="-256.5"/>
    <s v="D"/>
    <s v="J"/>
    <m/>
    <m/>
    <s v="Credit Refund to INDOT"/>
    <m/>
    <m/>
    <m/>
    <s v="Corps verified no mitigation required. *Refund 1/31/24"/>
  </r>
  <r>
    <d v="2024-02-05T00:00:00"/>
    <s v="February"/>
    <n v="2024"/>
    <x v="9"/>
    <n v="-1.36"/>
    <x v="0"/>
    <n v="108800"/>
    <n v="477"/>
    <s v="State Isolated"/>
    <x v="3"/>
    <n v="0.68"/>
    <s v="BHI Senior Living"/>
    <s v="N/A"/>
    <s v="IWIP 2023-800-6-MPY-A"/>
    <m/>
    <s v="Boone"/>
    <n v="39.930031"/>
    <n v="-86.247806999999995"/>
    <s v="Development"/>
    <m/>
    <s v="No"/>
    <m/>
    <n v="16320"/>
    <n v="76160"/>
    <n v="16320"/>
    <s v="L"/>
    <s v="SI"/>
    <s v="3 FO"/>
    <m/>
    <m/>
    <m/>
    <m/>
    <m/>
    <m/>
  </r>
  <r>
    <d v="2024-02-05T00:00:00"/>
    <s v="February"/>
    <n v="2024"/>
    <x v="9"/>
    <n v="-0.67"/>
    <x v="0"/>
    <n v="53600"/>
    <n v="477"/>
    <s v="State Isolated"/>
    <x v="4"/>
    <n v="0.27"/>
    <s v="BHI Senior Living"/>
    <s v="N/A"/>
    <s v="IWIP 2023-800-6-MPY-A"/>
    <m/>
    <s v="Boone"/>
    <n v="39.930031"/>
    <n v="-86.247806999999995"/>
    <s v="Development"/>
    <m/>
    <s v="No"/>
    <m/>
    <n v="8040"/>
    <n v="37520"/>
    <n v="8040"/>
    <s v="L"/>
    <s v="SI"/>
    <s v="3 FO"/>
    <m/>
    <m/>
    <m/>
    <m/>
    <m/>
    <m/>
  </r>
  <r>
    <d v="2024-02-07T00:00:00"/>
    <s v="February"/>
    <n v="2024"/>
    <x v="8"/>
    <n v="-47"/>
    <x v="1"/>
    <n v="18800"/>
    <n v="471"/>
    <s v="Federal"/>
    <x v="2"/>
    <n v="47"/>
    <s v="INDOT"/>
    <s v="LRL-2023-915-djd"/>
    <s v="2023-1098-90-GCW-X"/>
    <m/>
    <s v="Wells"/>
    <n v="40.822166000000003"/>
    <n v="-85.311150999999995"/>
    <s v="Transportation"/>
    <m/>
    <s v="No"/>
    <m/>
    <n v="2820"/>
    <n v="13160"/>
    <n v="2820"/>
    <s v="L"/>
    <s v="J"/>
    <m/>
    <m/>
    <m/>
    <m/>
    <m/>
    <m/>
    <m/>
  </r>
  <r>
    <d v="2024-02-07T00:00:00"/>
    <s v="February"/>
    <n v="2024"/>
    <x v="8"/>
    <n v="-0.64"/>
    <x v="0"/>
    <n v="51200"/>
    <n v="471"/>
    <s v="Federal"/>
    <x v="4"/>
    <n v="0.16"/>
    <s v="INDOT"/>
    <s v="LRL-2023-915-djd"/>
    <s v="2023-1098-90-GCW-X"/>
    <m/>
    <s v="Wells"/>
    <n v="40.822166000000003"/>
    <n v="-85.311150999999995"/>
    <s v="Transportation"/>
    <m/>
    <s v="No"/>
    <m/>
    <n v="7680"/>
    <n v="35840"/>
    <n v="7680"/>
    <s v="L"/>
    <s v="J"/>
    <m/>
    <m/>
    <m/>
    <m/>
    <m/>
    <m/>
    <m/>
  </r>
  <r>
    <d v="2024-02-16T00:00:00"/>
    <s v="February"/>
    <n v="2024"/>
    <x v="8"/>
    <n v="-1.5"/>
    <x v="0"/>
    <n v="120000"/>
    <n v="463"/>
    <s v="State Isolated"/>
    <x v="3"/>
    <n v="1.5"/>
    <s v="Van Rooy Properties"/>
    <s v="N/A"/>
    <s v="IWIP 2023-644-79-MPY-A"/>
    <m/>
    <s v="Tippecanoe"/>
    <n v="40.411695999999999"/>
    <n v="-86.825644999999994"/>
    <s v="Development"/>
    <m/>
    <s v="No"/>
    <m/>
    <n v="18000"/>
    <n v="84000"/>
    <n v="18000"/>
    <s v="L"/>
    <s v="SI"/>
    <m/>
    <m/>
    <m/>
    <m/>
    <m/>
    <m/>
    <m/>
  </r>
  <r>
    <d v="2024-02-20T00:00:00"/>
    <s v="February"/>
    <n v="2024"/>
    <x v="9"/>
    <n v="-8.4250000000000007"/>
    <x v="0"/>
    <n v="674000"/>
    <n v="482"/>
    <s v="State Isolated"/>
    <x v="4"/>
    <n v="3.37"/>
    <s v="Gershman Partners"/>
    <s v="N/A"/>
    <s v="IWIP 2023-430-49-WLR-A"/>
    <m/>
    <s v="Marion"/>
    <n v="39.641040699999998"/>
    <n v="-86.066323299999993"/>
    <s v="Development"/>
    <m/>
    <s v="No"/>
    <m/>
    <n v="101100"/>
    <n v="471799.99999999994"/>
    <n v="101100"/>
    <s v="L"/>
    <s v="SI"/>
    <s v="3 FO"/>
    <m/>
    <m/>
    <m/>
    <m/>
    <m/>
    <m/>
  </r>
  <r>
    <d v="2024-02-20T00:00:00"/>
    <s v="February"/>
    <n v="2024"/>
    <x v="10"/>
    <n v="-12"/>
    <x v="1"/>
    <n v="4800"/>
    <n v="472"/>
    <s v="Federal"/>
    <x v="2"/>
    <n v="10"/>
    <s v="Heritage Estates, LLC"/>
    <s v="LRL:2023-00969-sea"/>
    <s v="2023-865-40-JLB-A"/>
    <m/>
    <s v="Jennings"/>
    <n v="38.997250000000001"/>
    <n v="-85.650336999999993"/>
    <s v="Development"/>
    <m/>
    <s v="No"/>
    <m/>
    <n v="720"/>
    <n v="3360"/>
    <n v="720"/>
    <s v="L"/>
    <s v="J"/>
    <m/>
    <m/>
    <m/>
    <m/>
    <m/>
    <m/>
    <m/>
  </r>
  <r>
    <d v="2024-02-20T00:00:00"/>
    <s v="February"/>
    <n v="2024"/>
    <x v="10"/>
    <n v="-1.2"/>
    <x v="0"/>
    <n v="96000"/>
    <n v="472"/>
    <s v="Federal"/>
    <x v="5"/>
    <n v="0.48"/>
    <s v="Heritage Estates, LLC"/>
    <s v="LRL:2023-00969-sea"/>
    <s v="2023-865-40-JLB-A"/>
    <m/>
    <s v="Jennings"/>
    <n v="38.997250000000001"/>
    <n v="-85.650336999999993"/>
    <s v="Development"/>
    <m/>
    <s v="No"/>
    <m/>
    <n v="14400"/>
    <n v="67200"/>
    <n v="14400"/>
    <s v="L"/>
    <s v="J"/>
    <m/>
    <m/>
    <m/>
    <m/>
    <m/>
    <m/>
    <m/>
  </r>
  <r>
    <d v="2024-02-23T00:00:00"/>
    <s v="February"/>
    <n v="2024"/>
    <x v="9"/>
    <n v="-3.9350000000000001"/>
    <x v="0"/>
    <n v="314800"/>
    <n v="475"/>
    <s v="Federal"/>
    <x v="4"/>
    <n v="0.67800000000000005"/>
    <s v="City of Noblesville"/>
    <s v="LRL-2021-01807-DDC"/>
    <s v="2022-784-29-EKB-A"/>
    <m/>
    <s v="Hamilton"/>
    <n v="40.028688000000002"/>
    <n v="-86.009584000000004"/>
    <s v="Energy"/>
    <m/>
    <s v="No"/>
    <m/>
    <n v="47220"/>
    <n v="220360"/>
    <n v="47220"/>
    <s v="L"/>
    <s v="J"/>
    <m/>
    <m/>
    <m/>
    <m/>
    <m/>
    <m/>
    <m/>
  </r>
  <r>
    <d v="2024-03-07T00:00:00"/>
    <s v="March"/>
    <n v="2024"/>
    <x v="4"/>
    <n v="-43"/>
    <x v="1"/>
    <n v="17200"/>
    <n v="473"/>
    <s v="Federal"/>
    <x v="2"/>
    <n v="383"/>
    <s v="INDOT"/>
    <s v="LRL-2022-1036-scm"/>
    <s v="2022-1376-83-JBT-X"/>
    <m/>
    <s v="Vermillion "/>
    <n v="40.117241999999997"/>
    <n v="-87.452340000000007"/>
    <s v="Transportation"/>
    <m/>
    <s v="No"/>
    <m/>
    <n v="2580"/>
    <n v="12040"/>
    <n v="2580"/>
    <s v="L"/>
    <s v="J"/>
    <m/>
    <m/>
    <m/>
    <m/>
    <m/>
    <m/>
    <s v="DES NO: 1800187"/>
  </r>
  <r>
    <d v="2024-03-07T00:00:00"/>
    <s v="March"/>
    <n v="2024"/>
    <x v="6"/>
    <n v="-4.3339999999999996"/>
    <x v="0"/>
    <n v="520080"/>
    <n v="487"/>
    <s v="State Isolated"/>
    <x v="3"/>
    <n v="3.044"/>
    <s v="Universal Guaranty Company"/>
    <s v="N/A"/>
    <s v="IWIP 2023-1175-20-SCF-A"/>
    <m/>
    <s v="Elkhart"/>
    <n v="41.662261999999998"/>
    <n v="-86.022976999999997"/>
    <s v="Development"/>
    <m/>
    <s v="No"/>
    <m/>
    <n v="78012"/>
    <n v="364056"/>
    <n v="78012"/>
    <s v="D"/>
    <s v="SI"/>
    <s v="2 NF"/>
    <m/>
    <m/>
    <m/>
    <m/>
    <m/>
    <m/>
  </r>
  <r>
    <d v="2024-03-07T00:00:00"/>
    <s v="March"/>
    <n v="2024"/>
    <x v="6"/>
    <n v="-0.79500000000000004"/>
    <x v="0"/>
    <n v="95400"/>
    <n v="487"/>
    <s v="State Isolated"/>
    <x v="4"/>
    <n v="0.53"/>
    <s v="Universal Guaranty Company"/>
    <s v="N/A"/>
    <s v="IWIP 2023-1175-20-SCF-A"/>
    <m/>
    <s v="Elkhart"/>
    <n v="41.662261999999998"/>
    <n v="-86.022976999999997"/>
    <s v="Development"/>
    <m/>
    <s v="No"/>
    <m/>
    <n v="14310"/>
    <n v="66780"/>
    <n v="14310"/>
    <s v="D"/>
    <s v="SI"/>
    <s v="2 FO"/>
    <m/>
    <m/>
    <m/>
    <m/>
    <m/>
    <m/>
  </r>
  <r>
    <d v="2024-03-11T00:00:00"/>
    <s v="March"/>
    <n v="2024"/>
    <x v="9"/>
    <n v="-89"/>
    <x v="1"/>
    <n v="40050"/>
    <n v="484"/>
    <s v="Federal"/>
    <x v="6"/>
    <n v="74"/>
    <s v="City of Carmel"/>
    <s v="LRL-2012-00375-ajk"/>
    <s v="2013-017-29-HAP-A"/>
    <m/>
    <s v="Hamilton"/>
    <n v="39.961959999999998"/>
    <n v="-86.100110000000001"/>
    <s v="Development"/>
    <m/>
    <s v="No"/>
    <m/>
    <n v="6007.5"/>
    <n v="28035"/>
    <n v="6007.5"/>
    <s v="L"/>
    <s v="J"/>
    <m/>
    <m/>
    <m/>
    <m/>
    <m/>
    <m/>
    <s v="Failed Mitigation at Brookshire Golf Course"/>
  </r>
  <r>
    <d v="2024-03-12T00:00:00"/>
    <s v="March"/>
    <n v="2024"/>
    <x v="0"/>
    <n v="-39"/>
    <x v="1"/>
    <n v="23400"/>
    <n v="474"/>
    <s v="Federal"/>
    <x v="2"/>
    <n v="450"/>
    <s v="INDOT"/>
    <s v="LRC-2023-00478"/>
    <s v="2023-990-45-GCW-A"/>
    <m/>
    <s v="Lake"/>
    <n v="41.583077000000003"/>
    <n v="-87.240280999999996"/>
    <s v=" Transportation"/>
    <m/>
    <s v="No"/>
    <m/>
    <n v="3510"/>
    <n v="16379.999999999998"/>
    <n v="3510"/>
    <s v="C"/>
    <s v="J"/>
    <m/>
    <m/>
    <m/>
    <m/>
    <m/>
    <m/>
    <s v="DES NO. 1800257"/>
  </r>
  <r>
    <d v="2024-03-12T00:00:00"/>
    <s v="March"/>
    <n v="2024"/>
    <x v="0"/>
    <n v="-0.27960000000000002"/>
    <x v="0"/>
    <n v="26562"/>
    <n v="474"/>
    <s v="Federal"/>
    <x v="3"/>
    <n v="0.11650000000000001"/>
    <s v="INDOT"/>
    <s v="LRC-2023-00478"/>
    <s v="2023-990-45-GCW-A"/>
    <m/>
    <s v="Lake"/>
    <n v="41.583077000000003"/>
    <n v="-87.240280999999996"/>
    <s v="Transportation"/>
    <m/>
    <s v="No"/>
    <m/>
    <n v="3984.2999999999997"/>
    <n v="18593.399999999998"/>
    <n v="3984.2999999999997"/>
    <s v="C"/>
    <s v="J"/>
    <m/>
    <m/>
    <m/>
    <m/>
    <m/>
    <m/>
    <s v="DES NO. 1800257"/>
  </r>
  <r>
    <d v="2024-03-12T00:00:00"/>
    <s v="March"/>
    <n v="2024"/>
    <x v="8"/>
    <n v="-44"/>
    <x v="1"/>
    <n v="4800"/>
    <n v="483"/>
    <s v="Federal"/>
    <x v="6"/>
    <n v="10"/>
    <s v="INDOT"/>
    <s v="LRL-2024-39-DJD"/>
    <s v="2024-15-90-GCW-X "/>
    <m/>
    <s v="Wells"/>
    <n v="40.821666999999998"/>
    <n v="-85.309443999999999"/>
    <s v="Transportation"/>
    <m/>
    <s v="No"/>
    <m/>
    <n v="720"/>
    <n v="3360"/>
    <n v="720"/>
    <s v="L"/>
    <s v="J"/>
    <m/>
    <m/>
    <m/>
    <m/>
    <m/>
    <m/>
    <s v="DES NO 2002246"/>
  </r>
  <r>
    <d v="2024-03-12T00:00:00"/>
    <s v="March"/>
    <n v="2024"/>
    <x v="8"/>
    <n v="-0.11"/>
    <x v="0"/>
    <n v="7200"/>
    <n v="483"/>
    <s v="Federal"/>
    <x v="3"/>
    <n v="3.7999999999999999E-2"/>
    <s v="INDOT"/>
    <s v="LRL-2024-39-DJD"/>
    <s v="2024-15-90-GCW-X "/>
    <m/>
    <s v="Wells"/>
    <n v="40.821666999999998"/>
    <n v="-85.309443999999999"/>
    <s v="Transportation"/>
    <m/>
    <s v="No"/>
    <m/>
    <n v="1080"/>
    <n v="5040"/>
    <n v="1080"/>
    <s v="L"/>
    <s v="J"/>
    <m/>
    <m/>
    <m/>
    <m/>
    <m/>
    <m/>
    <s v="DES NO 2002246"/>
  </r>
  <r>
    <d v="2024-03-12T00:00:00"/>
    <s v="March"/>
    <n v="2024"/>
    <x v="8"/>
    <n v="-0.32"/>
    <x v="0"/>
    <n v="25600"/>
    <n v="483"/>
    <s v="Federal"/>
    <x v="4"/>
    <n v="8.8999999999999996E-2"/>
    <s v="INDOT"/>
    <s v="LRL-2024-39-DJD"/>
    <s v="2024-15-90-GCW-X "/>
    <m/>
    <s v="Wells"/>
    <n v="40.821666999999998"/>
    <n v="-85.309443999999999"/>
    <s v="Transportation"/>
    <m/>
    <s v="No"/>
    <m/>
    <n v="3840"/>
    <n v="17920"/>
    <n v="3840"/>
    <s v="L"/>
    <s v="J"/>
    <m/>
    <m/>
    <m/>
    <m/>
    <m/>
    <m/>
    <s v="DES NO 2002246"/>
  </r>
  <r>
    <d v="2024-03-14T00:00:00"/>
    <s v="March"/>
    <n v="2024"/>
    <x v="6"/>
    <n v="-107"/>
    <x v="1"/>
    <n v="64200"/>
    <n v="486"/>
    <s v="Federal"/>
    <x v="6"/>
    <n v="107"/>
    <s v="INDOT"/>
    <s v="LRE-2023-00677-144-N23"/>
    <s v="2023-1095-44-GCW-X"/>
    <m/>
    <s v="LaGrange"/>
    <n v="41.554699999999997"/>
    <n v="-85.366699999999994"/>
    <s v="Transportation"/>
    <m/>
    <s v="No"/>
    <m/>
    <n v="9630"/>
    <n v="44940"/>
    <n v="9630"/>
    <s v="D"/>
    <s v="J"/>
    <m/>
    <m/>
    <m/>
    <m/>
    <m/>
    <m/>
    <s v="DES NO 2002233"/>
  </r>
  <r>
    <d v="2024-03-14T00:00:00"/>
    <s v="March"/>
    <n v="2024"/>
    <x v="6"/>
    <n v="-0.184"/>
    <x v="0"/>
    <n v="22080"/>
    <n v="486"/>
    <s v="Federal"/>
    <x v="3"/>
    <n v="9.1999999999999998E-2"/>
    <s v="INDOT"/>
    <s v="LRE-2023-00677-144-N23"/>
    <s v="2023-1095-44-GCW-X"/>
    <m/>
    <s v="LaGrange"/>
    <n v="41.554699999999997"/>
    <n v="-85.366699999999994"/>
    <s v="Transportation"/>
    <m/>
    <s v="No"/>
    <m/>
    <n v="3312"/>
    <n v="15455.999999999998"/>
    <n v="3312"/>
    <s v="D"/>
    <s v="J"/>
    <m/>
    <m/>
    <m/>
    <m/>
    <m/>
    <m/>
    <s v="DES NO 2002233"/>
  </r>
  <r>
    <d v="2024-03-14T00:00:00"/>
    <s v="March"/>
    <n v="2024"/>
    <x v="6"/>
    <n v="-0.16200000000000001"/>
    <x v="0"/>
    <n v="19440"/>
    <n v="486"/>
    <s v="Federal"/>
    <x v="5"/>
    <n v="5.3999999999999999E-2"/>
    <s v="INDOT"/>
    <s v="LRE-2023-00677-144-N23"/>
    <s v="2023-1095-44-GCW-X"/>
    <m/>
    <s v="LaGrange"/>
    <n v="41.554699999999997"/>
    <n v="-85.366699999999994"/>
    <s v="Transportation"/>
    <m/>
    <s v="No"/>
    <m/>
    <n v="2916"/>
    <n v="13608"/>
    <n v="2916"/>
    <s v="D"/>
    <s v="J"/>
    <m/>
    <m/>
    <m/>
    <m/>
    <m/>
    <m/>
    <s v="DES NO 2002233"/>
  </r>
  <r>
    <d v="2024-03-14T00:00:00"/>
    <s v="March"/>
    <n v="2024"/>
    <x v="6"/>
    <n v="-0.14799999999999999"/>
    <x v="0"/>
    <n v="17760"/>
    <n v="486"/>
    <s v="Federal"/>
    <x v="4"/>
    <n v="3.6999999999999998E-2"/>
    <s v="INDOT"/>
    <s v="LRE-2023-00677-144-N23"/>
    <s v="2023-1095-44-GCW-X"/>
    <m/>
    <s v="LaGrange"/>
    <n v="41.554699999999997"/>
    <n v="-85.366699999999994"/>
    <s v="Transportation"/>
    <m/>
    <s v="No"/>
    <m/>
    <n v="2664"/>
    <n v="12432"/>
    <n v="2664"/>
    <s v="D"/>
    <s v="J"/>
    <m/>
    <m/>
    <m/>
    <m/>
    <m/>
    <m/>
    <s v="DES NO 2002233"/>
  </r>
  <r>
    <d v="2024-03-18T00:00:00"/>
    <s v="March"/>
    <n v="2024"/>
    <x v="9"/>
    <n v="-85"/>
    <x v="1"/>
    <n v="38250"/>
    <n v="492"/>
    <s v="Federal"/>
    <x v="6"/>
    <n v="71"/>
    <s v="Town of Brownsburg"/>
    <s v="LRL-2023-00432-sjk"/>
    <s v="2023-642-32-MPY-A"/>
    <m/>
    <s v="Hendricks"/>
    <n v="39.822271000000001"/>
    <n v="-86.352035000000001"/>
    <s v="Transportation"/>
    <m/>
    <s v="No"/>
    <m/>
    <n v="5737.5"/>
    <n v="26775"/>
    <n v="5737.5"/>
    <s v="L"/>
    <s v="J"/>
    <m/>
    <m/>
    <m/>
    <m/>
    <m/>
    <m/>
    <m/>
  </r>
  <r>
    <d v="2024-03-20T00:00:00"/>
    <s v="March"/>
    <n v="2024"/>
    <x v="6"/>
    <n v="-0.42"/>
    <x v="0"/>
    <n v="50400"/>
    <n v="480"/>
    <s v="Federal"/>
    <x v="3"/>
    <n v="0.21"/>
    <s v="IDNR-DFW"/>
    <s v="LRE-2001-1440560-C23"/>
    <s v="2023-399-44-EJW-A"/>
    <m/>
    <s v="LaGrange"/>
    <n v="41.695641000000002"/>
    <n v="-85.322911000000005"/>
    <s v="Development"/>
    <m/>
    <s v="No"/>
    <m/>
    <n v="7560"/>
    <n v="35280"/>
    <n v="7560"/>
    <s v="D"/>
    <s v="J"/>
    <m/>
    <m/>
    <m/>
    <m/>
    <m/>
    <m/>
    <m/>
  </r>
  <r>
    <d v="2024-03-20T00:00:00"/>
    <s v="March"/>
    <n v="2024"/>
    <x v="6"/>
    <n v="-0.16"/>
    <x v="0"/>
    <n v="19200"/>
    <n v="480"/>
    <s v="Federal"/>
    <x v="4"/>
    <n v="0.04"/>
    <s v="IDNR-DFW"/>
    <s v="LRE-2001-1440560-C23"/>
    <s v="2023-399-44-EJW-A"/>
    <m/>
    <s v="LaGrange"/>
    <n v="41.695641000000002"/>
    <n v="-85.322911000000005"/>
    <s v="Development"/>
    <m/>
    <s v="No"/>
    <m/>
    <n v="2880"/>
    <n v="13440"/>
    <n v="2880"/>
    <s v="D"/>
    <s v="J"/>
    <m/>
    <m/>
    <m/>
    <m/>
    <m/>
    <m/>
    <m/>
  </r>
  <r>
    <d v="2024-03-21T00:00:00"/>
    <s v="March"/>
    <n v="2024"/>
    <x v="10"/>
    <n v="-1.425"/>
    <x v="0"/>
    <n v="114000"/>
    <n v="481"/>
    <s v="State Isolated"/>
    <x v="3"/>
    <n v="0.95"/>
    <s v="Forestar"/>
    <s v="N/A"/>
    <s v="IWIP-2022-637-41"/>
    <m/>
    <s v="Johnson"/>
    <n v="39.155188000000003"/>
    <n v="-86.041409999999999"/>
    <s v="Development"/>
    <m/>
    <s v="No"/>
    <m/>
    <n v="17100"/>
    <n v="79800"/>
    <n v="17100"/>
    <s v="L"/>
    <s v="SI "/>
    <s v="2 NF"/>
    <m/>
    <m/>
    <m/>
    <m/>
    <m/>
    <m/>
  </r>
  <r>
    <d v="2024-03-25T00:00:00"/>
    <s v="March"/>
    <n v="2024"/>
    <x v="5"/>
    <n v="-0.02"/>
    <x v="0"/>
    <n v="1600"/>
    <n v="494"/>
    <s v="Federal"/>
    <x v="3"/>
    <n v="0.02"/>
    <s v="Posey County Board of Commissioners"/>
    <s v="LRL-2020-1106-A"/>
    <s v="2022-989-65-TMS-X"/>
    <m/>
    <s v="Posey"/>
    <n v="37.946016"/>
    <n v="-87.925535999999994"/>
    <s v="Transportation"/>
    <m/>
    <s v="No"/>
    <m/>
    <n v="240"/>
    <n v="1120"/>
    <n v="240"/>
    <s v="L"/>
    <s v="J"/>
    <m/>
    <m/>
    <m/>
    <m/>
    <m/>
    <m/>
    <m/>
  </r>
  <r>
    <d v="2024-03-25T00:00:00"/>
    <s v="March"/>
    <n v="2024"/>
    <x v="5"/>
    <n v="-68"/>
    <x v="1"/>
    <n v="27200"/>
    <n v="494"/>
    <s v="Federal"/>
    <x v="1"/>
    <n v="68"/>
    <s v="Posey County Board of Commissioners"/>
    <s v="LRL-2020-1106-A"/>
    <s v="2022-989-65-TMS-X"/>
    <m/>
    <s v="Posey"/>
    <n v="37.946016"/>
    <n v="-87.925535999999994"/>
    <s v="Transportation"/>
    <m/>
    <s v="No"/>
    <m/>
    <n v="4080"/>
    <n v="19040"/>
    <n v="4080"/>
    <s v="L"/>
    <s v="J"/>
    <m/>
    <m/>
    <m/>
    <m/>
    <m/>
    <m/>
    <m/>
  </r>
  <r>
    <d v="2024-03-25T00:00:00"/>
    <s v="March"/>
    <n v="2024"/>
    <x v="5"/>
    <n v="-55"/>
    <x v="1"/>
    <n v="22000"/>
    <n v="494"/>
    <s v="Federal"/>
    <x v="2"/>
    <n v="122"/>
    <s v="Posey County Board of Commissioners"/>
    <s v="LRL-2020-1106-A"/>
    <s v="2022-989-65-TMS-X"/>
    <m/>
    <s v="Posey"/>
    <n v="37.946016"/>
    <n v="-87.925535999999994"/>
    <s v="Transportation"/>
    <m/>
    <s v="No"/>
    <m/>
    <n v="3300"/>
    <n v="15399.999999999998"/>
    <n v="3300"/>
    <s v="L"/>
    <s v="J"/>
    <m/>
    <m/>
    <m/>
    <m/>
    <m/>
    <m/>
    <m/>
  </r>
  <r>
    <d v="2024-03-26T00:00:00"/>
    <s v="March"/>
    <n v="2024"/>
    <x v="6"/>
    <n v="-99"/>
    <x v="1"/>
    <n v="59400"/>
    <n v="490"/>
    <s v="Federal"/>
    <x v="2"/>
    <n v="155"/>
    <s v="INDOT"/>
    <s v="LRE-2023-00634-157-N23"/>
    <s v="2023-1017-57-GCW-A"/>
    <m/>
    <s v="Noble"/>
    <n v="41.395462000000002"/>
    <n v="-85.342841000000007"/>
    <s v="Transportation"/>
    <m/>
    <s v="No"/>
    <m/>
    <n v="8910"/>
    <n v="41580"/>
    <n v="8910"/>
    <s v="D"/>
    <s v="J"/>
    <m/>
    <m/>
    <m/>
    <m/>
    <m/>
    <m/>
    <s v="INDOT DES NO 2002234"/>
  </r>
  <r>
    <d v="2024-03-26T00:00:00"/>
    <s v="March"/>
    <n v="2024"/>
    <x v="6"/>
    <n v="-0.27"/>
    <x v="0"/>
    <n v="32400"/>
    <n v="490"/>
    <s v="Federal"/>
    <x v="3"/>
    <n v="0.13400000000000001"/>
    <s v="INDOT"/>
    <s v="LRE-2023-00634-157-N23"/>
    <s v="2023-1017-57-GCW-A"/>
    <m/>
    <s v="Noble"/>
    <n v="41.395462000000002"/>
    <n v="-85.342841000000007"/>
    <s v="Transportation"/>
    <m/>
    <s v="No"/>
    <m/>
    <n v="4860"/>
    <n v="22680"/>
    <n v="4860"/>
    <s v="D"/>
    <s v="J"/>
    <m/>
    <m/>
    <m/>
    <m/>
    <m/>
    <m/>
    <m/>
  </r>
  <r>
    <d v="2024-04-05T00:00:00"/>
    <s v="April"/>
    <n v="2024"/>
    <x v="7"/>
    <n v="-560"/>
    <x v="1"/>
    <n v="224000"/>
    <n v="470"/>
    <s v="Federal"/>
    <x v="2"/>
    <n v="467"/>
    <s v="Theineman Group"/>
    <s v="LRL-2023-00651-amw"/>
    <s v="2023-720-22-ERL-A"/>
    <m/>
    <s v="Floyd"/>
    <n v="38.315209000000003"/>
    <n v="-85.901707999999999"/>
    <s v="Development"/>
    <m/>
    <s v="No"/>
    <m/>
    <n v="33600"/>
    <n v="156800"/>
    <n v="33600"/>
    <s v="L"/>
    <s v="J"/>
    <m/>
    <m/>
    <m/>
    <m/>
    <m/>
    <m/>
    <m/>
  </r>
  <r>
    <d v="2024-04-12T00:00:00"/>
    <s v="April"/>
    <n v="2024"/>
    <x v="8"/>
    <n v="-0.3"/>
    <x v="0"/>
    <n v="24000"/>
    <n v="488"/>
    <s v="Federal"/>
    <x v="3"/>
    <n v="0.3"/>
    <s v="INDOT"/>
    <s v="LRL-2006-140-djd"/>
    <s v="2006-44-50-EME-A"/>
    <m/>
    <s v="Fulton"/>
    <n v="41.171959999999999"/>
    <n v="-86.313370000000006"/>
    <s v="Transportation"/>
    <m/>
    <s v="No"/>
    <m/>
    <n v="3600"/>
    <n v="16800"/>
    <n v="3600"/>
    <s v="L"/>
    <s v="J"/>
    <m/>
    <m/>
    <m/>
    <m/>
    <m/>
    <m/>
    <s v="DES NO 9800120 for failed mitigation"/>
  </r>
  <r>
    <d v="2024-04-12T00:00:00"/>
    <s v="April"/>
    <n v="2024"/>
    <x v="5"/>
    <n v="-326"/>
    <x v="1"/>
    <n v="130400"/>
    <n v="493"/>
    <s v="Federal"/>
    <x v="6"/>
    <n v="496"/>
    <s v="INDOT"/>
    <s v="LRL-2023-947-djd"/>
    <s v="2023-1106-87-GCW-A"/>
    <m/>
    <s v="Warrick"/>
    <n v="38.198149999999998"/>
    <n v="-87.292640000000006"/>
    <s v="Transportation"/>
    <m/>
    <s v="No"/>
    <m/>
    <n v="19560"/>
    <n v="91280"/>
    <n v="19560"/>
    <s v="L"/>
    <s v="J"/>
    <m/>
    <m/>
    <m/>
    <m/>
    <m/>
    <m/>
    <s v="INDOT DES No  2002063"/>
  </r>
  <r>
    <d v="2024-04-30T00:00:00"/>
    <s v="April"/>
    <n v="2024"/>
    <x v="9"/>
    <n v="-1.1499999999999999"/>
    <x v="0"/>
    <n v="92000"/>
    <n v="496"/>
    <s v="Federal"/>
    <x v="3"/>
    <n v="0.48"/>
    <s v="Indianapolis Airport Authority"/>
    <s v="LRL-2023-00743-jde"/>
    <s v="2024-47-32-MPY-A"/>
    <m/>
    <s v="Hendricks"/>
    <n v="39.739019999999996"/>
    <n v="-86.474185000000006"/>
    <s v="Development"/>
    <m/>
    <s v="No"/>
    <m/>
    <n v="13800"/>
    <n v="64399.999999999993"/>
    <n v="13800"/>
    <s v="L"/>
    <s v="J"/>
    <m/>
    <m/>
    <m/>
    <m/>
    <m/>
    <m/>
    <m/>
  </r>
  <r>
    <d v="2024-05-08T00:00:00"/>
    <s v="May"/>
    <n v="2024"/>
    <x v="9"/>
    <n v="-0.64"/>
    <x v="0"/>
    <n v="51200"/>
    <n v="505"/>
    <s v="Federal"/>
    <x v="4"/>
    <n v="0.16"/>
    <s v="Pace Property Holding, LLC"/>
    <s v="LRL-2023-00978-sjk"/>
    <s v="2023-1163-32-MPY-X"/>
    <m/>
    <s v="Hendricks"/>
    <n v="39.722900000000003"/>
    <n v="-86.330699999999993"/>
    <s v="Development"/>
    <m/>
    <s v="No"/>
    <m/>
    <n v="7680"/>
    <n v="35840"/>
    <n v="7680"/>
    <s v="L"/>
    <s v="J"/>
    <m/>
    <m/>
    <m/>
    <m/>
    <m/>
    <m/>
    <m/>
  </r>
  <r>
    <d v="2024-05-08T00:00:00"/>
    <s v="May"/>
    <n v="2024"/>
    <x v="9"/>
    <n v="-74"/>
    <x v="1"/>
    <n v="33300"/>
    <n v="505"/>
    <s v="Federal"/>
    <x v="2"/>
    <n v="61.6"/>
    <s v="Pace Property Holding, LLC"/>
    <s v="LRL-2023-00978-sjk"/>
    <s v="2023-1163-32-MPY-X"/>
    <m/>
    <s v="Hendricks"/>
    <n v="39.722900000000003"/>
    <n v="-86.330699999999993"/>
    <s v="Development"/>
    <m/>
    <s v="No"/>
    <m/>
    <n v="4995"/>
    <n v="23310"/>
    <n v="4995"/>
    <s v="L"/>
    <s v="J"/>
    <m/>
    <m/>
    <m/>
    <m/>
    <m/>
    <m/>
    <m/>
  </r>
  <r>
    <d v="2024-05-21T00:00:00"/>
    <s v="May"/>
    <n v="2024"/>
    <x v="4"/>
    <n v="-1.6"/>
    <x v="0"/>
    <n v="128000"/>
    <n v="479"/>
    <s v="Federal"/>
    <x v="4"/>
    <n v="0.4"/>
    <s v="Western Indiana Comm"/>
    <s v="LRL-2019-638"/>
    <s v="2022-590-23-ERL"/>
    <m/>
    <s v="Fountain"/>
    <n v="40.146002000000003"/>
    <n v="-87.402583000000007"/>
    <s v="Transportation"/>
    <m/>
    <s v="No"/>
    <m/>
    <n v="19200"/>
    <n v="89600"/>
    <n v="19200"/>
    <s v="L"/>
    <s v="J"/>
    <m/>
    <m/>
    <m/>
    <m/>
    <m/>
    <m/>
    <m/>
  </r>
  <r>
    <d v="2024-05-21T00:00:00"/>
    <s v="May"/>
    <n v="2024"/>
    <x v="8"/>
    <n v="-322"/>
    <x v="1"/>
    <n v="128800"/>
    <n v="476"/>
    <s v="Federal"/>
    <x v="2"/>
    <n v="1475"/>
    <s v="IU Health"/>
    <s v="LRE-2022-00180-102-N23"/>
    <s v="2023-969-2-EJW-A"/>
    <m/>
    <s v="Allen"/>
    <n v="40.995683999999997"/>
    <n v="-85.271597999999997"/>
    <s v="Transportation"/>
    <m/>
    <s v="No"/>
    <m/>
    <n v="19320"/>
    <n v="90160"/>
    <n v="19320"/>
    <s v="L"/>
    <s v="J"/>
    <m/>
    <m/>
    <m/>
    <m/>
    <m/>
    <m/>
    <m/>
  </r>
  <r>
    <d v="2024-05-21T00:00:00"/>
    <s v="May"/>
    <n v="2024"/>
    <x v="10"/>
    <n v="-1.4999999999999999E-2"/>
    <x v="0"/>
    <n v="1200"/>
    <n v="499"/>
    <s v="State Isolated"/>
    <x v="3"/>
    <n v="0.01"/>
    <s v="INDOT "/>
    <s v="N/A"/>
    <s v="IWIP 2024-123-30-GCW-A"/>
    <m/>
    <s v="Hancock"/>
    <n v="39.825046999999998"/>
    <n v="-85.712712999999994"/>
    <s v="Transportation"/>
    <m/>
    <s v="No"/>
    <m/>
    <n v="180"/>
    <n v="840"/>
    <n v="180"/>
    <s v="L"/>
    <s v="SI"/>
    <s v="2 NF"/>
    <m/>
    <m/>
    <m/>
    <m/>
    <m/>
    <m/>
  </r>
  <r>
    <d v="2024-05-21T00:00:00"/>
    <s v="May"/>
    <n v="2024"/>
    <x v="8"/>
    <n v="-33"/>
    <x v="1"/>
    <n v="13200"/>
    <n v="500"/>
    <s v="Federal"/>
    <x v="2"/>
    <n v="33"/>
    <s v="INDOT"/>
    <s v="N/A"/>
    <s v="2024-232-90-GCW-X"/>
    <m/>
    <s v="Wells"/>
    <n v="40.713340000000002"/>
    <n v="-85.115110000000001"/>
    <s v="Transportation"/>
    <m/>
    <s v="No"/>
    <m/>
    <n v="1980"/>
    <n v="9240"/>
    <n v="1980"/>
    <s v="L"/>
    <s v="J"/>
    <m/>
    <m/>
    <m/>
    <m/>
    <m/>
    <m/>
    <m/>
  </r>
  <r>
    <d v="2024-05-22T00:00:00"/>
    <s v="May"/>
    <n v="2024"/>
    <x v="3"/>
    <n v="-3.51"/>
    <x v="0"/>
    <n v="280800"/>
    <n v="506"/>
    <s v="State Isolated"/>
    <x v="4"/>
    <n v="1.7549999999999999"/>
    <s v="Auburn Retial, LLC"/>
    <s v="N/A"/>
    <s v="IWIP 2024-130-17-EJW-A"/>
    <m/>
    <s v="DeKalb"/>
    <n v="41.370596999999997"/>
    <n v="-85.078412999999998"/>
    <s v="Development"/>
    <m/>
    <s v="No"/>
    <m/>
    <n v="42120"/>
    <n v="196560"/>
    <n v="42120"/>
    <s v="L"/>
    <s v="SI"/>
    <s v="2 FO"/>
    <m/>
    <m/>
    <m/>
    <m/>
    <m/>
    <m/>
  </r>
  <r>
    <d v="2024-05-28T00:00:00"/>
    <s v="May"/>
    <n v="2024"/>
    <x v="9"/>
    <n v="-3.55"/>
    <x v="0"/>
    <n v="284000"/>
    <n v="491"/>
    <s v="State Isolated"/>
    <x v="4"/>
    <n v="1.42"/>
    <s v="Indianapolis (86th St.) WW, LLC"/>
    <m/>
    <s v="IWIP 2023-564-49-GCW-A"/>
    <m/>
    <s v="Marion"/>
    <n v="39.911498000000002"/>
    <n v="-86.258311000000006"/>
    <s v="Development"/>
    <m/>
    <s v="No"/>
    <m/>
    <n v="42600"/>
    <n v="198800"/>
    <n v="42600"/>
    <s v="L"/>
    <s v="SI"/>
    <s v="3 FO"/>
    <m/>
    <m/>
    <m/>
    <m/>
    <m/>
    <m/>
  </r>
  <r>
    <d v="2024-05-29T00:00:00"/>
    <s v="May"/>
    <n v="2024"/>
    <x v="6"/>
    <n v="-1.1499999999999999"/>
    <x v="0"/>
    <n v="138000"/>
    <n v="502"/>
    <s v="Federal"/>
    <x v="4"/>
    <n v="0.47"/>
    <s v="Elkhart County Highway Department"/>
    <s v="LRE-2024-0053-120-SCG"/>
    <s v="2024-54-20-SCF-A"/>
    <m/>
    <s v="Elkhart"/>
    <n v="41.514781999999997"/>
    <n v="-85.847611000000001"/>
    <s v="Transportation"/>
    <m/>
    <s v="No"/>
    <m/>
    <n v="20700"/>
    <n v="96600"/>
    <n v="20700"/>
    <s v="D"/>
    <s v="J"/>
    <m/>
    <m/>
    <m/>
    <m/>
    <m/>
    <m/>
    <s v="INDOT DES No. 1900465"/>
  </r>
  <r>
    <d v="2024-05-29T00:00:00"/>
    <s v="May"/>
    <n v="2024"/>
    <x v="6"/>
    <n v="-89"/>
    <x v="1"/>
    <n v="53400"/>
    <n v="502"/>
    <s v="Federal"/>
    <x v="6"/>
    <n v="184"/>
    <s v="Elkhart County Highway Department"/>
    <s v="LRE-2024-0053-120-SCG"/>
    <s v="2024-54-20-SCF-A"/>
    <m/>
    <s v="Elkhart"/>
    <n v="41.514781999999997"/>
    <n v="-85.847611000000001"/>
    <s v="Transportation"/>
    <m/>
    <s v="No"/>
    <m/>
    <n v="8010"/>
    <n v="37380"/>
    <n v="8010"/>
    <s v="D"/>
    <s v="J"/>
    <m/>
    <m/>
    <m/>
    <m/>
    <m/>
    <m/>
    <s v="INDOT DES No. 1900465"/>
  </r>
  <r>
    <d v="2024-05-29T00:00:00"/>
    <s v="May"/>
    <n v="2024"/>
    <x v="8"/>
    <n v="-153"/>
    <x v="1"/>
    <n v="61200"/>
    <n v="504"/>
    <s v="Federal"/>
    <x v="6"/>
    <n v="196"/>
    <s v="INDOT"/>
    <s v="LRL-2023-00985-DDC"/>
    <s v="2023-1167-90-GCW-A"/>
    <m/>
    <s v="Wells"/>
    <n v="40.805700000000002"/>
    <n v="-85.227630000000005"/>
    <s v="Transportation"/>
    <m/>
    <s v="No"/>
    <m/>
    <n v="9180"/>
    <n v="42840"/>
    <n v="9180"/>
    <s v="L"/>
    <s v="J"/>
    <m/>
    <m/>
    <m/>
    <m/>
    <m/>
    <m/>
    <s v="INDOT DES No. 2002248"/>
  </r>
  <r>
    <d v="2024-05-29T00:00:00"/>
    <s v="May"/>
    <n v="2024"/>
    <x v="8"/>
    <n v="-0.02"/>
    <x v="0"/>
    <n v="1600"/>
    <n v="504"/>
    <s v="Federal"/>
    <x v="3"/>
    <n v="0.01"/>
    <s v="INDOT"/>
    <s v="LRL-2023-00985-DDC"/>
    <s v="2023-1167-90-GCW-A"/>
    <m/>
    <s v="Wells"/>
    <n v="40.805700000000002"/>
    <n v="-85.227630000000005"/>
    <s v="Transportation"/>
    <m/>
    <s v="No"/>
    <m/>
    <n v="240"/>
    <n v="1120"/>
    <n v="240"/>
    <s v="L"/>
    <s v="J"/>
    <m/>
    <m/>
    <m/>
    <m/>
    <m/>
    <m/>
    <s v="INDOT DES No. 2002248"/>
  </r>
  <r>
    <d v="2024-05-29T00:00:00"/>
    <s v="May"/>
    <n v="2024"/>
    <x v="8"/>
    <n v="-0.15"/>
    <x v="0"/>
    <n v="12000"/>
    <n v="507"/>
    <s v="State Isolated"/>
    <x v="4"/>
    <n v="0.05"/>
    <s v="JWA Co. LTC"/>
    <s v="N/A"/>
    <s v="IWIP 2024-144-34-MPY-A"/>
    <m/>
    <s v="Howard"/>
    <n v="40.512196000000003"/>
    <n v="-86.105057000000002"/>
    <s v="Development"/>
    <m/>
    <s v="No"/>
    <m/>
    <n v="1800"/>
    <n v="8400"/>
    <n v="1800"/>
    <s v="L"/>
    <s v="SI"/>
    <s v="3 FO"/>
    <m/>
    <m/>
    <m/>
    <m/>
    <m/>
    <m/>
  </r>
  <r>
    <d v="2024-05-29T00:00:00"/>
    <s v="May"/>
    <n v="2024"/>
    <x v="1"/>
    <n v="-496"/>
    <x v="1"/>
    <n v="248000"/>
    <n v="508"/>
    <s v="Federal"/>
    <x v="6"/>
    <n v="496"/>
    <s v="IDOA"/>
    <s v="LRE-2023-00679-171-N24"/>
    <s v="2024-301-71-MPY-X"/>
    <s v="FW-32655-0"/>
    <s v="St. Joseph"/>
    <n v="41.544612000000001"/>
    <n v="-86.371112999999994"/>
    <s v="Development"/>
    <m/>
    <s v="No"/>
    <m/>
    <n v="37200"/>
    <n v="173600"/>
    <n v="37200"/>
    <s v="D"/>
    <s v="J"/>
    <m/>
    <m/>
    <m/>
    <m/>
    <m/>
    <m/>
    <s v="Potatoe Creek SP Lodge"/>
  </r>
  <r>
    <d v="2024-06-05T00:00:00"/>
    <s v="June"/>
    <n v="2024"/>
    <x v="2"/>
    <n v="-724"/>
    <x v="1"/>
    <n v="289600"/>
    <n v="503"/>
    <s v="Federal"/>
    <x v="1"/>
    <n v="2267"/>
    <s v="Origis Energy"/>
    <s v="LRL-2020-611-tmb"/>
    <s v="2023-453-42-JWR-A"/>
    <m/>
    <s v="Knox"/>
    <n v="38.701824999999999"/>
    <n v="-87.294898000000003"/>
    <s v="Energy Production"/>
    <m/>
    <s v="No"/>
    <m/>
    <n v="43440"/>
    <n v="202720"/>
    <n v="43440"/>
    <s v="L"/>
    <s v="J"/>
    <m/>
    <m/>
    <m/>
    <m/>
    <m/>
    <m/>
    <m/>
  </r>
  <r>
    <d v="2024-06-05T00:00:00"/>
    <s v="June"/>
    <n v="2024"/>
    <x v="1"/>
    <n v="-4.3999999999999997E-2"/>
    <x v="0"/>
    <n v="4180"/>
    <n v="501"/>
    <s v="State Isolated"/>
    <x v="3"/>
    <n v="2.9000000000000001E-2"/>
    <s v="INDOT"/>
    <s v="N/A"/>
    <s v="IWIP 2024-121-45-GCW-A"/>
    <m/>
    <s v="Lake"/>
    <n v="41.344695999999999"/>
    <n v="-87.469825"/>
    <s v="Transportation"/>
    <m/>
    <s v="No"/>
    <m/>
    <n v="627"/>
    <n v="2926"/>
    <n v="627"/>
    <s v="C"/>
    <s v="SI"/>
    <s v="2 NF"/>
    <m/>
    <m/>
    <m/>
    <m/>
    <m/>
    <s v="INDOT DES No. 2003098"/>
  </r>
  <r>
    <d v="2024-06-24T00:00:00"/>
    <s v="June"/>
    <n v="2024"/>
    <x v="9"/>
    <n v="-0.73"/>
    <x v="0"/>
    <n v="58400"/>
    <n v="512"/>
    <s v="State Isolated"/>
    <x v="4"/>
    <n v="0.28999999999999998"/>
    <s v="Laskey Properties"/>
    <s v="N/A"/>
    <s v="IWIP-2022-435-29"/>
    <m/>
    <s v="Hamilton"/>
    <n v="39.939"/>
    <n v="-86.022199999999998"/>
    <s v="Development"/>
    <m/>
    <s v="No"/>
    <m/>
    <n v="8760"/>
    <n v="40880"/>
    <n v="8760"/>
    <s v="L"/>
    <s v="SI"/>
    <s v="3 FO"/>
    <m/>
    <m/>
    <m/>
    <m/>
    <m/>
    <m/>
  </r>
  <r>
    <d v="2024-06-24T00:00:00"/>
    <s v="June"/>
    <n v="2024"/>
    <x v="10"/>
    <n v="-0.67"/>
    <x v="0"/>
    <n v="53600"/>
    <n v="509"/>
    <s v="Federal"/>
    <x v="5"/>
    <n v="0.222"/>
    <s v="Arbor Homes"/>
    <s v="LRL-2022-00973-sjk"/>
    <s v="2024-233-3-JLB-A"/>
    <m/>
    <s v="Bartholomew"/>
    <n v="39.232697999999999"/>
    <n v="-85.947812999999996"/>
    <s v="Development"/>
    <m/>
    <s v="No"/>
    <m/>
    <n v="8040"/>
    <n v="37520"/>
    <n v="8040"/>
    <s v="L"/>
    <s v="J"/>
    <m/>
    <m/>
    <m/>
    <m/>
    <m/>
    <m/>
    <m/>
  </r>
  <r>
    <d v="2024-07-17T00:00:00"/>
    <s v="July"/>
    <n v="2024"/>
    <x v="0"/>
    <n v="-0.62"/>
    <x v="0"/>
    <n v="58900"/>
    <n v="513"/>
    <s v="Federal"/>
    <x v="3"/>
    <n v="0.34"/>
    <s v="NIPSCO"/>
    <s v="LRC-2024-0076"/>
    <s v="2024-155-45-MTM-A"/>
    <m/>
    <s v="Lake"/>
    <n v="41.384211999999998"/>
    <n v="-87.317547000000005"/>
    <s v="Energy Production"/>
    <m/>
    <s v="No"/>
    <m/>
    <n v="8835"/>
    <n v="41230"/>
    <n v="8835"/>
    <s v="C"/>
    <s v="J"/>
    <m/>
    <m/>
    <m/>
    <m/>
    <m/>
    <m/>
    <m/>
  </r>
  <r>
    <d v="2024-07-17T00:00:00"/>
    <s v="July"/>
    <n v="2024"/>
    <x v="0"/>
    <n v="-1.08"/>
    <x v="0"/>
    <n v="102600"/>
    <n v="515"/>
    <s v="State Isolated"/>
    <x v="4"/>
    <n v="0.36"/>
    <s v="Love's Travel Stop"/>
    <s v="N/A"/>
    <s v="IWIP 2024-357-46-MTM-A"/>
    <m/>
    <s v="LaPorte"/>
    <n v="41.655430000000003"/>
    <n v="-86.898989999999998"/>
    <s v="Development"/>
    <m/>
    <s v="No"/>
    <m/>
    <n v="15390"/>
    <n v="71820"/>
    <n v="15390"/>
    <s v="C"/>
    <s v="SI"/>
    <s v="3 FO"/>
    <m/>
    <m/>
    <m/>
    <m/>
    <m/>
    <m/>
  </r>
  <r>
    <d v="2024-08-07T00:00:00"/>
    <s v="August"/>
    <n v="2024"/>
    <x v="4"/>
    <n v="-163"/>
    <x v="1"/>
    <n v="65200"/>
    <n v="511"/>
    <s v="Federal"/>
    <x v="1"/>
    <n v="800"/>
    <s v="Tippecanoe County Highway Department"/>
    <s v="LRL-2020-175-sjk"/>
    <s v="2020-218-79-ERL-A"/>
    <m/>
    <s v="Tippecanoe"/>
    <n v="40.487935"/>
    <n v="-86.874933999999996"/>
    <s v="Transportation"/>
    <m/>
    <s v="No"/>
    <m/>
    <n v="9780"/>
    <n v="45640"/>
    <n v="9780"/>
    <s v="L"/>
    <s v="J"/>
    <m/>
    <m/>
    <m/>
    <m/>
    <m/>
    <m/>
    <s v="INDOT DES No. 1401279"/>
  </r>
  <r>
    <d v="2024-08-07T00:00:00"/>
    <s v="August"/>
    <n v="2024"/>
    <x v="10"/>
    <n v="-605"/>
    <x v="1"/>
    <n v="2600"/>
    <n v="514"/>
    <s v="Federal"/>
    <x v="1"/>
    <n v="1270"/>
    <s v="INDOT"/>
    <s v="LRL-2022-77"/>
    <s v="2023-1024-89-GCW-A"/>
    <m/>
    <s v="Wayne"/>
    <n v="39.853189999999998"/>
    <n v="-85.172342999999998"/>
    <s v="Transportation"/>
    <m/>
    <s v="No"/>
    <m/>
    <n v="390"/>
    <n v="1819.9999999999998"/>
    <n v="390"/>
    <s v="L"/>
    <s v="J"/>
    <m/>
    <m/>
    <m/>
    <m/>
    <m/>
    <m/>
    <s v="INDOT DES No. 2002424"/>
  </r>
  <r>
    <d v="2024-08-07T00:00:00"/>
    <s v="August"/>
    <n v="2024"/>
    <x v="10"/>
    <n v="-1057"/>
    <x v="1"/>
    <n v="422800"/>
    <n v="514"/>
    <s v="Federal"/>
    <x v="2"/>
    <n v="4027"/>
    <s v="INDOT"/>
    <s v="LRL-2022-77"/>
    <s v="2023-1024-89-GCW-A"/>
    <m/>
    <s v="Wayne"/>
    <n v="39.853189999999998"/>
    <n v="-85.172342999999998"/>
    <s v="Transportation"/>
    <m/>
    <s v="No"/>
    <m/>
    <n v="63420"/>
    <n v="295960"/>
    <n v="63420"/>
    <s v="L"/>
    <s v="J"/>
    <m/>
    <m/>
    <m/>
    <m/>
    <m/>
    <m/>
    <s v="DES No. 2002424"/>
  </r>
  <r>
    <d v="2024-08-07T00:00:00"/>
    <s v="August"/>
    <n v="2024"/>
    <x v="10"/>
    <n v="-1654"/>
    <x v="1"/>
    <n v="661600"/>
    <n v="514"/>
    <s v="Federal"/>
    <x v="6"/>
    <n v="1654"/>
    <s v="INDOT"/>
    <s v="LRL-2022-77"/>
    <s v="2023-1024-89-GCW-A"/>
    <m/>
    <s v="Wayne"/>
    <n v="39.853189999999998"/>
    <n v="-85.172342999999998"/>
    <s v="Transportation"/>
    <m/>
    <s v="No"/>
    <m/>
    <n v="99240"/>
    <n v="463119.99999999994"/>
    <n v="99240"/>
    <s v="L"/>
    <s v="J"/>
    <m/>
    <m/>
    <m/>
    <m/>
    <m/>
    <m/>
    <s v="DES No. 2002424"/>
  </r>
  <r>
    <d v="2024-08-07T00:00:00"/>
    <s v="August"/>
    <n v="2024"/>
    <x v="10"/>
    <n v="-3.4"/>
    <x v="0"/>
    <n v="272000"/>
    <n v="514"/>
    <s v="Federal"/>
    <x v="3"/>
    <n v="1.698"/>
    <s v="INDOT"/>
    <s v="LRL-2022-77"/>
    <s v="2023-1024-89-GCW-A"/>
    <m/>
    <s v="Wayne"/>
    <n v="39.853189999999998"/>
    <n v="-85.172342999999998"/>
    <s v="Transportation"/>
    <m/>
    <s v="No"/>
    <m/>
    <n v="40800"/>
    <n v="190400"/>
    <n v="40800"/>
    <s v="L"/>
    <s v="J"/>
    <m/>
    <m/>
    <m/>
    <m/>
    <m/>
    <m/>
    <s v="DES No. 2002424"/>
  </r>
  <r>
    <d v="2024-08-07T00:00:00"/>
    <s v="August"/>
    <n v="2024"/>
    <x v="10"/>
    <n v="-0.76"/>
    <x v="0"/>
    <n v="60800"/>
    <n v="514"/>
    <s v="Federal"/>
    <x v="5"/>
    <n v="0.253"/>
    <s v="INDOT"/>
    <s v="LRL-2022-77"/>
    <s v="2023-1024-89-GCW-A"/>
    <m/>
    <s v="Wayne"/>
    <n v="39.853189999999998"/>
    <n v="-85.172342999999998"/>
    <s v="Transportation"/>
    <m/>
    <s v="No"/>
    <m/>
    <n v="9120"/>
    <n v="42560"/>
    <n v="9120"/>
    <s v="L"/>
    <s v="J"/>
    <m/>
    <m/>
    <m/>
    <m/>
    <m/>
    <m/>
    <s v="DES No. 2002424"/>
  </r>
  <r>
    <d v="2024-08-07T00:00:00"/>
    <s v="August"/>
    <n v="2024"/>
    <x v="10"/>
    <n v="-4.42"/>
    <x v="0"/>
    <n v="353600"/>
    <n v="514"/>
    <s v="Federal"/>
    <x v="4"/>
    <n v="1.1040000000000001"/>
    <s v="INDOT"/>
    <s v="LRL-2022-77"/>
    <s v="2023-1024-89-GCW-A"/>
    <m/>
    <s v="Wayne"/>
    <n v="39.853189999999998"/>
    <n v="-85.172342999999998"/>
    <s v="Transportation"/>
    <m/>
    <s v="No"/>
    <m/>
    <n v="53040"/>
    <n v="247519.99999999997"/>
    <n v="53040"/>
    <s v="L"/>
    <s v="J"/>
    <m/>
    <m/>
    <m/>
    <m/>
    <m/>
    <m/>
    <s v="DES No. 2002424"/>
  </r>
  <r>
    <d v="2024-08-07T00:00:00"/>
    <s v="August"/>
    <n v="2024"/>
    <x v="10"/>
    <n v="-0.97"/>
    <x v="0"/>
    <n v="77600"/>
    <n v="514"/>
    <s v="State Isolated"/>
    <x v="3"/>
    <n v="0.64800000000000002"/>
    <s v="INDOT"/>
    <s v="N/A"/>
    <s v="IWIP 2023-1024-89-GCW-A"/>
    <m/>
    <s v="Wayne"/>
    <n v="39.853189999999998"/>
    <n v="-85.172342999999998"/>
    <s v="Transportation"/>
    <m/>
    <s v="No"/>
    <m/>
    <n v="11640"/>
    <n v="54320"/>
    <n v="11640"/>
    <s v="L"/>
    <s v="SI"/>
    <s v="2 NF"/>
    <m/>
    <m/>
    <m/>
    <m/>
    <m/>
    <s v="INDOT DES No. 2002424 Revive I-70"/>
  </r>
  <r>
    <d v="2024-08-07T00:00:00"/>
    <s v="August"/>
    <n v="2024"/>
    <x v="3"/>
    <n v="-37.5"/>
    <x v="1"/>
    <n v="16875"/>
    <n v="521"/>
    <s v="Federal"/>
    <x v="2"/>
    <n v="37.5"/>
    <s v="INDOT"/>
    <s v="N/A"/>
    <s v="2024-413-2-GCW-X"/>
    <m/>
    <s v="Allen"/>
    <n v="41.12491"/>
    <n v="-85.154899999999998"/>
    <s v="Energy Production"/>
    <m/>
    <s v="No"/>
    <m/>
    <n v="2531.25"/>
    <n v="11812.5"/>
    <n v="2531.25"/>
    <s v="D"/>
    <s v="J"/>
    <m/>
    <m/>
    <m/>
    <m/>
    <m/>
    <m/>
    <m/>
  </r>
  <r>
    <d v="2024-08-07T00:00:00"/>
    <s v="August"/>
    <n v="2024"/>
    <x v="3"/>
    <n v="-43"/>
    <x v="1"/>
    <n v="19350"/>
    <n v="521"/>
    <s v="Federal"/>
    <x v="1"/>
    <n v="43"/>
    <s v="INDOT"/>
    <s v="N/A"/>
    <s v="2024-413-2-GCW-X"/>
    <m/>
    <s v="Allen"/>
    <n v="41.12491"/>
    <n v="-85.154899999999998"/>
    <s v="Energy Production"/>
    <m/>
    <s v="No"/>
    <m/>
    <n v="2902.5"/>
    <n v="13545"/>
    <n v="2902.5"/>
    <s v="D"/>
    <s v="J"/>
    <m/>
    <m/>
    <m/>
    <m/>
    <m/>
    <m/>
    <m/>
  </r>
  <r>
    <d v="2024-08-07T00:00:00"/>
    <s v="August"/>
    <n v="2024"/>
    <x v="1"/>
    <n v="-0.41"/>
    <x v="0"/>
    <n v="38950"/>
    <n v="524"/>
    <s v="Federal"/>
    <x v="3"/>
    <n v="0.27"/>
    <s v="ANR Pipeline Company"/>
    <s v="N/A"/>
    <s v="2020-229-45-MTM-A"/>
    <m/>
    <s v="Lake"/>
    <n v="41.433889999999998"/>
    <n v="-87.490600000000001"/>
    <s v="Energy Production"/>
    <m/>
    <s v="No"/>
    <m/>
    <n v="5842.5"/>
    <n v="27265"/>
    <n v="5842.5"/>
    <s v="C"/>
    <s v="J"/>
    <m/>
    <m/>
    <m/>
    <m/>
    <m/>
    <m/>
    <s v="Mitigation for additional wetland impacts (See also 2020-228-45-MTM-A and invoice/credit sale letter 0314 5/2022)"/>
  </r>
  <r>
    <d v="2024-08-13T00:00:00"/>
    <s v="August"/>
    <n v="2024"/>
    <x v="9"/>
    <n v="-7.875"/>
    <x v="0"/>
    <n v="630000"/>
    <n v="525"/>
    <s v="State Isolated"/>
    <x v="4"/>
    <n v="3.15"/>
    <s v="Hendricks Regional Health"/>
    <s v="N/A"/>
    <s v="IWIP 2024-168-32-MPY-A"/>
    <m/>
    <s v="Hendricks"/>
    <n v="39.844289000000003"/>
    <n v="-86.359190999999996"/>
    <s v="Development"/>
    <m/>
    <s v="No"/>
    <m/>
    <n v="94500"/>
    <n v="441000"/>
    <n v="94500"/>
    <s v="L"/>
    <s v="SI"/>
    <s v="3 FO "/>
    <m/>
    <m/>
    <m/>
    <m/>
    <m/>
    <m/>
  </r>
  <r>
    <d v="2024-08-13T00:00:00"/>
    <s v="August"/>
    <n v="2024"/>
    <x v="8"/>
    <n v="-0.65"/>
    <x v="0"/>
    <n v="52000"/>
    <n v="516"/>
    <s v="Federal"/>
    <x v="3"/>
    <n v="0.29699999999999999"/>
    <s v="Prairie Creek Wind, LLC"/>
    <s v="LRL-2022-00508-sjk"/>
    <s v="2024-26-5-EJW-A"/>
    <m/>
    <s v="Blackford"/>
    <n v="40.557099999999998"/>
    <n v="-85.375500000000002"/>
    <s v="Energy Production"/>
    <m/>
    <s v="No"/>
    <m/>
    <n v="7800"/>
    <n v="36400"/>
    <n v="7800"/>
    <s v="L"/>
    <s v="J"/>
    <m/>
    <m/>
    <m/>
    <m/>
    <m/>
    <m/>
    <m/>
  </r>
  <r>
    <d v="2024-08-13T00:00:00"/>
    <s v="August"/>
    <n v="2024"/>
    <x v="8"/>
    <n v="-60.77"/>
    <x v="1"/>
    <n v="24308"/>
    <n v="516"/>
    <s v="Federal"/>
    <x v="6"/>
    <n v="0.29699999999999999"/>
    <s v="Prairie Creek Wind, LLC"/>
    <s v="LRL-2022-00508-sjk"/>
    <s v="2024-26-5-EJW-A"/>
    <m/>
    <s v="Blackford"/>
    <n v="40.557099999999998"/>
    <n v="-85.375500000000002"/>
    <s v="Energy Production"/>
    <m/>
    <s v="No"/>
    <m/>
    <n v="3646.2"/>
    <n v="17015.599999999999"/>
    <n v="3646.2"/>
    <s v="L"/>
    <s v="J"/>
    <m/>
    <m/>
    <m/>
    <m/>
    <m/>
    <m/>
    <m/>
  </r>
  <r>
    <d v="2024-08-14T00:00:00"/>
    <s v="August"/>
    <n v="2024"/>
    <x v="0"/>
    <n v="-0.51749999999999996"/>
    <x v="0"/>
    <n v="49163"/>
    <n v="485"/>
    <s v="Federal"/>
    <x v="3"/>
    <n v="0.34499999999999997"/>
    <s v="Porter County Commissioner"/>
    <s v="LRC-2022-00523"/>
    <s v="2023-435-64-MTM-A"/>
    <m/>
    <s v="Porter"/>
    <n v="41.688896999999997"/>
    <n v="-86.950789"/>
    <s v="Transportation"/>
    <m/>
    <s v="No"/>
    <m/>
    <n v="7374.45"/>
    <n v="34414.1"/>
    <n v="7374.45"/>
    <s v="C"/>
    <s v="J"/>
    <m/>
    <m/>
    <m/>
    <m/>
    <m/>
    <m/>
    <s v="DES NO 1500419"/>
  </r>
  <r>
    <d v="2024-08-23T00:00:00"/>
    <s v="August"/>
    <n v="2024"/>
    <x v="8"/>
    <n v="-0.5"/>
    <x v="0"/>
    <n v="40000"/>
    <n v="520"/>
    <s v="Federal"/>
    <x v="3"/>
    <n v="0.21"/>
    <s v="AEP"/>
    <s v="LRL-2024-00436-cte"/>
    <s v="2024-528-68-LDC-X"/>
    <m/>
    <s v="Randolph"/>
    <n v="40.186599999999999"/>
    <n v="-84.863169999999997"/>
    <s v="Energy Production"/>
    <m/>
    <s v="No"/>
    <m/>
    <n v="6000"/>
    <n v="28000"/>
    <n v="6000"/>
    <s v="L"/>
    <s v="J"/>
    <m/>
    <m/>
    <m/>
    <m/>
    <m/>
    <m/>
    <m/>
  </r>
  <r>
    <d v="2024-08-23T00:00:00"/>
    <s v="August"/>
    <n v="2024"/>
    <x v="6"/>
    <n v="-80"/>
    <x v="1"/>
    <n v="48000"/>
    <n v="522"/>
    <s v="Federal"/>
    <x v="2"/>
    <n v="80"/>
    <s v="INDOT"/>
    <s v="N/A"/>
    <s v="2024-352-71-GCW-X"/>
    <m/>
    <s v="St. Joseph"/>
    <n v="41.624862999999998"/>
    <n v="-86.174055999999993"/>
    <s v="Transportation"/>
    <m/>
    <s v="No"/>
    <m/>
    <n v="7200"/>
    <n v="33600"/>
    <n v="7200"/>
    <s v="D"/>
    <s v="J"/>
    <m/>
    <m/>
    <m/>
    <m/>
    <m/>
    <m/>
    <s v="INDOT DES NO 2100761"/>
  </r>
  <r>
    <d v="2024-08-23T00:00:00"/>
    <s v="August"/>
    <n v="2024"/>
    <x v="9"/>
    <n v="-5.47"/>
    <x v="0"/>
    <n v="437600"/>
    <n v="392"/>
    <s v="State Isolated"/>
    <x v="4"/>
    <n v="2.1880000000000002"/>
    <s v="Thursday Pools, LLC"/>
    <s v="N/A"/>
    <s v="IWIP 2023-5-30-EKB-A"/>
    <m/>
    <s v="Hancock"/>
    <n v="39.934790999999997"/>
    <n v="-85.833048000000005"/>
    <s v="Development"/>
    <m/>
    <s v="No"/>
    <m/>
    <n v="65640"/>
    <n v="306320"/>
    <n v="65640"/>
    <s v="L"/>
    <s v="SI"/>
    <s v="3 FO"/>
    <m/>
    <m/>
    <m/>
    <m/>
    <m/>
    <m/>
  </r>
  <r>
    <d v="2024-09-03T00:00:00"/>
    <s v="September"/>
    <n v="2024"/>
    <x v="9"/>
    <n v="-3"/>
    <x v="0"/>
    <n v="240000"/>
    <n v="390"/>
    <s v="State Isolated"/>
    <x v="4"/>
    <n v="1.2"/>
    <s v="Thompson Thrift"/>
    <s v="N/A"/>
    <s v="IWIP 2022-1199-29-EKB-A"/>
    <m/>
    <s v="Hamilton"/>
    <n v="39.947699999999998"/>
    <n v="-86.003900000000002"/>
    <s v="Development"/>
    <m/>
    <s v="No"/>
    <m/>
    <n v="36000"/>
    <n v="168000"/>
    <n v="36000"/>
    <s v="L"/>
    <s v="I"/>
    <s v="3 FO"/>
    <m/>
    <m/>
    <m/>
    <m/>
    <m/>
    <m/>
  </r>
  <r>
    <d v="2024-09-03T00:00:00"/>
    <s v="September"/>
    <n v="2024"/>
    <x v="9"/>
    <n v="-2"/>
    <x v="0"/>
    <n v="160000"/>
    <n v="390"/>
    <s v="State Isolated"/>
    <x v="4"/>
    <n v="1"/>
    <s v="Thompson Thrift"/>
    <s v="N/A"/>
    <s v="IWIP 2022-1199-29-EKB-A"/>
    <m/>
    <s v="Hamilton"/>
    <n v="39.947699999999998"/>
    <n v="-86.003900000000002"/>
    <s v="Development"/>
    <m/>
    <s v="No"/>
    <m/>
    <n v="24000"/>
    <n v="112000"/>
    <n v="24000"/>
    <s v="L"/>
    <s v="I"/>
    <s v="2 FO"/>
    <m/>
    <m/>
    <m/>
    <m/>
    <m/>
    <m/>
  </r>
  <r>
    <d v="2024-09-03T00:00:00"/>
    <s v="September"/>
    <n v="2024"/>
    <x v="9"/>
    <n v="-1.2"/>
    <x v="0"/>
    <n v="96000"/>
    <n v="390"/>
    <s v="State Isolated"/>
    <x v="3"/>
    <n v="0.8"/>
    <s v="Thompson Thrift"/>
    <s v="N/A"/>
    <s v="IWIP 2022-1199-29-EKB-A"/>
    <m/>
    <s v="Hamilton"/>
    <n v="39.947699999999998"/>
    <n v="-86.003900000000002"/>
    <s v="Development"/>
    <m/>
    <s v="No"/>
    <m/>
    <n v="14400"/>
    <n v="67200"/>
    <n v="14400"/>
    <s v="L"/>
    <s v="I"/>
    <s v="2 NF"/>
    <m/>
    <m/>
    <m/>
    <m/>
    <m/>
    <m/>
  </r>
  <r>
    <d v="2024-09-04T00:00:00"/>
    <s v="September"/>
    <n v="2024"/>
    <x v="9"/>
    <n v="-252"/>
    <x v="1"/>
    <n v="113400"/>
    <n v="523"/>
    <s v="Federal"/>
    <x v="6"/>
    <n v="204"/>
    <s v="Lennar Homes of Indiana, LLC"/>
    <s v="LRL-2017-00334-sjk"/>
    <s v="2024-100-29-GCW-A"/>
    <m/>
    <s v="Hamilton"/>
    <n v="40.073878999999998"/>
    <n v="-86.064888999999994"/>
    <s v="Development"/>
    <m/>
    <s v="No"/>
    <m/>
    <n v="17010"/>
    <n v="79380"/>
    <n v="17010"/>
    <s v="L"/>
    <s v="J"/>
    <m/>
    <m/>
    <m/>
    <m/>
    <m/>
    <m/>
    <m/>
  </r>
  <r>
    <d v="2024-09-04T00:00:00"/>
    <s v="September"/>
    <n v="2024"/>
    <x v="9"/>
    <n v="-713"/>
    <x v="1"/>
    <n v="320850"/>
    <n v="523"/>
    <s v="Federal"/>
    <x v="2"/>
    <n v="594"/>
    <s v="Lennar Homes of Indiana, LLC"/>
    <s v="LRL-2017-00334-sjk"/>
    <s v="2024-100-29-GCW-A"/>
    <m/>
    <s v="Hamilton"/>
    <n v="40.073878999999998"/>
    <n v="-86.064888999999994"/>
    <s v="Development"/>
    <m/>
    <s v="No"/>
    <m/>
    <n v="48127.5"/>
    <n v="224595"/>
    <n v="48127.5"/>
    <s v="L"/>
    <s v="J"/>
    <m/>
    <m/>
    <m/>
    <m/>
    <m/>
    <m/>
    <m/>
  </r>
  <r>
    <d v="2024-09-04T00:00:00"/>
    <s v="September"/>
    <n v="2024"/>
    <x v="9"/>
    <n v="-0.44400000000000001"/>
    <x v="0"/>
    <n v="35520"/>
    <n v="523"/>
    <s v="Federal"/>
    <x v="4"/>
    <n v="0.111"/>
    <s v="Lennar Homes of Indiana, LLC"/>
    <s v="LRL-2017-00334-sjk"/>
    <s v="2024-100-29-GCW-A"/>
    <m/>
    <s v="Hamilton"/>
    <n v="40.073878999999998"/>
    <n v="-86.064888999999994"/>
    <s v="Development"/>
    <m/>
    <s v="No"/>
    <m/>
    <n v="5328"/>
    <n v="24864"/>
    <n v="5328"/>
    <s v="L"/>
    <s v="J"/>
    <m/>
    <m/>
    <m/>
    <m/>
    <m/>
    <m/>
    <m/>
  </r>
  <r>
    <d v="2024-09-04T00:00:00"/>
    <s v="September"/>
    <n v="2024"/>
    <x v="9"/>
    <n v="-0.02"/>
    <x v="0"/>
    <n v="1600"/>
    <n v="523"/>
    <s v="State Isolated"/>
    <x v="4"/>
    <n v="6.0000000000000001E-3"/>
    <s v="Lennar Homes of Indiana, LLC"/>
    <s v="LRL-2017-00334-sjk"/>
    <s v="IWIP 2024-100-29-GCW-A"/>
    <m/>
    <s v="Hamilton"/>
    <n v="40.073878999999998"/>
    <n v="-86.064888999999994"/>
    <s v="Development"/>
    <m/>
    <s v="No"/>
    <m/>
    <n v="240"/>
    <n v="1120"/>
    <n v="240"/>
    <s v="L"/>
    <s v="SI"/>
    <m/>
    <m/>
    <m/>
    <m/>
    <m/>
    <m/>
    <m/>
  </r>
  <r>
    <d v="2024-09-04T00:00:00"/>
    <s v="September"/>
    <n v="2024"/>
    <x v="9"/>
    <n v="-0.5"/>
    <x v="0"/>
    <n v="40000"/>
    <n v="528"/>
    <s v="State Isolated"/>
    <x v="4"/>
    <n v="0.2"/>
    <s v="Drees Homes"/>
    <s v="N/A"/>
    <s v="IWIP 2024-376-32-MPY-A"/>
    <m/>
    <s v="Hendricks"/>
    <n v="39.790702000000003"/>
    <n v="-86.394506000000007"/>
    <s v="Development"/>
    <m/>
    <s v="No"/>
    <m/>
    <n v="6000"/>
    <n v="28000"/>
    <n v="6000"/>
    <s v="L"/>
    <s v="SI"/>
    <s v="3 FO"/>
    <m/>
    <m/>
    <m/>
    <m/>
    <m/>
    <m/>
  </r>
  <r>
    <d v="2024-09-04T00:00:00"/>
    <s v="September"/>
    <n v="2024"/>
    <x v="8"/>
    <n v="-3.39"/>
    <x v="0"/>
    <n v="271200"/>
    <n v="531"/>
    <s v="Federal"/>
    <x v="5"/>
    <n v="1.1299999999999999"/>
    <s v="Blackford County Surveyor's Office"/>
    <s v="LRL-2022-793-sam"/>
    <s v="2023-388-5-EJW-A"/>
    <m/>
    <s v="Blackford"/>
    <n v="40.453695000000003"/>
    <n v="-85.391816000000006"/>
    <s v="Development"/>
    <m/>
    <s v="No"/>
    <m/>
    <n v="40680"/>
    <n v="189840"/>
    <n v="40680"/>
    <s v="L"/>
    <s v="J"/>
    <m/>
    <m/>
    <m/>
    <m/>
    <m/>
    <m/>
    <m/>
  </r>
  <r>
    <d v="2024-09-12T00:00:00"/>
    <s v="September"/>
    <n v="2024"/>
    <x v="1"/>
    <n v="-260.39999999999998"/>
    <x v="1"/>
    <n v="130200"/>
    <n v="529"/>
    <s v="Federal"/>
    <x v="1"/>
    <n v="217"/>
    <s v="Venture One Acquisitions, LLC"/>
    <s v="LRC-2023-00602"/>
    <s v="2024-90-45-MTM-A"/>
    <m/>
    <s v="Lake"/>
    <n v="41.285615"/>
    <n v="-87.308537999999999"/>
    <s v="Development"/>
    <m/>
    <s v="No"/>
    <m/>
    <n v="19530"/>
    <n v="91140"/>
    <n v="19530"/>
    <s v="C"/>
    <s v="J"/>
    <m/>
    <m/>
    <m/>
    <m/>
    <m/>
    <m/>
    <m/>
  </r>
  <r>
    <d v="2024-09-18T00:00:00"/>
    <s v="September"/>
    <n v="2024"/>
    <x v="9"/>
    <n v="-1.53"/>
    <x v="0"/>
    <n v="122400"/>
    <n v="517"/>
    <s v="State Isolated"/>
    <x v="4"/>
    <n v="0.61"/>
    <s v="Archview Properties"/>
    <s v="N/A"/>
    <s v="IWIP 2024-294-30-EJW-A"/>
    <m/>
    <s v="Hancock"/>
    <n v="39.868284000000003"/>
    <n v="-85.919186999999994"/>
    <s v="Development"/>
    <m/>
    <s v="No"/>
    <m/>
    <n v="18360"/>
    <n v="85680"/>
    <n v="18360"/>
    <s v="L"/>
    <s v="SI"/>
    <s v="2 FO"/>
    <m/>
    <m/>
    <m/>
    <m/>
    <m/>
    <m/>
  </r>
  <r>
    <d v="2024-09-26T00:00:00"/>
    <s v="September"/>
    <n v="2024"/>
    <x v="8"/>
    <n v="-0.5"/>
    <x v="0"/>
    <n v="40000"/>
    <n v="532"/>
    <s v="Federal"/>
    <x v="4"/>
    <n v="0.5"/>
    <s v="David Feltman"/>
    <s v="LRE-2019-821-143-R24"/>
    <s v="2024-353-43-MPY-A"/>
    <m/>
    <s v="Kosciusko"/>
    <n v="41.295074"/>
    <n v="-85.741298"/>
    <s v="Development"/>
    <m/>
    <s v="No"/>
    <m/>
    <n v="6000"/>
    <n v="28000"/>
    <n v="6000"/>
    <s v="D"/>
    <s v="J"/>
    <m/>
    <m/>
    <m/>
    <m/>
    <m/>
    <m/>
    <m/>
  </r>
  <r>
    <d v="2024-10-04T00:00:00"/>
    <s v="October"/>
    <n v="2024"/>
    <x v="8"/>
    <n v="-13.5"/>
    <x v="1"/>
    <n v="5400"/>
    <n v="373"/>
    <s v="Federal"/>
    <x v="6"/>
    <n v="13.5"/>
    <s v="INDOT"/>
    <s v="N/A"/>
    <s v="2023-15-2-WLR-X"/>
    <m/>
    <s v="Allen"/>
    <n v="41.013989000000002"/>
    <n v="-85.322722999999996"/>
    <s v="Agriculture"/>
    <m/>
    <s v="No"/>
    <m/>
    <n v="810"/>
    <n v="3779.9999999999995"/>
    <n v="810"/>
    <s v="D"/>
    <s v="J"/>
    <m/>
    <m/>
    <m/>
    <m/>
    <m/>
    <m/>
    <s v="1800058, 1800059, 1900070, 2000548"/>
  </r>
  <r>
    <d v="2024-10-04T00:00:00"/>
    <s v="October"/>
    <n v="2024"/>
    <x v="8"/>
    <n v="-86"/>
    <x v="1"/>
    <n v="34400"/>
    <n v="373"/>
    <s v="Federal"/>
    <x v="2"/>
    <n v="86"/>
    <s v="INDOT"/>
    <s v="N/A"/>
    <s v="2023-15-2-WLR-X"/>
    <m/>
    <s v="Allen"/>
    <n v="41.013989000000002"/>
    <n v="-85.322722999999996"/>
    <s v="Transportation"/>
    <m/>
    <s v="No"/>
    <m/>
    <n v="5160"/>
    <n v="24080"/>
    <n v="5160"/>
    <s v="D"/>
    <s v="J"/>
    <m/>
    <m/>
    <m/>
    <m/>
    <m/>
    <m/>
    <s v="1800058, 1800059, 1900070, 2000548"/>
  </r>
  <r>
    <d v="2024-10-10T00:00:00"/>
    <s v="October"/>
    <n v="2024"/>
    <x v="9"/>
    <n v="-3.8"/>
    <x v="0"/>
    <n v="304000"/>
    <n v="527"/>
    <s v="State Isolated"/>
    <x v="4"/>
    <n v="1.52"/>
    <s v="Apex Realty Group"/>
    <s v="N/A"/>
    <s v="IWIP 2023-406-49-GCW-A"/>
    <m/>
    <s v="Marion"/>
    <n v="39.894140999999998"/>
    <n v="-86.210183000000001"/>
    <s v="Development"/>
    <m/>
    <s v="No"/>
    <m/>
    <n v="45600"/>
    <n v="212800"/>
    <n v="45600"/>
    <s v="L"/>
    <s v="J"/>
    <s v="3 FO"/>
    <m/>
    <m/>
    <m/>
    <m/>
    <m/>
    <m/>
  </r>
  <r>
    <d v="2024-10-10T00:00:00"/>
    <s v="October"/>
    <n v="2024"/>
    <x v="8"/>
    <n v="-26"/>
    <x v="1"/>
    <n v="10400"/>
    <n v="534"/>
    <s v="Federal"/>
    <x v="2"/>
    <n v="26"/>
    <s v="INDOT"/>
    <s v="LRE-2024-00305-102-N24"/>
    <s v="2024-399-2-GCW-X"/>
    <m/>
    <s v="Allen"/>
    <n v="40.952199999999998"/>
    <n v="-85.258099999999999"/>
    <s v="Transportation"/>
    <m/>
    <s v="No"/>
    <m/>
    <n v="1560"/>
    <n v="7279.9999999999991"/>
    <n v="1560"/>
    <s v="D"/>
    <s v="J"/>
    <m/>
    <m/>
    <m/>
    <m/>
    <m/>
    <m/>
    <s v="INDOT DES No. 2002209"/>
  </r>
  <r>
    <d v="2024-10-10T00:00:00"/>
    <s v="October"/>
    <n v="2024"/>
    <x v="8"/>
    <n v="-2.4E-2"/>
    <x v="0"/>
    <n v="1920"/>
    <n v="534"/>
    <s v="Federal"/>
    <x v="3"/>
    <n v="1.2E-2"/>
    <s v="INDOT"/>
    <s v="LRE-2024-00305-102-N25"/>
    <s v="2024-399-2-GCW-X"/>
    <m/>
    <s v="Allen"/>
    <n v="40.952199999999998"/>
    <n v="-85.258099999999999"/>
    <s v="Transportation"/>
    <m/>
    <s v="No"/>
    <m/>
    <n v="288"/>
    <n v="1344"/>
    <n v="288"/>
    <s v="D"/>
    <s v="J"/>
    <m/>
    <m/>
    <m/>
    <m/>
    <m/>
    <m/>
    <s v="INDOT DES No. 2002209"/>
  </r>
  <r>
    <d v="2024-10-10T00:00:00"/>
    <s v="October"/>
    <n v="2024"/>
    <x v="0"/>
    <n v="-102"/>
    <x v="1"/>
    <n v="61200"/>
    <n v="535"/>
    <s v="Federal"/>
    <x v="6"/>
    <n v="102"/>
    <s v="INDOT"/>
    <s v="LRC-2023-00564"/>
    <s v="2023-991-45-GCW-A"/>
    <m/>
    <s v="Lake"/>
    <n v="41.571116000000004"/>
    <n v="-87.239908999999997"/>
    <s v="Transportation"/>
    <m/>
    <s v="No"/>
    <m/>
    <n v="9180"/>
    <n v="42840"/>
    <n v="9180"/>
    <s v="C"/>
    <s v="J"/>
    <m/>
    <m/>
    <m/>
    <m/>
    <m/>
    <m/>
    <s v="INDOT DES No 1900012 US 6 Bridge Project over Muck Pocket"/>
  </r>
  <r>
    <d v="2024-10-10T00:00:00"/>
    <s v="October"/>
    <n v="2024"/>
    <x v="0"/>
    <n v="-0.51"/>
    <x v="0"/>
    <n v="48450"/>
    <n v="535"/>
    <s v="Federal"/>
    <x v="3"/>
    <n v="0.2"/>
    <s v="INDOT"/>
    <s v="LRC-2023-00564"/>
    <s v="2023-991-45-GCW-A"/>
    <m/>
    <s v="Lake"/>
    <n v="41.571116000000004"/>
    <n v="-87.239908999999997"/>
    <s v="Transportation"/>
    <m/>
    <s v="No"/>
    <m/>
    <n v="7267.5"/>
    <n v="33915"/>
    <n v="7267.5"/>
    <s v="C"/>
    <s v="J"/>
    <m/>
    <m/>
    <m/>
    <m/>
    <m/>
    <m/>
    <s v="INDOT DES No 1900012 US 6 Bridge Project over Muck Pocket"/>
  </r>
  <r>
    <d v="2024-10-10T00:00:00"/>
    <s v="October"/>
    <n v="2024"/>
    <x v="0"/>
    <n v="-0.43"/>
    <x v="0"/>
    <n v="40850"/>
    <n v="535"/>
    <s v="Federal"/>
    <x v="5"/>
    <n v="0.14399999999999999"/>
    <s v="INDOT"/>
    <s v="LRC-2023-00564"/>
    <s v="2023-991-45-GCW-A"/>
    <m/>
    <s v="Lake"/>
    <n v="41.571116000000004"/>
    <n v="-87.239908999999997"/>
    <s v="Transportation"/>
    <m/>
    <s v="No"/>
    <m/>
    <n v="6127.5"/>
    <n v="28595"/>
    <n v="6127.5"/>
    <s v="C"/>
    <s v="J"/>
    <m/>
    <m/>
    <m/>
    <m/>
    <m/>
    <m/>
    <s v="INDOT DES No 1900012 US 6 Bridge Project over Muck Pocket"/>
  </r>
  <r>
    <d v="2024-10-10T00:00:00"/>
    <s v="October"/>
    <n v="2024"/>
    <x v="2"/>
    <n v="-37.799999999999997"/>
    <x v="1"/>
    <n v="15120"/>
    <n v="536"/>
    <s v="Federal"/>
    <x v="1"/>
    <n v="96"/>
    <s v="INDOT"/>
    <s v="LRL-2023-104-dds"/>
    <s v="2023-314-47-JBT-A"/>
    <m/>
    <s v="Lawrence"/>
    <n v="38.903703700000001"/>
    <n v="-86.398320999999996"/>
    <s v="Transportation"/>
    <m/>
    <s v="No"/>
    <m/>
    <n v="2268"/>
    <n v="10584"/>
    <n v="2268"/>
    <s v="L"/>
    <s v="J"/>
    <m/>
    <m/>
    <m/>
    <m/>
    <m/>
    <m/>
    <s v="INDOT DES No 1900296 SR 58 Slide Correction"/>
  </r>
  <r>
    <d v="2024-10-10T00:00:00"/>
    <s v="October"/>
    <n v="2024"/>
    <x v="2"/>
    <n v="-744.1"/>
    <x v="1"/>
    <n v="297640"/>
    <n v="536"/>
    <s v="Federal"/>
    <x v="2"/>
    <n v="744.1"/>
    <s v="INDOT"/>
    <s v="LRL-2023-104-dds"/>
    <s v="2023-314-47-JBT-A"/>
    <m/>
    <s v="Lawrence"/>
    <n v="38.903703700000001"/>
    <n v="-86.398320999999996"/>
    <s v="Transportation"/>
    <m/>
    <s v="No"/>
    <m/>
    <n v="44646"/>
    <n v="208348"/>
    <n v="44646"/>
    <s v="L"/>
    <s v="J"/>
    <m/>
    <m/>
    <m/>
    <m/>
    <m/>
    <m/>
    <s v="INDOT DES No 1900296 SR 58 Slide Correction"/>
  </r>
  <r>
    <d v="2024-10-31T00:00:00"/>
    <s v="October"/>
    <n v="2024"/>
    <x v="0"/>
    <n v="-0.23"/>
    <x v="0"/>
    <n v="21850"/>
    <n v="464"/>
    <s v="Federal"/>
    <x v="3"/>
    <n v="0.23"/>
    <s v="City of Crown Point"/>
    <s v="LRC-2022-00477"/>
    <s v="2022-760-45-MTM-A"/>
    <m/>
    <s v="Lake"/>
    <n v="41.410240999999999"/>
    <n v="-87.349329999999995"/>
    <s v="Development"/>
    <m/>
    <s v="No"/>
    <m/>
    <n v="3277.5"/>
    <n v="15294.999999999998"/>
    <n v="3277.5"/>
    <s v="C"/>
    <s v="J"/>
    <m/>
    <m/>
    <m/>
    <m/>
    <m/>
    <m/>
    <m/>
  </r>
  <r>
    <d v="2024-10-31T00:00:00"/>
    <s v="October"/>
    <n v="2024"/>
    <x v="9"/>
    <n v="-3.5999999999999997E-2"/>
    <x v="0"/>
    <n v="2880"/>
    <n v="537"/>
    <s v="Federal"/>
    <x v="3"/>
    <n v="1.7000000000000001E-2"/>
    <s v="INDOT"/>
    <s v="LRL-2023-683"/>
    <s v="2024-561-49-GCW"/>
    <m/>
    <s v="Wayne"/>
    <n v="39.726388999999998"/>
    <n v="-86.134444000000002"/>
    <s v="Transportation"/>
    <m/>
    <s v="No"/>
    <m/>
    <n v="432"/>
    <n v="2015.9999999999998"/>
    <n v="432"/>
    <s v="L"/>
    <s v="J"/>
    <m/>
    <m/>
    <m/>
    <m/>
    <m/>
    <m/>
    <s v="INDOT DES No. 1400073 I-65 Safety and Efficiency"/>
  </r>
  <r>
    <d v="2024-10-31T00:00:00"/>
    <s v="October"/>
    <n v="2024"/>
    <x v="9"/>
    <n v="-4.2000000000000003E-2"/>
    <x v="0"/>
    <n v="3360"/>
    <n v="537"/>
    <s v="Federal"/>
    <x v="3"/>
    <n v="1.4E-2"/>
    <s v="INDOT"/>
    <s v="LRL-2023-683"/>
    <s v="2024-561-49-GCW"/>
    <m/>
    <s v="Wayne"/>
    <n v="39.726388999999998"/>
    <n v="-86.134444000000002"/>
    <s v="Transportation"/>
    <m/>
    <s v="No"/>
    <m/>
    <n v="504"/>
    <n v="2352"/>
    <n v="504"/>
    <s v="L"/>
    <s v="J"/>
    <m/>
    <m/>
    <m/>
    <m/>
    <m/>
    <m/>
    <s v="INDOT DES No. 1400073 I-65 Safety and Efficiency"/>
  </r>
  <r>
    <d v="2024-10-31T00:00:00"/>
    <s v="October"/>
    <n v="2024"/>
    <x v="9"/>
    <n v="-786"/>
    <x v="1"/>
    <n v="353700"/>
    <n v="537"/>
    <s v="Federal"/>
    <x v="6"/>
    <n v="1113.9000000000001"/>
    <s v="INDOT"/>
    <s v="LRL-2023-683"/>
    <s v="2024-561-49-GCW"/>
    <m/>
    <s v="Wayne"/>
    <n v="39.726388999999998"/>
    <n v="-86.134444000000002"/>
    <s v="Transportation"/>
    <m/>
    <s v="No"/>
    <m/>
    <n v="53055"/>
    <n v="247589.99999999997"/>
    <n v="53055"/>
    <s v="L"/>
    <s v="J"/>
    <m/>
    <m/>
    <m/>
    <m/>
    <m/>
    <m/>
    <s v="INDOT DES No. 1400073 I-65 Safety and Efficiency"/>
  </r>
  <r>
    <d v="2024-11-07T00:00:00"/>
    <s v="November"/>
    <n v="2024"/>
    <x v="9"/>
    <n v="-211"/>
    <x v="1"/>
    <n v="94950"/>
    <n v="489"/>
    <s v="Federal"/>
    <x v="1"/>
    <n v="408"/>
    <s v="City of Indianapolis DPW"/>
    <s v="LRL-2023-0150-jde"/>
    <s v="2023-507-49-GCW-A"/>
    <m/>
    <s v="Marion"/>
    <n v="39.764231000000002"/>
    <n v="-86.289077000000006"/>
    <s v="Transportation"/>
    <m/>
    <s v="No"/>
    <m/>
    <n v="14242.5"/>
    <n v="66465"/>
    <n v="14242.5"/>
    <s v="L"/>
    <s v="J"/>
    <m/>
    <m/>
    <m/>
    <m/>
    <m/>
    <m/>
    <m/>
  </r>
  <r>
    <d v="2024-11-14T00:00:00"/>
    <s v="November"/>
    <n v="2024"/>
    <x v="10"/>
    <n v="-0.26"/>
    <x v="0"/>
    <n v="20800"/>
    <n v="519"/>
    <s v="State Isolated"/>
    <x v="3"/>
    <n v="0.26"/>
    <s v="Duke Energy"/>
    <s v="N/A"/>
    <s v="IWIP 2024-114-3-JLB-A"/>
    <m/>
    <s v="Bartholomew"/>
    <n v="39.134900000000002"/>
    <n v="-85.949100000000001"/>
    <s v="Energy Production"/>
    <m/>
    <s v="No"/>
    <m/>
    <n v="3120"/>
    <n v="14559.999999999998"/>
    <n v="3120"/>
    <s v="L"/>
    <s v="SI"/>
    <s v="3 FO, 3NF"/>
    <m/>
    <m/>
    <m/>
    <m/>
    <m/>
    <m/>
  </r>
  <r>
    <d v="2024-11-14T00:00:00"/>
    <s v="November"/>
    <n v="2024"/>
    <x v="10"/>
    <n v="-2.84"/>
    <x v="0"/>
    <n v="227200"/>
    <n v="519"/>
    <s v="State Isolated"/>
    <x v="4"/>
    <n v="2.84"/>
    <s v="Duke Energy"/>
    <s v="N/A"/>
    <s v="IWIP 2024-114-3-JLB-A"/>
    <m/>
    <s v="Bartholomew"/>
    <n v="39.134900000000002"/>
    <n v="-85.949100000000001"/>
    <s v="Energy Production"/>
    <m/>
    <s v="No"/>
    <m/>
    <n v="34080"/>
    <n v="159040"/>
    <n v="34080"/>
    <s v="L"/>
    <s v="SI"/>
    <s v="3 FO, 3NF"/>
    <m/>
    <m/>
    <m/>
    <m/>
    <m/>
    <m/>
  </r>
  <r>
    <d v="2024-11-15T00:00:00"/>
    <s v="November"/>
    <n v="2024"/>
    <x v="7"/>
    <n v="-31"/>
    <x v="1"/>
    <n v="12400"/>
    <n v="539"/>
    <s v="Federal"/>
    <x v="1"/>
    <n v="118"/>
    <s v="INDOT"/>
    <s v="LRL-2021-85-djd"/>
    <s v="2022-448-72-JBT-A"/>
    <m/>
    <s v="Scott/Clark"/>
    <n v="38.71"/>
    <n v="-85.796199999999999"/>
    <s v="Transportation"/>
    <m/>
    <s v="No"/>
    <m/>
    <n v="1860"/>
    <n v="8680"/>
    <n v="1860"/>
    <s v="L"/>
    <s v="J"/>
    <m/>
    <m/>
    <m/>
    <m/>
    <m/>
    <m/>
    <s v=" INDOT DES No. 1700135 - includes several SA's - I-65 project"/>
  </r>
  <r>
    <d v="2024-11-15T00:00:00"/>
    <s v="November"/>
    <n v="2024"/>
    <x v="7"/>
    <n v="-30"/>
    <x v="1"/>
    <n v="12000"/>
    <n v="539"/>
    <s v="Federal"/>
    <x v="2"/>
    <n v="710"/>
    <s v="INDOT"/>
    <s v="LRL-2021-85-djd"/>
    <s v="2022-448-72-JBT-A"/>
    <m/>
    <s v="Scott/Clark"/>
    <n v="38.71"/>
    <n v="-85.796199999999999"/>
    <s v="Transportation"/>
    <m/>
    <s v="No"/>
    <m/>
    <n v="1800"/>
    <n v="8400"/>
    <n v="1800"/>
    <s v="L"/>
    <s v="J"/>
    <m/>
    <m/>
    <m/>
    <m/>
    <m/>
    <m/>
    <s v=" INDOT DES No. 1700135 - includes several SA's - I-65 project"/>
  </r>
  <r>
    <d v="2024-11-15T00:00:00"/>
    <s v="November"/>
    <n v="2024"/>
    <x v="7"/>
    <n v="-171.9"/>
    <x v="1"/>
    <n v="68760"/>
    <n v="539"/>
    <s v="Federal"/>
    <x v="6"/>
    <n v="625.9"/>
    <s v="INDOT"/>
    <s v="LRL-2021-85-djd"/>
    <s v="2022-448-72-JBT-A"/>
    <m/>
    <s v="Scott/Clark"/>
    <n v="38.71"/>
    <n v="-85.796199999999999"/>
    <s v="Transportation"/>
    <m/>
    <s v="No"/>
    <m/>
    <n v="10314"/>
    <n v="48132"/>
    <n v="10314"/>
    <s v="L"/>
    <s v="J"/>
    <m/>
    <m/>
    <m/>
    <m/>
    <m/>
    <m/>
    <s v=" INDOT DES No. 1700135 - includes several SA's - I-65 project"/>
  </r>
  <r>
    <d v="2024-11-15T00:00:00"/>
    <s v="November"/>
    <n v="2024"/>
    <x v="7"/>
    <n v="-6.0000000000000001E-3"/>
    <x v="0"/>
    <n v="480"/>
    <n v="539"/>
    <s v="Federal"/>
    <x v="3"/>
    <n v="3.0000000000000001E-3"/>
    <s v="INDOT"/>
    <s v="LRL-2021-85-djd"/>
    <s v="2022-448-72-JBT-A"/>
    <m/>
    <s v="Scott/Clark"/>
    <n v="38.71"/>
    <n v="-85.796199999999999"/>
    <s v="Transportation"/>
    <m/>
    <s v="No"/>
    <m/>
    <n v="72"/>
    <n v="336"/>
    <n v="72"/>
    <s v="L"/>
    <s v="J"/>
    <m/>
    <m/>
    <m/>
    <m/>
    <m/>
    <m/>
    <s v=" INDOT DES No. 1700135 - includes several SA's - I-65 project"/>
  </r>
  <r>
    <d v="2024-11-15T00:00:00"/>
    <s v="November"/>
    <n v="2024"/>
    <x v="7"/>
    <n v="-6.7599999999999993E-2"/>
    <x v="0"/>
    <n v="5408"/>
    <n v="539"/>
    <s v="Federal"/>
    <x v="4"/>
    <n v="1.6E-2"/>
    <s v="INDOT"/>
    <s v="LRL-2021-85-djd"/>
    <s v="2022-448-72-JBT-A"/>
    <m/>
    <s v="Scott/Clark"/>
    <n v="38.71"/>
    <n v="-85.796199999999999"/>
    <s v="Transportation"/>
    <m/>
    <s v="No"/>
    <m/>
    <n v="811.19999999999993"/>
    <n v="3785.6"/>
    <n v="811.19999999999993"/>
    <s v="L"/>
    <s v="J"/>
    <m/>
    <m/>
    <m/>
    <m/>
    <m/>
    <m/>
    <s v=" INDOT DES No. 1700135 - includes several SA's - I-65 project"/>
  </r>
  <r>
    <d v="2024-11-15T00:00:00"/>
    <s v="November"/>
    <n v="2024"/>
    <x v="10"/>
    <n v="-125"/>
    <x v="1"/>
    <n v="50000"/>
    <n v="539"/>
    <s v="Federal"/>
    <x v="1"/>
    <n v="895"/>
    <s v="INDOT"/>
    <s v="LRL-2021-85-djd"/>
    <s v="2022-448-72-JBT-A"/>
    <m/>
    <s v="Scott/Clark"/>
    <n v="38.71"/>
    <n v="-85.796199999999999"/>
    <s v="Transportation"/>
    <m/>
    <s v="No"/>
    <m/>
    <n v="7500"/>
    <n v="35000"/>
    <n v="7500"/>
    <s v="L"/>
    <s v="J"/>
    <m/>
    <m/>
    <m/>
    <m/>
    <m/>
    <m/>
    <s v=" INDOT DES No. 1700135 - includes several SA's - I-65 project"/>
  </r>
  <r>
    <d v="2024-11-15T00:00:00"/>
    <s v="November"/>
    <n v="2024"/>
    <x v="10"/>
    <n v="-52"/>
    <x v="1"/>
    <n v="20800"/>
    <n v="539"/>
    <s v="Federal"/>
    <x v="2"/>
    <n v="847"/>
    <s v="INDOT"/>
    <s v="LRL-2021-85-djd"/>
    <s v="2022-448-72-JBT-A"/>
    <m/>
    <s v="Scott/Clark"/>
    <n v="38.71"/>
    <n v="-85.796199999999999"/>
    <s v="Transportation"/>
    <m/>
    <s v="No"/>
    <m/>
    <n v="3120"/>
    <n v="14559.999999999998"/>
    <n v="3120"/>
    <s v="L"/>
    <s v="J"/>
    <m/>
    <m/>
    <m/>
    <m/>
    <m/>
    <m/>
    <s v=" INDOT DES No. 1700135 - includes several SA's - I-65 project"/>
  </r>
  <r>
    <d v="2024-11-15T00:00:00"/>
    <s v="November"/>
    <n v="2024"/>
    <x v="10"/>
    <n v="-80"/>
    <x v="1"/>
    <n v="32000"/>
    <n v="539"/>
    <s v="Federal"/>
    <x v="6"/>
    <n v="278.89999999999998"/>
    <s v="INDOT"/>
    <s v="LRL-2021-85-djd"/>
    <s v="2022-448-72-JBT-A"/>
    <m/>
    <s v="Scott/Clark"/>
    <n v="38.71"/>
    <n v="-85.796199999999999"/>
    <s v="Transportation"/>
    <m/>
    <s v="No"/>
    <m/>
    <n v="4800"/>
    <n v="22400"/>
    <n v="4800"/>
    <s v="L"/>
    <s v="J"/>
    <m/>
    <m/>
    <m/>
    <m/>
    <m/>
    <m/>
    <s v=" INDOT DES No. 1700135 - includes several SA's - I-65 project"/>
  </r>
  <r>
    <d v="2024-11-15T00:00:00"/>
    <s v="November"/>
    <n v="2024"/>
    <x v="10"/>
    <n v="-0.17460000000000001"/>
    <x v="0"/>
    <n v="13968"/>
    <n v="539"/>
    <s v="Federal"/>
    <x v="3"/>
    <n v="8.7300000000000003E-2"/>
    <s v="INDOT"/>
    <s v="LRL-2021-85-djd"/>
    <s v="2022-448-72-JBT-A"/>
    <m/>
    <s v="Scott/Clark"/>
    <n v="38.71"/>
    <n v="-85.796199999999999"/>
    <s v="Transportation"/>
    <m/>
    <s v="No"/>
    <m/>
    <n v="2095.1999999999998"/>
    <n v="9777.5999999999985"/>
    <n v="2095.1999999999998"/>
    <s v="L"/>
    <s v="J"/>
    <m/>
    <m/>
    <m/>
    <m/>
    <m/>
    <m/>
    <s v=" INDOT DES No. 1700135 - includes several SA's - I-65 project"/>
  </r>
  <r>
    <d v="2024-11-15T00:00:00"/>
    <s v="November"/>
    <n v="2024"/>
    <x v="10"/>
    <n v="-8.6999999999999994E-3"/>
    <x v="0"/>
    <n v="696"/>
    <n v="539"/>
    <s v="Federal"/>
    <x v="5"/>
    <n v="2.8999999999999998E-3"/>
    <s v="INDOT"/>
    <s v="LRL-2021-85-djd"/>
    <s v="2022-448-72-JBT-A"/>
    <m/>
    <s v="Scott/Clark"/>
    <n v="38.71"/>
    <n v="-85.796199999999999"/>
    <s v="Transportation"/>
    <m/>
    <s v="No"/>
    <m/>
    <n v="104.39999999999999"/>
    <n v="487.2"/>
    <n v="104.39999999999999"/>
    <s v="L"/>
    <s v="J"/>
    <m/>
    <m/>
    <m/>
    <m/>
    <m/>
    <m/>
    <s v=" INDOT DES No. 1700135 - includes several SA's - I-65 project"/>
  </r>
  <r>
    <d v="2024-11-15T00:00:00"/>
    <s v="November"/>
    <n v="2024"/>
    <x v="10"/>
    <n v="-1.7000000000000001E-2"/>
    <x v="0"/>
    <n v="1360"/>
    <n v="539"/>
    <s v="State Isolated"/>
    <x v="3"/>
    <n v="1.15E-2"/>
    <s v="INDOT"/>
    <s v="N/A"/>
    <s v="IWIP 2022-448-72-JBT-A"/>
    <m/>
    <s v="Scott/Clark"/>
    <n v="38.71"/>
    <n v="-85.796199999999999"/>
    <s v="Transportation"/>
    <m/>
    <s v="No"/>
    <m/>
    <n v="204"/>
    <n v="951.99999999999989"/>
    <n v="204"/>
    <s v="L"/>
    <s v="SI"/>
    <s v="2NF"/>
    <m/>
    <m/>
    <m/>
    <m/>
    <m/>
    <s v=" INDOT DES No. 1700135 - includes several SA's - I-65 project"/>
  </r>
  <r>
    <d v="2024-11-19T00:00:00"/>
    <s v="November"/>
    <n v="2024"/>
    <x v="8"/>
    <n v="-0.16"/>
    <x v="0"/>
    <n v="12800"/>
    <n v="541"/>
    <s v="State Isolated"/>
    <x v="4"/>
    <n v="0.08"/>
    <s v="AMS 2024 - BTS - Kokomo, IN LLC"/>
    <s v="N/A"/>
    <s v="IWIP 2024-718-34-ENH"/>
    <m/>
    <s v="Howard"/>
    <n v="40.499622000000002"/>
    <n v="-86.099383000000003"/>
    <s v="Development"/>
    <m/>
    <s v="No"/>
    <m/>
    <n v="1920"/>
    <n v="8960"/>
    <n v="1920"/>
    <s v="L"/>
    <s v="SI"/>
    <s v="2 FO"/>
    <m/>
    <m/>
    <m/>
    <m/>
    <m/>
    <m/>
  </r>
  <r>
    <d v="2024-11-22T00:00:00"/>
    <s v="November"/>
    <n v="2024"/>
    <x v="9"/>
    <n v="-0.45"/>
    <x v="0"/>
    <n v="36000"/>
    <n v="542"/>
    <s v="Federal"/>
    <x v="3"/>
    <n v="0.3"/>
    <s v="Pulte Homes of Indiana, LLC"/>
    <s v="LRL-2014-1033-JLT"/>
    <s v="2016-132-32-SKG-A"/>
    <m/>
    <s v="Hendricks"/>
    <n v="39.698504999999997"/>
    <n v="-86.434465000000003"/>
    <s v="Development"/>
    <m/>
    <s v="No"/>
    <m/>
    <n v="5400"/>
    <n v="25200"/>
    <n v="5400"/>
    <s v="L"/>
    <s v="J"/>
    <m/>
    <m/>
    <m/>
    <m/>
    <m/>
    <m/>
    <s v="401 Modification from previous 401 WQC"/>
  </r>
  <r>
    <d v="2024-12-09T00:00:00"/>
    <s v="December"/>
    <n v="2024"/>
    <x v="10"/>
    <n v="-218.5"/>
    <x v="1"/>
    <n v="87400"/>
    <n v="533"/>
    <s v="Federal"/>
    <x v="6"/>
    <n v="374"/>
    <s v="INDOT"/>
    <s v="LRL-2023-00986"/>
    <s v="2024-485-70-GCW-A"/>
    <m/>
    <s v="Rush"/>
    <n v="39.786160000000002"/>
    <n v="-85.524439999999998"/>
    <s v="Transportation"/>
    <m/>
    <s v="No"/>
    <m/>
    <n v="13110"/>
    <n v="61179.999999999993"/>
    <n v="13110"/>
    <s v="L"/>
    <s v="J"/>
    <m/>
    <m/>
    <m/>
    <m/>
    <m/>
    <m/>
    <s v="INDOT DES No. 2002071 SR 140 over Big Blue River Bridge Replacement"/>
  </r>
  <r>
    <d v="2024-12-09T00:00:00"/>
    <s v="December"/>
    <n v="2024"/>
    <x v="0"/>
    <n v="-268"/>
    <x v="1"/>
    <n v="160800"/>
    <n v="538"/>
    <s v="Federal"/>
    <x v="6"/>
    <n v="268"/>
    <s v="INDOT"/>
    <s v="LRC-2022-00816"/>
    <s v="2023-1133-64-MMR-A"/>
    <m/>
    <s v="Porter"/>
    <n v="41.612318999999999"/>
    <n v="-87.173468999999997"/>
    <s v="Transportation"/>
    <m/>
    <s v="No"/>
    <m/>
    <n v="24120"/>
    <n v="112560"/>
    <n v="24120"/>
    <s v="C"/>
    <s v="J"/>
    <m/>
    <m/>
    <m/>
    <m/>
    <m/>
    <m/>
    <s v="INDOT DES No 2002079 SR 249 over East Arm Little Calumet River in Porter County"/>
  </r>
  <r>
    <d v="2024-12-18T00:00:00"/>
    <s v="December"/>
    <n v="2024"/>
    <x v="0"/>
    <n v="-1.3"/>
    <x v="0"/>
    <n v="123500"/>
    <n v="540"/>
    <s v="State Isolated"/>
    <x v="4"/>
    <n v="0.65"/>
    <s v="Summer Street Partners, LLC"/>
    <s v="N/A"/>
    <s v="IWIP 2024-518-45-MTM-WQC"/>
    <m/>
    <s v="Lake"/>
    <n v="41.606717000000003"/>
    <n v="-87.490061100000005"/>
    <s v="Development"/>
    <m/>
    <s v="No"/>
    <m/>
    <n v="18525"/>
    <n v="86450"/>
    <n v="18525"/>
    <s v="C"/>
    <s v="SI"/>
    <s v="2 FO"/>
    <m/>
    <m/>
    <m/>
    <m/>
    <m/>
    <m/>
  </r>
  <r>
    <d v="2024-12-18T00:00:00"/>
    <s v="December"/>
    <n v="2024"/>
    <x v="0"/>
    <n v="-0.7"/>
    <x v="0"/>
    <n v="66500"/>
    <n v="540"/>
    <s v="State Isolated"/>
    <x v="5"/>
    <n v="0.7"/>
    <s v="Summer Street Partners, LLC"/>
    <s v="N/A"/>
    <s v="IWIP 2024-518-45-MTM-WQC"/>
    <m/>
    <s v="Lake"/>
    <n v="41.606717000000003"/>
    <n v="-87.490061100000005"/>
    <s v="Development"/>
    <m/>
    <s v="No"/>
    <m/>
    <n v="9975"/>
    <n v="46550"/>
    <n v="9975"/>
    <s v="C"/>
    <s v="SI"/>
    <s v="1 NF"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d v="2025-01-02T00:00:00"/>
    <s v="January"/>
    <n v="2025"/>
    <x v="3"/>
    <n v="-1.4"/>
    <x v="0"/>
    <n v="112000"/>
    <n v="526"/>
    <s v="Federal"/>
    <x v="4"/>
    <n v="0.48"/>
    <s v="Fort Wayne Parks and Recreation"/>
    <s v="LRE-2015-01011-102-N23"/>
    <s v="2023-22-2-EJW-A"/>
    <m/>
    <s v="Allen"/>
    <n v="41.083458"/>
    <n v="-85.143118000000001"/>
    <s v="Development"/>
    <m/>
    <s v="No"/>
    <m/>
    <n v="16800"/>
    <n v="78400"/>
    <n v="16800"/>
    <s v="D"/>
    <s v="J"/>
    <m/>
    <m/>
    <m/>
    <m/>
    <m/>
    <m/>
    <s v="Riverfront Project"/>
  </r>
  <r>
    <d v="2025-01-02T00:00:00"/>
    <s v="January"/>
    <n v="2025"/>
    <x v="3"/>
    <n v="-1000"/>
    <x v="1"/>
    <n v="450000"/>
    <n v="526"/>
    <s v="Federal"/>
    <x v="6"/>
    <n v="1000"/>
    <s v="Fort Wayne Parks and Recreation"/>
    <s v="LRE-2015-01011-102-N23"/>
    <s v="2023-22-2-EJW-A"/>
    <m/>
    <s v="Allen"/>
    <n v="41.083458"/>
    <n v="-85.143118000000001"/>
    <s v="Development"/>
    <m/>
    <s v="No"/>
    <m/>
    <n v="67500"/>
    <n v="315000"/>
    <n v="67500"/>
    <s v="D"/>
    <s v="J"/>
    <m/>
    <m/>
    <m/>
    <m/>
    <m/>
    <m/>
    <s v="Riverfront Project"/>
  </r>
  <r>
    <d v="2025-01-02T00:00:00"/>
    <s v="January"/>
    <n v="2025"/>
    <x v="7"/>
    <n v="-65"/>
    <x v="1"/>
    <n v="26000"/>
    <n v="546"/>
    <s v="Federal"/>
    <x v="2"/>
    <n v="65"/>
    <s v="Duke Energy"/>
    <s v="LRL-2023-00398"/>
    <s v="2024-853-10-JLB-WQC"/>
    <m/>
    <s v="Clark"/>
    <n v="38.596882999999998"/>
    <n v="-85.561622999999997"/>
    <s v="Energy Production"/>
    <m/>
    <s v="No"/>
    <m/>
    <n v="3900"/>
    <n v="18200"/>
    <n v="3900"/>
    <s v="L"/>
    <s v="J"/>
    <m/>
    <m/>
    <m/>
    <m/>
    <m/>
    <m/>
    <s v="Bank didn't have all the crdits needed to purchase, they purchased remainder +20% for temporal loss, 65 credits, through ILF"/>
  </r>
  <r>
    <d v="2025-01-03T00:00:00"/>
    <s v="January"/>
    <n v="2025"/>
    <x v="9"/>
    <n v="-0.6"/>
    <x v="0"/>
    <n v="48000"/>
    <n v="557"/>
    <s v="Federal"/>
    <x v="5"/>
    <n v="0.2"/>
    <s v="Republic Development LLC"/>
    <s v="LRL-2021-1063-SJK"/>
    <s v="2024-508-32-MPY-A"/>
    <m/>
    <s v="Hendricks"/>
    <n v="39.769466000000001"/>
    <n v="-86.425691999999998"/>
    <s v="Development"/>
    <m/>
    <s v="No"/>
    <m/>
    <n v="7200"/>
    <n v="33600"/>
    <n v="7200"/>
    <s v="L"/>
    <s v="J"/>
    <m/>
    <m/>
    <m/>
    <m/>
    <m/>
    <m/>
    <m/>
  </r>
  <r>
    <d v="2025-01-03T00:00:00"/>
    <s v="January"/>
    <n v="2025"/>
    <x v="9"/>
    <n v="-917"/>
    <x v="1"/>
    <n v="343800"/>
    <n v="557"/>
    <s v="Federal"/>
    <x v="2"/>
    <n v="764"/>
    <s v="Republic Development LLC"/>
    <s v="LRL-2021-1063-SJK"/>
    <s v="2024-508-32-MPY-A"/>
    <m/>
    <s v="Hendricks"/>
    <n v="39.769466000000001"/>
    <n v="-86.425691999999998"/>
    <s v="Development"/>
    <m/>
    <s v="No"/>
    <m/>
    <n v="51570"/>
    <n v="240659.99999999997"/>
    <n v="51570"/>
    <s v="L"/>
    <s v="J"/>
    <m/>
    <m/>
    <m/>
    <m/>
    <m/>
    <m/>
    <m/>
  </r>
  <r>
    <d v="2025-01-03T00:00:00"/>
    <s v="January"/>
    <n v="2025"/>
    <x v="9"/>
    <n v="-42"/>
    <x v="1"/>
    <n v="15750"/>
    <n v="557"/>
    <s v="Federal"/>
    <x v="6"/>
    <n v="35"/>
    <s v="Republic Development LLC"/>
    <s v="LRL-2021-1063-SJK"/>
    <s v="2024-508-32-MPY-A"/>
    <m/>
    <s v="Hendricks"/>
    <n v="39.769466000000001"/>
    <n v="-86.425691999999998"/>
    <s v="Development"/>
    <m/>
    <s v="No"/>
    <m/>
    <n v="2362.5"/>
    <n v="11025"/>
    <n v="2362.5"/>
    <s v="L"/>
    <s v="J"/>
    <m/>
    <m/>
    <m/>
    <m/>
    <m/>
    <m/>
    <m/>
  </r>
  <r>
    <d v="2025-01-03T00:00:00"/>
    <s v="January"/>
    <n v="2025"/>
    <x v="9"/>
    <n v="-2.4300000000000002"/>
    <x v="0"/>
    <n v="194400"/>
    <n v="557"/>
    <s v="State Isolated"/>
    <x v="4"/>
    <n v="1.405"/>
    <s v="Republic Development LLC"/>
    <s v="LRL-2021-1063-SJK"/>
    <s v="2024-508-32-MPY-A"/>
    <m/>
    <s v="Hendricks"/>
    <n v="39.769466000000001"/>
    <n v="-86.425691999999998"/>
    <s v="Development"/>
    <m/>
    <s v="No"/>
    <m/>
    <n v="29160"/>
    <n v="136080"/>
    <n v="29160"/>
    <s v="L"/>
    <s v="SI"/>
    <s v="2 NF"/>
    <m/>
    <m/>
    <m/>
    <m/>
    <m/>
    <m/>
  </r>
  <r>
    <d v="2025-01-08T00:00:00"/>
    <s v="January"/>
    <n v="2025"/>
    <x v="7"/>
    <n v="-288"/>
    <x v="1"/>
    <n v="115200"/>
    <n v="545"/>
    <s v="Federal"/>
    <x v="2"/>
    <n v="288"/>
    <s v="Clark Floyd Landfill, LLC"/>
    <s v="LRL-2013-00374"/>
    <s v="2021-189-10-TMS-A"/>
    <m/>
    <s v="Clark"/>
    <n v="38.457000000000001"/>
    <n v="-85.847740000000002"/>
    <s v="Development"/>
    <m/>
    <s v="No"/>
    <m/>
    <n v="17280"/>
    <n v="80640"/>
    <n v="17280"/>
    <s v="L"/>
    <s v="J"/>
    <m/>
    <m/>
    <m/>
    <m/>
    <m/>
    <m/>
    <s v="Payment 4 of 7"/>
  </r>
  <r>
    <d v="2025-01-08T00:00:00"/>
    <s v="January"/>
    <n v="2025"/>
    <x v="7"/>
    <n v="-1.3"/>
    <x v="0"/>
    <n v="104000"/>
    <n v="545"/>
    <s v="Federal"/>
    <x v="4"/>
    <n v="1.3"/>
    <s v="Clark Floyd Landfill, LLC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s v="J"/>
    <m/>
    <m/>
    <m/>
    <m/>
    <m/>
    <m/>
    <s v="Payment 4 of 7"/>
  </r>
  <r>
    <d v="2025-01-09T00:00:00"/>
    <s v="January"/>
    <n v="2025"/>
    <x v="9"/>
    <n v="-0.22"/>
    <x v="0"/>
    <n v="17600"/>
    <n v="495"/>
    <s v="Federal"/>
    <x v="3"/>
    <n v="0.4"/>
    <s v="City of Indianapolis, DPW"/>
    <s v="LRL-2023-00628-jde"/>
    <s v="2023-1032-49-SCF-A"/>
    <m/>
    <s v="Marion"/>
    <n v="39.916629999999998"/>
    <n v="-86.150426999999993"/>
    <s v="Development"/>
    <m/>
    <s v="No"/>
    <m/>
    <n v="2640"/>
    <n v="12320"/>
    <n v="2640"/>
    <s v="L"/>
    <s v="J"/>
    <m/>
    <m/>
    <m/>
    <m/>
    <m/>
    <m/>
    <m/>
  </r>
  <r>
    <d v="2025-01-14T00:00:00"/>
    <s v="January"/>
    <n v="2025"/>
    <x v="9"/>
    <n v="-418"/>
    <x v="1"/>
    <n v="188100"/>
    <n v="549"/>
    <s v="Federal"/>
    <x v="2"/>
    <n v="418"/>
    <s v="City of Fishers"/>
    <s v="LRL-2023-00882-sjk"/>
    <s v="2024-871-29-ENH-WQC"/>
    <m/>
    <s v="Hamilton"/>
    <n v="39.964627999999998"/>
    <n v="-85.965615"/>
    <s v="Transportation"/>
    <m/>
    <s v="No"/>
    <m/>
    <n v="28215"/>
    <n v="131670"/>
    <n v="28215"/>
    <s v="L"/>
    <s v="J"/>
    <m/>
    <m/>
    <m/>
    <m/>
    <m/>
    <m/>
    <m/>
  </r>
  <r>
    <d v="2025-01-15T00:00:00"/>
    <s v="January"/>
    <n v="2025"/>
    <x v="9"/>
    <n v="-12"/>
    <x v="1"/>
    <n v="5400"/>
    <n v="552"/>
    <s v="Federal"/>
    <x v="2"/>
    <n v="10"/>
    <s v="Pulte Homes of Indiana, LLC"/>
    <s v="LRL-2024-00289-jde"/>
    <s v="2024-655-29-ENH-WQC"/>
    <m/>
    <s v="Hamilton"/>
    <n v="39.998823000000002"/>
    <n v="-86.093216999999996"/>
    <s v="Development"/>
    <m/>
    <s v="No"/>
    <m/>
    <n v="810"/>
    <n v="3779.9999999999995"/>
    <n v="810"/>
    <s v="L"/>
    <s v="J"/>
    <m/>
    <m/>
    <m/>
    <m/>
    <m/>
    <m/>
    <m/>
  </r>
  <r>
    <d v="2025-01-15T00:00:00"/>
    <s v="January"/>
    <n v="2025"/>
    <x v="9"/>
    <n v="-0.86"/>
    <x v="0"/>
    <n v="68800"/>
    <n v="552"/>
    <s v="Federal"/>
    <x v="5"/>
    <n v="0.24"/>
    <s v="Pulte Homes of Indiana, LLC"/>
    <s v="LRL-2024-00289-jde"/>
    <s v="2024-655-29-ENH-WQC"/>
    <m/>
    <s v="Hamilton"/>
    <n v="39.998823000000002"/>
    <n v="-86.093216999999996"/>
    <s v="Development"/>
    <m/>
    <s v="No"/>
    <m/>
    <n v="10320"/>
    <n v="48160"/>
    <n v="10320"/>
    <s v="L"/>
    <s v="J"/>
    <m/>
    <m/>
    <m/>
    <m/>
    <m/>
    <m/>
    <m/>
  </r>
  <r>
    <d v="2025-01-28T00:00:00"/>
    <s v="January"/>
    <n v="2025"/>
    <x v="9"/>
    <n v="-1037"/>
    <x v="1"/>
    <n v="388800"/>
    <n v="554"/>
    <s v="Federal"/>
    <x v="2"/>
    <n v="864"/>
    <s v="QuickTrip Corporation"/>
    <s v="LRL-2024-431-SJK"/>
    <s v="2024-735-32-MPY-WQC"/>
    <m/>
    <s v="Hendricks"/>
    <n v="39.830840999999999"/>
    <n v="-86.354308000000003"/>
    <s v="Development"/>
    <m/>
    <s v="No"/>
    <m/>
    <n v="58320"/>
    <n v="272160"/>
    <n v="58320"/>
    <s v="L"/>
    <s v="J"/>
    <m/>
    <m/>
    <m/>
    <m/>
    <m/>
    <m/>
    <m/>
  </r>
  <r>
    <d v="2025-01-28T00:00:00"/>
    <s v="January"/>
    <n v="2025"/>
    <x v="10"/>
    <n v="-0.64400000000000002"/>
    <x v="0"/>
    <n v="44000"/>
    <s v="553C"/>
    <s v="State Isolated"/>
    <x v="4"/>
    <n v="0.27500000000000002"/>
    <s v="Lennar Homes of Indiana, Inc."/>
    <s v="N/A"/>
    <s v="2024-846-49-LDC-IWIP"/>
    <m/>
    <s v="Marion"/>
    <n v="39.692799999999998"/>
    <n v="-86.021000000000001"/>
    <s v="Development"/>
    <m/>
    <s v="No"/>
    <m/>
    <n v="6600"/>
    <n v="30799.999999999996"/>
    <n v="6600"/>
    <s v="L"/>
    <s v="SI"/>
    <s v="2 FO"/>
    <m/>
    <m/>
    <m/>
    <m/>
    <m/>
    <m/>
  </r>
  <r>
    <d v="2025-01-30T00:00:00"/>
    <s v="January"/>
    <n v="2025"/>
    <x v="9"/>
    <n v="-19.2"/>
    <x v="1"/>
    <n v="8640"/>
    <n v="555"/>
    <s v="Federal"/>
    <x v="2"/>
    <n v="16"/>
    <s v="Westfield-Washington Schools"/>
    <s v="LRL-2024-00038-sjk"/>
    <s v="2024-903-29-ENH-NWP"/>
    <m/>
    <s v="Hamilton"/>
    <n v="40.042164999999997"/>
    <n v="-86.201814999999996"/>
    <s v="Transportation"/>
    <m/>
    <s v="No"/>
    <m/>
    <n v="1296"/>
    <n v="6048"/>
    <n v="1296"/>
    <s v="L"/>
    <s v="J"/>
    <m/>
    <m/>
    <m/>
    <m/>
    <m/>
    <m/>
    <m/>
  </r>
  <r>
    <d v="2025-01-30T00:00:00"/>
    <s v="January"/>
    <n v="2025"/>
    <x v="9"/>
    <n v="-0.44400000000000001"/>
    <x v="0"/>
    <n v="35520"/>
    <n v="555"/>
    <s v="Federal"/>
    <x v="3"/>
    <n v="0.185"/>
    <s v="Westfield-Washington Schools"/>
    <s v="LRL-2024-00038-sjk"/>
    <s v="2024-903-29-ENH-NWP"/>
    <m/>
    <s v="Hamilton"/>
    <n v="40.042164999999997"/>
    <n v="-86.201814999999996"/>
    <s v="Transportation"/>
    <m/>
    <s v="No"/>
    <m/>
    <n v="5328"/>
    <n v="24864"/>
    <n v="5328"/>
    <s v="L"/>
    <s v="J"/>
    <m/>
    <m/>
    <m/>
    <m/>
    <m/>
    <m/>
    <m/>
  </r>
  <r>
    <d v="2025-01-30T00:00:00"/>
    <s v="January"/>
    <n v="2025"/>
    <x v="9"/>
    <n v="-0.191"/>
    <x v="0"/>
    <n v="15280"/>
    <n v="555"/>
    <s v="Federal"/>
    <x v="5"/>
    <n v="5.2999999999999999E-2"/>
    <s v="Westfield-Washington Schools"/>
    <s v="LRL-2024-00038-sjk"/>
    <s v="2024-903-29-ENH-NWP"/>
    <m/>
    <s v="Hamilton"/>
    <n v="40.042164999999997"/>
    <n v="-86.201814999999996"/>
    <s v="Transportation"/>
    <m/>
    <s v="No"/>
    <m/>
    <n v="2292"/>
    <n v="10696"/>
    <n v="2292"/>
    <s v="L"/>
    <s v="J"/>
    <m/>
    <m/>
    <m/>
    <m/>
    <m/>
    <m/>
    <m/>
  </r>
  <r>
    <d v="2025-01-30T00:00:00"/>
    <s v="January"/>
    <n v="2025"/>
    <x v="9"/>
    <n v="-35"/>
    <x v="1"/>
    <n v="15750"/>
    <n v="559"/>
    <s v="Federal"/>
    <x v="2"/>
    <n v="8.0000000000000002E-3"/>
    <s v="INDOT"/>
    <s v="LRL-2024-813"/>
    <s v="2024-916-49-GCW-NWP"/>
    <m/>
    <s v="Marion"/>
    <n v="39.764301000000003"/>
    <n v="-86.302840000000003"/>
    <s v="Transportation"/>
    <m/>
    <s v="No"/>
    <m/>
    <n v="2362.5"/>
    <n v="11025"/>
    <n v="2362.5"/>
    <s v="L"/>
    <s v="J"/>
    <m/>
    <m/>
    <m/>
    <m/>
    <m/>
    <m/>
    <s v="INDOT DES No 1800035"/>
  </r>
  <r>
    <d v="2025-01-30T00:00:00"/>
    <s v="January"/>
    <n v="2025"/>
    <x v="9"/>
    <n v="-125"/>
    <x v="1"/>
    <n v="56250"/>
    <n v="559"/>
    <s v="Federal"/>
    <x v="6"/>
    <n v="8.0000000000000002E-3"/>
    <s v="INDOT"/>
    <s v="LRL-2024-813"/>
    <s v="2024-916-49-GCW-NWP"/>
    <m/>
    <s v="Marion"/>
    <n v="39.764301000000003"/>
    <n v="-86.302840000000003"/>
    <s v="Transportation"/>
    <m/>
    <s v="No"/>
    <m/>
    <n v="8437.5"/>
    <n v="39375"/>
    <n v="8437.5"/>
    <s v="L"/>
    <s v="J"/>
    <m/>
    <m/>
    <m/>
    <m/>
    <m/>
    <m/>
    <s v="INDOT DES No 1800035"/>
  </r>
  <r>
    <d v="2025-01-30T00:00:00"/>
    <s v="January"/>
    <n v="2025"/>
    <x v="0"/>
    <n v="-120.7"/>
    <x v="1"/>
    <n v="72420"/>
    <n v="560"/>
    <s v="Federal"/>
    <x v="1"/>
    <n v="100.6"/>
    <s v="INDOT"/>
    <s v="LRC-2023-00216"/>
    <s v="2023-1044-64-GCW-X"/>
    <m/>
    <s v="Porter"/>
    <n v="41.535998999999997"/>
    <n v="-87.033878000000001"/>
    <s v="Transportation"/>
    <m/>
    <s v="No"/>
    <m/>
    <n v="10863"/>
    <n v="50694"/>
    <n v="10863"/>
    <s v="C"/>
    <s v="J"/>
    <m/>
    <m/>
    <m/>
    <m/>
    <m/>
    <m/>
    <s v="INDOT DES No 2001935"/>
  </r>
  <r>
    <d v="2025-02-06T00:00:00"/>
    <s v="February"/>
    <n v="2025"/>
    <x v="10"/>
    <n v="-0.23"/>
    <x v="0"/>
    <n v="18400"/>
    <n v="544"/>
    <s v="State Isolated"/>
    <x v="3"/>
    <n v="0.152"/>
    <s v="INDOT"/>
    <s v="N/A"/>
    <s v="2024-664-89-GCW-SRGP"/>
    <m/>
    <s v="Wayne"/>
    <n v="39.860909999999997"/>
    <n v="-85.024882000000005"/>
    <s v="Development"/>
    <m/>
    <s v="No"/>
    <m/>
    <n v="2760"/>
    <n v="12880"/>
    <n v="2760"/>
    <s v="L"/>
    <s v="SI"/>
    <s v="2 NF"/>
    <m/>
    <m/>
    <m/>
    <m/>
    <m/>
    <s v="INDOT DES No. 2000500  I-70 Centerville Rest Area"/>
  </r>
  <r>
    <d v="2025-02-06T00:00:00"/>
    <s v="February"/>
    <n v="2025"/>
    <x v="10"/>
    <n v="-2028"/>
    <x v="1"/>
    <n v="811200"/>
    <n v="544"/>
    <s v="Federal"/>
    <x v="1"/>
    <n v="1950"/>
    <s v="INDOT"/>
    <s v="LRL-2023-942"/>
    <s v="2024-664-89-GCW-WQC"/>
    <m/>
    <s v="Wayne"/>
    <n v="39.860909999999997"/>
    <n v="-85.024882000000005"/>
    <s v="Development"/>
    <m/>
    <s v="No"/>
    <m/>
    <n v="121680"/>
    <n v="567840"/>
    <n v="121680"/>
    <s v="L"/>
    <s v="J"/>
    <m/>
    <m/>
    <m/>
    <m/>
    <m/>
    <m/>
    <s v="INDOT DES No. 2000500  I-70 Centerville Rest Area"/>
  </r>
  <r>
    <d v="2025-02-11T00:00:00"/>
    <s v="February"/>
    <n v="2025"/>
    <x v="9"/>
    <n v="-0.26"/>
    <x v="0"/>
    <n v="20800"/>
    <n v="563"/>
    <s v="State Isolated"/>
    <x v="4"/>
    <n v="0.13"/>
    <s v="JR Promotions, LLC"/>
    <s v="N/A"/>
    <s v="2024-938-48-EJW-SRGP"/>
    <m/>
    <s v="Madison"/>
    <n v="40.033898999999998"/>
    <n v="-85.737774000000002"/>
    <s v="Development"/>
    <m/>
    <s v="No"/>
    <m/>
    <n v="3120"/>
    <n v="14559.999999999998"/>
    <n v="3120"/>
    <s v="L"/>
    <s v="SI"/>
    <s v="2 FO"/>
    <m/>
    <m/>
    <m/>
    <m/>
    <m/>
    <m/>
  </r>
  <r>
    <d v="2025-02-11T00:00:00"/>
    <s v="February"/>
    <n v="2025"/>
    <x v="9"/>
    <n v="-0.04"/>
    <x v="0"/>
    <n v="3200"/>
    <n v="551"/>
    <s v="State Isolated"/>
    <x v="4"/>
    <n v="0.02"/>
    <s v="Henke Development Group"/>
    <s v="N/A"/>
    <s v="2018-728-6-JMK-A-IWIP"/>
    <m/>
    <s v="Boone"/>
    <n v="39.977179999999997"/>
    <n v="-86.258809999999997"/>
    <s v="Development"/>
    <m/>
    <s v="No"/>
    <m/>
    <n v="480"/>
    <n v="2240"/>
    <n v="480"/>
    <s v="L"/>
    <s v="SI"/>
    <s v="2 FO"/>
    <m/>
    <m/>
    <m/>
    <m/>
    <m/>
    <s v="Mitigation for additional impacts to aquatic resources."/>
  </r>
  <r>
    <d v="2025-02-21T00:00:00"/>
    <s v="February"/>
    <n v="2025"/>
    <x v="9"/>
    <n v="-680"/>
    <x v="1"/>
    <n v="306000"/>
    <n v="550"/>
    <s v="Federal"/>
    <x v="6"/>
    <n v="758"/>
    <s v="INDOT"/>
    <s v="LRL-2020-1021-dds"/>
    <s v="2024-768-29-GCW-WQC"/>
    <m/>
    <s v="Hamilton"/>
    <n v="40.160269999999997"/>
    <n v="-86.127977000000001"/>
    <s v="Transportation"/>
    <m/>
    <s v="No"/>
    <m/>
    <n v="45900"/>
    <n v="214200"/>
    <n v="45900"/>
    <s v="L"/>
    <s v="J"/>
    <m/>
    <m/>
    <m/>
    <m/>
    <m/>
    <m/>
    <s v="INDOT DES No. 1900096"/>
  </r>
  <r>
    <d v="2025-02-21T00:00:00"/>
    <s v="February"/>
    <n v="2025"/>
    <x v="9"/>
    <n v="-0.1"/>
    <x v="0"/>
    <n v="8000"/>
    <n v="550"/>
    <s v="State Isolated"/>
    <x v="3"/>
    <n v="0.06"/>
    <s v="INDOT"/>
    <s v="N/A"/>
    <s v="2024-768-29-GCW-SRGP"/>
    <m/>
    <s v="Hamilton"/>
    <n v="40.160269999999997"/>
    <n v="-86.127977000000001"/>
    <s v="Transportation"/>
    <m/>
    <s v="No"/>
    <m/>
    <n v="1200"/>
    <n v="5600"/>
    <n v="1200"/>
    <s v="L"/>
    <s v="SI"/>
    <s v="2 NF"/>
    <m/>
    <m/>
    <m/>
    <m/>
    <m/>
    <s v="INDOT DES No. 1900096"/>
  </r>
  <r>
    <d v="2025-02-21T00:00:00"/>
    <s v="February"/>
    <n v="2025"/>
    <x v="0"/>
    <n v="-0.77"/>
    <x v="0"/>
    <n v="73150"/>
    <n v="442"/>
    <s v="Federal"/>
    <x v="3"/>
    <n v="0.4"/>
    <s v="CIT Trucks, LLC"/>
    <s v="LRC-2021-00738"/>
    <s v="2023-143-64-MTM-A"/>
    <m/>
    <s v="Porter"/>
    <n v="41.604331000000002"/>
    <n v="-87.117729999999995"/>
    <s v="Development"/>
    <m/>
    <s v="No"/>
    <m/>
    <n v="10972.5"/>
    <n v="51205"/>
    <n v="10972.5"/>
    <s v="C"/>
    <s v="J"/>
    <m/>
    <m/>
    <m/>
    <m/>
    <m/>
    <m/>
    <m/>
  </r>
  <r>
    <d v="2025-02-24T00:00:00"/>
    <s v="February"/>
    <n v="2025"/>
    <x v="0"/>
    <n v="-2.21"/>
    <x v="0"/>
    <n v="209950"/>
    <n v="567"/>
    <s v="Federal"/>
    <x v="3"/>
    <n v="1.0029999999999999"/>
    <s v="Town of Schererville"/>
    <s v="LRC-2022-00228"/>
    <s v="2024-533-45-MTM-WQC"/>
    <m/>
    <s v="Lake"/>
    <n v="41.501389000000003"/>
    <n v="-87.461388999999997"/>
    <s v="Transportation"/>
    <m/>
    <s v="No"/>
    <m/>
    <n v="31492.5"/>
    <n v="146965"/>
    <n v="31492.5"/>
    <s v="C"/>
    <s v="J"/>
    <m/>
    <m/>
    <m/>
    <m/>
    <m/>
    <m/>
    <m/>
  </r>
  <r>
    <d v="2025-02-24T00:00:00"/>
    <s v="February"/>
    <n v="2025"/>
    <x v="0"/>
    <n v="-0.26"/>
    <x v="0"/>
    <n v="24700"/>
    <n v="567"/>
    <s v="Federal"/>
    <x v="5"/>
    <n v="7.1999999999999995E-2"/>
    <s v="Town of Schererville"/>
    <s v="LRC-2022-00228"/>
    <s v="2024-533-45-MTM-WQC"/>
    <m/>
    <s v="Lake"/>
    <n v="41.501389000000003"/>
    <n v="-87.461388999999997"/>
    <s v="Transportation"/>
    <m/>
    <s v="No"/>
    <m/>
    <n v="3705"/>
    <n v="17290"/>
    <n v="3705"/>
    <s v="C"/>
    <s v="J"/>
    <m/>
    <m/>
    <m/>
    <m/>
    <m/>
    <m/>
    <m/>
  </r>
  <r>
    <d v="2025-02-24T00:00:00"/>
    <s v="February"/>
    <n v="2025"/>
    <x v="0"/>
    <n v="-43.4"/>
    <x v="1"/>
    <n v="26040"/>
    <n v="567"/>
    <s v="Federal"/>
    <x v="6"/>
    <n v="43.4"/>
    <s v="Town of Schererville"/>
    <s v="LRC-2022-00228"/>
    <s v="2024-533-45-MTM-WQC"/>
    <m/>
    <s v="Lake"/>
    <n v="41.501389000000003"/>
    <n v="-87.461388999999997"/>
    <s v="Transportation"/>
    <m/>
    <s v="No"/>
    <m/>
    <n v="3906"/>
    <n v="18228"/>
    <n v="3906"/>
    <s v="C"/>
    <s v="J"/>
    <m/>
    <m/>
    <m/>
    <m/>
    <m/>
    <m/>
    <m/>
  </r>
  <r>
    <d v="2025-02-28T00:00:00"/>
    <s v="February"/>
    <n v="2025"/>
    <x v="3"/>
    <n v="-45"/>
    <x v="1"/>
    <n v="20250"/>
    <n v="564"/>
    <s v="Federal"/>
    <x v="2"/>
    <n v="45"/>
    <s v="INDOT"/>
    <s v="LRE-2023-00120-102"/>
    <s v="2024-366-2-GCW-A"/>
    <m/>
    <s v="Allen"/>
    <n v="41.091819000000001"/>
    <n v="-84.994384999999994"/>
    <s v="Transportation"/>
    <m/>
    <s v="No"/>
    <m/>
    <n v="3037.5"/>
    <n v="14175"/>
    <n v="3037.5"/>
    <s v="D"/>
    <s v="J"/>
    <m/>
    <m/>
    <m/>
    <m/>
    <m/>
    <m/>
    <s v="INDOT DES No 2001843"/>
  </r>
  <r>
    <d v="2025-02-28T00:00:00"/>
    <s v="February"/>
    <n v="2025"/>
    <x v="8"/>
    <n v="-194"/>
    <x v="1"/>
    <n v="77600"/>
    <n v="566"/>
    <s v="Federal"/>
    <x v="2"/>
    <n v="194"/>
    <s v="INDOT"/>
    <s v="LRL-2004-1112-sam"/>
    <s v="2009-063-35-EMP-A"/>
    <m/>
    <s v="Howard"/>
    <n v="40.505721999999999"/>
    <n v="-86.087444000000005"/>
    <s v="Transportation"/>
    <m/>
    <s v="No"/>
    <m/>
    <n v="11640"/>
    <n v="54320"/>
    <n v="11640"/>
    <s v="L"/>
    <s v="J"/>
    <m/>
    <m/>
    <m/>
    <m/>
    <m/>
    <m/>
    <s v="INDOT DES No 2400092"/>
  </r>
  <r>
    <d v="2025-03-12T00:00:00"/>
    <s v="March"/>
    <n v="2025"/>
    <x v="0"/>
    <n v="-1.1000000000000001"/>
    <x v="0"/>
    <n v="104500"/>
    <n v="569"/>
    <s v="State Isolated"/>
    <x v="4"/>
    <n v="0.54400000000000004"/>
    <s v="Michigan City"/>
    <s v="N/A"/>
    <s v="2024-420-45-MTM-IWIP"/>
    <m/>
    <s v="LaPorte"/>
    <n v="41.691755999999998"/>
    <n v="-86.833124999999995"/>
    <s v="Agriculture"/>
    <m/>
    <s v="No"/>
    <m/>
    <n v="15675"/>
    <n v="73150"/>
    <n v="15675"/>
    <s v="C"/>
    <s v="SI"/>
    <s v="2 FO"/>
    <m/>
    <m/>
    <m/>
    <m/>
    <m/>
    <m/>
  </r>
  <r>
    <d v="2025-03-14T00:00:00"/>
    <s v="March"/>
    <n v="2025"/>
    <x v="0"/>
    <n v="-1.73384"/>
    <x v="0"/>
    <n v="164715"/>
    <n v="543"/>
    <s v="State Isolated"/>
    <x v="4"/>
    <n v="1"/>
    <s v="IDEM"/>
    <s v="N/A"/>
    <s v="2017-166-45-MTM-V"/>
    <m/>
    <s v="Lake"/>
    <n v="41.431736000000001"/>
    <n v="-87.352220000000003"/>
    <s v="Development"/>
    <m/>
    <s v="No"/>
    <m/>
    <n v="24707.25"/>
    <n v="115300.49999999999"/>
    <n v="24707.25"/>
    <s v="C"/>
    <s v="SI"/>
    <s v="2 FO"/>
    <m/>
    <m/>
    <m/>
    <m/>
    <m/>
    <s v="Case No. 2017-24876-Q - IDEM purchasing with funds paid by violator "/>
  </r>
  <r>
    <d v="2025-03-18T00:00:00"/>
    <s v="March"/>
    <n v="2025"/>
    <x v="5"/>
    <n v="-3.17"/>
    <x v="0"/>
    <n v="253600"/>
    <n v="570"/>
    <s v="State Isolated"/>
    <x v="3"/>
    <n v="2.11"/>
    <s v="INDOT"/>
    <s v="N/A"/>
    <s v="2024-364-65-GCW-IWIP"/>
    <m/>
    <s v="Posey"/>
    <n v="37.941989999999997"/>
    <n v="-87.791889999999995"/>
    <s v="Transportation"/>
    <m/>
    <s v="No"/>
    <m/>
    <n v="38040"/>
    <n v="177520"/>
    <n v="38040"/>
    <s v="L"/>
    <s v="SI"/>
    <s v="2 NF"/>
    <m/>
    <m/>
    <m/>
    <m/>
    <m/>
    <s v="INDOT DES No 2002343"/>
  </r>
  <r>
    <d v="2025-03-27T00:00:00"/>
    <s v="March"/>
    <n v="2025"/>
    <x v="9"/>
    <n v="-1.02"/>
    <x v="0"/>
    <n v="230400"/>
    <n v="579"/>
    <s v="Federal"/>
    <x v="3"/>
    <n v="1.1499999999999999"/>
    <s v="Platinum Properties Management Company, LLC"/>
    <s v="LRL-2021-087-SJK"/>
    <s v="2024-638-6-MPY-WQC"/>
    <m/>
    <s v="Boone"/>
    <n v="40.009480000000003"/>
    <n v="-86.252889999999994"/>
    <s v="Development"/>
    <m/>
    <s v="No"/>
    <m/>
    <n v="34560"/>
    <n v="161280"/>
    <n v="34560"/>
    <s v="L"/>
    <s v="J"/>
    <m/>
    <m/>
    <m/>
    <m/>
    <m/>
    <m/>
    <m/>
  </r>
  <r>
    <d v="2025-03-27T00:00:00"/>
    <s v="March"/>
    <n v="2025"/>
    <x v="9"/>
    <n v="-0.57999999999999996"/>
    <x v="0"/>
    <n v="230400"/>
    <n v="579"/>
    <s v="Federal"/>
    <x v="4"/>
    <n v="1.77"/>
    <s v="Platinum Properties Management Company, LLC"/>
    <s v="LRL-2021-087-SJK"/>
    <s v="2024-638-6-MPY-WQC"/>
    <m/>
    <s v="Boone"/>
    <n v="40.009480000000003"/>
    <n v="-86.252889999999994"/>
    <s v="Development"/>
    <m/>
    <s v="No"/>
    <m/>
    <n v="34560"/>
    <n v="161280"/>
    <n v="34560"/>
    <s v="L"/>
    <s v="J"/>
    <m/>
    <m/>
    <m/>
    <m/>
    <m/>
    <m/>
    <m/>
  </r>
  <r>
    <d v="2025-03-27T00:00:00"/>
    <s v="March"/>
    <n v="2025"/>
    <x v="9"/>
    <n v="-1121"/>
    <x v="1"/>
    <n v="420300"/>
    <n v="579"/>
    <s v="Federal"/>
    <x v="2"/>
    <n v="934"/>
    <s v="Platinum Properties Management Company, LLC"/>
    <s v="LRL-2021-087-SJK"/>
    <s v="2024-638-6-MPY-WQC"/>
    <m/>
    <s v="Boone"/>
    <n v="40.009480000000003"/>
    <n v="-86.252889999999994"/>
    <s v="Development"/>
    <m/>
    <s v="No"/>
    <m/>
    <n v="63045"/>
    <n v="294210"/>
    <n v="63045"/>
    <s v="L"/>
    <s v="J"/>
    <m/>
    <m/>
    <m/>
    <m/>
    <m/>
    <m/>
    <m/>
  </r>
  <r>
    <d v="2025-03-27T00:00:00"/>
    <s v="March"/>
    <n v="2025"/>
    <x v="9"/>
    <n v="-0.03"/>
    <x v="0"/>
    <n v="2400"/>
    <n v="579"/>
    <s v="State Isolated"/>
    <x v="4"/>
    <n v="0.02"/>
    <s v="Platinum Properties Management Company, LLC"/>
    <s v="N/A"/>
    <s v="2024-636-6-MPY-SRGP"/>
    <m/>
    <s v="Boone"/>
    <n v="40.009480000000003"/>
    <n v="-86.252889999999994"/>
    <s v="Development"/>
    <m/>
    <s v="No"/>
    <m/>
    <n v="360"/>
    <n v="1680"/>
    <n v="360"/>
    <s v="L"/>
    <s v="SI"/>
    <s v="2 FO"/>
    <m/>
    <m/>
    <m/>
    <m/>
    <m/>
    <s v="Union Woodlands (Caito Farms) Development"/>
  </r>
  <r>
    <d v="2025-03-28T00:00:00"/>
    <s v="March"/>
    <n v="2025"/>
    <x v="2"/>
    <n v="-330"/>
    <x v="1"/>
    <n v="132000"/>
    <n v="577"/>
    <s v="Federal"/>
    <x v="2"/>
    <n v="1607"/>
    <s v="INDOT"/>
    <s v="LRL-2023-00902-DDC"/>
    <s v="2024-795-26-GCW-WQC"/>
    <m/>
    <s v="Gibson"/>
    <n v="38.330280000000002"/>
    <n v="-87.436239999999998"/>
    <s v="Transportation"/>
    <m/>
    <s v="No"/>
    <m/>
    <n v="19800"/>
    <n v="92400"/>
    <n v="19800"/>
    <s v="L"/>
    <s v="J"/>
    <m/>
    <m/>
    <m/>
    <m/>
    <m/>
    <m/>
    <s v="INDOT DES No 2100263"/>
  </r>
  <r>
    <d v="2025-03-28T00:00:00"/>
    <s v="March"/>
    <n v="2025"/>
    <x v="10"/>
    <n v="-3.319"/>
    <x v="0"/>
    <n v="265520"/>
    <n v="547"/>
    <s v="State Isolated"/>
    <x v="3"/>
    <n v="2.2130000000000001"/>
    <s v="INDOT"/>
    <s v="N/A"/>
    <s v="IWIP-2022-182-30-JBT"/>
    <m/>
    <s v="Hancock"/>
    <n v="39.820002000000002"/>
    <n v="-85.846967000000006"/>
    <s v="Transportation"/>
    <m/>
    <s v="No"/>
    <m/>
    <n v="39828"/>
    <n v="185864"/>
    <n v="39828"/>
    <s v="L"/>
    <s v="SI"/>
    <s v="2 NF"/>
    <m/>
    <m/>
    <m/>
    <m/>
    <m/>
    <s v=" DES 1702919 I 70 Widening "/>
  </r>
  <r>
    <d v="2025-03-31T00:00:00"/>
    <s v="March"/>
    <n v="2025"/>
    <x v="9"/>
    <n v="-1.63"/>
    <x v="0"/>
    <n v="130399.99999999999"/>
    <n v="581"/>
    <s v="Federal"/>
    <x v="3"/>
    <n v="1.81"/>
    <s v="D.R. Horton"/>
    <s v="LRL-2021-00707-DDC"/>
    <s v="2022-283-49-EKB-A"/>
    <m/>
    <s v="Marion"/>
    <n v="39.636488999999997"/>
    <n v="-86.292974000000001"/>
    <s v="Development"/>
    <m/>
    <s v="No"/>
    <m/>
    <n v="19559.999999999996"/>
    <n v="91279.999999999985"/>
    <n v="19559.999999999996"/>
    <s v="L"/>
    <s v="J"/>
    <m/>
    <m/>
    <m/>
    <m/>
    <m/>
    <m/>
    <m/>
  </r>
  <r>
    <d v="2025-03-31T00:00:00"/>
    <s v="March"/>
    <n v="2025"/>
    <x v="9"/>
    <n v="-600"/>
    <x v="1"/>
    <n v="270000"/>
    <n v="581"/>
    <s v="Federal"/>
    <x v="2"/>
    <n v="159"/>
    <s v="D.R. Horton"/>
    <s v="LRL-2021-00707-DDC"/>
    <s v="2022-283-49-EKB-A"/>
    <m/>
    <s v="Marion"/>
    <n v="39.636488999999997"/>
    <n v="-86.292974000000001"/>
    <s v="Development"/>
    <m/>
    <s v="No"/>
    <m/>
    <n v="40500"/>
    <n v="189000"/>
    <n v="40500"/>
    <s v="L"/>
    <s v="J"/>
    <m/>
    <m/>
    <m/>
    <m/>
    <m/>
    <m/>
    <m/>
  </r>
  <r>
    <d v="2025-03-31T00:00:00"/>
    <s v="March"/>
    <n v="2025"/>
    <x v="9"/>
    <n v="-1.8"/>
    <x v="0"/>
    <n v="144000"/>
    <n v="580"/>
    <s v="Federal"/>
    <x v="4"/>
    <n v="0.67"/>
    <s v="INDOT"/>
    <s v="LRL-2008-765"/>
    <s v="2009-667-55-JPS-A"/>
    <m/>
    <s v="Morgan"/>
    <n v="39.433816"/>
    <n v="-86.449562999999998"/>
    <s v="Transportation"/>
    <m/>
    <s v="No"/>
    <m/>
    <n v="21600"/>
    <n v="100800"/>
    <n v="21600"/>
    <s v="L"/>
    <s v="J"/>
    <m/>
    <m/>
    <m/>
    <m/>
    <m/>
    <m/>
    <s v="INDOT failed mitigation DES No 0600731"/>
  </r>
  <r>
    <d v="2025-04-08T00:00:00"/>
    <s v="April"/>
    <n v="2025"/>
    <x v="9"/>
    <n v="-307"/>
    <x v="1"/>
    <n v="138150"/>
    <n v="575"/>
    <s v="Federal"/>
    <x v="1"/>
    <n v="255.55"/>
    <s v="Lennar Homes of Indiana, Inc."/>
    <s v="LRL-2021-746-sjk"/>
    <s v="2022-597-32-ERL-A"/>
    <m/>
    <s v="Hendricks"/>
    <n v="39.770499999999998"/>
    <n v="-86.462599999999995"/>
    <s v="Development"/>
    <m/>
    <s v="No"/>
    <m/>
    <n v="20722.5"/>
    <n v="96705"/>
    <n v="20722.5"/>
    <s v="L"/>
    <s v="J"/>
    <m/>
    <m/>
    <m/>
    <m/>
    <m/>
    <m/>
    <m/>
  </r>
  <r>
    <d v="2025-04-08T00:00:00"/>
    <s v="April"/>
    <n v="2025"/>
    <x v="9"/>
    <n v="-579"/>
    <x v="1"/>
    <n v="260550"/>
    <n v="575"/>
    <s v="Federal"/>
    <x v="2"/>
    <n v="603.65"/>
    <s v="Lennar Homes of Indiana, Inc."/>
    <s v="LRL-2021-746-sjk"/>
    <s v="2022-597-32-ERL-A"/>
    <m/>
    <s v="Hendricks"/>
    <n v="39.770499999999998"/>
    <n v="-86.462599999999995"/>
    <s v="Development"/>
    <m/>
    <s v="No"/>
    <m/>
    <n v="39082.5"/>
    <n v="182385"/>
    <n v="39082.5"/>
    <s v="L"/>
    <s v="J"/>
    <m/>
    <m/>
    <m/>
    <m/>
    <m/>
    <m/>
    <m/>
  </r>
  <r>
    <d v="2025-04-08T00:00:00"/>
    <s v="April"/>
    <n v="2025"/>
    <x v="9"/>
    <n v="-124"/>
    <x v="1"/>
    <n v="55800"/>
    <n v="575"/>
    <s v="Federal"/>
    <x v="6"/>
    <n v="103.65"/>
    <s v="Lennar Homes of Indiana, Inc."/>
    <s v="LRL-2021-746-sjk"/>
    <s v="2022-597-32-ERL-A"/>
    <m/>
    <s v="Hendricks"/>
    <n v="39.770499999999998"/>
    <n v="-86.462599999999995"/>
    <s v="Development"/>
    <m/>
    <s v="No"/>
    <m/>
    <n v="8370"/>
    <n v="39060"/>
    <n v="8370"/>
    <s v="L"/>
    <s v="J"/>
    <m/>
    <m/>
    <m/>
    <m/>
    <m/>
    <m/>
    <m/>
  </r>
  <r>
    <d v="2025-04-09T00:00:00"/>
    <s v="April"/>
    <n v="2025"/>
    <x v="0"/>
    <n v="-0.10199999999999999"/>
    <x v="0"/>
    <n v="9690"/>
    <n v="572"/>
    <s v="Federal"/>
    <x v="3"/>
    <n v="0.63"/>
    <s v="NIPSCO"/>
    <s v="LRC-2024-00551"/>
    <s v="2024-604-45-TLC-WQC"/>
    <m/>
    <s v="Lake"/>
    <n v="41.559417000000003"/>
    <n v="-87.430871999999994"/>
    <s v="Energy Production"/>
    <m/>
    <s v="No"/>
    <m/>
    <n v="1453.5"/>
    <n v="6783"/>
    <n v="1453.5"/>
    <s v="C"/>
    <s v="J"/>
    <m/>
    <m/>
    <m/>
    <m/>
    <m/>
    <m/>
    <m/>
  </r>
  <r>
    <d v="2025-04-09T00:00:00"/>
    <s v="April"/>
    <n v="2025"/>
    <x v="8"/>
    <n v="-1.6240000000000001"/>
    <x v="0"/>
    <n v="129920"/>
    <n v="582"/>
    <s v="Federal"/>
    <x v="4"/>
    <n v="0.54100000000000004"/>
    <s v="AEP"/>
    <s v="LRL-2025-00056"/>
    <s v="2024-893-2-EJW-WQC"/>
    <m/>
    <s v="Allen"/>
    <n v="41.205719999999999"/>
    <n v="-85.231769999999997"/>
    <s v="Development"/>
    <m/>
    <s v="No"/>
    <m/>
    <n v="19488"/>
    <n v="90944"/>
    <n v="19488"/>
    <s v="L"/>
    <s v="J"/>
    <m/>
    <m/>
    <m/>
    <m/>
    <m/>
    <m/>
    <m/>
  </r>
  <r>
    <d v="2025-05-01T00:00:00"/>
    <s v="May"/>
    <n v="2025"/>
    <x v="8"/>
    <n v="-0.02"/>
    <x v="0"/>
    <n v="1600"/>
    <s v="585C"/>
    <s v="Federal"/>
    <x v="3"/>
    <n v="0.01"/>
    <s v="Peru Municipal Airport"/>
    <s v="LRL-2023-00245-jde"/>
    <s v="2024-642-52-MMR-NWP"/>
    <m/>
    <s v="Miami"/>
    <n v="40.784700000000001"/>
    <n v="-86.148200000000003"/>
    <s v="Development"/>
    <m/>
    <s v="No"/>
    <m/>
    <n v="240"/>
    <n v="1120"/>
    <n v="240"/>
    <s v="L"/>
    <s v="J"/>
    <m/>
    <m/>
    <m/>
    <m/>
    <m/>
    <m/>
    <m/>
  </r>
  <r>
    <d v="2025-05-01T00:00:00"/>
    <s v="May"/>
    <n v="2025"/>
    <x v="8"/>
    <n v="-0.69"/>
    <x v="0"/>
    <n v="55200"/>
    <s v="585C"/>
    <s v="Federal"/>
    <x v="5"/>
    <n v="0.23"/>
    <s v="Peru Municipal Airport"/>
    <s v="LRL-2023-00245-jde"/>
    <s v="2024-642-52-MMR-NWP"/>
    <m/>
    <s v="Miami"/>
    <n v="40.784700000000001"/>
    <n v="-86.148200000000003"/>
    <s v="Development"/>
    <m/>
    <s v="No"/>
    <m/>
    <n v="8280"/>
    <n v="38640"/>
    <n v="8280"/>
    <s v="L"/>
    <s v="J"/>
    <m/>
    <m/>
    <m/>
    <m/>
    <m/>
    <m/>
    <m/>
  </r>
  <r>
    <d v="2025-05-01T00:00:00"/>
    <s v="May"/>
    <n v="2025"/>
    <x v="3"/>
    <n v="-8.0000000000000002E-3"/>
    <x v="0"/>
    <n v="640"/>
    <n v="578"/>
    <s v="Federal"/>
    <x v="4"/>
    <n v="4.0000000000000001E-3"/>
    <s v="INDOT"/>
    <s v="LRE-2023-00120-102"/>
    <s v="2024-366-2-GCW-A"/>
    <m/>
    <s v="Allen"/>
    <n v="41.091819000000001"/>
    <n v="-84.994384999999994"/>
    <s v="Transportation"/>
    <m/>
    <s v="No"/>
    <m/>
    <n v="96"/>
    <n v="448"/>
    <n v="96"/>
    <s v="D"/>
    <s v="J"/>
    <m/>
    <m/>
    <m/>
    <m/>
    <m/>
    <m/>
    <m/>
  </r>
  <r>
    <d v="2025-05-01T00:00:00"/>
    <s v="May"/>
    <n v="2025"/>
    <x v="10"/>
    <n v="-1.45"/>
    <x v="0"/>
    <n v="116000"/>
    <n v="548"/>
    <s v="State Isolated"/>
    <x v="4"/>
    <n v="0.57799999999999996"/>
    <s v="INDOT"/>
    <s v="N/A"/>
    <s v="IWIP 2024-444-3-GCW-A"/>
    <m/>
    <s v="Bartholomew"/>
    <n v="39.259694000000003"/>
    <n v="-85.952674999999999"/>
    <s v="Transportation"/>
    <m/>
    <s v="No"/>
    <m/>
    <n v="17400"/>
    <n v="81200"/>
    <n v="17400"/>
    <s v="L"/>
    <s v="SI"/>
    <s v="3 FO"/>
    <m/>
    <s v="INDOT DES No. 2000505"/>
    <m/>
    <m/>
    <m/>
    <m/>
  </r>
  <r>
    <d v="2025-05-01T00:00:00"/>
    <s v="May"/>
    <n v="2025"/>
    <x v="5"/>
    <n v="-0.62"/>
    <x v="0"/>
    <n v="49600"/>
    <n v="583"/>
    <s v="Federal"/>
    <x v="3"/>
    <n v="0.312"/>
    <s v="INDOT"/>
    <s v="LRL-2023-447-djd"/>
    <s v="2023-983-82-GCW-A"/>
    <m/>
    <s v="Warrick, Vanderburgh, and Gibson"/>
    <n v="38.060971000000002"/>
    <n v="-87.475572999999997"/>
    <s v="Transportation"/>
    <m/>
    <s v="No"/>
    <m/>
    <n v="7440"/>
    <n v="34720"/>
    <n v="7440"/>
    <s v="L"/>
    <s v="J"/>
    <m/>
    <m/>
    <s v="INDOT DES No 2000889"/>
    <m/>
    <m/>
    <m/>
    <m/>
  </r>
  <r>
    <d v="2025-05-01T00:00:00"/>
    <s v="May"/>
    <n v="2025"/>
    <x v="5"/>
    <n v="-0.83"/>
    <x v="0"/>
    <n v="66400"/>
    <n v="583"/>
    <s v="Federal"/>
    <x v="4"/>
    <n v="0.27800000000000002"/>
    <s v="INDOT"/>
    <s v="LRL-2023-447-djd"/>
    <s v="2023-983-82-GCW-A"/>
    <m/>
    <s v="Warrick, Vanderburgh, and Gibson"/>
    <n v="38.060971000000002"/>
    <n v="-87.475572999999997"/>
    <s v="Transportation"/>
    <m/>
    <s v="No"/>
    <m/>
    <n v="9960"/>
    <n v="46480"/>
    <n v="9960"/>
    <s v="L"/>
    <s v="J"/>
    <m/>
    <m/>
    <s v="INDOT DES No 2000889"/>
    <m/>
    <m/>
    <m/>
    <m/>
  </r>
  <r>
    <d v="2025-05-01T00:00:00"/>
    <s v="May"/>
    <n v="2025"/>
    <x v="5"/>
    <n v="-15"/>
    <x v="1"/>
    <n v="6000"/>
    <n v="583"/>
    <s v="Federal"/>
    <x v="1"/>
    <n v="15"/>
    <s v="INDOT"/>
    <s v="LRL-2023-447-djd"/>
    <s v="2023-983-82-GCW-A"/>
    <m/>
    <s v="Warrick, Vanderburgh, and Gibson"/>
    <n v="38.060971000000002"/>
    <n v="-87.475572999999997"/>
    <s v="Transportation"/>
    <m/>
    <s v="No"/>
    <m/>
    <n v="900"/>
    <n v="4200"/>
    <n v="900"/>
    <s v="L"/>
    <s v="J"/>
    <m/>
    <m/>
    <s v="INDOT DES No 2000889"/>
    <m/>
    <m/>
    <m/>
    <m/>
  </r>
  <r>
    <d v="2025-05-01T00:00:00"/>
    <s v="May"/>
    <n v="2025"/>
    <x v="5"/>
    <n v="-104"/>
    <x v="1"/>
    <n v="41600"/>
    <n v="583"/>
    <s v="Federal"/>
    <x v="2"/>
    <n v="2492.75"/>
    <s v="INDOT"/>
    <s v="LRL-2023-447-djd"/>
    <s v="2023-983-82-GCW-A"/>
    <m/>
    <s v="Warrick, Vanderburgh, and Gibson"/>
    <n v="38.060971000000002"/>
    <n v="-87.475572999999997"/>
    <s v="Transportation"/>
    <m/>
    <s v="No"/>
    <m/>
    <n v="6240"/>
    <n v="29119.999999999996"/>
    <n v="6240"/>
    <s v="L"/>
    <s v="J"/>
    <m/>
    <m/>
    <s v="INDOT DES No 2000889"/>
    <m/>
    <m/>
    <m/>
    <m/>
  </r>
  <r>
    <d v="2025-05-01T00:00:00"/>
    <s v="May"/>
    <n v="2025"/>
    <x v="0"/>
    <n v="-0.76"/>
    <x v="0"/>
    <n v="72200"/>
    <n v="589"/>
    <s v="Federal"/>
    <x v="3"/>
    <n v="0.38"/>
    <s v="INDOT"/>
    <s v="LRC-2022-00748"/>
    <s v="2024-581-45-GCW-WQC"/>
    <m/>
    <s v="Lake"/>
    <n v="41.380749999999999"/>
    <n v="-87.306579999999997"/>
    <s v="Transportation"/>
    <m/>
    <s v="No"/>
    <m/>
    <n v="10830"/>
    <n v="50540"/>
    <n v="10830"/>
    <s v="C"/>
    <s v="J"/>
    <m/>
    <m/>
    <m/>
    <m/>
    <m/>
    <m/>
    <m/>
  </r>
  <r>
    <d v="2025-05-02T00:00:00"/>
    <s v="May"/>
    <n v="2025"/>
    <x v="8"/>
    <n v="-43"/>
    <x v="1"/>
    <n v="17200"/>
    <n v="584"/>
    <s v="Federal"/>
    <x v="2"/>
    <n v="43"/>
    <s v="INDOT"/>
    <s v="N/A"/>
    <s v="2025-181-71-GCW-NWP"/>
    <m/>
    <s v="Tippecanoe"/>
    <n v="40.322270000000003"/>
    <n v="-86.750370000000004"/>
    <s v="Transportation"/>
    <m/>
    <s v="No"/>
    <m/>
    <n v="2580"/>
    <n v="12040"/>
    <n v="2580"/>
    <s v="L"/>
    <s v="J"/>
    <m/>
    <m/>
    <s v="INDOT DES No 2001932"/>
    <m/>
    <m/>
    <m/>
    <m/>
  </r>
  <r>
    <d v="2025-05-02T00:00:00"/>
    <s v="May"/>
    <n v="2025"/>
    <x v="0"/>
    <n v="-0.26600000000000001"/>
    <x v="0"/>
    <n v="25270"/>
    <n v="586"/>
    <s v="Federal"/>
    <x v="3"/>
    <n v="0.11"/>
    <s v="INDOT"/>
    <s v="LRC-2024-00644"/>
    <s v="2024-928-45-GCW-NWP"/>
    <m/>
    <s v="Lake"/>
    <n v="41.587384"/>
    <n v="-87.306416999999996"/>
    <s v="Transportation"/>
    <m/>
    <s v="No"/>
    <m/>
    <n v="3790.5"/>
    <n v="17689"/>
    <n v="3790.5"/>
    <s v="C"/>
    <s v="J"/>
    <m/>
    <m/>
    <s v="INDOT DES No 2100129"/>
    <m/>
    <m/>
    <m/>
    <m/>
  </r>
  <r>
    <d v="2025-05-02T00:00:00"/>
    <s v="May"/>
    <n v="2025"/>
    <x v="0"/>
    <n v="-0.39600000000000002"/>
    <x v="0"/>
    <n v="37620"/>
    <n v="586"/>
    <s v="Federal"/>
    <x v="5"/>
    <n v="0.11"/>
    <s v="INDOT"/>
    <s v="LRC-2024-00644"/>
    <s v="2024-928-45-GCW-NWP"/>
    <m/>
    <s v="Lake"/>
    <n v="41.587384"/>
    <n v="-87.306416999999996"/>
    <s v="Transportation"/>
    <m/>
    <s v="No"/>
    <m/>
    <n v="5643"/>
    <n v="26334"/>
    <n v="5643"/>
    <s v="C"/>
    <s v="J"/>
    <m/>
    <m/>
    <s v="INDOT DES No 2100129"/>
    <m/>
    <m/>
    <m/>
    <m/>
  </r>
  <r>
    <d v="2025-05-02T00:00:00"/>
    <s v="May"/>
    <n v="2025"/>
    <x v="5"/>
    <n v="-643"/>
    <x v="1"/>
    <n v="257200"/>
    <n v="556"/>
    <s v="Federal"/>
    <x v="2"/>
    <n v="854"/>
    <s v="Warrick County Highway Dept"/>
    <s v="LRL-2022-623"/>
    <s v="2022-905-87-TMS-A"/>
    <m/>
    <s v="Warrick"/>
    <n v="38.005415999999997"/>
    <n v="-87.395927999999998"/>
    <s v="Transportation"/>
    <m/>
    <s v="No"/>
    <m/>
    <n v="38580"/>
    <n v="180040"/>
    <n v="38580"/>
    <s v="L"/>
    <s v="J"/>
    <m/>
    <m/>
    <m/>
    <m/>
    <m/>
    <m/>
    <m/>
  </r>
  <r>
    <d v="2025-05-02T00:00:00"/>
    <s v="May"/>
    <n v="2025"/>
    <x v="8"/>
    <n v="-0.10349999999999999"/>
    <x v="0"/>
    <n v="8280"/>
    <n v="565"/>
    <s v="State Isolated"/>
    <x v="3"/>
    <n v="6.9000000000000006E-2"/>
    <s v="White County Commissioners"/>
    <s v="N/A"/>
    <s v="2024-934-91-MPY-SRGP"/>
    <m/>
    <s v="White"/>
    <n v="40.750427000000002"/>
    <n v="-86.776831999999999"/>
    <s v="Development"/>
    <m/>
    <s v="No"/>
    <m/>
    <n v="1242"/>
    <n v="5796"/>
    <n v="1242"/>
    <s v="L"/>
    <s v="SI"/>
    <s v="2 NF"/>
    <m/>
    <m/>
    <m/>
    <m/>
    <m/>
    <m/>
  </r>
  <r>
    <d v="2025-05-05T00:00:00"/>
    <s v="May"/>
    <n v="2025"/>
    <x v="4"/>
    <n v="-0.6"/>
    <x v="0"/>
    <n v="48000"/>
    <s v="596C"/>
    <s v="Federal"/>
    <x v="3"/>
    <n v="0.25040000000000001"/>
    <s v="ENTEK Lithium Separators LLC"/>
    <s v="LRL-2023-00388"/>
    <s v="2024-660-84-MMR-WQC"/>
    <m/>
    <s v="Vigo"/>
    <n v="39.351748999999998"/>
    <n v="-87.411080999999996"/>
    <s v="Development"/>
    <m/>
    <s v="No"/>
    <m/>
    <n v="7200"/>
    <n v="33600"/>
    <n v="7200"/>
    <s v="L"/>
    <s v="J"/>
    <m/>
    <m/>
    <m/>
    <m/>
    <m/>
    <m/>
    <m/>
  </r>
  <r>
    <d v="2025-05-05T00:00:00"/>
    <s v="May"/>
    <n v="2025"/>
    <x v="4"/>
    <n v="-82"/>
    <x v="1"/>
    <n v="32800"/>
    <s v="596C"/>
    <s v="Federal"/>
    <x v="2"/>
    <n v="82"/>
    <s v="ENTEK Lithium Separators LLC"/>
    <s v="LRL-2023-00388"/>
    <s v="2024-660-84-MMR-WQC"/>
    <m/>
    <s v="Vigo"/>
    <n v="39.351748999999998"/>
    <n v="-87.411080999999996"/>
    <s v="Development"/>
    <m/>
    <s v="No"/>
    <m/>
    <n v="4920"/>
    <n v="22960"/>
    <n v="4920"/>
    <s v="L"/>
    <s v="J"/>
    <m/>
    <m/>
    <m/>
    <m/>
    <m/>
    <m/>
    <m/>
  </r>
  <r>
    <d v="2025-05-05T00:00:00"/>
    <s v="May"/>
    <n v="2025"/>
    <x v="8"/>
    <n v="-2.242"/>
    <x v="0"/>
    <n v="179360"/>
    <n v="600"/>
    <s v="State Isolated"/>
    <x v="4"/>
    <n v="1.121"/>
    <s v="Matt Lancia Signature Homes"/>
    <s v="N/A"/>
    <s v="2025-132-2-EJW-IWIP"/>
    <m/>
    <s v="Allen"/>
    <n v="41.189610000000002"/>
    <n v="-85.163579999999996"/>
    <s v="Development"/>
    <m/>
    <s v="No"/>
    <m/>
    <n v="26904"/>
    <n v="125551.99999999999"/>
    <n v="26904"/>
    <s v="D"/>
    <s v="SI"/>
    <s v="2 FO"/>
    <m/>
    <m/>
    <m/>
    <m/>
    <m/>
    <m/>
  </r>
  <r>
    <d v="2025-05-07T00:00:00"/>
    <s v="May"/>
    <n v="2025"/>
    <x v="9"/>
    <n v="-4.2999999999999997E-2"/>
    <x v="0"/>
    <n v="3440"/>
    <n v="591"/>
    <s v="Federal"/>
    <x v="3"/>
    <n v="1.7999999999999999E-2"/>
    <s v="Lennar Homes"/>
    <s v="LRL-2023-00665-DDC"/>
    <s v="2025-163-41-TLG-NWP"/>
    <m/>
    <s v="Johnson"/>
    <n v="39.568100000000001"/>
    <n v="-86.147800000000004"/>
    <s v="Development"/>
    <m/>
    <s v="No"/>
    <m/>
    <n v="516"/>
    <n v="2408"/>
    <n v="516"/>
    <s v="L"/>
    <s v="J"/>
    <m/>
    <m/>
    <m/>
    <m/>
    <m/>
    <m/>
    <m/>
  </r>
  <r>
    <d v="2025-05-07T00:00:00"/>
    <s v="May"/>
    <n v="2025"/>
    <x v="9"/>
    <n v="-0.309"/>
    <x v="0"/>
    <n v="24720"/>
    <n v="591"/>
    <s v="Federal"/>
    <x v="5"/>
    <n v="0.10299999999999999"/>
    <s v="Lennar Homes"/>
    <s v="LRL-2023-00665-DDC"/>
    <s v="2025-163-41-TLG-NWP"/>
    <m/>
    <s v="Johnson"/>
    <n v="39.568100000000001"/>
    <n v="-86.147800000000004"/>
    <s v="Development"/>
    <m/>
    <s v="No"/>
    <m/>
    <n v="3708"/>
    <n v="17304"/>
    <n v="3708"/>
    <s v="L"/>
    <s v="J"/>
    <m/>
    <m/>
    <m/>
    <m/>
    <m/>
    <m/>
    <m/>
  </r>
  <r>
    <d v="2025-05-07T00:00:00"/>
    <s v="May"/>
    <n v="2025"/>
    <x v="9"/>
    <n v="-10"/>
    <x v="1"/>
    <n v="4500"/>
    <n v="591"/>
    <s v="Federal"/>
    <x v="2"/>
    <n v="10"/>
    <s v="Lennar Homes"/>
    <s v="LRL-2023-00665-DDC"/>
    <s v="2025-163-41-TLG-NWP"/>
    <m/>
    <s v="Johnson"/>
    <n v="39.568100000000001"/>
    <n v="-86.147800000000004"/>
    <s v="Development"/>
    <m/>
    <s v="No"/>
    <m/>
    <n v="675"/>
    <n v="3150"/>
    <n v="675"/>
    <s v="L"/>
    <s v="J"/>
    <m/>
    <m/>
    <m/>
    <m/>
    <m/>
    <m/>
    <m/>
  </r>
  <r>
    <d v="2025-05-07T00:00:00"/>
    <s v="May"/>
    <n v="2025"/>
    <x v="9"/>
    <n v="-115"/>
    <x v="1"/>
    <n v="51750"/>
    <n v="576"/>
    <s v="Federal"/>
    <x v="6"/>
    <n v="263.3"/>
    <s v="City of Indianapolis, DPW"/>
    <s v="LRL-2020-1045-sjk"/>
    <s v="2021-150-49-ALF-A"/>
    <m/>
    <s v="Marion"/>
    <n v="39.658900000000003"/>
    <n v="-86.082499999999996"/>
    <s v="Transportation"/>
    <m/>
    <s v="No"/>
    <m/>
    <n v="7762.5"/>
    <n v="36225"/>
    <n v="7762.5"/>
    <s v="L"/>
    <s v="J"/>
    <m/>
    <m/>
    <m/>
    <m/>
    <m/>
    <m/>
    <m/>
  </r>
  <r>
    <d v="2025-05-07T00:00:00"/>
    <s v="May"/>
    <n v="2025"/>
    <x v="9"/>
    <n v="-0.42699999999999999"/>
    <x v="0"/>
    <n v="34160"/>
    <n v="576"/>
    <s v="Federal"/>
    <x v="3"/>
    <n v="0.17899999999999999"/>
    <s v="City of Indianapolis, DPW"/>
    <s v="LRL-2020-1045-sjk"/>
    <s v="2021-150-49-ALF-A"/>
    <m/>
    <s v="Marion"/>
    <n v="39.658900000000003"/>
    <n v="-86.082499999999996"/>
    <s v="Transportation"/>
    <m/>
    <s v="No"/>
    <m/>
    <n v="5124"/>
    <n v="23912"/>
    <n v="5124"/>
    <s v="L"/>
    <s v="J"/>
    <m/>
    <m/>
    <m/>
    <m/>
    <m/>
    <m/>
    <m/>
  </r>
  <r>
    <d v="2025-05-07T00:00:00"/>
    <s v="May"/>
    <n v="2025"/>
    <x v="9"/>
    <n v="-3.3000000000000002E-2"/>
    <x v="0"/>
    <n v="2640"/>
    <n v="576"/>
    <s v="State Isolated"/>
    <x v="3"/>
    <n v="3.3000000000000002E-2"/>
    <s v="City of Indianapolis, DPW"/>
    <s v="N/A"/>
    <s v="IWGP 2021-150-49-ALF-A"/>
    <m/>
    <s v="Marion"/>
    <n v="39.658900000000003"/>
    <n v="-86.082499999999996"/>
    <s v="Transportation"/>
    <m/>
    <s v="No"/>
    <m/>
    <n v="396"/>
    <n v="1847.9999999999998"/>
    <n v="396"/>
    <s v="L"/>
    <s v="SI"/>
    <s v="1 NF"/>
    <m/>
    <m/>
    <m/>
    <m/>
    <m/>
    <m/>
  </r>
  <r>
    <d v="2025-05-07T00:00:00"/>
    <s v="May"/>
    <n v="2025"/>
    <x v="4"/>
    <n v="-0.3"/>
    <x v="0"/>
    <n v="24000"/>
    <n v="595"/>
    <s v="State Isolated"/>
    <x v="3"/>
    <n v="0.2"/>
    <s v="Eli Lilly &amp; Co."/>
    <s v="N/A"/>
    <s v="2025-343-6-MPY-SRGP"/>
    <m/>
    <s v="Boone"/>
    <n v="40.043190000000003"/>
    <n v="-86.515140000000002"/>
    <s v="Development"/>
    <m/>
    <s v="No"/>
    <m/>
    <n v="3600"/>
    <n v="16800"/>
    <n v="3600"/>
    <s v="L"/>
    <s v="SI"/>
    <s v="2 NF"/>
    <m/>
    <m/>
    <m/>
    <m/>
    <m/>
    <m/>
  </r>
  <r>
    <d v="2025-05-13T00:00:00"/>
    <s v="May"/>
    <n v="2025"/>
    <x v="8"/>
    <n v="-1588"/>
    <x v="1"/>
    <n v="635200"/>
    <n v="574"/>
    <s v="Federal"/>
    <x v="6"/>
    <n v="1588"/>
    <s v="Liberty Landfill"/>
    <s v="LRL-2021-1014-sjk"/>
    <s v="2022-93-91-JWR-A"/>
    <s v="FW-31397-0"/>
    <s v="White"/>
    <n v="40.894809000000002"/>
    <n v="-86.699406999999994"/>
    <s v="Development"/>
    <m/>
    <s v="No"/>
    <m/>
    <n v="95280"/>
    <n v="444640"/>
    <n v="95280"/>
    <s v="L"/>
    <s v="J"/>
    <m/>
    <m/>
    <m/>
    <m/>
    <m/>
    <m/>
    <s v="Modified amounts IDEM revised to match Corps amounts as IDEM couldn't modify the amounts to reflect changed mitigation.  Verified w both Corps and IDEM.  "/>
  </r>
  <r>
    <d v="2025-05-13T00:00:00"/>
    <s v="May"/>
    <n v="2025"/>
    <x v="8"/>
    <n v="-1.25"/>
    <x v="0"/>
    <n v="100000"/>
    <n v="574"/>
    <s v="Federal"/>
    <x v="3"/>
    <n v="0.52"/>
    <s v="Liberty Landfill"/>
    <s v="LRL-2021-1014-sjk"/>
    <s v="2022-93-91-JWR-A"/>
    <s v="FW-31397-0"/>
    <s v="White"/>
    <n v="40.894809000000002"/>
    <n v="-86.699406999999994"/>
    <s v="Development"/>
    <m/>
    <s v="No"/>
    <m/>
    <n v="15000"/>
    <n v="70000"/>
    <n v="15000"/>
    <s v="L"/>
    <s v="J"/>
    <m/>
    <m/>
    <m/>
    <m/>
    <m/>
    <m/>
    <s v="Modified amounts IDEM revised to match Corps amounts as IDEM couldn't modify the amounts to reflect changed mitigation.  Verified w both Corps and IDEM.  "/>
  </r>
  <r>
    <d v="2025-05-13T00:00:00"/>
    <s v="May"/>
    <n v="2025"/>
    <x v="3"/>
    <n v="-1.2"/>
    <x v="0"/>
    <n v="96000"/>
    <n v="573"/>
    <s v="Federal"/>
    <x v="4"/>
    <n v="0.29699999999999999"/>
    <s v="Silverado Cook Properties, LLC"/>
    <s v="LRE-2017-00314-102-N23"/>
    <s v="2022-1258-2-EJW-A"/>
    <m/>
    <s v="Allen"/>
    <n v="41.146241000000003"/>
    <n v="-85.166835000000006"/>
    <s v="Development"/>
    <m/>
    <s v="No"/>
    <m/>
    <n v="14400"/>
    <n v="67200"/>
    <n v="14400"/>
    <s v="D"/>
    <s v="J"/>
    <m/>
    <m/>
    <m/>
    <m/>
    <m/>
    <m/>
    <m/>
  </r>
  <r>
    <d v="2025-05-14T00:00:00"/>
    <s v="May"/>
    <n v="2025"/>
    <x v="3"/>
    <n v="-0.37"/>
    <x v="0"/>
    <n v="29600"/>
    <n v="590"/>
    <s v="State Isolated"/>
    <x v="3"/>
    <n v="0.25"/>
    <s v="INDOT"/>
    <s v="LRE-2023-00173-102-J23"/>
    <s v="2024-1022-2-GCW-IWIP"/>
    <m/>
    <s v="Allen"/>
    <n v="41.125228"/>
    <n v="-85.211544000000004"/>
    <s v="Transportation"/>
    <m/>
    <s v="No"/>
    <m/>
    <n v="4440"/>
    <n v="20720"/>
    <n v="4440"/>
    <s v="D"/>
    <s v="SI"/>
    <s v="2 NF"/>
    <m/>
    <m/>
    <m/>
    <m/>
    <m/>
    <s v="INDOT DES No 1901890"/>
  </r>
  <r>
    <d v="2025-05-14T00:00:00"/>
    <s v="May"/>
    <n v="2025"/>
    <x v="3"/>
    <n v="-0.06"/>
    <x v="0"/>
    <n v="4800"/>
    <n v="590"/>
    <s v="Federal"/>
    <x v="3"/>
    <n v="0.03"/>
    <s v="INDOT"/>
    <s v="LRE-2023-00173-102-J23"/>
    <s v="2024-1022-2-GCW-WQC"/>
    <m/>
    <s v="Allen"/>
    <n v="41.125228"/>
    <n v="-85.211544000000004"/>
    <s v="Transportation"/>
    <m/>
    <s v="No"/>
    <m/>
    <n v="720"/>
    <n v="3360"/>
    <n v="720"/>
    <s v="D"/>
    <s v="J"/>
    <m/>
    <m/>
    <m/>
    <m/>
    <m/>
    <m/>
    <s v="INDOT DES No 1901890"/>
  </r>
  <r>
    <d v="2025-05-14T00:00:00"/>
    <s v="May"/>
    <n v="2025"/>
    <x v="3"/>
    <n v="-42"/>
    <x v="1"/>
    <n v="18900"/>
    <n v="590"/>
    <s v="Federal"/>
    <x v="2"/>
    <n v="42"/>
    <s v="INDOT"/>
    <s v="LRE-2023-00173-102-J23"/>
    <s v="2024-1022-2-GCW-WQC"/>
    <m/>
    <s v="Allen"/>
    <n v="41.125228"/>
    <n v="-85.211544000000004"/>
    <s v="Transportation"/>
    <m/>
    <s v="No"/>
    <m/>
    <n v="2835"/>
    <n v="13230"/>
    <n v="2835"/>
    <s v="D"/>
    <s v="J"/>
    <m/>
    <m/>
    <m/>
    <m/>
    <m/>
    <m/>
    <s v="INDOT DES No 1901890"/>
  </r>
  <r>
    <d v="2025-05-14T00:00:00"/>
    <s v="May"/>
    <n v="2025"/>
    <x v="8"/>
    <n v="-1"/>
    <x v="0"/>
    <n v="80000"/>
    <n v="590"/>
    <s v="State Isolated"/>
    <x v="4"/>
    <n v="0.5"/>
    <s v="INDOT"/>
    <s v="LRE-2023-00173-102-J23"/>
    <s v="2024-1022-2-GCW-IWIP"/>
    <m/>
    <s v="Allen"/>
    <n v="41.125309999999999"/>
    <n v="-85.226330000000004"/>
    <s v="Transportation"/>
    <m/>
    <s v="No"/>
    <m/>
    <n v="12000"/>
    <n v="56000"/>
    <n v="12000"/>
    <s v="L"/>
    <s v="SI"/>
    <s v="2 FO"/>
    <m/>
    <m/>
    <m/>
    <m/>
    <m/>
    <s v="INDOT DES No 1901890"/>
  </r>
  <r>
    <d v="2025-05-14T00:00:00"/>
    <s v="May"/>
    <n v="2025"/>
    <x v="8"/>
    <n v="-0.63"/>
    <x v="0"/>
    <n v="50400"/>
    <n v="590"/>
    <s v="State Isolated"/>
    <x v="3"/>
    <n v="0.42"/>
    <s v="INDOT"/>
    <s v="LRE-2023-00173-102-J23"/>
    <s v="2024-1022-2-GCW-IWIP"/>
    <m/>
    <s v="Allen"/>
    <n v="41.125309999999999"/>
    <n v="-85.226330000000004"/>
    <s v="Transportation"/>
    <m/>
    <s v="No"/>
    <m/>
    <n v="7560"/>
    <n v="35280"/>
    <n v="7560"/>
    <s v="L"/>
    <s v="SI"/>
    <s v="2 NF"/>
    <m/>
    <m/>
    <m/>
    <m/>
    <m/>
    <s v="INDOT DES No 1901890"/>
  </r>
  <r>
    <d v="2025-05-14T00:00:00"/>
    <s v="May"/>
    <n v="2025"/>
    <x v="8"/>
    <n v="-0.09"/>
    <x v="0"/>
    <n v="7200"/>
    <n v="590"/>
    <s v="Federal"/>
    <x v="3"/>
    <n v="4.4999999999999998E-2"/>
    <s v="INDOT"/>
    <s v="LRE-2023-00173-102-J23"/>
    <s v="2024-1022-2-GCW-WQC"/>
    <m/>
    <s v="Allen"/>
    <n v="41.125309999999999"/>
    <n v="-85.226330000000004"/>
    <s v="Transportation"/>
    <m/>
    <s v="No"/>
    <m/>
    <n v="1080"/>
    <n v="5040"/>
    <n v="1080"/>
    <s v="L"/>
    <s v="J"/>
    <m/>
    <m/>
    <m/>
    <m/>
    <m/>
    <m/>
    <s v="INDOT DES No 1901890"/>
  </r>
  <r>
    <d v="2025-05-14T00:00:00"/>
    <s v="May"/>
    <n v="2025"/>
    <x v="8"/>
    <n v="-562"/>
    <x v="1"/>
    <n v="224800"/>
    <n v="590"/>
    <s v="Federal"/>
    <x v="2"/>
    <n v="562"/>
    <s v="INDOT"/>
    <s v="LRE-2023-00173-102-J23"/>
    <s v="2024-1022-2-GCW-WQC"/>
    <m/>
    <s v="Allen"/>
    <n v="41.125309999999999"/>
    <n v="-85.226330000000004"/>
    <s v="Transportation"/>
    <m/>
    <s v="No"/>
    <m/>
    <n v="33720"/>
    <n v="157360"/>
    <n v="33720"/>
    <s v="L"/>
    <s v="J"/>
    <m/>
    <m/>
    <m/>
    <m/>
    <m/>
    <m/>
    <s v="INDOT DES No 1901890"/>
  </r>
  <r>
    <d v="2025-05-14T00:00:00"/>
    <s v="May"/>
    <n v="2025"/>
    <x v="8"/>
    <n v="-221"/>
    <x v="1"/>
    <n v="88400"/>
    <n v="590"/>
    <s v="Federal"/>
    <x v="6"/>
    <n v="221"/>
    <s v="INDOT"/>
    <s v="LRE-2023-00173-102-J23"/>
    <s v="2024-1022-2-GCW-WQC"/>
    <m/>
    <s v="Allen"/>
    <n v="41.125309999999999"/>
    <n v="-85.226330000000004"/>
    <s v="Transportation"/>
    <m/>
    <s v="No"/>
    <m/>
    <n v="13260"/>
    <n v="61879.999999999993"/>
    <n v="13260"/>
    <s v="L"/>
    <s v="J"/>
    <m/>
    <m/>
    <m/>
    <m/>
    <m/>
    <m/>
    <s v="INDOT DES No 1901890"/>
  </r>
  <r>
    <d v="2025-05-14T00:00:00"/>
    <s v="May"/>
    <n v="2025"/>
    <x v="5"/>
    <n v="-123"/>
    <x v="1"/>
    <n v="49200"/>
    <n v="597"/>
    <s v="Federal"/>
    <x v="2"/>
    <n v="1269"/>
    <s v="INDOT"/>
    <s v="LRL-2025-70"/>
    <s v="2025-82-62-GCW-WQC"/>
    <m/>
    <s v="Perry"/>
    <n v="38.226407999999999"/>
    <n v="-86.697208000000003"/>
    <s v="Transportation"/>
    <m/>
    <s v="No"/>
    <m/>
    <n v="7380"/>
    <n v="34440"/>
    <n v="7380"/>
    <s v="L"/>
    <s v="J"/>
    <m/>
    <m/>
    <m/>
    <m/>
    <m/>
    <m/>
    <s v="DES NO 2100167"/>
  </r>
  <r>
    <d v="2025-05-14T00:00:00"/>
    <s v="May"/>
    <n v="2025"/>
    <x v="5"/>
    <n v="-91"/>
    <x v="1"/>
    <n v="36400"/>
    <n v="597"/>
    <s v="Federal"/>
    <x v="6"/>
    <n v="862"/>
    <s v="INDOT"/>
    <s v="LRL-2025-70"/>
    <s v="2025-82-62-GCW-WQC"/>
    <m/>
    <s v="Perry"/>
    <n v="38.226407999999999"/>
    <n v="-86.697208000000003"/>
    <s v="Transportation"/>
    <m/>
    <s v="No"/>
    <m/>
    <n v="5460"/>
    <n v="25480"/>
    <n v="5460"/>
    <s v="L"/>
    <s v="J"/>
    <m/>
    <m/>
    <m/>
    <m/>
    <m/>
    <m/>
    <s v="DES NO 2100167"/>
  </r>
  <r>
    <d v="2025-05-14T00:00:00"/>
    <s v="May"/>
    <n v="2025"/>
    <x v="2"/>
    <n v="-0.46"/>
    <x v="0"/>
    <n v="36800"/>
    <n v="598"/>
    <s v="Federal"/>
    <x v="4"/>
    <n v="0.46"/>
    <s v="INDOT"/>
    <s v="LRL-2016-588-djd"/>
    <s v="2016-323-63-SKG-A"/>
    <m/>
    <s v="Pike"/>
    <n v="38.484456999999999"/>
    <n v="-87.431540999999996"/>
    <s v="Transportation"/>
    <m/>
    <s v="No"/>
    <m/>
    <n v="5520"/>
    <n v="25760"/>
    <n v="5520"/>
    <s v="L"/>
    <s v="J"/>
    <m/>
    <m/>
    <m/>
    <m/>
    <m/>
    <m/>
    <s v="DES NO 0401031"/>
  </r>
  <r>
    <d v="2025-05-21T00:00:00"/>
    <s v="May"/>
    <n v="2025"/>
    <x v="8"/>
    <n v="-0.65"/>
    <x v="0"/>
    <n v="52000"/>
    <n v="385"/>
    <s v="Federal"/>
    <x v="5"/>
    <n v="0.18"/>
    <s v="AEP Indiana Michigan Transmission Company, ,Inc."/>
    <s v="LRL-2022-1078-sjk"/>
    <s v="2023-27-38-EJW-X"/>
    <m/>
    <s v="Jay"/>
    <n v="40.4664"/>
    <n v="-85.091700000000003"/>
    <s v="Transportation"/>
    <m/>
    <s v="No"/>
    <m/>
    <n v="7800"/>
    <n v="36400"/>
    <n v="7800"/>
    <s v="L"/>
    <s v="J"/>
    <m/>
    <m/>
    <m/>
    <m/>
    <m/>
    <m/>
    <m/>
  </r>
  <r>
    <d v="2025-05-21T00:00:00"/>
    <s v="May"/>
    <n v="2025"/>
    <x v="8"/>
    <n v="-0.61"/>
    <x v="0"/>
    <n v="48800"/>
    <n v="395"/>
    <s v="Federal"/>
    <x v="4"/>
    <n v="0.2"/>
    <s v="AEP Indiana Michigan Transmission Company, ,Inc."/>
    <s v="LRL-2023-157-sjk"/>
    <s v="2022-1256-38-EJW-X"/>
    <m/>
    <s v="Jay"/>
    <n v="40.449800000000003"/>
    <n v="-84.9726"/>
    <s v="Transportation"/>
    <m/>
    <s v="No"/>
    <m/>
    <n v="7320"/>
    <n v="34160"/>
    <n v="7320"/>
    <s v="J"/>
    <s v="L"/>
    <m/>
    <m/>
    <m/>
    <m/>
    <m/>
    <m/>
    <m/>
  </r>
  <r>
    <d v="2025-05-21T00:00:00"/>
    <s v="May"/>
    <n v="2025"/>
    <x v="8"/>
    <n v="-0.04"/>
    <x v="0"/>
    <n v="3200"/>
    <n v="395"/>
    <s v="Federal"/>
    <x v="3"/>
    <n v="0.02"/>
    <s v="AEP Indiana Michigan Transmission Company, ,Inc."/>
    <s v="LRL-2023-157-sjk"/>
    <s v="2022-1256-38-EJW-X"/>
    <m/>
    <s v="Jay"/>
    <n v="40.449800000000003"/>
    <n v="-84.9726"/>
    <s v="Transportation"/>
    <m/>
    <s v="No"/>
    <m/>
    <n v="480"/>
    <n v="2240"/>
    <n v="480"/>
    <s v="J"/>
    <s v="L"/>
    <m/>
    <m/>
    <m/>
    <m/>
    <m/>
    <m/>
    <m/>
  </r>
  <r>
    <d v="2025-05-27T00:00:00"/>
    <s v="May"/>
    <n v="2025"/>
    <x v="9"/>
    <n v="-0.84"/>
    <x v="0"/>
    <n v="67200"/>
    <n v="602"/>
    <s v="State Isolated"/>
    <x v="4"/>
    <n v="0.21"/>
    <s v="Lennar Homes of Indiana, Inc."/>
    <s v="N/A"/>
    <s v="2024-1012-41-TLG-IWIP"/>
    <m/>
    <s v="Johnson"/>
    <n v="39.592599999999997"/>
    <n v="-86.043400000000005"/>
    <s v="Development"/>
    <m/>
    <s v="No"/>
    <m/>
    <n v="10080"/>
    <n v="47040"/>
    <n v="10080"/>
    <s v="L"/>
    <s v="SI"/>
    <s v="2 FO"/>
    <m/>
    <m/>
    <m/>
    <m/>
    <m/>
    <m/>
  </r>
  <r>
    <d v="2025-06-04T00:00:00"/>
    <s v="June"/>
    <n v="2025"/>
    <x v="7"/>
    <n v="-40"/>
    <x v="1"/>
    <n v="16000"/>
    <n v="561"/>
    <s v="Federal"/>
    <x v="1"/>
    <n v="74"/>
    <s v="INDOT"/>
    <s v="LRL-2024-618"/>
    <s v="2024-669-10-GCW-WQC"/>
    <m/>
    <s v="Clark"/>
    <n v="38.543973000000001"/>
    <n v="-85.767638000000005"/>
    <s v="Agriculture"/>
    <m/>
    <s v="No"/>
    <m/>
    <n v="2400"/>
    <n v="11200"/>
    <n v="2400"/>
    <s v="L"/>
    <s v="J"/>
    <m/>
    <m/>
    <m/>
    <m/>
    <m/>
    <m/>
    <s v="INDOT DES No 1900343"/>
  </r>
  <r>
    <d v="2025-06-04T00:00:00"/>
    <s v="June"/>
    <n v="2025"/>
    <x v="4"/>
    <n v="-84"/>
    <x v="1"/>
    <n v="33600"/>
    <n v="562"/>
    <s v="Federal"/>
    <x v="2"/>
    <n v="84"/>
    <s v="INDOT"/>
    <s v="LRL-2024-766-djd"/>
    <s v="2024-865-23-GCW-WQC"/>
    <m/>
    <s v="Fountain"/>
    <n v="40.112510999999998"/>
    <n v="-87.243199000000004"/>
    <s v="Transportation"/>
    <m/>
    <s v="No"/>
    <m/>
    <n v="5040"/>
    <n v="23520"/>
    <n v="5040"/>
    <s v="L"/>
    <s v="J"/>
    <m/>
    <m/>
    <m/>
    <m/>
    <m/>
    <m/>
    <s v="INDOT DES No 1800118"/>
  </r>
  <r>
    <d v="2025-06-04T00:00:00"/>
    <s v="June"/>
    <n v="2025"/>
    <x v="6"/>
    <n v="-67"/>
    <x v="1"/>
    <n v="40200"/>
    <n v="593"/>
    <s v="Federal"/>
    <x v="6"/>
    <n v="67"/>
    <s v="INDOT"/>
    <s v="LRE-2025-00123-157-N25"/>
    <s v="2025-197-57-GCW-NWP"/>
    <m/>
    <s v="Noble"/>
    <n v="41.353544999999997"/>
    <n v="-85.423655999999994"/>
    <s v="Development"/>
    <m/>
    <s v="No"/>
    <m/>
    <n v="6030"/>
    <n v="28140"/>
    <n v="6030"/>
    <s v="D"/>
    <s v="J"/>
    <m/>
    <m/>
    <m/>
    <m/>
    <m/>
    <m/>
    <s v="INDOT DES No 2100788"/>
  </r>
  <r>
    <d v="2025-06-04T00:00:00"/>
    <s v="June"/>
    <n v="2025"/>
    <x v="9"/>
    <n v="-1061.3"/>
    <x v="1"/>
    <n v="477585"/>
    <n v="601"/>
    <s v="Federal"/>
    <x v="2"/>
    <n v="6129.6"/>
    <s v="INDOT"/>
    <s v="LRL-2017-1021-dds"/>
    <s v="2021-626-49-JBT-A"/>
    <m/>
    <s v="Marion"/>
    <n v="39.865000000000002"/>
    <n v="-86.046999999999997"/>
    <s v="Transportation"/>
    <m/>
    <s v="No"/>
    <m/>
    <n v="71637.75"/>
    <n v="334309.5"/>
    <n v="71637.75"/>
    <s v="L"/>
    <s v="J"/>
    <m/>
    <m/>
    <m/>
    <m/>
    <m/>
    <m/>
    <s v="DES NO 1400075"/>
  </r>
  <r>
    <d v="2025-06-10T00:00:00"/>
    <s v="June"/>
    <n v="2025"/>
    <x v="3"/>
    <n v="-184.2"/>
    <x v="1"/>
    <n v="82890"/>
    <n v="510"/>
    <s v="Federal"/>
    <x v="6"/>
    <n v="122.01"/>
    <s v="City of Fort Wayne"/>
    <s v="LRE-2023-00598-102-N24"/>
    <s v="2024-57-2-EJW-A"/>
    <m/>
    <s v="Allen"/>
    <n v="41.052067000000001"/>
    <n v="-85.157611000000003"/>
    <s v="Transportation"/>
    <m/>
    <s v="No"/>
    <m/>
    <n v="12433.5"/>
    <n v="58022.999999999993"/>
    <n v="12433.5"/>
    <s v="D"/>
    <s v="J"/>
    <m/>
    <m/>
    <m/>
    <m/>
    <m/>
    <m/>
    <m/>
  </r>
  <r>
    <d v="2025-06-10T00:00:00"/>
    <s v="June"/>
    <n v="2025"/>
    <x v="0"/>
    <n v="-0.57999999999999996"/>
    <x v="0"/>
    <n v="55100"/>
    <s v="592C"/>
    <s v="Federal"/>
    <x v="4"/>
    <n v="0.17299999999999999"/>
    <s v="INDOT"/>
    <s v="LRC-2024-00134"/>
    <s v="2024-914-64-GCW-WQC"/>
    <m/>
    <s v="Porter"/>
    <n v="41.656599999999997"/>
    <n v="-87.05762"/>
    <s v="Transportation"/>
    <m/>
    <s v="No"/>
    <m/>
    <n v="8265"/>
    <n v="38570"/>
    <n v="8265"/>
    <s v="C"/>
    <s v="J"/>
    <m/>
    <m/>
    <m/>
    <m/>
    <m/>
    <m/>
    <s v="INDOT DES No 2200175 - several  corrections needed to invoices due to mitigation changes &amp; miscommiunication"/>
  </r>
  <r>
    <d v="2025-06-10T00:00:00"/>
    <s v="June"/>
    <n v="2025"/>
    <x v="0"/>
    <n v="-0.59"/>
    <x v="0"/>
    <n v="56050"/>
    <s v="592C"/>
    <s v="Federal"/>
    <x v="3"/>
    <n v="1"/>
    <s v="INDOT"/>
    <s v="LRC-2024-00134"/>
    <s v="2024-914-64-GCW-WQC"/>
    <m/>
    <s v="Porter"/>
    <n v="41.656599999999997"/>
    <n v="-87.05762"/>
    <s v="Transportation"/>
    <m/>
    <s v="No"/>
    <m/>
    <n v="8407.5"/>
    <n v="39235"/>
    <n v="8407.5"/>
    <s v="C"/>
    <s v="J"/>
    <m/>
    <m/>
    <m/>
    <m/>
    <m/>
    <m/>
    <s v="INDOT DES No 2200175 - several  corrections needed to invoices due to mitigation changes &amp; miscommiunication"/>
  </r>
  <r>
    <d v="2025-06-10T00:00:00"/>
    <s v="June"/>
    <n v="2025"/>
    <x v="0"/>
    <n v="-8.4"/>
    <x v="1"/>
    <n v="5040"/>
    <s v="592C"/>
    <s v="Federal"/>
    <x v="6"/>
    <n v="7"/>
    <s v="INDOT"/>
    <s v="LRC-2024-00134"/>
    <s v="2024-914-64-GCW-WQC"/>
    <m/>
    <s v="Porter"/>
    <n v="41.656599999999997"/>
    <n v="-87.05762"/>
    <s v="Transportation"/>
    <m/>
    <s v="No"/>
    <m/>
    <n v="756"/>
    <n v="3528"/>
    <n v="756"/>
    <s v="C"/>
    <s v="J"/>
    <m/>
    <m/>
    <m/>
    <m/>
    <m/>
    <m/>
    <s v="INDOT DES No 2200175 - several  corrections needed to invoices due to mitigation changes &amp; miscommiunication"/>
  </r>
  <r>
    <d v="2025-06-10T00:00:00"/>
    <s v="June"/>
    <n v="2025"/>
    <x v="9"/>
    <n v="-51"/>
    <x v="1"/>
    <n v="22950"/>
    <n v="599"/>
    <s v="Federal"/>
    <x v="2"/>
    <n v="51"/>
    <s v="Hancock County"/>
    <s v="LRL-2024-00903-jde"/>
    <s v="2025-27-30-LDC-WQC"/>
    <m/>
    <s v="Hancock"/>
    <n v="39.827311999999999"/>
    <n v="-85.925578999999999"/>
    <s v="Transportation"/>
    <m/>
    <s v="No"/>
    <m/>
    <n v="3442.5"/>
    <n v="16064.999999999998"/>
    <n v="3442.5"/>
    <s v="L"/>
    <s v="J"/>
    <m/>
    <m/>
    <m/>
    <m/>
    <m/>
    <m/>
    <m/>
  </r>
  <r>
    <d v="2025-06-10T00:00:00"/>
    <s v="June"/>
    <n v="2025"/>
    <x v="2"/>
    <n v="-230"/>
    <x v="1"/>
    <n v="92000"/>
    <n v="606"/>
    <s v="Federal"/>
    <x v="2"/>
    <n v="230"/>
    <s v="Duff Solar Project LLC"/>
    <s v="LRL-2025-00385-sjk"/>
    <s v="2025-399-19-TLK-NWP"/>
    <m/>
    <s v="Dubois"/>
    <n v="38.330084999999997"/>
    <n v="-87.003397000000007"/>
    <s v="Energy Production"/>
    <m/>
    <s v="No"/>
    <m/>
    <n v="13800"/>
    <n v="64399.999999999993"/>
    <n v="13800"/>
    <s v="L"/>
    <s v="J"/>
    <m/>
    <m/>
    <m/>
    <m/>
    <m/>
    <m/>
    <m/>
  </r>
  <r>
    <d v="2025-06-10T00:00:00"/>
    <s v="June"/>
    <n v="2025"/>
    <x v="2"/>
    <n v="-65"/>
    <x v="1"/>
    <n v="26000"/>
    <n v="606"/>
    <s v="Federal"/>
    <x v="6"/>
    <n v="65"/>
    <s v="Duff Solar Project LLC"/>
    <s v="LRL-2025-00385-sjk"/>
    <s v="2025-399-19-TLK-NWP"/>
    <m/>
    <s v="Dubois"/>
    <n v="38.330084999999997"/>
    <n v="-87.003397000000007"/>
    <s v="Energy Production"/>
    <m/>
    <s v="No"/>
    <m/>
    <n v="3900"/>
    <n v="18200"/>
    <n v="3900"/>
    <s v="L"/>
    <s v="J"/>
    <m/>
    <m/>
    <m/>
    <m/>
    <m/>
    <m/>
    <m/>
  </r>
  <r>
    <d v="2025-06-10T00:00:00"/>
    <s v="June"/>
    <n v="2025"/>
    <x v="2"/>
    <n v="-83"/>
    <x v="1"/>
    <n v="33200"/>
    <n v="606"/>
    <s v="Federal"/>
    <x v="1"/>
    <n v="83"/>
    <s v="Duff Solar Project LLC"/>
    <s v="LRL-2025-00385-sjk"/>
    <s v="2025-399-19-TLK-NWP"/>
    <m/>
    <s v="Dubois"/>
    <n v="38.330084999999997"/>
    <n v="-87.003397000000007"/>
    <s v="Energy Production"/>
    <m/>
    <s v="No"/>
    <m/>
    <n v="4980"/>
    <n v="23240"/>
    <n v="4980"/>
    <s v="L"/>
    <s v="J"/>
    <m/>
    <m/>
    <m/>
    <m/>
    <m/>
    <m/>
    <m/>
  </r>
  <r>
    <d v="2025-06-17T00:00:00"/>
    <s v="June"/>
    <n v="2025"/>
    <x v="9"/>
    <n v="-0.59399999999999997"/>
    <x v="0"/>
    <n v="47520"/>
    <n v="604"/>
    <s v="State Isolated"/>
    <x v="5"/>
    <n v="0.39600000000000002"/>
    <s v="Lennar Homes of Indiana, LLC"/>
    <s v="N/A"/>
    <s v="IWIP 2023-1154-6-MPY-A"/>
    <m/>
    <s v="Boone"/>
    <n v="39.930568999999998"/>
    <n v="-86.343152000000003"/>
    <s v="Development"/>
    <m/>
    <s v="No"/>
    <m/>
    <n v="7128"/>
    <n v="33264"/>
    <n v="7128"/>
    <s v="L"/>
    <s v="SI"/>
    <s v="2 NF"/>
    <m/>
    <m/>
    <m/>
    <m/>
    <m/>
    <m/>
  </r>
  <r>
    <d v="2025-06-17T00:00:00"/>
    <s v="June"/>
    <n v="2025"/>
    <x v="4"/>
    <n v="-0.16600000000000001"/>
    <x v="0"/>
    <n v="13280"/>
    <n v="588"/>
    <s v="Federal"/>
    <x v="3"/>
    <n v="8.3000000000000004E-2"/>
    <s v="City of Greencastle"/>
    <s v="LRL-2024-00034-cte"/>
    <s v="2024-423-67-MMR-A"/>
    <m/>
    <s v="Putnam"/>
    <n v="39.633077"/>
    <n v="-86.857313000000005"/>
    <s v="Development"/>
    <m/>
    <s v="No"/>
    <m/>
    <n v="1992"/>
    <n v="9296"/>
    <n v="1992"/>
    <s v="L"/>
    <s v="J"/>
    <m/>
    <m/>
    <m/>
    <m/>
    <m/>
    <m/>
    <m/>
  </r>
  <r>
    <d v="2025-06-17T00:00:00"/>
    <s v="June"/>
    <n v="2025"/>
    <x v="4"/>
    <n v="-0.23400000000000001"/>
    <x v="0"/>
    <n v="18720"/>
    <n v="588"/>
    <s v="State Isolated"/>
    <x v="3"/>
    <n v="0.156"/>
    <s v="City of Greencastle"/>
    <s v="LRL-2024-00034-cte"/>
    <s v="IWIP 2024-424-67-MMR-A"/>
    <m/>
    <s v="Putnam"/>
    <n v="39.633077"/>
    <n v="-86.857313000000005"/>
    <s v="Development"/>
    <m/>
    <s v="No"/>
    <m/>
    <n v="2808"/>
    <n v="13104"/>
    <n v="2808"/>
    <s v="L"/>
    <s v="SI"/>
    <m/>
    <m/>
    <m/>
    <m/>
    <m/>
    <m/>
    <m/>
  </r>
  <r>
    <d v="2025-06-18T00:00:00"/>
    <s v="June"/>
    <n v="2025"/>
    <x v="3"/>
    <n v="-0.53"/>
    <x v="0"/>
    <n v="42400"/>
    <n v="609"/>
    <s v="State Isolated"/>
    <x v="4"/>
    <n v="0.27"/>
    <s v="Zion Companies"/>
    <s v="N/A"/>
    <s v="IWIP 2023-1038-2-EJW-A"/>
    <m/>
    <s v="Allen"/>
    <n v="41.089928"/>
    <n v="-85.03322"/>
    <s v="Development"/>
    <m/>
    <s v="No"/>
    <m/>
    <n v="6360"/>
    <n v="29679.999999999996"/>
    <n v="6360"/>
    <s v="D"/>
    <s v="SI"/>
    <m/>
    <m/>
    <m/>
    <m/>
    <m/>
    <m/>
    <m/>
  </r>
  <r>
    <d v="2025-06-18T00:00:00"/>
    <s v="June"/>
    <n v="2025"/>
    <x v="5"/>
    <n v="-20"/>
    <x v="1"/>
    <n v="8000"/>
    <n v="605"/>
    <s v="Federal"/>
    <x v="6"/>
    <n v="442"/>
    <s v="Vanderburgh County Commissioners"/>
    <s v="N/A"/>
    <s v="2025-149-82-TLK-WQC"/>
    <m/>
    <s v="Vanderburgh"/>
    <n v="37.980955000000002"/>
    <n v="-87.620413999999997"/>
    <s v="Development"/>
    <m/>
    <s v="No"/>
    <m/>
    <n v="1200"/>
    <n v="5600"/>
    <n v="1200"/>
    <s v="L"/>
    <s v="J"/>
    <m/>
    <m/>
    <m/>
    <m/>
    <m/>
    <m/>
    <s v="Drainage project"/>
  </r>
  <r>
    <d v="2025-06-18T00:00:00"/>
    <s v="June"/>
    <n v="2025"/>
    <x v="9"/>
    <n v="-0.22"/>
    <x v="0"/>
    <n v="17600"/>
    <n v="608"/>
    <s v="State Isolated"/>
    <x v="4"/>
    <n v="0.11"/>
    <s v="Trilogy Health Services, LLC"/>
    <s v="N/A"/>
    <s v="2025-299-29-ENH-IWIP"/>
    <m/>
    <s v="Hamilton"/>
    <n v="39.999930999999997"/>
    <n v="-85.998932999999994"/>
    <s v="Development"/>
    <m/>
    <s v="No"/>
    <m/>
    <n v="2640"/>
    <n v="12320"/>
    <n v="2640"/>
    <s v="L"/>
    <s v="SI"/>
    <s v="2 FO"/>
    <m/>
    <m/>
    <m/>
    <m/>
    <m/>
    <m/>
  </r>
  <r>
    <d v="2025-06-25T00:00:00"/>
    <s v="June"/>
    <n v="2025"/>
    <x v="0"/>
    <n v="-5.04"/>
    <x v="0"/>
    <n v="478800"/>
    <n v="615"/>
    <s v="State Isolated"/>
    <x v="4"/>
    <n v="2.5099999999999998"/>
    <s v="CHI Acquisitions, L.P. c/o Crow Holdings Industrial"/>
    <s v="N/A"/>
    <s v="2025-256-45-MTM-IWIP"/>
    <m/>
    <s v="Lake"/>
    <n v="41.481119999999997"/>
    <n v="-87.319299999999998"/>
    <s v="Development"/>
    <m/>
    <s v="No"/>
    <m/>
    <n v="71820"/>
    <n v="335160"/>
    <n v="71820"/>
    <s v="C"/>
    <s v="SI"/>
    <s v="2 FO"/>
    <m/>
    <m/>
    <m/>
    <m/>
    <m/>
    <m/>
  </r>
  <r>
    <d v="2025-06-30T00:00:00"/>
    <s v="June"/>
    <n v="2025"/>
    <x v="9"/>
    <n v="-0.78"/>
    <x v="0"/>
    <n v="62400"/>
    <s v="201C2"/>
    <s v="State Isolated"/>
    <x v="4"/>
    <n v="0.31"/>
    <s v="TWG Development"/>
    <s v="N/A"/>
    <s v="IWIP 2020-966-29-ALF-A"/>
    <m/>
    <s v="Hamilton"/>
    <n v="40.071199999999997"/>
    <n v="-86.133899999999997"/>
    <s v="Development"/>
    <m/>
    <s v="No"/>
    <m/>
    <n v="9360"/>
    <n v="43680"/>
    <n v="9360"/>
    <s v="L"/>
    <s v="SI"/>
    <s v="2 FO"/>
    <m/>
    <m/>
    <m/>
    <m/>
    <m/>
    <m/>
  </r>
  <r>
    <d v="2025-06-30T00:00:00"/>
    <s v="June"/>
    <n v="2025"/>
    <x v="9"/>
    <n v="-2.4"/>
    <x v="0"/>
    <n v="192000"/>
    <n v="618"/>
    <s v="State Isolated"/>
    <x v="3"/>
    <n v="1.63"/>
    <s v="D.R. Horton"/>
    <s v="N/A"/>
    <s v="2025-430-49-LDC-IWIP"/>
    <m/>
    <s v="Marion"/>
    <n v="39.633400000000002"/>
    <n v="-86.291899999999998"/>
    <s v="Development"/>
    <m/>
    <s v="No"/>
    <m/>
    <n v="28800"/>
    <n v="134400"/>
    <n v="28800"/>
    <s v="L"/>
    <s v="SI"/>
    <s v="2 NF"/>
    <m/>
    <m/>
    <m/>
    <m/>
    <m/>
    <m/>
  </r>
  <r>
    <d v="2025-06-30T00:00:00"/>
    <s v="June"/>
    <n v="2025"/>
    <x v="4"/>
    <n v="-0.442"/>
    <x v="0"/>
    <n v="35360"/>
    <n v="616"/>
    <s v="Federal"/>
    <x v="3"/>
    <n v="0.52100000000000002"/>
    <s v="ENTEK Lithium Separators LLC"/>
    <s v="LRL-2023-00388-AMW"/>
    <s v="2024-660-84-MMR-WQC"/>
    <m/>
    <s v="Vigo"/>
    <n v="39.351748999999998"/>
    <n v="-87.411080999999996"/>
    <s v="Development"/>
    <m/>
    <s v="No"/>
    <m/>
    <n v="5304"/>
    <n v="24752"/>
    <n v="5304"/>
    <s v="L"/>
    <s v="J"/>
    <m/>
    <m/>
    <m/>
    <m/>
    <m/>
    <m/>
    <m/>
  </r>
  <r>
    <d v="2025-07-07T00:00:00"/>
    <s v="July"/>
    <n v="2025"/>
    <x v="9"/>
    <n v="-0.68"/>
    <x v="0"/>
    <n v="54400"/>
    <n v="617"/>
    <s v="State Isolated"/>
    <x v="4"/>
    <n v="0.34"/>
    <s v="Arbor Homes"/>
    <s v="N/A"/>
    <s v="2025-346-49-LDC-IWIP"/>
    <m/>
    <s v="Marion"/>
    <n v="39.838000000000001"/>
    <n v="-85.969700000000003"/>
    <s v="Development"/>
    <m/>
    <s v="No"/>
    <m/>
    <n v="8160"/>
    <n v="38080"/>
    <n v="8160"/>
    <s v="L"/>
    <s v="SI"/>
    <s v="2 FO"/>
    <m/>
    <m/>
    <m/>
    <m/>
    <m/>
    <m/>
  </r>
  <r>
    <d v="2025-07-07T00:00:00"/>
    <s v="July"/>
    <n v="2025"/>
    <x v="9"/>
    <n v="-0.31"/>
    <x v="0"/>
    <n v="24800"/>
    <n v="617"/>
    <s v="State Isolated"/>
    <x v="3"/>
    <n v="0.2"/>
    <s v="Arbor Homes"/>
    <s v="N/A"/>
    <s v="2025-346-49-LDC-IWIP"/>
    <m/>
    <s v="Marion"/>
    <n v="39.838000000000001"/>
    <n v="-85.969700000000003"/>
    <s v="Development"/>
    <m/>
    <s v="No"/>
    <m/>
    <n v="3720"/>
    <n v="17360"/>
    <n v="3720"/>
    <s v="L"/>
    <s v="SI"/>
    <s v="2 NF"/>
    <m/>
    <m/>
    <m/>
    <m/>
    <m/>
    <m/>
  </r>
  <r>
    <d v="2025-07-07T00:00:00"/>
    <s v="July"/>
    <n v="2025"/>
    <x v="9"/>
    <n v="-0.57999999999999996"/>
    <x v="0"/>
    <n v="46400"/>
    <n v="571"/>
    <s v="State Isolated"/>
    <x v="4"/>
    <n v="0.28999999999999998"/>
    <s v="Plainfield Innovation Park Building II, LLC"/>
    <s v="N/A"/>
    <s v="2024-884-32-MPY-IWIP"/>
    <m/>
    <s v="Hendricks"/>
    <n v="39.655009999999997"/>
    <n v="-86.366209999999995"/>
    <s v="Development"/>
    <m/>
    <s v="No"/>
    <m/>
    <n v="6960"/>
    <n v="32479.999999999996"/>
    <n v="6960"/>
    <s v="SI"/>
    <s v="SI"/>
    <s v="2 FO"/>
    <m/>
    <m/>
    <m/>
    <m/>
    <m/>
    <m/>
  </r>
  <r>
    <d v="2025-07-07T00:00:00"/>
    <s v="July"/>
    <n v="2025"/>
    <x v="3"/>
    <n v="-201"/>
    <x v="1"/>
    <n v="90450"/>
    <n v="613"/>
    <s v="Federal"/>
    <x v="2"/>
    <n v="494"/>
    <s v="Hatchworks, LLC"/>
    <s v="LRE-2024-00487-102-J24"/>
    <s v="2025-77-2-EJW-WQCZ"/>
    <m/>
    <s v="Allen"/>
    <n v="41.033259999999999"/>
    <n v="-85.057739999999995"/>
    <s v="Transportation"/>
    <m/>
    <s v="No"/>
    <m/>
    <n v="13567.5"/>
    <n v="63314.999999999993"/>
    <n v="13567.5"/>
    <s v="D"/>
    <s v="J"/>
    <m/>
    <m/>
    <m/>
    <m/>
    <m/>
    <m/>
    <m/>
  </r>
  <r>
    <d v="2025-07-07T00:00:00"/>
    <s v="July"/>
    <n v="2025"/>
    <x v="5"/>
    <n v="-0.5"/>
    <x v="0"/>
    <n v="40000"/>
    <n v="614"/>
    <s v="Federal"/>
    <x v="3"/>
    <n v="3.7999999999999999E-2"/>
    <s v="Posey County Board of Commissioners"/>
    <s v="LRL-2020-01106-cds"/>
    <s v="2025-283-65-MTM-NWP"/>
    <m/>
    <s v="Posey"/>
    <n v="37.964753000000002"/>
    <n v="-87.904550999999998"/>
    <s v="Transportation"/>
    <m/>
    <s v="No"/>
    <m/>
    <n v="6000"/>
    <n v="28000"/>
    <n v="6000"/>
    <s v="L"/>
    <s v="J"/>
    <m/>
    <m/>
    <m/>
    <m/>
    <m/>
    <m/>
    <m/>
  </r>
  <r>
    <d v="2025-07-14T00:00:00"/>
    <s v="July "/>
    <n v="2025"/>
    <x v="0"/>
    <n v="-632"/>
    <x v="1"/>
    <n v="379200"/>
    <n v="558"/>
    <s v="Federal"/>
    <x v="6"/>
    <n v="527"/>
    <s v="Town of Schererville"/>
    <s v="LRL-2022-00676"/>
    <s v="2022-1022-45-MTM-A"/>
    <m/>
    <s v="Lake"/>
    <n v="41.510942"/>
    <n v="-87.461459000000005"/>
    <s v="Transportation"/>
    <m/>
    <s v="No"/>
    <m/>
    <n v="56880"/>
    <n v="265440"/>
    <n v="56880"/>
    <s v="C"/>
    <s v="J"/>
    <m/>
    <m/>
    <m/>
    <m/>
    <m/>
    <m/>
    <s v="INDOT DES 18001911"/>
  </r>
  <r>
    <d v="2025-07-14T00:00:00"/>
    <s v="July "/>
    <n v="2025"/>
    <x v="0"/>
    <n v="-1.55"/>
    <x v="0"/>
    <n v="147250"/>
    <n v="558"/>
    <s v="Federal"/>
    <x v="3"/>
    <n v="0.86"/>
    <s v="Town of Schererville"/>
    <s v="LRL-2022-00676"/>
    <s v="2022-1022-45-MTM-A"/>
    <m/>
    <s v="Lake"/>
    <n v="41.510942"/>
    <n v="-87.461459000000005"/>
    <s v="Transportation"/>
    <m/>
    <s v="No"/>
    <m/>
    <n v="22087.5"/>
    <n v="103075"/>
    <n v="22087.5"/>
    <s v="C"/>
    <s v="J"/>
    <m/>
    <m/>
    <m/>
    <m/>
    <m/>
    <m/>
    <s v="INDOT DES 18001912"/>
  </r>
  <r>
    <d v="2025-07-14T00:00:00"/>
    <s v="July "/>
    <n v="2025"/>
    <x v="0"/>
    <n v="-3.1"/>
    <x v="0"/>
    <n v="294500"/>
    <n v="558"/>
    <s v="Federal"/>
    <x v="5"/>
    <n v="0.86"/>
    <s v="Town of Schererville"/>
    <s v="LRL-2022-00676"/>
    <s v="2022-1022-45-MTM-A"/>
    <m/>
    <s v="Lake"/>
    <n v="41.510942"/>
    <n v="-87.461459000000005"/>
    <s v="Transportation"/>
    <m/>
    <s v="No"/>
    <m/>
    <n v="44175"/>
    <n v="206150"/>
    <n v="44175"/>
    <s v="C"/>
    <s v="J"/>
    <m/>
    <m/>
    <m/>
    <m/>
    <m/>
    <m/>
    <s v="INDOT DES 18001913"/>
  </r>
  <r>
    <d v="2025-07-14T00:00:00"/>
    <s v="July "/>
    <n v="2025"/>
    <x v="0"/>
    <n v="-1.29"/>
    <x v="0"/>
    <n v="122550"/>
    <n v="568"/>
    <s v="State Isolated"/>
    <x v="3"/>
    <n v="0.86"/>
    <s v="INDOT"/>
    <s v="N/A"/>
    <s v="2024-944-45-GCW-IWIP"/>
    <m/>
    <s v="Lake"/>
    <n v="41.420949999999998"/>
    <n v="-87.431240000000003"/>
    <s v="Transportation"/>
    <m/>
    <s v="No"/>
    <m/>
    <n v="18382.5"/>
    <n v="85785"/>
    <n v="18382.5"/>
    <s v="C"/>
    <s v="SI"/>
    <s v="2 NF"/>
    <m/>
    <m/>
    <m/>
    <m/>
    <m/>
    <s v="INDOT DES 1700022"/>
  </r>
  <r>
    <d v="2025-07-25T00:00:00"/>
    <s v="July"/>
    <n v="2025"/>
    <x v="9"/>
    <n v="-1032"/>
    <x v="1"/>
    <n v="464400"/>
    <n v="612"/>
    <s v="Federal"/>
    <x v="2"/>
    <n v="1032"/>
    <s v="GTV Indianapolis, LLC"/>
    <s v="LRL-2025-00176-sjk"/>
    <s v="2025-203-49-LDC-WQC"/>
    <m/>
    <s v="Marion"/>
    <n v="39.7029"/>
    <n v="-86.263999999999996"/>
    <s v="Development"/>
    <m/>
    <s v="No"/>
    <m/>
    <n v="69660"/>
    <n v="325080"/>
    <n v="69660"/>
    <s v="L"/>
    <s v="J"/>
    <m/>
    <m/>
    <m/>
    <m/>
    <m/>
    <m/>
    <m/>
  </r>
  <r>
    <d v="2025-08-01T00:00:00"/>
    <s v="August"/>
    <n v="2025"/>
    <x v="3"/>
    <n v="-231"/>
    <x v="1"/>
    <n v="103950"/>
    <n v="619"/>
    <s v="Federal"/>
    <x v="2"/>
    <n v="192"/>
    <s v="AEP"/>
    <s v="LRE-2025-00093-102-R25"/>
    <s v="2025-172-2-EJW-WQC"/>
    <m/>
    <s v="Allen"/>
    <n v="41.025829999999999"/>
    <n v="-85.046914000000001"/>
    <s v="Transportation"/>
    <m/>
    <s v="No"/>
    <m/>
    <n v="15592.5"/>
    <n v="72765"/>
    <n v="15592.5"/>
    <s v="D"/>
    <s v="J"/>
    <m/>
    <m/>
    <m/>
    <m/>
    <m/>
    <m/>
    <s v="AEP - Zodiac Station Access Road"/>
  </r>
  <r>
    <d v="2025-08-01T00:00:00"/>
    <s v="August"/>
    <n v="2025"/>
    <x v="4"/>
    <n v="-0.25800000000000001"/>
    <x v="0"/>
    <n v="20640"/>
    <n v="622"/>
    <s v="Federal"/>
    <x v="3"/>
    <n v="0.52100000000000002"/>
    <s v="ENTEK Lithium Separators LLC"/>
    <s v="LRL-2023-00388-AMW"/>
    <s v="2024-660-84-MMR-WQC"/>
    <m/>
    <s v="Vigo"/>
    <n v="39.351748999999998"/>
    <n v="-87.411080999999996"/>
    <s v="Development"/>
    <m/>
    <s v="No"/>
    <m/>
    <n v="3096"/>
    <n v="14447.999999999998"/>
    <n v="3096"/>
    <s v="L"/>
    <s v="J"/>
    <m/>
    <m/>
    <m/>
    <m/>
    <m/>
    <m/>
    <m/>
  </r>
  <r>
    <d v="2025-08-26T00:00:00"/>
    <s v="August"/>
    <n v="2025"/>
    <x v="3"/>
    <n v="-48"/>
    <x v="1"/>
    <n v="21600"/>
    <n v="621"/>
    <s v="Federal"/>
    <x v="2"/>
    <n v="48"/>
    <s v="INDOT"/>
    <s v="LRE-2025-00147-117-N25"/>
    <s v="2025-242-17-GCW-WQC"/>
    <m/>
    <s v="DeKalb"/>
    <n v="41.295524999999998"/>
    <n v="-85.187016"/>
    <s v="Transportation"/>
    <m/>
    <s v="No"/>
    <m/>
    <n v="3240"/>
    <n v="15119.999999999998"/>
    <n v="3240"/>
    <s v="D"/>
    <s v="J"/>
    <m/>
    <m/>
    <m/>
    <m/>
    <m/>
    <m/>
    <s v="INDOT DES 2100780"/>
  </r>
  <r>
    <d v="2025-08-27T00:00:00"/>
    <s v="August"/>
    <n v="2025"/>
    <x v="7"/>
    <n v="-78"/>
    <x v="1"/>
    <n v="31200"/>
    <n v="620"/>
    <s v="Federal"/>
    <x v="2"/>
    <n v="156"/>
    <s v="INDOT"/>
    <s v="LRL-2025-173-djd"/>
    <s v="2025-182-16--GCW-WQC"/>
    <m/>
    <s v="Decatur"/>
    <n v="39.249775999999997"/>
    <n v="-85.356548000000004"/>
    <s v="Transportation"/>
    <m/>
    <s v="No"/>
    <m/>
    <n v="4680"/>
    <n v="21840"/>
    <n v="4680"/>
    <s v="L"/>
    <s v="J"/>
    <m/>
    <m/>
    <m/>
    <m/>
    <m/>
    <m/>
    <s v="INDOT DES 2001946"/>
  </r>
  <r>
    <d v="2025-08-27T00:00:00"/>
    <s v="August"/>
    <n v="2025"/>
    <x v="10"/>
    <n v="-147"/>
    <x v="1"/>
    <n v="58800"/>
    <n v="620"/>
    <s v="Federal"/>
    <x v="2"/>
    <n v="294"/>
    <s v="INDOT"/>
    <s v="LRL-2025-173-djd"/>
    <s v="2025-182-16--GCW-WQC"/>
    <m/>
    <s v="Decatur"/>
    <n v="39.278578000000003"/>
    <n v="-85.401252999999997"/>
    <s v="Transportation"/>
    <m/>
    <s v="No"/>
    <m/>
    <n v="8820"/>
    <n v="41160"/>
    <n v="8820"/>
    <s v="L"/>
    <s v="J"/>
    <m/>
    <m/>
    <m/>
    <m/>
    <m/>
    <m/>
    <s v="INDOT DES 2001946"/>
  </r>
  <r>
    <d v="2025-08-27T00:00:00"/>
    <s v="August"/>
    <n v="2025"/>
    <x v="8"/>
    <n v="-39.5"/>
    <x v="1"/>
    <n v="15800"/>
    <n v="624"/>
    <s v="Federal"/>
    <x v="2"/>
    <n v="39.5"/>
    <s v="INDOT"/>
    <m/>
    <s v="2025-425-52-GCW-NWP"/>
    <m/>
    <s v="Miami"/>
    <n v="40.741459999999996"/>
    <n v="-86.126411000000004"/>
    <s v="Transportation"/>
    <m/>
    <s v="No"/>
    <m/>
    <n v="2370"/>
    <n v="11060"/>
    <n v="2370"/>
    <s v="L"/>
    <s v="J"/>
    <m/>
    <m/>
    <m/>
    <m/>
    <m/>
    <m/>
    <s v="INDOT DES 2100799"/>
  </r>
  <r>
    <d v="2025-08-27T00:00:00"/>
    <s v="August"/>
    <n v="2025"/>
    <x v="8"/>
    <n v="-19"/>
    <x v="1"/>
    <n v="7600"/>
    <n v="623"/>
    <s v="Federal"/>
    <x v="1"/>
    <n v="24.5"/>
    <s v="INDOT"/>
    <s v="LRL-2024-807-djd"/>
    <s v="2025-262-27-GCW-WQC"/>
    <m/>
    <s v="Grant"/>
    <n v="40.555041000000003"/>
    <n v="-85.636126000000004"/>
    <s v="Transportation"/>
    <m/>
    <s v="No"/>
    <m/>
    <n v="1140"/>
    <n v="5320"/>
    <n v="1140"/>
    <s v="L"/>
    <s v="J"/>
    <m/>
    <m/>
    <m/>
    <m/>
    <m/>
    <m/>
    <s v="INDOT DES No 2100273"/>
  </r>
  <r>
    <d v="2025-08-27T00:00:00"/>
    <s v="August"/>
    <n v="2025"/>
    <x v="8"/>
    <n v="-72.5"/>
    <x v="1"/>
    <n v="29000"/>
    <n v="623"/>
    <s v="Federal"/>
    <x v="2"/>
    <n v="175"/>
    <s v="INDOT"/>
    <s v="LRL-2024-807-djd"/>
    <s v="2025-262-27-GCW-WQC"/>
    <m/>
    <s v="Grant"/>
    <n v="40.555041000000003"/>
    <n v="-85.636126000000004"/>
    <s v="Transportation"/>
    <m/>
    <s v="No"/>
    <m/>
    <n v="4350"/>
    <n v="20300"/>
    <n v="4350"/>
    <s v="L"/>
    <s v="J"/>
    <m/>
    <m/>
    <m/>
    <m/>
    <m/>
    <m/>
    <s v="INDOT DES No 2100273"/>
  </r>
  <r>
    <d v="2025-08-27T00:00:00"/>
    <s v="August"/>
    <n v="2025"/>
    <x v="8"/>
    <n v="-0.02"/>
    <x v="0"/>
    <n v="1600"/>
    <n v="623"/>
    <s v="State Isolated"/>
    <x v="3"/>
    <n v="1.18E-2"/>
    <s v="INDOT"/>
    <s v="N/A"/>
    <s v="2025-262-27-GCW-SRGP"/>
    <m/>
    <s v="Grant"/>
    <n v="40.556790999999997"/>
    <n v="-85.647180000000006"/>
    <s v="Transportation"/>
    <m/>
    <s v="No"/>
    <m/>
    <n v="240"/>
    <n v="1120"/>
    <n v="240"/>
    <s v="L"/>
    <s v="J"/>
    <s v="NF"/>
    <m/>
    <m/>
    <m/>
    <m/>
    <m/>
    <s v="INDOT DES No 2100273"/>
  </r>
  <r>
    <d v="2025-08-27T00:00:00"/>
    <s v="August"/>
    <n v="2025"/>
    <x v="10"/>
    <n v="-9"/>
    <x v="1"/>
    <n v="3600"/>
    <n v="626"/>
    <s v="Federal"/>
    <x v="6"/>
    <n v="9"/>
    <s v="INDOT"/>
    <s v="LRL-2024-142-dds"/>
    <s v="2025-437-16-GCW-NWP"/>
    <m/>
    <s v="Decatur"/>
    <n v="39.404198999999998"/>
    <n v="-85.558008000000001"/>
    <s v="Transportation"/>
    <m/>
    <s v="No"/>
    <m/>
    <n v="540"/>
    <n v="2520"/>
    <n v="540"/>
    <s v="L"/>
    <s v="J"/>
    <m/>
    <m/>
    <m/>
    <m/>
    <m/>
    <m/>
    <s v="INDOT DES 2100256"/>
  </r>
  <r>
    <d v="2025-08-27T00:00:00"/>
    <s v="August"/>
    <n v="2025"/>
    <x v="10"/>
    <n v="-324"/>
    <x v="1"/>
    <n v="129600"/>
    <n v="626"/>
    <s v="Federal"/>
    <x v="6"/>
    <n v="324"/>
    <s v="INDOT"/>
    <s v="LRL-2024-142-dds"/>
    <s v="2025-437-16-GCW-NWP"/>
    <m/>
    <s v="Decatur"/>
    <n v="39.404198999999998"/>
    <n v="-85.558008000000001"/>
    <s v="Transportation"/>
    <m/>
    <s v="No"/>
    <m/>
    <n v="19440"/>
    <n v="90720"/>
    <n v="19440"/>
    <s v="L"/>
    <s v="J"/>
    <m/>
    <m/>
    <m/>
    <m/>
    <m/>
    <m/>
    <s v="INDOT DES 2100256"/>
  </r>
  <r>
    <d v="2025-08-29T00:00:00"/>
    <s v="August"/>
    <n v="2025"/>
    <x v="8"/>
    <n v="-45"/>
    <x v="1"/>
    <n v="18000"/>
    <n v="625"/>
    <s v="Federal"/>
    <x v="6"/>
    <n v="88"/>
    <s v="INDOT"/>
    <s v="LRL-2023-303-djd"/>
    <s v="2023-327-90-MPY-A"/>
    <m/>
    <s v="Wells"/>
    <n v="40.654705999999997"/>
    <n v="-85.191113000000001"/>
    <s v="Transportation"/>
    <m/>
    <s v="No"/>
    <m/>
    <n v="2700"/>
    <n v="12600"/>
    <n v="2700"/>
    <s v="L"/>
    <s v="J"/>
    <m/>
    <m/>
    <m/>
    <m/>
    <m/>
    <m/>
    <s v="INDOT DES 1800156"/>
  </r>
  <r>
    <d v="2025-09-02T00:00:00"/>
    <s v="September"/>
    <n v="2025"/>
    <x v="0"/>
    <n v="-0.99"/>
    <x v="0"/>
    <n v="94050"/>
    <n v="627"/>
    <s v="Federal"/>
    <x v="3"/>
    <n v="0.41199999999999998"/>
    <s v="INDOT"/>
    <s v="LRC-2022-00579"/>
    <s v="2024-162-45-GCW-A"/>
    <m/>
    <s v="Lake"/>
    <n v="41.6100894"/>
    <n v="-87.461603999999994"/>
    <s v="Transportation"/>
    <m/>
    <s v="No"/>
    <m/>
    <n v="14107.5"/>
    <n v="65835"/>
    <n v="14107.5"/>
    <s v="C"/>
    <s v="J"/>
    <m/>
    <m/>
    <m/>
    <m/>
    <m/>
    <m/>
    <s v="INDOT DES 1900009"/>
  </r>
  <r>
    <d v="2025-09-18T00:00:00"/>
    <s v="September"/>
    <n v="2025"/>
    <x v="5"/>
    <n v="-586.79999999999995"/>
    <x v="1"/>
    <n v="234719.99999999997"/>
    <n v="628"/>
    <s v="Federal"/>
    <x v="2"/>
    <n v="489"/>
    <s v="Warrick County Commissioners"/>
    <s v="LRL-2024-163"/>
    <s v="2024-82-87-MMR-A"/>
    <m/>
    <s v="Warrick"/>
    <n v="38.118459999999999"/>
    <n v="-87.053604000000007"/>
    <s v="Transportation"/>
    <m/>
    <s v="No"/>
    <m/>
    <n v="35207.999999999993"/>
    <n v="164303.99999999997"/>
    <n v="35207.999999999993"/>
    <s v="L"/>
    <s v="J"/>
    <m/>
    <m/>
    <m/>
    <m/>
    <m/>
    <m/>
    <s v="INDOT DES 1902795"/>
  </r>
  <r>
    <d v="2025-09-18T00:00:00"/>
    <s v="September"/>
    <n v="2025"/>
    <x v="5"/>
    <n v="-592.20000000000005"/>
    <x v="1"/>
    <n v="236880.00000000003"/>
    <n v="628"/>
    <s v="Federal"/>
    <x v="6"/>
    <n v="463"/>
    <s v="Warrick County Commissioners"/>
    <s v="LRL-2024-163"/>
    <s v="2024-82-87-MMR-A"/>
    <m/>
    <s v="Warrick"/>
    <n v="38.118459999999999"/>
    <n v="-87.053604000000007"/>
    <s v="Transportation"/>
    <m/>
    <s v="No"/>
    <m/>
    <n v="35532"/>
    <n v="165816"/>
    <n v="35532"/>
    <s v="L"/>
    <s v="J"/>
    <m/>
    <m/>
    <m/>
    <m/>
    <m/>
    <m/>
    <s v="INDOT DES 1902795"/>
  </r>
  <r>
    <d v="2025-09-18T00:00:00"/>
    <s v="September"/>
    <n v="2025"/>
    <x v="5"/>
    <n v="-0.06"/>
    <x v="0"/>
    <n v="4800"/>
    <n v="628"/>
    <s v="Federal"/>
    <x v="3"/>
    <n v="0.03"/>
    <s v="Warrick County Commissioners"/>
    <s v="LRL-2024-163"/>
    <s v="2024-82-87-MMR-A"/>
    <m/>
    <s v="Warrick"/>
    <n v="38.118459999999999"/>
    <n v="-87.053604000000007"/>
    <s v="Transportation"/>
    <m/>
    <s v="No"/>
    <m/>
    <n v="720"/>
    <n v="3360"/>
    <n v="720"/>
    <s v="L"/>
    <s v="J"/>
    <m/>
    <m/>
    <m/>
    <m/>
    <m/>
    <m/>
    <s v="INDOT DES 1902795"/>
  </r>
  <r>
    <d v="2025-09-24T00:00:00"/>
    <s v="September"/>
    <n v="2025"/>
    <x v="2"/>
    <n v="-0.13"/>
    <x v="0"/>
    <n v="10400"/>
    <n v="631"/>
    <s v="State Isolated"/>
    <x v="4"/>
    <n v="0.05"/>
    <s v="Pulte Homes of Indiana, LLC"/>
    <s v="N/A"/>
    <s v="2025-500-29-LDC-SRGP"/>
    <m/>
    <s v="Hamilton"/>
    <n v="40.007294000000002"/>
    <n v="-86.215046999999998"/>
    <s v="Development"/>
    <m/>
    <s v="No"/>
    <m/>
    <n v="1560"/>
    <n v="7279.9999999999991"/>
    <n v="1560"/>
    <s v="L"/>
    <s v="SI"/>
    <s v="2 FO"/>
    <m/>
    <m/>
    <m/>
    <m/>
    <m/>
    <s v="Impacts are in Upper White SA, IDEM permit OK's credit purchase in Lower White SA"/>
  </r>
  <r>
    <d v="2025-10-07T00:00:00"/>
    <s v="October"/>
    <n v="2025"/>
    <x v="10"/>
    <n v="-782"/>
    <x v="1"/>
    <n v="312800"/>
    <n v="630"/>
    <s v="Federal"/>
    <x v="6"/>
    <n v="823.5"/>
    <s v="City of Columbus, Redevelopment Commission"/>
    <s v="LRL-2017-1020-MKD"/>
    <s v="2023-449-03-ERL-A"/>
    <m/>
    <s v="Bartholomew"/>
    <n v="39.191346000000003"/>
    <n v="-85.925865999999999"/>
    <s v="Development"/>
    <m/>
    <s v="No"/>
    <m/>
    <n v="46920"/>
    <n v="218960"/>
    <n v="46920"/>
    <s v="L"/>
    <s v="J"/>
    <m/>
    <m/>
    <m/>
    <m/>
    <m/>
    <m/>
    <s v="Columbus Riverfront Modification"/>
  </r>
  <r>
    <d v="2025-10-07T00:00:00"/>
    <s v="October"/>
    <n v="2025"/>
    <x v="0"/>
    <n v="-45.5"/>
    <x v="1"/>
    <n v="27300"/>
    <n v="635"/>
    <s v="Federal"/>
    <x v="2"/>
    <n v="45.5"/>
    <s v="INDOT"/>
    <s v="N/A"/>
    <s v="2024-593-45-GCW-NWP"/>
    <m/>
    <s v="Lake"/>
    <n v="41.471215999999998"/>
    <n v="-87.313139000000007"/>
    <s v="Transportation"/>
    <m/>
    <s v="No"/>
    <m/>
    <n v="4095"/>
    <n v="19110"/>
    <n v="4095"/>
    <s v="C"/>
    <s v="J"/>
    <m/>
    <m/>
    <m/>
    <m/>
    <m/>
    <m/>
    <s v="INDOT DES 2002298"/>
  </r>
  <r>
    <d v="2025-10-07T00:00:00"/>
    <s v="October"/>
    <n v="2025"/>
    <x v="4"/>
    <n v="-444"/>
    <x v="1"/>
    <n v="177600"/>
    <n v="638"/>
    <s v="Federal"/>
    <x v="6"/>
    <n v="1255"/>
    <s v="INDOT "/>
    <s v="LRL-2024-635-djd"/>
    <s v="2024-695-54-GCW-WQC"/>
    <m/>
    <s v="Montgomery"/>
    <n v="40.025210000000001"/>
    <n v="-86.976550000000003"/>
    <s v="Transportation"/>
    <m/>
    <s v="No"/>
    <m/>
    <n v="26640"/>
    <n v="124319.99999999999"/>
    <n v="26640"/>
    <s v="L"/>
    <s v="J"/>
    <m/>
    <m/>
    <m/>
    <m/>
    <m/>
    <m/>
    <s v="INDOT DES 1800075"/>
  </r>
  <r>
    <d v="2025-10-07T00:00:00"/>
    <s v="October"/>
    <n v="2025"/>
    <x v="10"/>
    <n v="-318"/>
    <x v="1"/>
    <n v="127200"/>
    <n v="639"/>
    <s v="Federal"/>
    <x v="6"/>
    <n v="285"/>
    <s v="INDOT"/>
    <s v="LRL-2024-00353-DDC"/>
    <s v="2024-379-3-GCW-X"/>
    <m/>
    <s v="Bartholomew"/>
    <n v="39.095064999999998"/>
    <n v="-86.028053"/>
    <s v="Transportation"/>
    <m/>
    <s v="No"/>
    <m/>
    <n v="19080"/>
    <n v="89040"/>
    <n v="19080"/>
    <s v="L"/>
    <s v="J"/>
    <m/>
    <m/>
    <m/>
    <m/>
    <m/>
    <m/>
    <s v="INDOT DES 2100568"/>
  </r>
  <r>
    <d v="2025-10-07T00:00:00"/>
    <s v="October"/>
    <n v="2025"/>
    <x v="9"/>
    <n v="-27"/>
    <x v="1"/>
    <n v="12150"/>
    <n v="640"/>
    <s v="Federal"/>
    <x v="2"/>
    <n v="27"/>
    <s v="INDOT"/>
    <s v="LRL-2024-838-djd"/>
    <s v="2024-942-6-GCW-NWP"/>
    <m/>
    <s v="Boone"/>
    <n v="39.930833"/>
    <n v="-86.287778000000003"/>
    <s v="Transportation"/>
    <m/>
    <s v="No"/>
    <m/>
    <n v="1822.5"/>
    <n v="8505"/>
    <n v="1822.5"/>
    <s v="L"/>
    <s v="J"/>
    <m/>
    <m/>
    <m/>
    <m/>
    <m/>
    <m/>
    <s v="INDOT DES 2002271"/>
  </r>
  <r>
    <d v="2025-10-07T00:00:00"/>
    <s v="October"/>
    <n v="2025"/>
    <x v="5"/>
    <n v="-26.4"/>
    <x v="1"/>
    <n v="10560"/>
    <n v="641"/>
    <s v="Federal"/>
    <x v="2"/>
    <n v="26.4"/>
    <s v="INDOT"/>
    <s v="N/A"/>
    <s v="2024-757-62-GCW-NWP"/>
    <m/>
    <s v="Perry"/>
    <n v="38.231470999999999"/>
    <n v="-86.659903999999997"/>
    <s v="Transportation"/>
    <m/>
    <s v="No"/>
    <m/>
    <n v="1584"/>
    <n v="7391.9999999999991"/>
    <n v="1584"/>
    <s v="L"/>
    <s v="J"/>
    <m/>
    <m/>
    <m/>
    <m/>
    <m/>
    <m/>
    <s v="INDOT DES 2001796"/>
  </r>
  <r>
    <d v="2025-10-07T00:00:00"/>
    <s v="October"/>
    <n v="2025"/>
    <x v="5"/>
    <n v="-3.1E-2"/>
    <x v="0"/>
    <n v="2480"/>
    <n v="641"/>
    <s v="Federal"/>
    <x v="3"/>
    <n v="3.1E-2"/>
    <s v="INDOT"/>
    <s v="N/A"/>
    <s v="2024-757-62-GCW-NWP"/>
    <m/>
    <s v="Perry"/>
    <n v="38.231470999999999"/>
    <n v="-86.659903999999997"/>
    <s v="Transportation"/>
    <m/>
    <s v="No"/>
    <m/>
    <n v="372"/>
    <n v="1736"/>
    <n v="372"/>
    <s v="L"/>
    <s v="J"/>
    <m/>
    <m/>
    <m/>
    <m/>
    <m/>
    <m/>
    <s v="INDOT DES 2001796"/>
  </r>
  <r>
    <d v="2025-10-07T00:00:00"/>
    <s v="October"/>
    <n v="2025"/>
    <x v="5"/>
    <n v="-8.9999999999999993E-3"/>
    <x v="0"/>
    <n v="720"/>
    <n v="641"/>
    <s v="Federal"/>
    <x v="5"/>
    <n v="8.9999999999999993E-3"/>
    <s v="INDOT"/>
    <s v="N/A"/>
    <s v="2024-757-62-GCW-NWP"/>
    <m/>
    <s v="Perry"/>
    <n v="38.231470999999999"/>
    <n v="-86.659903999999997"/>
    <s v="Transportation"/>
    <m/>
    <s v="No"/>
    <m/>
    <n v="108"/>
    <n v="503.99999999999994"/>
    <n v="108"/>
    <s v="L"/>
    <s v="J"/>
    <m/>
    <m/>
    <m/>
    <m/>
    <m/>
    <m/>
    <s v="INDOT DES 2001796"/>
  </r>
  <r>
    <d v="2025-10-15T00:00:00"/>
    <s v="October"/>
    <n v="2025"/>
    <x v="0"/>
    <n v="-5.5E-2"/>
    <x v="0"/>
    <n v="5225"/>
    <n v="632"/>
    <s v="Federal"/>
    <x v="5"/>
    <n v="1.52E-2"/>
    <s v="INDOT"/>
    <s v="LRC-2022-00492"/>
    <s v="2023-1025-64-GCW-A"/>
    <m/>
    <s v="Porter"/>
    <n v="41.470709999999997"/>
    <n v="-87.161940000000001"/>
    <s v="Transportation"/>
    <m/>
    <s v="No"/>
    <m/>
    <n v="783.75"/>
    <n v="3657.4999999999995"/>
    <n v="783.75"/>
    <s v="C"/>
    <s v="J"/>
    <m/>
    <m/>
    <m/>
    <m/>
    <m/>
    <m/>
    <s v="INDOT DES 1701335"/>
  </r>
  <r>
    <d v="2025-10-15T00:00:00"/>
    <s v="October"/>
    <n v="2025"/>
    <x v="0"/>
    <n v="-210"/>
    <x v="1"/>
    <n v="126000"/>
    <n v="632"/>
    <s v="Federal"/>
    <x v="6"/>
    <n v="228"/>
    <s v="INDOT"/>
    <s v="LRC-2022-00492"/>
    <s v="2023-1025-64-GCW-A"/>
    <m/>
    <s v="Porter"/>
    <n v="41.470709999999997"/>
    <n v="-87.161940000000001"/>
    <s v="Transportation"/>
    <m/>
    <s v="No"/>
    <m/>
    <n v="18900"/>
    <n v="88200"/>
    <n v="18900"/>
    <s v="C"/>
    <s v="J"/>
    <m/>
    <m/>
    <m/>
    <m/>
    <m/>
    <m/>
    <s v="INDOT DES 1701335"/>
  </r>
  <r>
    <d v="2025-10-15T00:00:00"/>
    <s v="October"/>
    <n v="2025"/>
    <x v="0"/>
    <n v="-0.41"/>
    <x v="0"/>
    <n v="38950"/>
    <n v="645"/>
    <s v="State Isolated"/>
    <x v="3"/>
    <n v="0.27"/>
    <s v="Lennar Corporation"/>
    <s v="N/A"/>
    <s v="2025-464-64-MTM-IWIP"/>
    <m/>
    <s v="Porter"/>
    <n v="41.540109999999999"/>
    <n v="-87.199489999999997"/>
    <s v="Development"/>
    <m/>
    <s v="No"/>
    <m/>
    <n v="5842.5"/>
    <n v="27265"/>
    <n v="5842.5"/>
    <s v="D"/>
    <s v="SI"/>
    <s v="2NF"/>
    <m/>
    <m/>
    <m/>
    <m/>
    <m/>
    <m/>
  </r>
  <r>
    <d v="2025-10-15T00:00:00"/>
    <s v="October"/>
    <n v="2025"/>
    <x v="8"/>
    <n v="-96.36"/>
    <x v="1"/>
    <n v="38544"/>
    <n v="642"/>
    <s v="Federal"/>
    <x v="6"/>
    <n v="1026.3"/>
    <s v="INDOT"/>
    <s v="LRL-2024-00430-102-N24"/>
    <s v="2024-672-2-TLG-WQC"/>
    <m/>
    <s v="Allen"/>
    <n v="41.074548"/>
    <n v="-85.231093999999999"/>
    <s v="Transportation"/>
    <m/>
    <s v="No"/>
    <m/>
    <n v="5781.5999999999995"/>
    <n v="26980.799999999999"/>
    <n v="5781.5999999999995"/>
    <s v="L"/>
    <s v="J"/>
    <m/>
    <m/>
    <m/>
    <m/>
    <m/>
    <m/>
    <s v="INDOT DES 2100758"/>
  </r>
  <r>
    <d v="2025-10-15T00:00:00"/>
    <s v="October"/>
    <n v="2025"/>
    <x v="8"/>
    <n v="-1.32"/>
    <x v="0"/>
    <n v="105600"/>
    <n v="649"/>
    <s v="State Isolated"/>
    <x v="4"/>
    <n v="0.66"/>
    <s v="Fort Wayne International Airport"/>
    <s v="N/A"/>
    <s v="2025-552-2-EJW-IWIP"/>
    <m/>
    <s v="Allen"/>
    <n v="40.980449999999998"/>
    <n v="-85.201390000000004"/>
    <s v="Development"/>
    <m/>
    <s v="No"/>
    <m/>
    <n v="15840"/>
    <n v="73920"/>
    <n v="15840"/>
    <s v="D"/>
    <s v="SI"/>
    <s v="2 FO"/>
    <m/>
    <m/>
    <m/>
    <m/>
    <m/>
    <m/>
  </r>
  <r>
    <d v="2025-10-15T00:00:00"/>
    <s v="October"/>
    <n v="2025"/>
    <x v="8"/>
    <n v="-0.05"/>
    <x v="0"/>
    <n v="4000"/>
    <n v="649"/>
    <s v="State Isolated"/>
    <x v="3"/>
    <n v="0.03"/>
    <s v="Fort Wayne International Airport"/>
    <s v="N/A"/>
    <s v="2025-552-2-EJW-IWIP"/>
    <m/>
    <s v="Allen"/>
    <n v="40.980449999999998"/>
    <n v="-85.201390000000004"/>
    <s v="Development"/>
    <m/>
    <s v="No"/>
    <m/>
    <n v="600"/>
    <n v="2800"/>
    <n v="600"/>
    <s v="D"/>
    <s v="SI"/>
    <s v="2 NF"/>
    <m/>
    <m/>
    <m/>
    <m/>
    <m/>
    <m/>
  </r>
  <r>
    <d v="2025-10-21T00:00:00"/>
    <s v="October"/>
    <n v="2025"/>
    <x v="2"/>
    <n v="-0.45"/>
    <x v="0"/>
    <n v="36000"/>
    <n v="643"/>
    <s v="Federal"/>
    <x v="3"/>
    <n v="0.188"/>
    <s v="INDOT"/>
    <s v="LRL-2022-225-scm"/>
    <s v="2022-194-47-JBT-X"/>
    <m/>
    <s v="Lawrence"/>
    <n v="38.716428000000001"/>
    <n v="-86.553398000000001"/>
    <s v="Transportation"/>
    <m/>
    <s v="No"/>
    <m/>
    <n v="5400"/>
    <n v="25200"/>
    <n v="5400"/>
    <s v="L"/>
    <s v="J"/>
    <m/>
    <m/>
    <m/>
    <m/>
    <m/>
    <m/>
    <s v="INDOT DES 1800124"/>
  </r>
  <r>
    <d v="2025-10-21T00:00:00"/>
    <s v="October"/>
    <n v="2025"/>
    <x v="5"/>
    <n v="-0.11"/>
    <x v="0"/>
    <n v="8800"/>
    <n v="644"/>
    <s v="Federal"/>
    <x v="3"/>
    <n v="5.3999999999999999E-2"/>
    <s v="INDOT"/>
    <s v="LRL-2025-434"/>
    <s v="2025-511-74-GCW-WQC"/>
    <m/>
    <s v="Spencer"/>
    <n v="37.902059000000001"/>
    <n v="-87.150698000000006"/>
    <s v="Transportation"/>
    <m/>
    <s v="No"/>
    <m/>
    <n v="1320"/>
    <n v="6160"/>
    <n v="1320"/>
    <s v="L"/>
    <s v="J"/>
    <m/>
    <m/>
    <m/>
    <m/>
    <m/>
    <m/>
    <s v="INDOT DES 2100831"/>
  </r>
  <r>
    <d v="2025-10-21T00:00:00"/>
    <s v="October"/>
    <n v="2025"/>
    <x v="2"/>
    <n v="-82"/>
    <x v="1"/>
    <n v="32800"/>
    <n v="646"/>
    <s v="Federal"/>
    <x v="6"/>
    <n v="82"/>
    <s v="INDOT"/>
    <s v="LRL-2024-00740-DDC"/>
    <s v="2024-828-42-GCW-WQC"/>
    <m/>
    <s v="Knox"/>
    <n v="38.511229999999998"/>
    <n v="-87.288409999999999"/>
    <s v="Transportation"/>
    <m/>
    <s v="No"/>
    <m/>
    <n v="4920"/>
    <n v="22960"/>
    <n v="4920"/>
    <s v="L"/>
    <s v="J"/>
    <m/>
    <m/>
    <m/>
    <m/>
    <m/>
    <m/>
    <s v="INDOT DES No 2002050"/>
  </r>
  <r>
    <d v="2025-10-21T00:00:00"/>
    <s v="October"/>
    <n v="2025"/>
    <x v="2"/>
    <n v="-0.57999999999999996"/>
    <x v="0"/>
    <n v="46400"/>
    <n v="646"/>
    <s v="Federal"/>
    <x v="3"/>
    <n v="0.24"/>
    <s v="INDOT"/>
    <s v="LRL-2024-00740-DDC"/>
    <s v="2024-828-42-GCW-WQC"/>
    <m/>
    <s v="Knox"/>
    <n v="38.511229999999998"/>
    <n v="-87.288409999999999"/>
    <s v="Transportation"/>
    <m/>
    <s v="No"/>
    <m/>
    <n v="6960"/>
    <n v="32479.999999999996"/>
    <n v="6960"/>
    <s v="L"/>
    <s v="J"/>
    <m/>
    <m/>
    <m/>
    <m/>
    <m/>
    <m/>
    <s v="INDOT DES No 2002050"/>
  </r>
  <r>
    <d v="2025-10-27T00:00:00"/>
    <s v="October"/>
    <n v="2025"/>
    <x v="3"/>
    <n v="-1.58"/>
    <x v="0"/>
    <n v="126400"/>
    <n v="658"/>
    <s v="State Isolated"/>
    <x v="4"/>
    <n v="0.79"/>
    <s v="Hatchworks, LLC"/>
    <s v="N/A"/>
    <s v="2025-556-2-EJW-IWIP"/>
    <m/>
    <s v="Allen"/>
    <n v="41.038739999999997"/>
    <n v="-85.050330000000002"/>
    <s v="Development"/>
    <m/>
    <s v="No"/>
    <m/>
    <n v="18960"/>
    <n v="88480"/>
    <n v="18960"/>
    <s v="D"/>
    <s v="SI"/>
    <s v="2 FO"/>
    <m/>
    <m/>
    <m/>
    <m/>
    <m/>
    <s v="Project Zodiac"/>
  </r>
  <r>
    <d v="2025-11-04T00:00:00"/>
    <s v="November"/>
    <n v="2025"/>
    <x v="6"/>
    <n v="-0.33600000000000002"/>
    <x v="0"/>
    <n v="40320"/>
    <n v="651"/>
    <s v="Federal"/>
    <x v="3"/>
    <n v="0.13900000000000001"/>
    <s v="Elkhart County Commissioners"/>
    <s v="LRE-2013-00774-120-N25"/>
    <s v="2025-563-20-EJW-NWP"/>
    <m/>
    <s v="Elkhart"/>
    <n v="41.531666999999999"/>
    <n v="-85.885969000000003"/>
    <s v="Transportation"/>
    <m/>
    <s v="No"/>
    <m/>
    <n v="6048"/>
    <n v="28224"/>
    <n v="6048"/>
    <s v="D"/>
    <s v="J"/>
    <m/>
    <m/>
    <m/>
    <m/>
    <m/>
    <m/>
    <m/>
  </r>
  <r>
    <d v="2025-11-04T00:00:00"/>
    <s v="November"/>
    <n v="2025"/>
    <x v="6"/>
    <n v="-59"/>
    <x v="1"/>
    <n v="35400"/>
    <n v="651"/>
    <s v="Federal"/>
    <x v="6"/>
    <n v="59"/>
    <s v="Elkhart County Commissioners"/>
    <s v="LRE-2013-00774-120-N25"/>
    <s v="2025-563-20-EJW-NWP"/>
    <m/>
    <s v="Elkhart"/>
    <n v="41.531666999999999"/>
    <n v="-85.885969000000003"/>
    <s v="Transportation"/>
    <m/>
    <s v="No"/>
    <m/>
    <n v="5310"/>
    <n v="24780"/>
    <n v="5310"/>
    <s v="D"/>
    <s v="J"/>
    <m/>
    <m/>
    <m/>
    <m/>
    <m/>
    <m/>
    <m/>
  </r>
  <r>
    <d v="2025-11-18T00:00:00"/>
    <s v="November"/>
    <n v="2025"/>
    <x v="8"/>
    <n v="-3.07"/>
    <x v="0"/>
    <n v="245600"/>
    <n v="594"/>
    <s v="Federal"/>
    <x v="3"/>
    <n v="2.56"/>
    <s v="INDOT"/>
    <s v="LRL-2008-567"/>
    <s v="2010-023-34-JPS-A"/>
    <m/>
    <s v="Carrol"/>
    <n v="40.484130999999998"/>
    <n v="-86.509308000000004"/>
    <s v="Transportation"/>
    <m/>
    <s v="No"/>
    <m/>
    <n v="36840"/>
    <n v="171920"/>
    <n v="36840"/>
    <s v="L"/>
    <s v="J"/>
    <m/>
    <m/>
    <m/>
    <m/>
    <m/>
    <m/>
    <m/>
  </r>
  <r>
    <d v="2025-12-17T00:00:00"/>
    <s v="December"/>
    <n v="2025"/>
    <x v="3"/>
    <n v="-0.70799999999999996"/>
    <x v="0"/>
    <n v="56640"/>
    <n v="650"/>
    <s v="Federal"/>
    <x v="4"/>
    <n v="0.23599999999999999"/>
    <s v="AEP Indiana Michigan Transmission Company, Inc."/>
    <s v="N/A"/>
    <s v="2025-571-17-EJW-WQC"/>
    <m/>
    <s v="DeKalb"/>
    <n v="41.423319999999997"/>
    <n v="-84.884960000000007"/>
    <s v="Development"/>
    <m/>
    <s v="No"/>
    <m/>
    <n v="8496"/>
    <n v="39648"/>
    <n v="8496"/>
    <s v="D"/>
    <s v="J"/>
    <m/>
    <m/>
    <m/>
    <m/>
    <m/>
    <m/>
    <m/>
  </r>
  <r>
    <d v="2025-12-17T00:00:00"/>
    <s v="December"/>
    <n v="2025"/>
    <x v="3"/>
    <n v="-2E-3"/>
    <x v="0"/>
    <n v="160"/>
    <n v="650"/>
    <s v="Federal"/>
    <x v="3"/>
    <n v="0.38500000000000001"/>
    <s v="AEP Indiana Michigan Transmission Company, Inc."/>
    <s v="N/A"/>
    <s v="2025-571-17-EJW-WQC"/>
    <m/>
    <s v="DeKalb"/>
    <n v="41.423319999999997"/>
    <n v="-84.884960000000007"/>
    <s v="Development"/>
    <m/>
    <s v="No"/>
    <m/>
    <n v="24"/>
    <n v="112"/>
    <n v="24"/>
    <s v="D"/>
    <s v="J"/>
    <m/>
    <m/>
    <m/>
    <m/>
    <m/>
    <m/>
    <m/>
  </r>
  <r>
    <d v="2025-12-29T00:00:00"/>
    <s v="December"/>
    <n v="2025"/>
    <x v="8"/>
    <n v="-513"/>
    <x v="1"/>
    <n v="205200"/>
    <n v="657"/>
    <s v="Federal"/>
    <x v="2"/>
    <n v="427"/>
    <s v="Waste Management of Indiana"/>
    <s v="LRL-2004-1183-sam"/>
    <s v="2006-89-09-EME-A"/>
    <m/>
    <s v="Cass"/>
    <n v="40.722000000000001"/>
    <n v="-86.336699999999993"/>
    <s v="Development"/>
    <m/>
    <s v="No"/>
    <m/>
    <n v="30780"/>
    <n v="143640"/>
    <n v="30780"/>
    <s v="L"/>
    <s v="J"/>
    <m/>
    <m/>
    <m/>
    <m/>
    <m/>
    <m/>
    <m/>
  </r>
  <r>
    <d v="2025-12-29T00:00:00"/>
    <s v="December"/>
    <n v="2025"/>
    <x v="4"/>
    <n v="-11"/>
    <x v="1"/>
    <n v="4400"/>
    <n v="655"/>
    <s v="Federal"/>
    <x v="1"/>
    <n v="152"/>
    <s v="INDOT"/>
    <s v="LRL-2025-310"/>
    <s v="2025-333-83-GCW-WQC"/>
    <m/>
    <s v="Vermillion"/>
    <n v="39.786949999999997"/>
    <n v="-87.408309599999995"/>
    <s v="Transportation"/>
    <m/>
    <s v="No"/>
    <m/>
    <n v="660"/>
    <n v="3080"/>
    <n v="660"/>
    <s v="L"/>
    <s v="J"/>
    <m/>
    <m/>
    <m/>
    <m/>
    <m/>
    <m/>
    <s v="INDOT DES 2001776"/>
  </r>
  <r>
    <d v="2025-12-29T00:00:00"/>
    <s v="December"/>
    <n v="2025"/>
    <x v="4"/>
    <n v="-62"/>
    <x v="1"/>
    <n v="24800"/>
    <n v="655"/>
    <s v="Federal"/>
    <x v="2"/>
    <n v="762"/>
    <s v="INDOT"/>
    <s v="LRL-2025-310"/>
    <s v="2025-333-83-GCW-WQC"/>
    <m/>
    <s v="Vermillion"/>
    <n v="39.786949999999997"/>
    <n v="-87.408309599999995"/>
    <s v="Transportation"/>
    <m/>
    <s v="No"/>
    <m/>
    <n v="3720"/>
    <n v="17360"/>
    <n v="3720"/>
    <s v="L"/>
    <s v="J"/>
    <m/>
    <m/>
    <m/>
    <m/>
    <m/>
    <m/>
    <s v="INDOT DES 2001776"/>
  </r>
  <r>
    <d v="2025-12-29T00:00:00"/>
    <s v="December"/>
    <n v="2025"/>
    <x v="4"/>
    <n v="-2.5000000000000001E-2"/>
    <x v="0"/>
    <n v="2000"/>
    <n v="655"/>
    <s v="Federal"/>
    <x v="3"/>
    <n v="1.2500000000000001E-2"/>
    <s v="INDOT"/>
    <s v="LRL-2025-310"/>
    <s v="2025-333-83-GCW-WQC"/>
    <m/>
    <s v="Vermillion"/>
    <n v="39.786949999999997"/>
    <n v="-87.408309599999995"/>
    <s v="Transportation"/>
    <m/>
    <s v="No"/>
    <m/>
    <n v="300"/>
    <n v="1400"/>
    <n v="300"/>
    <s v="L"/>
    <s v="J"/>
    <m/>
    <m/>
    <m/>
    <m/>
    <m/>
    <m/>
    <s v="INDOT DES 2001776"/>
  </r>
  <r>
    <d v="2025-12-29T00:00:00"/>
    <s v="December"/>
    <n v="2025"/>
    <x v="6"/>
    <n v="-28"/>
    <x v="1"/>
    <n v="16800"/>
    <n v="654"/>
    <s v="Federal"/>
    <x v="2"/>
    <n v="28"/>
    <s v="INDOT"/>
    <s v="LRE-2025-00547-176-N25"/>
    <s v="2025-871-76-GCW-NWP"/>
    <m/>
    <s v="Steuben"/>
    <n v="41.638494549999997"/>
    <n v="-85.047915000000003"/>
    <s v="Transportation"/>
    <m/>
    <s v="No"/>
    <m/>
    <n v="2520"/>
    <n v="11760"/>
    <n v="2520"/>
    <s v="L"/>
    <s v="J"/>
    <m/>
    <m/>
    <m/>
    <m/>
    <m/>
    <m/>
    <m/>
  </r>
  <r>
    <d v="2025-12-31T00:00:00"/>
    <s v="December"/>
    <n v="2025"/>
    <x v="7"/>
    <n v="-288"/>
    <x v="1"/>
    <n v="115200"/>
    <n v="659"/>
    <s v="Federal"/>
    <x v="2"/>
    <n v="288"/>
    <s v="Clark Floyd Landfill, LLC"/>
    <s v="LRL-2013-00374"/>
    <s v="2021-189-10-TMS-A"/>
    <m/>
    <s v="Clark"/>
    <n v="38.457000000000001"/>
    <n v="-85.847740000000002"/>
    <s v="Development"/>
    <m/>
    <s v="No"/>
    <m/>
    <n v="17280"/>
    <n v="80640"/>
    <n v="17280"/>
    <s v="L"/>
    <s v="J"/>
    <m/>
    <m/>
    <m/>
    <m/>
    <m/>
    <m/>
    <s v="Payment 5 of 7"/>
  </r>
  <r>
    <d v="2025-12-31T00:00:00"/>
    <s v="December"/>
    <n v="2025"/>
    <x v="7"/>
    <n v="-1.3"/>
    <x v="0"/>
    <n v="104000"/>
    <n v="659"/>
    <s v="Federal"/>
    <x v="4"/>
    <n v="1.3"/>
    <s v="Clark Floyd Landfill, LLC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s v="J"/>
    <m/>
    <m/>
    <m/>
    <m/>
    <m/>
    <m/>
    <s v="Payment 5 of 7"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n v="0"/>
    <n v="0"/>
    <n v="0"/>
    <m/>
    <m/>
    <m/>
    <m/>
    <m/>
    <m/>
    <m/>
    <m/>
    <m/>
  </r>
  <r>
    <m/>
    <m/>
    <m/>
    <x v="11"/>
    <m/>
    <x v="2"/>
    <m/>
    <m/>
    <m/>
    <x v="0"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91">
  <r>
    <d v="2018-05-03T00:00:00"/>
    <s v="May"/>
    <x v="0"/>
    <x v="0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0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1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1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2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2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3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3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4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4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5"/>
    <n v="115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5"/>
    <n v="50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6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6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7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7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8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8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9"/>
    <n v="12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9"/>
    <n v="60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9"/>
    <n v="42"/>
    <x v="0"/>
    <m/>
    <m/>
    <m/>
    <m/>
    <m/>
    <m/>
    <m/>
    <m/>
    <m/>
    <m/>
    <m/>
    <m/>
    <m/>
    <m/>
    <m/>
    <m/>
    <n v="0"/>
    <n v="0"/>
    <n v="0"/>
    <m/>
    <m/>
    <m/>
    <m/>
    <m/>
    <m/>
    <m/>
    <m/>
    <s v="Additional Credit Release approved in 8/8/22 Corps letter"/>
  </r>
  <r>
    <d v="2018-05-03T00:00:00"/>
    <s v="May"/>
    <x v="0"/>
    <x v="9"/>
    <n v="21000"/>
    <x v="1"/>
    <m/>
    <m/>
    <m/>
    <m/>
    <m/>
    <m/>
    <m/>
    <m/>
    <m/>
    <m/>
    <m/>
    <m/>
    <m/>
    <m/>
    <m/>
    <m/>
    <n v="0"/>
    <n v="0"/>
    <n v="0"/>
    <m/>
    <m/>
    <m/>
    <m/>
    <m/>
    <m/>
    <m/>
    <m/>
    <s v="Additional Credit Release approved in 8/8/22 Corps letter"/>
  </r>
  <r>
    <d v="2018-05-03T00:00:00"/>
    <s v="May"/>
    <x v="0"/>
    <x v="10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5-03T00:00:00"/>
    <s v="May"/>
    <x v="0"/>
    <x v="10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d v="2018-09-24T00:00:00"/>
    <s v="September"/>
    <x v="0"/>
    <x v="7"/>
    <n v="-11"/>
    <x v="1"/>
    <n v="4400"/>
    <n v="2"/>
    <s v="Federal"/>
    <s v="Eph"/>
    <n v="11"/>
    <s v="Vectren Corp. (now Center Point Energy)"/>
    <s v="LRL-2017-570"/>
    <s v="2018-065-10-ALF-A"/>
    <m/>
    <s v="Clark"/>
    <n v="38.380290000000002"/>
    <n v="-85.744731000000002"/>
    <s v="Energy Production"/>
    <m/>
    <s v="No"/>
    <m/>
    <n v="660"/>
    <n v="3080"/>
    <n v="660"/>
    <m/>
    <m/>
    <m/>
    <m/>
    <m/>
    <m/>
    <m/>
    <m/>
    <s v="*Note:  IDEM required 4LF more than USACE"/>
  </r>
  <r>
    <d v="2018-09-24T00:00:00"/>
    <s v="September"/>
    <x v="0"/>
    <x v="7"/>
    <n v="-398"/>
    <x v="1"/>
    <n v="159200"/>
    <n v="2"/>
    <s v="Federal"/>
    <s v="Int"/>
    <n v="332"/>
    <s v="Vectren Corp. (now Center Point Energy)"/>
    <s v="LRL-2017-570"/>
    <s v="2018-065-10-ALF-A"/>
    <m/>
    <s v="Clark"/>
    <n v="38.380290000000002"/>
    <n v="-85.744731000000002"/>
    <s v="Energy Production"/>
    <m/>
    <s v="No"/>
    <m/>
    <n v="23880"/>
    <n v="111440"/>
    <n v="23880"/>
    <m/>
    <m/>
    <m/>
    <m/>
    <m/>
    <m/>
    <m/>
    <m/>
    <m/>
  </r>
  <r>
    <d v="2018-09-24T00:00:00"/>
    <s v="September"/>
    <x v="0"/>
    <x v="7"/>
    <n v="-1.8"/>
    <x v="0"/>
    <n v="144000"/>
    <n v="2"/>
    <s v="Federal"/>
    <s v="PEM"/>
    <n v="0.74"/>
    <s v="Vectren Corp. (now Center Point Energy)"/>
    <s v="LRL-2017-570"/>
    <s v="2018-065-10-ALF-A"/>
    <m/>
    <s v="Clark"/>
    <n v="38.380290000000002"/>
    <n v="-85.744731000000002"/>
    <s v="Energy"/>
    <s v="LRL-2014-100-sam/Fourteeen Mile Creek Mitigation Bank"/>
    <s v="Yes"/>
    <d v="2024-01-22T00:00:00"/>
    <n v="21600"/>
    <n v="100800"/>
    <n v="21600"/>
    <m/>
    <m/>
    <m/>
    <m/>
    <s v="Fourteen Mile Creek Mitigation Bank"/>
    <m/>
    <m/>
    <m/>
    <s v="Credit fulfilled, purchased from Fourteen Mile Creek Mitigation Bank.  "/>
  </r>
  <r>
    <d v="2018-09-24T00:00:00"/>
    <s v="September"/>
    <x v="0"/>
    <x v="7"/>
    <n v="-0.2"/>
    <x v="0"/>
    <n v="16000"/>
    <n v="2"/>
    <s v="Federal"/>
    <s v="PFO"/>
    <n v="0.05"/>
    <s v="Vectren Corp. (now Center Point Energy)"/>
    <s v="LRL-2017-570"/>
    <s v="2018-065-10-ALF-A"/>
    <m/>
    <s v="Clark"/>
    <n v="38.380290000000002"/>
    <n v="-85.744731000000002"/>
    <s v="Energy"/>
    <s v="LRL-2014-100-sam/Fourteeen Mile Creek Mitigation Bank"/>
    <s v="Yes"/>
    <d v="2024-01-22T00:00:00"/>
    <n v="2400"/>
    <n v="11200"/>
    <n v="2400"/>
    <m/>
    <m/>
    <m/>
    <m/>
    <s v="Fourteen Mile Creek Mitigation Bank"/>
    <m/>
    <m/>
    <m/>
    <s v="Credit fulfilled, purchased from Fourteen Mile Creek Mitigation Bank.  "/>
  </r>
  <r>
    <d v="2018-09-26T00:00:00"/>
    <s v="September"/>
    <x v="0"/>
    <x v="5"/>
    <n v="-4.2"/>
    <x v="0"/>
    <n v="336000"/>
    <n v="1"/>
    <s v="Federal"/>
    <s v="PFO"/>
    <n v="0.88"/>
    <s v="Evansville Water and Sewer Utility"/>
    <s v="LRL-2018-390"/>
    <s v="2018-264-82-ADF-A"/>
    <m/>
    <s v="Vanderburgh"/>
    <n v="37.956099999999999"/>
    <n v="-87.5702"/>
    <s v="Development"/>
    <m/>
    <s v="No"/>
    <m/>
    <n v="50400"/>
    <n v="235199.99999999997"/>
    <n v="50400"/>
    <m/>
    <m/>
    <m/>
    <m/>
    <m/>
    <m/>
    <m/>
    <m/>
    <m/>
  </r>
  <r>
    <d v="2018-10-04T00:00:00"/>
    <s v="October"/>
    <x v="0"/>
    <x v="10"/>
    <n v="-3.05"/>
    <x v="0"/>
    <n v="244000"/>
    <n v="3"/>
    <s v="State Isolated"/>
    <s v="PEM"/>
    <n v="2.028"/>
    <s v="GLA Properties II, LLC"/>
    <s v="N/A"/>
    <s v="IWGP 2018-586-41-TMS-A"/>
    <m/>
    <s v="Johnson"/>
    <n v="39.597969999999997"/>
    <n v="-86.059100000000001"/>
    <s v="Development"/>
    <m/>
    <s v="No"/>
    <m/>
    <n v="36600"/>
    <n v="170800"/>
    <n v="36600"/>
    <m/>
    <m/>
    <m/>
    <m/>
    <m/>
    <m/>
    <m/>
    <m/>
    <s v="Class 1 Isolated Wetland Non-Forested"/>
  </r>
  <r>
    <d v="2018-10-11T00:00:00"/>
    <s v="October"/>
    <x v="0"/>
    <x v="8"/>
    <n v="-4.2999999999999997E-2"/>
    <x v="0"/>
    <n v="3440"/>
    <n v="6"/>
    <s v="Federal"/>
    <s v="PEM"/>
    <n v="2E-3"/>
    <s v="AEP"/>
    <s v="LRL-2018-415-sjk"/>
    <s v="2018-414-35-HAP-A"/>
    <m/>
    <s v="Huntington, Grant"/>
    <n v="40.523240000000001"/>
    <n v="-85.587199999999996"/>
    <s v="Transportation"/>
    <m/>
    <s v="No"/>
    <m/>
    <n v="516"/>
    <n v="2408"/>
    <n v="516"/>
    <m/>
    <m/>
    <m/>
    <m/>
    <m/>
    <m/>
    <m/>
    <m/>
    <s v="Coordinates are midpoint of linear project"/>
  </r>
  <r>
    <d v="2018-10-11T00:00:00"/>
    <s v="October"/>
    <x v="0"/>
    <x v="8"/>
    <n v="-0.38700000000000001"/>
    <x v="0"/>
    <n v="30960"/>
    <n v="6"/>
    <s v="Federal"/>
    <s v="PFO"/>
    <n v="0.129"/>
    <s v="AEP"/>
    <s v="LRL-2018-415-sjk"/>
    <s v="2018-414-35-HAP-A"/>
    <m/>
    <s v="Huntington, Grant"/>
    <n v="40.523240000000001"/>
    <n v="-85.587199999999996"/>
    <s v="Transportation"/>
    <m/>
    <s v="No"/>
    <m/>
    <n v="4644"/>
    <n v="21672"/>
    <n v="4644"/>
    <m/>
    <m/>
    <m/>
    <m/>
    <m/>
    <m/>
    <m/>
    <m/>
    <s v="Coordinates are midpoint of linear project"/>
  </r>
  <r>
    <d v="2018-10-15T00:00:00"/>
    <s v="October"/>
    <x v="0"/>
    <x v="10"/>
    <n v="-0.8"/>
    <x v="0"/>
    <n v="64000"/>
    <n v="8"/>
    <s v="Federal"/>
    <s v="PEM"/>
    <n v="0.32"/>
    <s v="POET Design and Construction"/>
    <s v="LRL-2018-310-scm"/>
    <s v="2018-397-73-ALF-A"/>
    <m/>
    <s v="Shelby"/>
    <n v="39.568686"/>
    <n v="-85.821329000000006"/>
    <s v="Energy Production"/>
    <m/>
    <s v="No"/>
    <m/>
    <n v="9600"/>
    <n v="44800"/>
    <n v="9600"/>
    <m/>
    <m/>
    <m/>
    <m/>
    <m/>
    <m/>
    <m/>
    <m/>
    <m/>
  </r>
  <r>
    <d v="2018-10-17T00:00:00"/>
    <s v="October"/>
    <x v="0"/>
    <x v="6"/>
    <n v="-0.187"/>
    <x v="0"/>
    <n v="22440"/>
    <n v="9"/>
    <s v="Federal"/>
    <s v="PEM"/>
    <n v="3.0000000000000001E-3"/>
    <s v="AEP"/>
    <s v="LRE-2017-01163-157"/>
    <s v="2017-415-57-HAP-A"/>
    <m/>
    <s v="Noble"/>
    <n v="41.381950000000003"/>
    <n v="-85.438940000000002"/>
    <s v="Transportation"/>
    <m/>
    <s v="No"/>
    <m/>
    <n v="3366"/>
    <n v="15707.999999999998"/>
    <n v="3366"/>
    <m/>
    <m/>
    <m/>
    <m/>
    <m/>
    <m/>
    <m/>
    <m/>
    <s v="Coordinates are midpoint of linear project"/>
  </r>
  <r>
    <d v="2018-10-17T00:00:00"/>
    <s v="October"/>
    <x v="0"/>
    <x v="6"/>
    <n v="-1.353"/>
    <x v="0"/>
    <n v="162360"/>
    <n v="9"/>
    <s v="Federal"/>
    <s v="PFO"/>
    <n v="0.45100000000000001"/>
    <s v="AEP"/>
    <s v="LRE-2017-01163-157"/>
    <s v="2017-415-57-HAP-A"/>
    <m/>
    <s v="Noble"/>
    <n v="41.381950000000003"/>
    <n v="-85.438940000000002"/>
    <s v="Transportation"/>
    <m/>
    <s v="No"/>
    <m/>
    <n v="24354"/>
    <n v="113652"/>
    <n v="24354"/>
    <m/>
    <m/>
    <m/>
    <m/>
    <m/>
    <m/>
    <m/>
    <m/>
    <s v="Coordinates are midpoint of linear project"/>
  </r>
  <r>
    <d v="2018-10-22T00:00:00"/>
    <s v="October"/>
    <x v="0"/>
    <x v="9"/>
    <n v="-348"/>
    <x v="1"/>
    <n v="156600"/>
    <n v="5"/>
    <s v="Federal"/>
    <s v="Eph"/>
    <n v="290"/>
    <s v="Town of Whitestown"/>
    <s v="LRL-2017-299-sjk"/>
    <s v="2017-244-06-JMK-A"/>
    <m/>
    <s v="Boone"/>
    <n v="39.946444"/>
    <n v="-86.358879999999999"/>
    <s v="Transportation"/>
    <s v="Mod 1 - LRL-2020-989-sam"/>
    <s v="Yes"/>
    <d v="2023-07-10T00:00:00"/>
    <n v="23490"/>
    <n v="109620"/>
    <n v="23490"/>
    <m/>
    <m/>
    <m/>
    <m/>
    <s v="HC Farms"/>
    <m/>
    <m/>
    <m/>
    <s v="Credits fulfilled and released - HC Farms First Release."/>
  </r>
  <r>
    <d v="2018-10-22T00:00:00"/>
    <s v="October"/>
    <x v="0"/>
    <x v="9"/>
    <n v="-252"/>
    <x v="1"/>
    <n v="113400"/>
    <n v="5"/>
    <s v="Federal"/>
    <s v="Int"/>
    <n v="210"/>
    <s v="Town of Whitestown"/>
    <s v="LRL-2017-299-sjk"/>
    <s v="2017-244-06-JMK-A"/>
    <m/>
    <s v="Boone"/>
    <n v="39.946444"/>
    <n v="-86.358879999999999"/>
    <s v="Transportation"/>
    <s v="Mod 1 - LRL-2020-989-sam"/>
    <s v="Yes"/>
    <d v="2023-07-10T00:00:00"/>
    <n v="17010"/>
    <n v="79380"/>
    <n v="17010"/>
    <m/>
    <m/>
    <m/>
    <m/>
    <s v="HC Farms"/>
    <m/>
    <m/>
    <m/>
    <s v="Credits fulfilled and released - HC Farms First Release."/>
  </r>
  <r>
    <d v="2018-11-02T00:00:00"/>
    <s v="November"/>
    <x v="0"/>
    <x v="10"/>
    <n v="-2.004"/>
    <x v="0"/>
    <n v="160320"/>
    <n v="11"/>
    <s v="Federal"/>
    <s v="PEM"/>
    <n v="0.83499999999999996"/>
    <s v="Arbor Investments, LLC"/>
    <s v="LRL-2017-1149-MKD"/>
    <s v="2018-498-03-TMS-A"/>
    <m/>
    <s v="Bartholomew"/>
    <n v="39.237496"/>
    <n v="-85.94932"/>
    <s v="Development"/>
    <m/>
    <s v="No"/>
    <m/>
    <n v="24048"/>
    <n v="112224"/>
    <n v="24048"/>
    <m/>
    <m/>
    <m/>
    <m/>
    <m/>
    <m/>
    <m/>
    <m/>
    <m/>
  </r>
  <r>
    <d v="2018-11-02T00:00:00"/>
    <s v="November"/>
    <x v="0"/>
    <x v="10"/>
    <n v="-0.318"/>
    <x v="0"/>
    <n v="25440"/>
    <n v="11"/>
    <s v="Federal"/>
    <s v="PSS"/>
    <n v="0.106"/>
    <s v="Arbor Investments, LLC"/>
    <s v="LRL-2017-1149-MKD"/>
    <s v="2018-498-03-TMS-A"/>
    <m/>
    <s v="Bartholomew"/>
    <n v="39.237496"/>
    <n v="-85.94932"/>
    <s v="Development"/>
    <m/>
    <s v="No"/>
    <m/>
    <n v="3816"/>
    <n v="17808"/>
    <n v="3816"/>
    <m/>
    <m/>
    <m/>
    <m/>
    <m/>
    <m/>
    <m/>
    <m/>
    <m/>
  </r>
  <r>
    <d v="2018-11-05T00:00:00"/>
    <s v="November"/>
    <x v="0"/>
    <x v="9"/>
    <n v="-0.3"/>
    <x v="0"/>
    <n v="24000"/>
    <n v="13"/>
    <s v="State Isolated"/>
    <s v="PFO"/>
    <n v="0.15"/>
    <s v="Park 70 Partners, LP"/>
    <s v="N/A"/>
    <s v="IWIP 2011-191-30-AMM-A"/>
    <m/>
    <s v="Hancock"/>
    <n v="39.831159999999997"/>
    <n v="-85.911339999999996"/>
    <s v="Development"/>
    <s v="Mod 1 - LRL-2020-989-sam"/>
    <s v="Yes"/>
    <d v="2023-07-10T00:00:00"/>
    <n v="3600"/>
    <n v="16800"/>
    <n v="3600"/>
    <m/>
    <m/>
    <m/>
    <m/>
    <s v="HC Farms"/>
    <m/>
    <m/>
    <m/>
    <s v="Credits fulfilled and released - HC Farms First Release.  Class II Isolated Wetland Forested "/>
  </r>
  <r>
    <d v="2018-11-16T00:00:00"/>
    <s v="November"/>
    <x v="0"/>
    <x v="7"/>
    <n v="-0.5"/>
    <x v="0"/>
    <n v="40000"/>
    <n v="10"/>
    <s v="Federal"/>
    <s v="PEM"/>
    <n v="0.2"/>
    <s v="TBD, LLC"/>
    <s v="LRL-2014-00480"/>
    <s v="2014-267-AMM-V"/>
    <m/>
    <s v="Floyd"/>
    <n v="38.397410000000001"/>
    <n v="-85.814109999999999"/>
    <s v="Development"/>
    <s v="LRL-2014-100-sam/Fourteeen Mile Creek Mitigation Bank"/>
    <s v="Yes"/>
    <d v="2024-01-22T00:00:00"/>
    <n v="6000"/>
    <n v="28000"/>
    <n v="6000"/>
    <m/>
    <m/>
    <m/>
    <m/>
    <s v="Fourteen Mile Creek Mitigation Bank"/>
    <m/>
    <m/>
    <m/>
    <s v="Credit fulfilled, purchased from Fourteen Mile Creek Mitigation Bank.  "/>
  </r>
  <r>
    <d v="2018-11-16T00:00:00"/>
    <s v="November"/>
    <x v="0"/>
    <x v="7"/>
    <n v="-0.22"/>
    <x v="0"/>
    <n v="17600"/>
    <n v="4"/>
    <s v="Federal"/>
    <s v="PEM"/>
    <n v="0.183"/>
    <s v="River Ridge Development Authority"/>
    <s v="LRL-2016-1167-MKD"/>
    <s v="2017-107-10-JBT-A"/>
    <m/>
    <s v="Clark"/>
    <n v="38.365259999999999"/>
    <n v="-85.677660000000003"/>
    <s v="Development"/>
    <s v="LRL-2014-100-sam/Fourteeen Mile Creek Mitigation Bank"/>
    <s v="Yes"/>
    <d v="2024-01-22T00:00:00"/>
    <n v="2640"/>
    <n v="12320"/>
    <n v="2640"/>
    <m/>
    <m/>
    <m/>
    <m/>
    <s v="Fourteen Mile Creek Mitigation Bank"/>
    <m/>
    <m/>
    <m/>
    <s v="Credit fulfilled, purchased from Fourteen Mile Creek Mitigation Bank.  "/>
  </r>
  <r>
    <d v="2018-11-16T00:00:00"/>
    <s v="November"/>
    <x v="0"/>
    <x v="7"/>
    <n v="-0.01"/>
    <x v="0"/>
    <n v="800"/>
    <n v="4"/>
    <s v="State Isolated"/>
    <s v="PEM"/>
    <n v="8.7999999999999995E-2"/>
    <s v="River Ridge Development Authority"/>
    <s v="N/A"/>
    <s v="IWIP 2017-107-JBT-A"/>
    <m/>
    <s v="Clark"/>
    <n v="38.365259999999999"/>
    <n v="-85.677660000000003"/>
    <s v="Development"/>
    <s v="LRL-2014-100-sam/Fourteeen Mile Creek Mitigation Bank"/>
    <s v="Yes"/>
    <d v="2024-01-22T00:00:00"/>
    <n v="120"/>
    <n v="560"/>
    <n v="120"/>
    <m/>
    <m/>
    <m/>
    <m/>
    <s v="Fourteen Mile Creek Mitigation Bank"/>
    <m/>
    <m/>
    <m/>
    <s v="Credit fulfilled, purchased from Fourteen Mile Creek Mitigation Bank.  "/>
  </r>
  <r>
    <d v="2018-12-04T00:00:00"/>
    <s v="December"/>
    <x v="0"/>
    <x v="9"/>
    <n v="-0.03"/>
    <x v="0"/>
    <n v="2400"/>
    <n v="12"/>
    <s v="State Isolated"/>
    <s v="PFO"/>
    <n v="2.5000000000000001E-2"/>
    <s v="City of Fishers"/>
    <s v="N/A"/>
    <s v="IWGP 2018-588-29-JBT-A"/>
    <m/>
    <s v="Hamilton"/>
    <n v="40"/>
    <n v="-86.004000000000005"/>
    <s v="Transportation"/>
    <s v="Mod 1 - LRL-2020-989-sam"/>
    <s v="Yes"/>
    <d v="2023-07-10T00:00:00"/>
    <n v="360"/>
    <n v="1680"/>
    <n v="360"/>
    <m/>
    <m/>
    <m/>
    <m/>
    <s v="HC Farms"/>
    <m/>
    <m/>
    <m/>
    <s v="Credits fulfilled and released - HC Farms First Release.  Class I Isolated Wetland Forested"/>
  </r>
  <r>
    <d v="2018-12-04T00:00:00"/>
    <s v="December"/>
    <x v="0"/>
    <x v="9"/>
    <n v="-0.04"/>
    <x v="0"/>
    <n v="3200"/>
    <n v="17"/>
    <s v="State Isolated"/>
    <s v="PEM"/>
    <n v="0.02"/>
    <s v="Fischer Development Company"/>
    <s v="N/A"/>
    <s v="IWGP 2018-718-29-ALF-A"/>
    <m/>
    <s v="Hamilton"/>
    <n v="40.039718000000001"/>
    <n v="-86.102137999999997"/>
    <s v="Development"/>
    <s v="Mod 1 - LRL-2020-989-sam"/>
    <s v="Yes"/>
    <d v="2023-07-10T00:00:00"/>
    <n v="480"/>
    <n v="2240"/>
    <n v="480"/>
    <m/>
    <m/>
    <m/>
    <m/>
    <s v="HC Farms"/>
    <m/>
    <m/>
    <m/>
    <s v="Credits fulfilled and released - HC Farms First Release. Class I Isolated Wetland Non-Forested"/>
  </r>
  <r>
    <d v="2018-12-04T00:00:00"/>
    <s v="December"/>
    <x v="0"/>
    <x v="9"/>
    <n v="-0.25"/>
    <x v="0"/>
    <n v="20000"/>
    <n v="17"/>
    <s v="State Isolated"/>
    <s v="PFO"/>
    <n v="8.3699999999999997E-2"/>
    <s v="Fischer Development Company"/>
    <s v="N/A"/>
    <s v="IWGP 2018-718-29-ALF-A"/>
    <m/>
    <s v="Hamilton"/>
    <n v="40.039718000000001"/>
    <n v="-86.102137999999997"/>
    <s v="Development"/>
    <s v="Mod 1 - LRL-2020-989-sam"/>
    <s v="Yes"/>
    <d v="2023-07-10T00:00:00"/>
    <n v="3000"/>
    <n v="14000"/>
    <n v="3000"/>
    <m/>
    <m/>
    <m/>
    <m/>
    <s v="HC Farms"/>
    <m/>
    <m/>
    <m/>
    <s v="Credits fulfilled and released - HC Farms First Release. Class II Isolated Wetland Forested"/>
  </r>
  <r>
    <d v="2018-12-04T00:00:00"/>
    <s v="December"/>
    <x v="0"/>
    <x v="9"/>
    <n v="-150"/>
    <x v="1"/>
    <n v="67500"/>
    <n v="7"/>
    <s v="Federal"/>
    <s v="Per"/>
    <n v="450"/>
    <s v="City of Lawrence"/>
    <s v="LRL-2017-31-sam"/>
    <s v="2016-410-49-JBT-V"/>
    <m/>
    <s v="Marion"/>
    <n v="39.8504"/>
    <n v="-86.022000000000006"/>
    <s v="Development"/>
    <s v="Mod 1 - LRL-2020-989-sam"/>
    <s v="Yes"/>
    <d v="2023-07-10T00:00:00"/>
    <n v="10125"/>
    <n v="47250"/>
    <n v="10125"/>
    <m/>
    <m/>
    <m/>
    <m/>
    <s v="HC Farms"/>
    <m/>
    <m/>
    <m/>
    <s v="Credits fulfilled and released - HC Farms First Release."/>
  </r>
  <r>
    <m/>
    <m/>
    <x v="1"/>
    <x v="11"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19-01-04T00:00:00"/>
    <s v="January "/>
    <x v="2"/>
    <x v="10"/>
    <n v="-0.96"/>
    <x v="0"/>
    <n v="76800"/>
    <n v="18"/>
    <s v="Federal"/>
    <s v="PEM"/>
    <n v="0.4"/>
    <s v="Becknell Services, LLC"/>
    <s v="LRL-2017-898-sam"/>
    <s v="2018-464-41-TMS-A"/>
    <m/>
    <s v="Johnson"/>
    <n v="39.619799999999998"/>
    <n v="-86.062299999999993"/>
    <s v="Development"/>
    <m/>
    <s v="No"/>
    <m/>
    <n v="11520"/>
    <n v="53760"/>
    <n v="11520"/>
    <m/>
    <m/>
    <m/>
    <m/>
    <m/>
    <m/>
    <m/>
    <m/>
    <m/>
  </r>
  <r>
    <d v="2019-01-04T00:00:00"/>
    <s v="January "/>
    <x v="2"/>
    <x v="10"/>
    <n v="-0.36"/>
    <x v="0"/>
    <n v="28800"/>
    <n v="15"/>
    <s v="Federal"/>
    <s v="PEM"/>
    <n v="0.18"/>
    <s v="Louisville &amp; Indiana Railroad Company"/>
    <s v="LRL-2018-382"/>
    <s v="2018-182-72-ALF-A"/>
    <m/>
    <s v="Scott"/>
    <n v="38.648809"/>
    <n v="-85.771114999999995"/>
    <s v="Transportation"/>
    <m/>
    <s v="No"/>
    <m/>
    <n v="4320"/>
    <n v="20160"/>
    <n v="4320"/>
    <m/>
    <m/>
    <m/>
    <m/>
    <m/>
    <m/>
    <m/>
    <m/>
    <s v="*Note:  USACE required 0.4 Emergent Credits"/>
  </r>
  <r>
    <d v="2019-01-04T00:00:00"/>
    <s v="January "/>
    <x v="2"/>
    <x v="10"/>
    <n v="-1.2"/>
    <x v="0"/>
    <n v="96000"/>
    <n v="15"/>
    <s v="Federal"/>
    <s v="PFO"/>
    <n v="0.3"/>
    <s v="Louisville &amp; Indiana Railroad Company"/>
    <s v="LRL-2018-382"/>
    <s v="2018-182-72-ALF-A"/>
    <m/>
    <s v="Scott"/>
    <n v="38.648809"/>
    <n v="-85.771114999999995"/>
    <s v="Transportation"/>
    <m/>
    <s v="No"/>
    <m/>
    <n v="14400"/>
    <n v="67200"/>
    <n v="14400"/>
    <m/>
    <m/>
    <m/>
    <m/>
    <m/>
    <m/>
    <m/>
    <m/>
    <m/>
  </r>
  <r>
    <d v="2019-01-15T00:00:00"/>
    <s v="January "/>
    <x v="2"/>
    <x v="8"/>
    <n v="-590"/>
    <x v="1"/>
    <n v="236000"/>
    <n v="19"/>
    <s v="Federal"/>
    <s v="Int"/>
    <n v="984"/>
    <s v="20/20 Custom Molded Plastics"/>
    <s v="LRL-2018-803-lcl"/>
    <s v="2018-652-90-ADF-A"/>
    <m/>
    <s v="Wells"/>
    <n v="40.731900000000003"/>
    <n v="-85.194299999999998"/>
    <s v="Development"/>
    <m/>
    <s v="No"/>
    <m/>
    <n v="35400"/>
    <n v="165200"/>
    <n v="35400"/>
    <m/>
    <m/>
    <m/>
    <m/>
    <m/>
    <m/>
    <m/>
    <m/>
    <s v="Corps mitigation requirement more than IDEM 401 WQC"/>
  </r>
  <r>
    <d v="2019-01-31T00:00:00"/>
    <s v="January "/>
    <x v="2"/>
    <x v="9"/>
    <n v="-1.34"/>
    <x v="0"/>
    <n v="107200"/>
    <n v="21"/>
    <s v="Federal"/>
    <s v="PEM"/>
    <n v="0.56000000000000005"/>
    <s v="Vaughn Wamsley"/>
    <s v="LRL-2018-753-htm"/>
    <s v="2018-504-32-JMK-A"/>
    <m/>
    <s v="Hendricks"/>
    <n v="39.709899999999998"/>
    <n v="-86.334699999999998"/>
    <s v="Development"/>
    <s v="Mod 1 - LRL-2020-989-sam"/>
    <s v="Yes"/>
    <d v="2023-07-10T00:00:00"/>
    <n v="16080"/>
    <n v="75040"/>
    <n v="16080"/>
    <m/>
    <m/>
    <m/>
    <m/>
    <s v="HC Farms"/>
    <m/>
    <m/>
    <m/>
    <s v="Credits fulfilled and released - HC Farms First Release. Corps mitigation requirement more than IDEM 401 WQC"/>
  </r>
  <r>
    <d v="2019-02-05T00:00:00"/>
    <s v="February"/>
    <x v="2"/>
    <x v="1"/>
    <n v="-0.78"/>
    <x v="0"/>
    <n v="74100"/>
    <n v="14"/>
    <s v="Federal"/>
    <s v="PFO"/>
    <n v="0.19400000000000001"/>
    <s v="INDOT"/>
    <s v="LRE-2000-700010-R10"/>
    <s v="2010-206-46-JWR-A"/>
    <m/>
    <s v="LaPorte"/>
    <n v="41.448847000000001"/>
    <n v="-86.624937000000003"/>
    <s v="Transportation"/>
    <m/>
    <s v="No"/>
    <m/>
    <n v="11115"/>
    <n v="51870"/>
    <n v="11115"/>
    <m/>
    <m/>
    <m/>
    <m/>
    <m/>
    <m/>
    <m/>
    <m/>
    <s v="INDOT DES . 1382409"/>
  </r>
  <r>
    <d v="2019-02-21T00:00:00"/>
    <s v="February"/>
    <x v="2"/>
    <x v="5"/>
    <n v="-373"/>
    <x v="1"/>
    <n v="149200"/>
    <n v="16"/>
    <s v="Federal"/>
    <s v="Per"/>
    <n v="1248"/>
    <s v="Vanderburgh County Engineer"/>
    <s v="LRL-2018-52-djd"/>
    <s v="2017-881-82-JWR-A"/>
    <m/>
    <s v="Vanderburgh"/>
    <n v="38.088090000000001"/>
    <n v="-87.490740000000002"/>
    <s v="Transportation"/>
    <m/>
    <s v="No"/>
    <m/>
    <n v="22380"/>
    <n v="104440"/>
    <n v="22380"/>
    <m/>
    <m/>
    <m/>
    <m/>
    <m/>
    <m/>
    <m/>
    <m/>
    <s v="Section 401 Mod. No 404 Mitigation due to single and complete.  LPA DES No. 1400549"/>
  </r>
  <r>
    <d v="2019-02-21T00:00:00"/>
    <s v="February"/>
    <x v="2"/>
    <x v="5"/>
    <n v="-0.39"/>
    <x v="0"/>
    <n v="31200"/>
    <n v="16"/>
    <s v="Federal"/>
    <s v="PEM"/>
    <n v="0.19700000000000001"/>
    <s v="Vanderburgh County Engineer"/>
    <s v="LRL-2018-52-djd"/>
    <s v="2017-881-82-JWR-A"/>
    <m/>
    <s v="Vanderburgh"/>
    <n v="38.088090000000001"/>
    <n v="-87.490740000000002"/>
    <s v="Transportation"/>
    <m/>
    <s v="No"/>
    <m/>
    <n v="4680"/>
    <n v="21840"/>
    <n v="4680"/>
    <m/>
    <m/>
    <m/>
    <m/>
    <m/>
    <m/>
    <m/>
    <m/>
    <s v="Section 401 Mod. No 404 Mitigation due to single and complete.   LPA DES No. 1400549"/>
  </r>
  <r>
    <d v="2019-03-12T00:00:00"/>
    <s v="March"/>
    <x v="2"/>
    <x v="7"/>
    <n v="-6.5000000000000002E-2"/>
    <x v="0"/>
    <n v="5200"/>
    <n v="27"/>
    <s v="State Isolated"/>
    <s v="PFO"/>
    <n v="0.02"/>
    <s v="RBL Properties, LLC"/>
    <s v="N/A"/>
    <s v="IWGP 2018-528-15-15-TMS-V"/>
    <m/>
    <s v="Dearborn"/>
    <m/>
    <m/>
    <s v="Development"/>
    <s v="LRL-2014-100-sam/Fourteeen Mile Creek Mitigation Bank"/>
    <s v="Yes"/>
    <d v="2024-01-22T00:00:00"/>
    <n v="780"/>
    <n v="3639.9999999999995"/>
    <n v="780"/>
    <m/>
    <m/>
    <m/>
    <m/>
    <s v="Fourteen Mile Creek Mitigation Bank"/>
    <m/>
    <m/>
    <m/>
    <s v="Credit fulfilled, purchased from Fourteen Mile Creek Mitigation Bank.  "/>
  </r>
  <r>
    <d v="2019-03-15T00:00:00"/>
    <s v="March"/>
    <x v="2"/>
    <x v="5"/>
    <n v="-0.56000000000000005"/>
    <x v="0"/>
    <n v="44800"/>
    <n v="22"/>
    <s v="Federal"/>
    <s v="PEM"/>
    <n v="0.28000000000000003"/>
    <s v="Evansville Water &amp; Sewer Utility"/>
    <s v="LRL-2018-546-tmb"/>
    <s v="2018-651-82-ADF"/>
    <m/>
    <s v="Vanderburgh"/>
    <n v="37.967419999999997"/>
    <n v="-87.618340000000003"/>
    <s v="Development"/>
    <m/>
    <s v="No"/>
    <m/>
    <n v="6720"/>
    <n v="31359.999999999996"/>
    <n v="6720"/>
    <m/>
    <m/>
    <m/>
    <m/>
    <m/>
    <m/>
    <m/>
    <m/>
    <s v="*Note:  USACE required 0.67 Emergent Credits"/>
  </r>
  <r>
    <d v="2019-03-15T00:00:00"/>
    <s v="March"/>
    <x v="2"/>
    <x v="5"/>
    <n v="-2.08"/>
    <x v="0"/>
    <n v="166400"/>
    <n v="22"/>
    <s v="Federal"/>
    <s v="PFO"/>
    <n v="0.52"/>
    <s v="Evansville Water &amp; Sewer Utility"/>
    <s v="LRL-2018-546-tmb"/>
    <s v="2018-651-82-ADF"/>
    <m/>
    <s v="Vanderburgh"/>
    <n v="37.967419999999997"/>
    <n v="-87.618340000000003"/>
    <s v="Development"/>
    <m/>
    <s v="No"/>
    <m/>
    <n v="24960"/>
    <n v="116479.99999999999"/>
    <n v="24960"/>
    <m/>
    <m/>
    <m/>
    <m/>
    <m/>
    <m/>
    <m/>
    <m/>
    <m/>
  </r>
  <r>
    <d v="2019-03-19T00:00:00"/>
    <s v="March"/>
    <x v="2"/>
    <x v="4"/>
    <n v="-100"/>
    <x v="1"/>
    <n v="40000"/>
    <n v="23"/>
    <s v="Federal"/>
    <s v="Eph"/>
    <n v="293"/>
    <s v="Tallgrass Energy, Inc"/>
    <s v="LRL-2018-922-sjk"/>
    <s v="2018-818-32-JMK-A"/>
    <m/>
    <s v="Hendricks"/>
    <n v="39.713005000000003"/>
    <n v="-86.566770000000005"/>
    <s v="Energy Production"/>
    <m/>
    <s v="No"/>
    <m/>
    <n v="6000"/>
    <n v="28000"/>
    <n v="6000"/>
    <m/>
    <m/>
    <m/>
    <m/>
    <m/>
    <m/>
    <m/>
    <m/>
    <m/>
  </r>
  <r>
    <d v="2019-03-19T00:00:00"/>
    <s v="March"/>
    <x v="2"/>
    <x v="10"/>
    <n v="-0.44"/>
    <x v="0"/>
    <n v="35200"/>
    <n v="20"/>
    <s v="Federal"/>
    <s v="PEM"/>
    <n v="0.23799999999999999"/>
    <s v="INDOT"/>
    <s v="LRL-2018-697-djd"/>
    <s v="2018-496-72-JBT-A"/>
    <m/>
    <s v="Scott"/>
    <n v="38.76343"/>
    <n v="-85.829970000000003"/>
    <s v="Transportation"/>
    <m/>
    <s v="No"/>
    <m/>
    <n v="5280"/>
    <n v="24640"/>
    <n v="5280"/>
    <m/>
    <m/>
    <m/>
    <m/>
    <m/>
    <m/>
    <m/>
    <m/>
    <s v="(DES NO. 1500530)  Note: The emergent impacts includes 0.037 open water req by IDEM"/>
  </r>
  <r>
    <d v="2019-03-19T00:00:00"/>
    <s v="March"/>
    <x v="2"/>
    <x v="10"/>
    <n v="-0.45"/>
    <x v="0"/>
    <n v="36000"/>
    <n v="20"/>
    <s v="Federal"/>
    <s v="PSS"/>
    <n v="0.45"/>
    <s v="INDOT"/>
    <s v="LRL-2018-697-djd"/>
    <s v="2018-496-72-JBT-A"/>
    <m/>
    <s v="Scott"/>
    <n v="38.76343"/>
    <n v="-85.829970000000003"/>
    <s v="Transportation"/>
    <m/>
    <s v="No"/>
    <m/>
    <n v="5400"/>
    <n v="25200"/>
    <n v="5400"/>
    <m/>
    <m/>
    <m/>
    <m/>
    <m/>
    <m/>
    <m/>
    <m/>
    <s v="(DES NO. 1500530)"/>
  </r>
  <r>
    <d v="2019-03-25T00:00:00"/>
    <s v="March"/>
    <x v="2"/>
    <x v="0"/>
    <n v="-2.88"/>
    <x v="0"/>
    <n v="273600"/>
    <n v="32"/>
    <s v="Federal"/>
    <s v="PFO"/>
    <n v="0.72"/>
    <s v="Woodcreek TriQuad Drive LLC"/>
    <s v="LRC-2018-852"/>
    <s v="2018-874-46-MTM-A"/>
    <m/>
    <s v="LaPorte"/>
    <n v="41.696399999999997"/>
    <n v="-86.842100000000002"/>
    <s v="Development"/>
    <m/>
    <s v="No"/>
    <m/>
    <n v="41040"/>
    <n v="191520"/>
    <n v="41040"/>
    <m/>
    <m/>
    <m/>
    <m/>
    <m/>
    <m/>
    <m/>
    <m/>
    <m/>
  </r>
  <r>
    <d v="2019-03-25T00:00:00"/>
    <s v="March"/>
    <x v="2"/>
    <x v="9"/>
    <n v="-0.19"/>
    <x v="0"/>
    <n v="15200"/>
    <n v="25"/>
    <s v="State Isolated"/>
    <s v="PEM"/>
    <n v="0.19"/>
    <s v="Edgeworth Laskey Properties, LLC"/>
    <s v="N/A"/>
    <s v="IWGP 2018-897-29-ALF-A"/>
    <m/>
    <s v="Hamilton"/>
    <n v="39.941353999999997"/>
    <n v="-86.024953999999994"/>
    <s v="Development"/>
    <s v="Mod 1 - LRL-2020-989-sam"/>
    <s v="Yes"/>
    <d v="2023-07-10T00:00:00"/>
    <n v="2280"/>
    <n v="10640"/>
    <n v="2280"/>
    <m/>
    <m/>
    <m/>
    <m/>
    <s v="HC Farms"/>
    <m/>
    <m/>
    <m/>
    <s v="Credits fulfilled and released - HC Farms First Release.  Class I Non-Forested Isolated Wetland Impact"/>
  </r>
  <r>
    <d v="2019-04-10T00:00:00"/>
    <s v="April"/>
    <x v="2"/>
    <x v="9"/>
    <n v="-0.83"/>
    <x v="0"/>
    <n v="66400"/>
    <n v="29"/>
    <s v="Federal"/>
    <s v="PEM"/>
    <n v="0.55000000000000004"/>
    <s v="The Peterson Company"/>
    <s v="LRL-2002-439-sam"/>
    <s v="2002-603-30-AJP-A"/>
    <m/>
    <s v="Hancock"/>
    <n v="39.830199999999998"/>
    <n v="-85.928700000000006"/>
    <s v="Development"/>
    <s v="Mod 1 - LRL-2020-989-sam"/>
    <s v="Yes"/>
    <d v="2023-07-10T00:00:00"/>
    <n v="9960"/>
    <n v="46480"/>
    <n v="9960"/>
    <m/>
    <m/>
    <m/>
    <m/>
    <s v="HC Farms"/>
    <m/>
    <m/>
    <m/>
    <s v="Credits fulfilled and released - HC Farms First Release. Impact to upland prairie buffer of a mitigation site "/>
  </r>
  <r>
    <d v="2019-04-15T00:00:00"/>
    <s v="April"/>
    <x v="2"/>
    <x v="0"/>
    <n v="-0.19600000000000001"/>
    <x v="0"/>
    <n v="18620"/>
    <n v="34"/>
    <s v="Federal"/>
    <s v="PFO"/>
    <n v="0.19600000000000001"/>
    <s v="Northern Indiana Public Service Company"/>
    <s v="LRC-2019-041"/>
    <s v="2019-013-46-MTM-A"/>
    <m/>
    <s v="LaPorte"/>
    <n v="41.664400000000001"/>
    <n v="-86.893900000000002"/>
    <s v="Energy Production"/>
    <m/>
    <s v="No"/>
    <m/>
    <n v="2793"/>
    <n v="13034"/>
    <n v="2793"/>
    <m/>
    <m/>
    <m/>
    <m/>
    <m/>
    <m/>
    <m/>
    <m/>
    <m/>
  </r>
  <r>
    <d v="2019-04-15T00:00:00"/>
    <s v="April"/>
    <x v="2"/>
    <x v="4"/>
    <n v="-1.8"/>
    <x v="0"/>
    <n v="144000"/>
    <n v="24"/>
    <s v="Federal"/>
    <s v="PFO"/>
    <n v="0.45"/>
    <s v="Ford Sawmills, Inc."/>
    <s v="LRL-2018-353-sam"/>
    <s v="2015-334-42-DDC-V"/>
    <m/>
    <s v="Knox"/>
    <n v="38.698700000000002"/>
    <n v="-87.505099999999999"/>
    <s v="Development"/>
    <m/>
    <s v="No"/>
    <m/>
    <n v="21600"/>
    <n v="100800"/>
    <n v="21600"/>
    <m/>
    <m/>
    <m/>
    <m/>
    <m/>
    <m/>
    <m/>
    <m/>
    <s v="ATF impacts "/>
  </r>
  <r>
    <d v="2019-04-25T00:00:00"/>
    <s v="April"/>
    <x v="2"/>
    <x v="4"/>
    <n v="-0.88"/>
    <x v="0"/>
    <n v="70400"/>
    <n v="35"/>
    <s v="Federal"/>
    <s v="PFO"/>
    <n v="0.22"/>
    <s v="The Indiana Rail Road Co."/>
    <s v="LRL-2018-527-htm"/>
    <s v="2019-060-84-jmk"/>
    <m/>
    <s v="Vigo"/>
    <n v="39.430500000000002"/>
    <n v="-87.39"/>
    <s v="Transportation"/>
    <m/>
    <s v="No"/>
    <m/>
    <n v="10560"/>
    <n v="49280"/>
    <n v="10560"/>
    <m/>
    <m/>
    <m/>
    <m/>
    <m/>
    <m/>
    <m/>
    <m/>
    <m/>
  </r>
  <r>
    <d v="2019-05-06T00:00:00"/>
    <s v="May"/>
    <x v="2"/>
    <x v="7"/>
    <n v="-2.1"/>
    <x v="0"/>
    <n v="168000"/>
    <n v="33"/>
    <s v="Federal"/>
    <s v="PFO"/>
    <n v="0.51400000000000001"/>
    <s v="INDOT"/>
    <s v="LRL-2017-430-djd"/>
    <s v="2017-272-10-skg"/>
    <m/>
    <s v="Clark"/>
    <n v="38.343494"/>
    <n v="-85.664545000000004"/>
    <s v="Transportation"/>
    <s v="LRL-2014-100-sam/Fourteeen Mile Creek Mitigation Bank"/>
    <s v="Yes"/>
    <d v="2024-01-22T00:00:00"/>
    <n v="25200"/>
    <n v="117599.99999999999"/>
    <n v="25200"/>
    <m/>
    <m/>
    <m/>
    <m/>
    <s v="Fourteen Mile Creek Mitigation Bank"/>
    <m/>
    <m/>
    <m/>
    <s v="Credit fulfilled, purchased from Fourteen Mile Creek Mitigation Bank.  "/>
  </r>
  <r>
    <d v="2019-05-06T00:00:00"/>
    <s v="May"/>
    <x v="2"/>
    <x v="7"/>
    <n v="-449"/>
    <x v="1"/>
    <n v="179600"/>
    <n v="33"/>
    <s v="Federal"/>
    <s v="Int"/>
    <n v="374"/>
    <s v="INDOT"/>
    <s v="LRL-2017-430-djd"/>
    <s v="2017-272-10-skg"/>
    <m/>
    <s v="Clark"/>
    <n v="38.343494"/>
    <n v="-85.664545000000004"/>
    <s v="Transportation"/>
    <m/>
    <s v="No"/>
    <m/>
    <n v="26940"/>
    <n v="125719.99999999999"/>
    <n v="26940"/>
    <m/>
    <m/>
    <m/>
    <m/>
    <m/>
    <m/>
    <m/>
    <m/>
    <s v="(DES No. 13820657) *Note: IDEM 401 WQC documented stream impacts 382 LF Ephemeral and 85 LF Intermittent (467 LF Cumulative)"/>
  </r>
  <r>
    <d v="2019-05-13T00:00:00"/>
    <s v="May"/>
    <x v="2"/>
    <x v="1"/>
    <n v="-310"/>
    <x v="1"/>
    <n v="155000"/>
    <n v="26"/>
    <s v="Federal"/>
    <s v="Per"/>
    <n v="310"/>
    <s v="INDOT"/>
    <s v="LRE-2008-00236-175-R10"/>
    <s v="2009-039-75-JPS-A"/>
    <m/>
    <s v="Starke"/>
    <n v="41.411769"/>
    <n v="-86.488748999999999"/>
    <s v="Transportation"/>
    <m/>
    <s v="No"/>
    <m/>
    <n v="23250"/>
    <n v="108500"/>
    <n v="23250"/>
    <m/>
    <m/>
    <m/>
    <m/>
    <m/>
    <m/>
    <m/>
    <m/>
    <s v="INDOT DES No. 1382408 (Historical DES No. 0711018)"/>
  </r>
  <r>
    <d v="2019-05-13T00:00:00"/>
    <s v="May"/>
    <x v="2"/>
    <x v="1"/>
    <n v="-3"/>
    <x v="0"/>
    <n v="285000"/>
    <n v="26"/>
    <s v="Federal"/>
    <s v="PFO"/>
    <n v="0.75"/>
    <s v="INDOT"/>
    <s v="LRE-2008-00236-175-R10"/>
    <s v="2009-039-75-JPS-A"/>
    <m/>
    <s v="Starke"/>
    <n v="41.411769"/>
    <n v="-86.488748999999999"/>
    <s v="Transportation"/>
    <m/>
    <s v="No"/>
    <m/>
    <n v="42750"/>
    <n v="199500"/>
    <n v="42750"/>
    <m/>
    <m/>
    <m/>
    <m/>
    <m/>
    <m/>
    <m/>
    <m/>
    <s v="INDOT DES No. 1382408 (Historical DES No. 0711018)"/>
  </r>
  <r>
    <d v="2019-05-13T00:00:00"/>
    <s v="May"/>
    <x v="2"/>
    <x v="4"/>
    <n v="-219"/>
    <x v="1"/>
    <n v="87600"/>
    <n v="30"/>
    <s v="Federal"/>
    <s v="Eph"/>
    <n v="219"/>
    <s v="Vectren (Indiana Gas Co., Inc.)"/>
    <s v="LRL-2016-1228"/>
    <s v="2016-732-32-SKG-A"/>
    <m/>
    <s v="Hendricks"/>
    <s v="not provided"/>
    <s v="not provided"/>
    <s v="Transportation"/>
    <m/>
    <s v="No"/>
    <m/>
    <n v="13140"/>
    <n v="61319.999999999993"/>
    <n v="13140"/>
    <m/>
    <m/>
    <m/>
    <m/>
    <m/>
    <m/>
    <m/>
    <m/>
    <s v="USACE did not require mitigation"/>
  </r>
  <r>
    <d v="2019-05-13T00:00:00"/>
    <s v="May"/>
    <x v="2"/>
    <x v="4"/>
    <n v="-452"/>
    <x v="1"/>
    <n v="180800"/>
    <n v="30"/>
    <s v="Federal"/>
    <s v="Per"/>
    <n v="452"/>
    <s v="Vectren (Indiana Gas Co., Inc.)"/>
    <s v="LRL-2016-1228"/>
    <s v="2016-732-32-SKG-A"/>
    <m/>
    <s v="Hendricks"/>
    <s v="not provided"/>
    <s v="not provided"/>
    <s v="Transportation"/>
    <m/>
    <s v="No"/>
    <m/>
    <n v="27120"/>
    <n v="126559.99999999999"/>
    <n v="27120"/>
    <m/>
    <m/>
    <m/>
    <m/>
    <m/>
    <m/>
    <m/>
    <m/>
    <s v="USACE did not require mitigation"/>
  </r>
  <r>
    <d v="2019-05-13T00:00:00"/>
    <s v="May"/>
    <x v="2"/>
    <x v="7"/>
    <n v="-1615"/>
    <x v="1"/>
    <n v="646000"/>
    <n v="28"/>
    <s v="Federal"/>
    <s v="Eph"/>
    <n v="1345.5"/>
    <s v="INDOT"/>
    <s v="LRL-2015-638-sjk"/>
    <s v="2016-145-10-JWR-A"/>
    <m/>
    <s v="Clark"/>
    <n v="38.435600000000001"/>
    <n v="-85.763999999999996"/>
    <s v="Transportation"/>
    <m/>
    <s v="No"/>
    <m/>
    <n v="96900"/>
    <n v="452200"/>
    <n v="96900"/>
    <m/>
    <m/>
    <m/>
    <m/>
    <m/>
    <m/>
    <m/>
    <m/>
    <s v="INDOT DES No. 1400597"/>
  </r>
  <r>
    <d v="2019-05-13T00:00:00"/>
    <s v="May"/>
    <x v="2"/>
    <x v="7"/>
    <n v="-111"/>
    <x v="1"/>
    <n v="44400"/>
    <n v="28"/>
    <s v="Federal"/>
    <s v="Per"/>
    <n v="92.5"/>
    <s v="INDOT"/>
    <s v="LRL-2015-638-sjk"/>
    <s v="2016-145-10-JWR-A"/>
    <m/>
    <s v="Clark"/>
    <n v="38.435600000000001"/>
    <n v="-85.763999999999996"/>
    <s v="Transportation"/>
    <m/>
    <s v="No"/>
    <m/>
    <n v="6660"/>
    <n v="31079.999999999996"/>
    <n v="6660"/>
    <m/>
    <m/>
    <m/>
    <m/>
    <m/>
    <m/>
    <m/>
    <m/>
    <s v="INDOT DES No. 1400597"/>
  </r>
  <r>
    <d v="2019-05-13T00:00:00"/>
    <s v="May"/>
    <x v="2"/>
    <x v="7"/>
    <n v="-0.66900000000000004"/>
    <x v="0"/>
    <n v="53520"/>
    <n v="28"/>
    <s v="Federal"/>
    <s v="PEM"/>
    <n v="0.29599999999999999"/>
    <s v="INDOT"/>
    <s v="LRL-2015-638-sjk"/>
    <s v="2016-145-10-JWR-A"/>
    <m/>
    <s v="Clark"/>
    <n v="38.435600000000001"/>
    <n v="-85.763999999999996"/>
    <s v="Transportation"/>
    <s v="LRL-2014-100-sam/Fourteeen Mile Creek Mitigation Bank"/>
    <s v="Yes"/>
    <d v="2024-01-22T00:00:00"/>
    <n v="8028"/>
    <n v="37464"/>
    <n v="8028"/>
    <m/>
    <m/>
    <m/>
    <m/>
    <s v="Fourteen Mile Creek Mitigation Bank"/>
    <m/>
    <m/>
    <m/>
    <s v="Credit fulfilled, purchased from Fourteen Mile Creek Mitigation Bank.  "/>
  </r>
  <r>
    <d v="2019-05-13T00:00:00"/>
    <s v="May"/>
    <x v="2"/>
    <x v="7"/>
    <n v="-0.23100000000000001"/>
    <x v="0"/>
    <n v="18480"/>
    <n v="28"/>
    <s v="Federal"/>
    <s v="PFO"/>
    <n v="0.14799999999999999"/>
    <s v="INDOT"/>
    <s v="LRL-2015-638-sjk"/>
    <s v="2016-145-10-JWR-A"/>
    <m/>
    <s v="Clark"/>
    <n v="38.435600000000001"/>
    <n v="-85.763999999999996"/>
    <s v="Transportation"/>
    <s v="LRL-2014-100-sam/Fourteeen Mile Creek Mitigation Bank"/>
    <s v="Yes"/>
    <d v="2024-01-22T00:00:00"/>
    <n v="2772"/>
    <n v="12936"/>
    <n v="2772"/>
    <m/>
    <m/>
    <m/>
    <m/>
    <s v="Fourteen Mile Creek Mitigation Bank"/>
    <m/>
    <m/>
    <m/>
    <s v="Credit fulfilled, purchased from Fourteen Mile Creek Mitigation Bank.  "/>
  </r>
  <r>
    <d v="2019-05-13T00:00:00"/>
    <s v="May"/>
    <x v="2"/>
    <x v="9"/>
    <n v="-197"/>
    <x v="1"/>
    <n v="88650"/>
    <n v="30"/>
    <s v="Federal"/>
    <s v="Eph"/>
    <n v="197"/>
    <s v="Vectren (Indiana Gas Co., Inc.)"/>
    <s v="LRL-2016-1228"/>
    <s v="2016-732-32-SKG-A"/>
    <m/>
    <s v="Hendricks"/>
    <s v="not provided"/>
    <s v="not provided"/>
    <s v="Transportation"/>
    <s v="Mod 1 - LRL-2020-989-sam"/>
    <s v="Yes"/>
    <d v="2023-07-10T00:00:00"/>
    <n v="13297.5"/>
    <n v="62054.999999999993"/>
    <n v="13297.5"/>
    <m/>
    <m/>
    <m/>
    <m/>
    <s v="HC Farms"/>
    <m/>
    <m/>
    <m/>
    <s v="Credits fulfilled and released - HC Farms First Stream Release.  USACE did not require mitigation"/>
  </r>
  <r>
    <d v="2019-05-13T00:00:00"/>
    <s v="May"/>
    <x v="2"/>
    <x v="9"/>
    <n v="-269"/>
    <x v="1"/>
    <n v="121050"/>
    <n v="30"/>
    <s v="Federal"/>
    <s v="Int"/>
    <n v="269"/>
    <s v="Vectren (Indiana Gas Co., Inc.)"/>
    <s v="LRL-2016-1228"/>
    <s v="2016-732-32-SKG-A"/>
    <m/>
    <s v="Hendricks"/>
    <s v="not provided"/>
    <s v="not provided"/>
    <s v="Transportation"/>
    <s v="Mod 1 - LRL-2020-989-sam"/>
    <s v="Yes"/>
    <d v="2024-09-03T00:00:00"/>
    <n v="18157.5"/>
    <n v="84735"/>
    <n v="18157.5"/>
    <m/>
    <m/>
    <m/>
    <m/>
    <m/>
    <m/>
    <m/>
    <m/>
    <s v="Credits fulfilled and released - HC Farms First (143/269)/Second (126/269) Stream Release.  USACE did not require mitigation"/>
  </r>
  <r>
    <d v="2019-05-13T00:00:00"/>
    <s v="May"/>
    <x v="2"/>
    <x v="9"/>
    <n v="-437"/>
    <x v="1"/>
    <n v="196650"/>
    <n v="30"/>
    <s v="Federal"/>
    <s v="Per"/>
    <n v="437"/>
    <s v="Vectren (Indiana Gas Co., Inc.)"/>
    <s v="LRL-2016-1228"/>
    <s v="2016-732-32-SKG-A"/>
    <m/>
    <s v="Hendricks"/>
    <s v="not provided"/>
    <s v="not provided"/>
    <s v="Transportation"/>
    <s v="Mod 1 - LRL-2020-989-sam"/>
    <s v="Yes"/>
    <d v="2024-09-03T00:00:00"/>
    <n v="29497.5"/>
    <n v="137655"/>
    <n v="29497.5"/>
    <m/>
    <m/>
    <m/>
    <m/>
    <m/>
    <m/>
    <m/>
    <m/>
    <s v="Credits fulfilled and released - HC Farms Second Stream Release.  USACE did not require mitigation"/>
  </r>
  <r>
    <d v="2019-05-13T00:00:00"/>
    <s v="May"/>
    <x v="2"/>
    <x v="9"/>
    <n v="-0.06"/>
    <x v="0"/>
    <n v="4800"/>
    <n v="36"/>
    <s v="State Isolated"/>
    <s v="PEM"/>
    <n v="0.06"/>
    <s v="Drees Homes"/>
    <s v="N/A"/>
    <s v="IWGP 2019-189-32-JMK-A"/>
    <m/>
    <s v="Hendricks"/>
    <n v="39.77534"/>
    <n v="-86.360380000000006"/>
    <s v="Development"/>
    <s v="Mod 1 - LRL-2020-989-sam"/>
    <s v="Yes"/>
    <d v="2023-07-10T00:00:00"/>
    <n v="720"/>
    <n v="3360"/>
    <n v="720"/>
    <m/>
    <m/>
    <m/>
    <m/>
    <s v="HC Farms"/>
    <m/>
    <m/>
    <m/>
    <s v="Credits fulfilled and released - HC Farms First Release. Class I Non-Forested Isolated Wetland Impact"/>
  </r>
  <r>
    <d v="2019-05-21T00:00:00"/>
    <s v="May"/>
    <x v="2"/>
    <x v="0"/>
    <n v="-2"/>
    <x v="0"/>
    <n v="190000"/>
    <n v="31"/>
    <s v="Federal"/>
    <s v="PEM"/>
    <s v="*"/>
    <s v="Wisconsin Central Ltd."/>
    <s v="LRC-2010-803-IN"/>
    <s v="2012-409-45-MTM-A"/>
    <m/>
    <s v="Lake"/>
    <s v="not provided"/>
    <s v="not provided"/>
    <s v="Transportation"/>
    <m/>
    <s v="No"/>
    <m/>
    <n v="28500"/>
    <n v="133000"/>
    <n v="28500"/>
    <m/>
    <m/>
    <m/>
    <m/>
    <m/>
    <m/>
    <m/>
    <m/>
    <s v="*404 &amp; 401 were modified due to failed mitigation site to deliver designed credit; information on impacts are in the permits"/>
  </r>
  <r>
    <d v="2019-05-21T00:00:00"/>
    <s v="May"/>
    <x v="2"/>
    <x v="9"/>
    <n v="-0.47"/>
    <x v="0"/>
    <n v="37600"/>
    <n v="38"/>
    <s v="State Isolated"/>
    <s v="PEM"/>
    <n v="0.47"/>
    <s v="Burns Development, Inc."/>
    <s v="N/A"/>
    <s v="IWGP 2019-234-18-ALF-A"/>
    <m/>
    <s v="Delaware"/>
    <n v="40.220768"/>
    <n v="-85.443589000000003"/>
    <s v="Development"/>
    <s v="Mod 1 - LRL-2020-989-sam"/>
    <s v="Yes"/>
    <d v="2023-07-10T00:00:00"/>
    <n v="5640"/>
    <n v="26320"/>
    <n v="5640"/>
    <m/>
    <m/>
    <m/>
    <m/>
    <s v="HC Farms"/>
    <m/>
    <m/>
    <m/>
    <s v="Credits fulfilled and released - HC Farms First Release.  Class I Non-Forested Isolated Wetland Impact"/>
  </r>
  <r>
    <d v="2019-06-27T00:00:00"/>
    <s v="June "/>
    <x v="2"/>
    <x v="2"/>
    <n v="-249"/>
    <x v="1"/>
    <n v="99600"/>
    <n v="39"/>
    <s v="Federal"/>
    <s v="Per"/>
    <n v="249"/>
    <s v="Monroe County Highway Engineering"/>
    <s v="LRL-2017-69-lcl"/>
    <s v="2017-095-53-JWR-A"/>
    <m/>
    <s v="Monroe"/>
    <s v="not provided"/>
    <s v="not provided"/>
    <s v="Transportation"/>
    <m/>
    <s v="No"/>
    <m/>
    <n v="14940"/>
    <n v="69720"/>
    <n v="14940"/>
    <m/>
    <m/>
    <m/>
    <m/>
    <m/>
    <m/>
    <m/>
    <m/>
    <s v="*Note:  Mitigation only required for Section 401.  Section 404 impacts not required due to single and complete nature."/>
  </r>
  <r>
    <d v="2019-07-01T00:00:00"/>
    <s v="July"/>
    <x v="2"/>
    <x v="9"/>
    <n v="-0.04"/>
    <x v="0"/>
    <n v="3200"/>
    <n v="42"/>
    <s v="State Isolated"/>
    <s v="PEM"/>
    <n v="0.04"/>
    <s v="KD Investment Group, LLC"/>
    <s v="N/A"/>
    <s v="IWGP 031-29-ALF-A"/>
    <m/>
    <s v="Hamilton"/>
    <s v="not provided"/>
    <s v="not provided"/>
    <s v="Development"/>
    <s v="Mod 1 - LRL-2020-989-sam"/>
    <s v="Yes"/>
    <d v="2023-07-10T00:00:00"/>
    <n v="480"/>
    <n v="2240"/>
    <n v="480"/>
    <m/>
    <m/>
    <m/>
    <m/>
    <s v="HC Farms"/>
    <m/>
    <m/>
    <m/>
    <s v="Credits fulfilled and released - HC Farms First Release.  Class I Non-Forested Isolated Wetland Impact"/>
  </r>
  <r>
    <d v="2019-07-01T00:00:00"/>
    <s v="July"/>
    <x v="2"/>
    <x v="10"/>
    <n v="-3.04"/>
    <x v="0"/>
    <n v="243200"/>
    <n v="40"/>
    <s v="Federal"/>
    <s v="PFO"/>
    <n v="0.76"/>
    <s v="City of Greenfield"/>
    <s v="LRL-2017-1184-sam"/>
    <s v="2019-144-30-ALF-A"/>
    <m/>
    <s v="Hancock"/>
    <n v="39.825400000000002"/>
    <n v="-85.781899999999993"/>
    <s v="Development"/>
    <m/>
    <s v="No"/>
    <m/>
    <n v="36480"/>
    <n v="170240"/>
    <n v="36480"/>
    <m/>
    <m/>
    <m/>
    <m/>
    <m/>
    <m/>
    <m/>
    <m/>
    <s v="*Note:  The 401 WQC indicates that 146 linear feet of perennial stream impacts but no stream mitigation required."/>
  </r>
  <r>
    <d v="2019-08-22T00:00:00"/>
    <s v="August"/>
    <x v="2"/>
    <x v="1"/>
    <n v="-75"/>
    <x v="1"/>
    <n v="37500"/>
    <n v="51"/>
    <s v="Federal"/>
    <s v="Per"/>
    <n v="75"/>
    <s v="Speedway LLC"/>
    <s v="LRE-2017-00547-137-R19"/>
    <s v="2019-153-37-MTM-A "/>
    <m/>
    <s v="Jasper"/>
    <n v="41.145899999999997"/>
    <n v="-87.257599999999996"/>
    <s v="Development"/>
    <m/>
    <s v="No"/>
    <m/>
    <n v="5625"/>
    <n v="26250"/>
    <n v="5625"/>
    <m/>
    <m/>
    <m/>
    <m/>
    <m/>
    <m/>
    <m/>
    <m/>
    <s v="USACE did not require ILF mitigation"/>
  </r>
  <r>
    <d v="2019-08-22T00:00:00"/>
    <s v="August"/>
    <x v="2"/>
    <x v="8"/>
    <n v="-0.14099999999999999"/>
    <x v="0"/>
    <n v="11280"/>
    <n v="45"/>
    <s v="Federal"/>
    <s v="PSS"/>
    <n v="4.7E-2"/>
    <s v="RCI Development LLC"/>
    <s v="LRE-2014-007700-102-R19"/>
    <s v="2019-161-02-WRH-A"/>
    <m/>
    <s v="Allen"/>
    <n v="40.9495"/>
    <n v="-85.309299999999993"/>
    <s v="Development"/>
    <m/>
    <s v="No"/>
    <m/>
    <n v="1692"/>
    <n v="7895.9999999999991"/>
    <n v="1692"/>
    <m/>
    <m/>
    <m/>
    <m/>
    <m/>
    <m/>
    <m/>
    <m/>
    <m/>
  </r>
  <r>
    <d v="2019-08-22T00:00:00"/>
    <s v="August"/>
    <x v="2"/>
    <x v="9"/>
    <n v="-0.01"/>
    <x v="0"/>
    <n v="800"/>
    <n v="49"/>
    <s v="State Isolated"/>
    <s v="PFO"/>
    <n v="3.0000000000000001E-3"/>
    <s v="Langston Development"/>
    <s v="N/A"/>
    <s v="IWGP 2018-775-29-ALF-A"/>
    <m/>
    <s v="Hamilton"/>
    <n v="40.056927000000002"/>
    <n v="-86.101277999999994"/>
    <s v="Development"/>
    <s v="Mod 1 - LRL-2020-989-sam"/>
    <s v="Yes"/>
    <d v="2023-07-10T00:00:00"/>
    <n v="120"/>
    <n v="560"/>
    <n v="120"/>
    <m/>
    <m/>
    <m/>
    <m/>
    <s v="HC Farms"/>
    <m/>
    <m/>
    <m/>
    <s v="Credits fulfilled and released - HC Farms First Release.  Class II Forested Isolated Wetland Impact"/>
  </r>
  <r>
    <d v="2019-08-22T00:00:00"/>
    <s v="August"/>
    <x v="2"/>
    <x v="9"/>
    <n v="-0.88"/>
    <x v="0"/>
    <n v="70400"/>
    <n v="50"/>
    <s v="Federal"/>
    <s v="PFO"/>
    <n v="0.22"/>
    <s v="Olthof Homes"/>
    <s v="LRL-2018-49-sjk"/>
    <s v="2019-275-29-ALF-A"/>
    <m/>
    <s v="Hamilton"/>
    <n v="40.068300000000001"/>
    <n v="-86.104799999999997"/>
    <s v="Development"/>
    <s v="Mod 1 - LRL-2020-989-sam"/>
    <s v="Yes"/>
    <d v="2023-07-10T00:00:00"/>
    <n v="10560"/>
    <n v="49280"/>
    <n v="10560"/>
    <m/>
    <m/>
    <m/>
    <m/>
    <s v="HC Farms"/>
    <m/>
    <m/>
    <m/>
    <s v="Credits fulfilled and released - HC Farms First Release."/>
  </r>
  <r>
    <d v="2019-09-04T00:00:00"/>
    <s v="September"/>
    <x v="2"/>
    <x v="7"/>
    <n v="-50"/>
    <x v="1"/>
    <n v="20000"/>
    <n v="46"/>
    <s v="Federal"/>
    <s v="Int"/>
    <n v="25"/>
    <s v="Indiana Gas Co, Inc."/>
    <s v="LRL-2019-388-MKD"/>
    <s v="2019-294-10-TMS-A"/>
    <m/>
    <s v="Clark"/>
    <n v="38.326115000000001"/>
    <n v="-85.740533999999997"/>
    <s v="Transportation"/>
    <m/>
    <s v="No"/>
    <m/>
    <n v="3000"/>
    <n v="14000"/>
    <n v="3000"/>
    <m/>
    <m/>
    <m/>
    <m/>
    <m/>
    <m/>
    <m/>
    <m/>
    <m/>
  </r>
  <r>
    <d v="2019-09-04T00:00:00"/>
    <s v="September"/>
    <x v="2"/>
    <x v="7"/>
    <n v="-0.05"/>
    <x v="0"/>
    <n v="4000"/>
    <n v="46"/>
    <s v="Federal"/>
    <s v="PEM"/>
    <n v="2.5999999999999999E-2"/>
    <s v="Indiana Gas Co, Inc."/>
    <s v="LRL-2019-388-MKD"/>
    <s v="2019-294-10-TMS-A"/>
    <m/>
    <s v="Clark"/>
    <n v="38.321562"/>
    <n v="-85.748953999999998"/>
    <s v="Transportation"/>
    <s v="LRL-2014-100-sam/Fourteeen Mile Creek Mitigation Bank"/>
    <s v="Yes"/>
    <d v="2024-01-22T00:00:00"/>
    <n v="600"/>
    <n v="2800"/>
    <n v="600"/>
    <m/>
    <m/>
    <m/>
    <m/>
    <s v="Fourteen Mile Creek Mitigation Bank"/>
    <m/>
    <m/>
    <m/>
    <s v="Credit fulfilled, purchased from Fourteen Mile Creek Mitigation Bank.  "/>
  </r>
  <r>
    <d v="2019-09-04T00:00:00"/>
    <s v="September"/>
    <x v="2"/>
    <x v="7"/>
    <n v="-0.44"/>
    <x v="0"/>
    <n v="35200"/>
    <n v="46"/>
    <s v="Federal"/>
    <s v="PFO"/>
    <n v="0.111"/>
    <s v="Indiana Gas Co, Inc."/>
    <s v="LRL-2019-388-MKD"/>
    <s v="2019-294-10-TMS-A"/>
    <m/>
    <s v="Clark"/>
    <n v="38.321562"/>
    <n v="-85.748953999999998"/>
    <s v="Transportation"/>
    <s v="LRL-2014-100-sam/Fourteeen Mile Creek Mitigation Bank"/>
    <s v="Yes"/>
    <d v="2024-01-22T00:00:00"/>
    <n v="5280"/>
    <n v="24640"/>
    <n v="5280"/>
    <m/>
    <m/>
    <m/>
    <m/>
    <s v="Fourteen Mile Creek Mitigation Bank"/>
    <m/>
    <m/>
    <m/>
    <s v="Credit fulfilled, purchased from Fourteen Mile Creek Mitigation Bank.  "/>
  </r>
  <r>
    <d v="2019-09-16T00:00:00"/>
    <s v="September"/>
    <x v="2"/>
    <x v="6"/>
    <n v="-1.1850000000000001"/>
    <x v="0"/>
    <n v="142200"/>
    <n v="52"/>
    <s v="Federal"/>
    <s v="PFO"/>
    <n v="0.40100000000000002"/>
    <s v="AEP I&amp;M Transco"/>
    <s v="LRE-2017-01162-100-N19"/>
    <s v="2019-251-20-JWR-A"/>
    <m/>
    <s v="Elkhart"/>
    <n v="41.538167000000001"/>
    <n v="-85.780034999999998"/>
    <s v="Transportation"/>
    <m/>
    <s v="No"/>
    <m/>
    <n v="21330"/>
    <n v="99540"/>
    <n v="21330"/>
    <m/>
    <m/>
    <m/>
    <m/>
    <m/>
    <m/>
    <m/>
    <m/>
    <s v="USACE did not require ILF mitigation. Lat/Long beginning point of linear project.  End point Lat 41.603708, Long -85.993569"/>
  </r>
  <r>
    <d v="2019-09-18T00:00:00"/>
    <s v="September"/>
    <x v="2"/>
    <x v="4"/>
    <n v="-0.74"/>
    <x v="0"/>
    <n v="59200"/>
    <n v="43"/>
    <s v="Federal"/>
    <s v="PEM"/>
    <n v="0.308"/>
    <s v="INDOT"/>
    <s v="LRL-2015-489-sjk"/>
    <s v="2015-294-79-JWR-A"/>
    <m/>
    <s v="Tippecanoe"/>
    <n v="40.4514"/>
    <n v="-86.893600000000006"/>
    <s v="Transportation"/>
    <m/>
    <s v="No"/>
    <m/>
    <n v="8880"/>
    <n v="41440"/>
    <n v="8880"/>
    <m/>
    <m/>
    <m/>
    <m/>
    <m/>
    <m/>
    <m/>
    <m/>
    <s v="INDOT DES No. 0400774"/>
  </r>
  <r>
    <d v="2019-09-18T00:00:00"/>
    <s v="September"/>
    <x v="2"/>
    <x v="4"/>
    <n v="-0.62"/>
    <x v="0"/>
    <n v="49600"/>
    <n v="43"/>
    <s v="Federal"/>
    <s v="PFO"/>
    <n v="0.17299999999999999"/>
    <s v="INDOT"/>
    <s v="LRL-2015-489-sjk"/>
    <s v="2015-294-79-JWR-A"/>
    <m/>
    <s v="Tippecanoe"/>
    <n v="40.4514"/>
    <n v="-86.893600000000006"/>
    <s v="Transportation"/>
    <m/>
    <s v="No"/>
    <m/>
    <n v="7440"/>
    <n v="34720"/>
    <n v="7440"/>
    <m/>
    <m/>
    <m/>
    <m/>
    <m/>
    <m/>
    <m/>
    <m/>
    <s v="INDOT DES No. 0400774"/>
  </r>
  <r>
    <d v="2019-09-18T00:00:00"/>
    <s v="September"/>
    <x v="2"/>
    <x v="5"/>
    <n v="-0.02"/>
    <x v="0"/>
    <n v="1600"/>
    <n v="47"/>
    <s v="Federal"/>
    <s v="PEM"/>
    <n v="0.01"/>
    <s v="INDOT"/>
    <s v="LRL-2019-205-sam"/>
    <s v="2019-110-62-JBT-A"/>
    <m/>
    <s v="Perry"/>
    <n v="38.207332000000001"/>
    <n v="-86.780664000000002"/>
    <s v="Transportation"/>
    <m/>
    <s v="No"/>
    <m/>
    <n v="240"/>
    <n v="1120"/>
    <n v="240"/>
    <m/>
    <m/>
    <m/>
    <m/>
    <m/>
    <m/>
    <m/>
    <m/>
    <s v="INDOT DES No. 1702301"/>
  </r>
  <r>
    <d v="2019-09-26T00:00:00"/>
    <s v="September"/>
    <x v="2"/>
    <x v="9"/>
    <n v="-0.15"/>
    <x v="0"/>
    <n v="12000"/>
    <n v="55"/>
    <s v="State Isolated"/>
    <s v="PEM"/>
    <n v="0.15"/>
    <s v="Plainfield Community School Corporation"/>
    <s v="N/A"/>
    <s v="IWGP 2019-560-32-JMK-A"/>
    <m/>
    <s v="Hendricks"/>
    <n v="39.669618"/>
    <n v="-86.420428000000001"/>
    <s v="Development"/>
    <s v="Mod 1 - LRL-2020-989-sam"/>
    <s v="Yes"/>
    <d v="2023-07-10T00:00:00"/>
    <n v="1800"/>
    <n v="8400"/>
    <n v="1800"/>
    <m/>
    <m/>
    <m/>
    <m/>
    <s v="HC Farms"/>
    <m/>
    <m/>
    <m/>
    <s v="Credits fulfilled and released - HC Farms First Release.  Class I Non-Forested Isolated Wetland Impact"/>
  </r>
  <r>
    <d v="2019-09-26T00:00:00"/>
    <s v="September"/>
    <x v="2"/>
    <x v="9"/>
    <n v="-1.58"/>
    <x v="0"/>
    <n v="126400"/>
    <n v="37"/>
    <s v="Federal"/>
    <s v="PEM"/>
    <n v="0.79"/>
    <s v="INDOT"/>
    <s v="LRL-2017-461-scm"/>
    <s v="2019-072-32-JBT-A"/>
    <m/>
    <s v="Hendricks"/>
    <n v="39.613258000000002"/>
    <n v="-86.480226000000002"/>
    <s v="Transportation"/>
    <s v="Mod 1 - LRL-2020-989-sam and Bank"/>
    <s v="Yes"/>
    <d v="2023-12-05T00:00:00"/>
    <n v="18960"/>
    <n v="88480"/>
    <n v="18960"/>
    <m/>
    <m/>
    <m/>
    <m/>
    <s v="HC Farms and Candace Bank"/>
    <m/>
    <m/>
    <m/>
    <s v="0.58 fulfilled from HC Farms initial release and 1.0 fulfilled from Candace Lee Fink Mitigation Bank Credit purchase.INDOT DES No. 1500143"/>
  </r>
  <r>
    <d v="2019-10-02T00:00:00"/>
    <s v="October"/>
    <x v="2"/>
    <x v="9"/>
    <n v="-0.29399999999999998"/>
    <x v="0"/>
    <n v="23520"/>
    <n v="53"/>
    <s v="State Isolated"/>
    <s v="PEM"/>
    <n v="0.14699999999999999"/>
    <s v="Duke Energy"/>
    <s v="N/A"/>
    <s v="IWIP 2019-026-29-ALF-A"/>
    <m/>
    <s v="Hamilton "/>
    <n v="40.101590000000002"/>
    <n v="-85.975290000000001"/>
    <s v="Energy Production"/>
    <s v="LRL-2014-100-sam/Candace Lee Fink Mitigtion Bank"/>
    <s v="Yes"/>
    <d v="2023-12-05T00:00:00"/>
    <n v="3528"/>
    <n v="16464"/>
    <n v="3528"/>
    <m/>
    <m/>
    <m/>
    <m/>
    <s v="Candace Lee Fink Mitigation Bank"/>
    <m/>
    <m/>
    <m/>
    <s v="Credit fulfilled, purchased from Candace Lee Fink Mitigation Bank.  Class II Non-Forested Isolated Wetland Impact"/>
  </r>
  <r>
    <d v="2019-10-02T00:00:00"/>
    <s v="October"/>
    <x v="2"/>
    <x v="9"/>
    <n v="-0.85"/>
    <x v="0"/>
    <n v="68000"/>
    <n v="53"/>
    <s v="State Isolated"/>
    <s v="PFO"/>
    <n v="0.34"/>
    <s v="Duke Energy"/>
    <s v="N/A"/>
    <s v="IWIP 2019-026-29-ALF-A"/>
    <m/>
    <s v="Hamilton "/>
    <n v="40.101590000000002"/>
    <n v="-85.975290000000001"/>
    <s v="Energy Production"/>
    <s v="LRL-2014-100-sam/Candace Lee Fink Mitigtion Bank"/>
    <s v="Yes"/>
    <d v="2023-12-05T00:00:00"/>
    <n v="10200"/>
    <n v="47600"/>
    <n v="10200"/>
    <m/>
    <m/>
    <m/>
    <m/>
    <s v="Candace Lee Fink Mitigation Bank"/>
    <m/>
    <m/>
    <m/>
    <s v="Credit fulfilled, purchased from Candace Lee Fink Mitigation Bank.  Class II Forested Isolated Wetland Impact"/>
  </r>
  <r>
    <d v="2019-10-15T00:00:00"/>
    <s v="October"/>
    <x v="2"/>
    <x v="0"/>
    <n v="-2.4E-2"/>
    <x v="0"/>
    <n v="2280"/>
    <n v="44"/>
    <s v="Federal"/>
    <s v="PEM"/>
    <n v="1.2E-2"/>
    <s v="AEP"/>
    <s v="LRC-2015-411"/>
    <s v="2019-137-46-MTM-A"/>
    <m/>
    <s v="LaPorte"/>
    <n v="41.721879000000001"/>
    <n v="-86.756603999999996"/>
    <s v="Energy Production"/>
    <m/>
    <s v="No"/>
    <m/>
    <n v="342"/>
    <n v="1596"/>
    <n v="342"/>
    <m/>
    <m/>
    <m/>
    <m/>
    <m/>
    <m/>
    <m/>
    <m/>
    <m/>
  </r>
  <r>
    <d v="2019-10-15T00:00:00"/>
    <s v="October"/>
    <x v="2"/>
    <x v="0"/>
    <n v="-3.0000000000000001E-3"/>
    <x v="0"/>
    <n v="285"/>
    <n v="44"/>
    <s v="Federal"/>
    <s v="PSS"/>
    <n v="1E-3"/>
    <s v="AEP"/>
    <s v="LRC-2015-411"/>
    <s v="2019-137-46-MTM-A"/>
    <m/>
    <s v="LaPorte"/>
    <n v="41.721879000000001"/>
    <n v="-86.756603999999996"/>
    <s v="Energy Production"/>
    <m/>
    <s v="No"/>
    <m/>
    <n v="42.75"/>
    <n v="199.5"/>
    <n v="42.75"/>
    <m/>
    <m/>
    <m/>
    <m/>
    <m/>
    <m/>
    <m/>
    <m/>
    <m/>
  </r>
  <r>
    <d v="2019-10-15T00:00:00"/>
    <s v="October"/>
    <x v="2"/>
    <x v="0"/>
    <n v="-0.52500000000000002"/>
    <x v="0"/>
    <n v="49875"/>
    <n v="44"/>
    <s v="Federal"/>
    <s v="PFO"/>
    <n v="0.17499999999999999"/>
    <s v="AEP"/>
    <s v="LRC-2015-411"/>
    <s v="2019-137-46-MTM-A"/>
    <m/>
    <s v="LaPorte"/>
    <n v="41.721879000000001"/>
    <n v="-86.756603999999996"/>
    <s v="Energy Production"/>
    <m/>
    <s v="No"/>
    <m/>
    <n v="7481.25"/>
    <n v="34912.5"/>
    <n v="7481.25"/>
    <m/>
    <m/>
    <m/>
    <m/>
    <m/>
    <m/>
    <m/>
    <m/>
    <m/>
  </r>
  <r>
    <d v="2019-10-22T00:00:00"/>
    <s v="October"/>
    <x v="2"/>
    <x v="0"/>
    <n v="-1.51"/>
    <x v="0"/>
    <n v="143450"/>
    <n v="57"/>
    <s v="Federal"/>
    <s v="PFO"/>
    <n v="0.33779999999999999"/>
    <s v="AEP"/>
    <s v="LRC-2019-255"/>
    <s v="`2019-200-46-MTM-A"/>
    <m/>
    <s v="LaPorte"/>
    <s v="41. 719149"/>
    <n v="-86.756743999999998"/>
    <s v="Energy Production"/>
    <m/>
    <s v="No"/>
    <m/>
    <n v="21517.5"/>
    <n v="100415"/>
    <n v="21517.5"/>
    <m/>
    <m/>
    <m/>
    <m/>
    <m/>
    <m/>
    <m/>
    <m/>
    <s v="401 WQC also included impacts to 0.0051 acres of PEM"/>
  </r>
  <r>
    <d v="2019-10-22T00:00:00"/>
    <s v="October"/>
    <x v="2"/>
    <x v="9"/>
    <n v="-1.774"/>
    <x v="0"/>
    <n v="141920"/>
    <n v="56"/>
    <s v="State Isolated"/>
    <s v="PEM"/>
    <n v="1.774"/>
    <s v="City of Greenwood"/>
    <s v="N/A"/>
    <s v="IWIP 2019-658-41-TMS-A"/>
    <m/>
    <s v="Johnson"/>
    <n v="39.635689999999997"/>
    <n v="-86.065020000000004"/>
    <s v="Development"/>
    <s v="LRL-2014-100-sam/Candace Lee Fink Mitigtion Bank"/>
    <s v="Yes"/>
    <d v="2023-12-05T00:00:00"/>
    <n v="21288"/>
    <n v="99344"/>
    <n v="21288"/>
    <m/>
    <m/>
    <m/>
    <m/>
    <s v="Candace Lee Fink Mitigation Bank"/>
    <m/>
    <m/>
    <m/>
    <s v="Credit fulfilled, purchased from Candace Lee Fink Mitigation Bank.Class I Non-Forested (PEM) Isolated Wetland Impact"/>
  </r>
  <r>
    <d v="2019-10-23T00:00:00"/>
    <s v="October"/>
    <x v="2"/>
    <x v="10"/>
    <n v="-1279"/>
    <x v="1"/>
    <n v="511600"/>
    <n v="48"/>
    <s v="Federal"/>
    <s v="Int"/>
    <n v="1066"/>
    <s v="INDOT"/>
    <s v="LRL-2015-749-sjk"/>
    <s v="2017-110-72-SKG-A"/>
    <m/>
    <s v="Scott"/>
    <n v="38.740200000000002"/>
    <n v="-85.753"/>
    <s v="Transportation"/>
    <m/>
    <s v="No"/>
    <m/>
    <n v="76740"/>
    <n v="358120"/>
    <n v="76740"/>
    <m/>
    <m/>
    <m/>
    <m/>
    <m/>
    <m/>
    <m/>
    <m/>
    <m/>
  </r>
  <r>
    <d v="2019-10-23T00:00:00"/>
    <s v="October"/>
    <x v="2"/>
    <x v="10"/>
    <n v="-356"/>
    <x v="1"/>
    <n v="142400"/>
    <n v="48"/>
    <s v="Federal"/>
    <s v="Per"/>
    <n v="297"/>
    <s v="INDOT"/>
    <s v="LRL-2015-749-sjk"/>
    <s v="2017-110-72-SKG-A"/>
    <m/>
    <s v="Scott"/>
    <n v="38.740200000000002"/>
    <n v="-85.753"/>
    <s v="Transportation"/>
    <m/>
    <s v="No"/>
    <m/>
    <n v="21360"/>
    <n v="99680"/>
    <n v="21360"/>
    <m/>
    <m/>
    <m/>
    <m/>
    <m/>
    <m/>
    <m/>
    <m/>
    <m/>
  </r>
  <r>
    <d v="2019-10-23T00:00:00"/>
    <s v="October"/>
    <x v="2"/>
    <x v="10"/>
    <n v="-1.69"/>
    <x v="0"/>
    <n v="135200"/>
    <n v="48"/>
    <s v="Federal"/>
    <s v="PEM"/>
    <n v="0.70699999999999996"/>
    <s v="INDOT"/>
    <s v="LRL-2015-749-sjk"/>
    <s v="2017-110-72-SKG-A"/>
    <m/>
    <s v="Scott"/>
    <n v="38.740200000000002"/>
    <n v="-85.753"/>
    <s v="Transportation"/>
    <m/>
    <s v="No"/>
    <m/>
    <n v="20280"/>
    <n v="94640"/>
    <n v="20280"/>
    <m/>
    <m/>
    <m/>
    <m/>
    <m/>
    <m/>
    <m/>
    <m/>
    <m/>
  </r>
  <r>
    <d v="2019-10-23T00:00:00"/>
    <s v="October"/>
    <x v="2"/>
    <x v="10"/>
    <n v="-0.69"/>
    <x v="0"/>
    <n v="55200"/>
    <n v="48"/>
    <s v="Federal"/>
    <s v="PFO"/>
    <n v="0.16300000000000001"/>
    <s v="INDOT"/>
    <s v="LRL-2015-749-sjk"/>
    <s v="2017-110-72-SKG-A"/>
    <m/>
    <s v="Scott"/>
    <n v="38.740200000000002"/>
    <n v="-85.753"/>
    <s v="Transportation"/>
    <m/>
    <s v="No"/>
    <m/>
    <n v="8280"/>
    <n v="38640"/>
    <n v="8280"/>
    <m/>
    <m/>
    <m/>
    <m/>
    <m/>
    <m/>
    <m/>
    <m/>
    <m/>
  </r>
  <r>
    <d v="2019-12-13T00:00:00"/>
    <s v="December"/>
    <x v="2"/>
    <x v="7"/>
    <n v="-8.5299999999999994"/>
    <x v="0"/>
    <n v="682400"/>
    <n v="58"/>
    <s v="Federal"/>
    <s v="PEM"/>
    <n v="5.83"/>
    <s v="INDOT"/>
    <s v="LRL-1999-1520-djd"/>
    <s v="1999-300-10-MBF-A"/>
    <m/>
    <s v="Clark"/>
    <n v="38.291400000000003"/>
    <n v="-85.758399999999995"/>
    <s v="Transportation"/>
    <s v="LRL-2014-100-sam/Fourteeen Mile Creek Mitigation Bank"/>
    <s v="Yes"/>
    <d v="2024-01-22T00:00:00"/>
    <n v="102360"/>
    <n v="477679.99999999994"/>
    <n v="102360"/>
    <m/>
    <m/>
    <m/>
    <m/>
    <s v="Fourteen Mile Creek Mitigation Bank"/>
    <m/>
    <m/>
    <m/>
    <s v="Credit fulfilled, purchased from Fourteen Mile Creek Mitigation Bank.  "/>
  </r>
  <r>
    <d v="2019-12-13T00:00:00"/>
    <s v="December"/>
    <x v="2"/>
    <x v="7"/>
    <n v="-2.68"/>
    <x v="0"/>
    <n v="214400"/>
    <n v="58"/>
    <s v="Federal"/>
    <s v="PFO"/>
    <n v="2.02"/>
    <s v="INDOT"/>
    <s v="LRL-1999-1520-djd"/>
    <s v="1999-300-10-MBF-A"/>
    <m/>
    <s v="Clark"/>
    <n v="38.291400000000003"/>
    <n v="-85.758399999999995"/>
    <s v="Transportation"/>
    <s v="LRL-2014-100-sam/Fourteeen Mile Creek Mitigation Bank"/>
    <s v="Yes"/>
    <d v="2024-01-22T00:00:00"/>
    <n v="32160"/>
    <n v="150080"/>
    <n v="32160"/>
    <m/>
    <m/>
    <m/>
    <m/>
    <s v="Fourteen Mile Creek Mitigation Bank"/>
    <m/>
    <m/>
    <m/>
    <s v="Credit fulfilled, purchased from Fourteen Mile Creek Mitigation Bank.  "/>
  </r>
  <r>
    <m/>
    <m/>
    <x v="1"/>
    <x v="11"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0-01-02T00:00:00"/>
    <s v="January "/>
    <x v="3"/>
    <x v="3"/>
    <n v="-0.28000000000000003"/>
    <x v="0"/>
    <n v="22400"/>
    <n v="65"/>
    <s v="Federal"/>
    <s v="PFO"/>
    <n v="7.0000000000000007E-2"/>
    <s v="Sabert Corporation"/>
    <s v="LRE-2019-00221-102"/>
    <s v="2019-446-02-WRH-A"/>
    <m/>
    <s v="Allen"/>
    <n v="41.040500999999999"/>
    <n v="-85.186507000000006"/>
    <s v="Development"/>
    <s v="LRL-2014-100-sam/Openings Mitigation Bank "/>
    <s v="Yes"/>
    <s v="11/3/2023 and 1/15/2024"/>
    <n v="3360"/>
    <n v="15680"/>
    <n v="3360"/>
    <m/>
    <m/>
    <m/>
    <m/>
    <s v="Openings Mitigation Bank"/>
    <m/>
    <m/>
    <m/>
    <s v="Credit fulfilled, purchased from Openings Mitigation Bank, partial 1.05 credit on 11/3/2023 and final 0.93 credit on 1/15/2024"/>
  </r>
  <r>
    <d v="2020-01-02T00:00:00"/>
    <s v="January "/>
    <x v="3"/>
    <x v="3"/>
    <n v="-1.98"/>
    <x v="0"/>
    <n v="158400"/>
    <n v="65"/>
    <s v="Federal"/>
    <s v="PSS"/>
    <n v="0.66"/>
    <s v="Sabert Corporation"/>
    <s v="LRE-2019-00221-102"/>
    <s v="2019-446-02-WRH-A"/>
    <m/>
    <s v="Allen"/>
    <n v="41.040500999999999"/>
    <n v="-85.186507000000006"/>
    <s v="Development"/>
    <s v="LRL-2014-100-sam/Openings Mitigation Bank "/>
    <s v="Yes"/>
    <d v="2024-01-15T00:00:00"/>
    <n v="23760"/>
    <n v="110880"/>
    <n v="23760"/>
    <m/>
    <m/>
    <m/>
    <m/>
    <s v="Openings Mitigation Bank"/>
    <m/>
    <m/>
    <m/>
    <s v="1.05 credit purchased 11/3/2023 and 0.93 credit purchased on 1/15/2024 to fulfill the 1.98 credits"/>
  </r>
  <r>
    <d v="2020-01-02T00:00:00"/>
    <s v="January "/>
    <x v="3"/>
    <x v="3"/>
    <n v="-0.94"/>
    <x v="0"/>
    <n v="75200"/>
    <n v="65"/>
    <s v="State Isolated"/>
    <s v="PFO"/>
    <n v="0.3"/>
    <s v="Sabert Corporation"/>
    <s v="N/A"/>
    <s v="IWIP 2019-446-02-WRH-A"/>
    <m/>
    <s v="Allen"/>
    <n v="41.040500999999999"/>
    <n v="-85.186507000000006"/>
    <s v="Development"/>
    <s v="LRL-2014-100-sam/Openings Mitigation Bank "/>
    <s v="Yes"/>
    <d v="2023-11-03T00:00:00"/>
    <n v="11280"/>
    <n v="52640"/>
    <n v="11280"/>
    <m/>
    <m/>
    <m/>
    <m/>
    <s v="Openings Mitigation Bank"/>
    <m/>
    <m/>
    <m/>
    <s v="Credit fulfilled, purchased from Openings Mitigation Bank.  Class II Forested Isolated Wetland Impact"/>
  </r>
  <r>
    <d v="2020-01-03T00:00:00"/>
    <s v="January "/>
    <x v="3"/>
    <x v="9"/>
    <n v="-4362"/>
    <x v="1"/>
    <n v="1962900"/>
    <n v="54"/>
    <s v="Federal"/>
    <s v="Eph"/>
    <n v="3636"/>
    <s v="INDOT "/>
    <s v="LRL-2016-481-dds"/>
    <s v="2019-089-49-JWR-A"/>
    <m/>
    <s v="Morgan &amp; Marion"/>
    <n v="39.697620000000001"/>
    <n v="-86.182540000000003"/>
    <s v="Transportation"/>
    <s v="Mod 1 - LRL-2020-989-sam/ LRL-2021-552-sam/"/>
    <s v="No"/>
    <s v="9/3/2024, 2/6/2025, 5/9/2025"/>
    <n v="294435"/>
    <n v="1374030"/>
    <n v="294435"/>
    <m/>
    <m/>
    <m/>
    <m/>
    <s v="HC Farms release #2/Fall Creek Woods release #1/Fall Creek Woods release #2"/>
    <m/>
    <m/>
    <m/>
    <s v="289/4362 credits fulfilled by HC Farms release #2. 350/4073 credits fulfilled by Fall Creek Woods (FCW) release #1. 3723 credits remaining to fulfill.  350/3723 credits fulfilled by FCW release #2. 3373 credits remaining to be fulfilled. INDOT DES No.0500430"/>
  </r>
  <r>
    <d v="2020-01-03T00:00:00"/>
    <s v="January "/>
    <x v="3"/>
    <x v="9"/>
    <n v="-5028"/>
    <x v="1"/>
    <n v="2262600"/>
    <n v="54"/>
    <s v="Federal"/>
    <s v="Int"/>
    <n v="2085"/>
    <s v="INDOT "/>
    <s v="LRL-2016-481-dds"/>
    <s v="2019-089-49-JWR-A"/>
    <m/>
    <s v="Morgan &amp; Marion"/>
    <n v="39.697620000000001"/>
    <n v="-86.182540000000003"/>
    <s v="Transportation"/>
    <m/>
    <s v="No"/>
    <m/>
    <n v="339390"/>
    <n v="1583820"/>
    <n v="339390"/>
    <m/>
    <m/>
    <m/>
    <m/>
    <m/>
    <m/>
    <m/>
    <m/>
    <s v="Corps IP and RGP.  IDEM required more mitigation.  INDOT DES No. 0500430"/>
  </r>
  <r>
    <d v="2020-01-03T00:00:00"/>
    <s v="January "/>
    <x v="3"/>
    <x v="9"/>
    <n v="-2688"/>
    <x v="1"/>
    <n v="1209600"/>
    <n v="54"/>
    <s v="Federal"/>
    <s v="Per"/>
    <n v="2240"/>
    <s v="INDOT "/>
    <s v="LRL-2016-481-dds"/>
    <s v="2019-089-49-JWR-A"/>
    <m/>
    <s v="Morgan &amp; Marion"/>
    <n v="39.697620000000001"/>
    <n v="-86.182540000000003"/>
    <s v="Transportation"/>
    <m/>
    <s v="No"/>
    <m/>
    <n v="181440"/>
    <n v="846720"/>
    <n v="181440"/>
    <m/>
    <m/>
    <m/>
    <m/>
    <m/>
    <m/>
    <m/>
    <m/>
    <s v="Corps IP and RGP.  IDEM required more mitigation.  INDOT DES No. 0500430"/>
  </r>
  <r>
    <d v="2020-01-06T00:00:00"/>
    <s v="January "/>
    <x v="3"/>
    <x v="7"/>
    <n v="-1080"/>
    <x v="1"/>
    <n v="432000"/>
    <n v="67"/>
    <s v="Federal"/>
    <s v="Int"/>
    <n v="900"/>
    <s v="Iron Street Partners, LLC"/>
    <s v="LRL-2019-222-anr"/>
    <s v="2019-184-10-TMS-V"/>
    <m/>
    <s v="Clark"/>
    <n v="38.345939000000001"/>
    <n v="-85.696188000000006"/>
    <s v="Development"/>
    <m/>
    <s v="No"/>
    <m/>
    <n v="64800"/>
    <n v="302400"/>
    <n v="64800"/>
    <m/>
    <m/>
    <m/>
    <m/>
    <m/>
    <m/>
    <m/>
    <m/>
    <m/>
  </r>
  <r>
    <d v="2020-01-06T00:00:00"/>
    <s v="January "/>
    <x v="3"/>
    <x v="10"/>
    <n v="-0.46"/>
    <x v="0"/>
    <n v="36800"/>
    <n v="61"/>
    <s v="Federal"/>
    <s v="PEM"/>
    <n v="0.19"/>
    <s v="INDOT "/>
    <s v="LRL-2018-1010-djd"/>
    <s v="2019-566-36-JBT-A"/>
    <m/>
    <s v="Jackson"/>
    <n v="38.957999999999998"/>
    <n v="-85.858999999999995"/>
    <s v="Transportation"/>
    <m/>
    <s v="No"/>
    <m/>
    <n v="5520"/>
    <n v="25760"/>
    <n v="5520"/>
    <m/>
    <m/>
    <m/>
    <m/>
    <m/>
    <m/>
    <m/>
    <m/>
    <s v="INDOT DES No. 1400090"/>
  </r>
  <r>
    <d v="2020-01-06T00:00:00"/>
    <s v="January "/>
    <x v="3"/>
    <x v="10"/>
    <n v="-452"/>
    <x v="1"/>
    <n v="180800"/>
    <n v="61"/>
    <s v="Federal"/>
    <s v="Eph"/>
    <n v="377"/>
    <s v="INDOT "/>
    <s v="LRL-2018-1010-djd"/>
    <s v="2019-566-36-JBT-A"/>
    <m/>
    <s v="Jackson"/>
    <n v="38.957999999999998"/>
    <n v="-85.858999999999995"/>
    <s v="Transportation"/>
    <m/>
    <s v="No"/>
    <m/>
    <n v="27120"/>
    <n v="126559.99999999999"/>
    <n v="27120"/>
    <m/>
    <m/>
    <m/>
    <m/>
    <m/>
    <m/>
    <m/>
    <m/>
    <s v="INDOT DES No. 1400090"/>
  </r>
  <r>
    <d v="2020-01-06T00:00:00"/>
    <s v="January "/>
    <x v="3"/>
    <x v="10"/>
    <n v="-30"/>
    <x v="1"/>
    <n v="12000"/>
    <n v="61"/>
    <s v="Federal"/>
    <s v="Int"/>
    <n v="25"/>
    <s v="INDOT "/>
    <s v="LRL-2018-1010-djd"/>
    <s v="2019-566-36-JBT-A"/>
    <m/>
    <s v="Jackson"/>
    <n v="38.957999999999998"/>
    <n v="-85.858999999999995"/>
    <s v="Transportation"/>
    <m/>
    <s v="No"/>
    <m/>
    <n v="1800"/>
    <n v="8400"/>
    <n v="1800"/>
    <m/>
    <m/>
    <m/>
    <m/>
    <m/>
    <m/>
    <m/>
    <m/>
    <s v="INDOT DES No. 1400090"/>
  </r>
  <r>
    <d v="2020-01-07T00:00:00"/>
    <s v="January "/>
    <x v="3"/>
    <x v="3"/>
    <n v="-0.64"/>
    <x v="0"/>
    <n v="51200"/>
    <n v="69"/>
    <s v="Federal"/>
    <s v="PEM"/>
    <n v="0.18"/>
    <s v="DeKalb County Airport Authority"/>
    <s v="LRE-1989-1170052-R17"/>
    <s v="2017-397-17-HAP-A"/>
    <m/>
    <s v="DeKalb"/>
    <n v="41.301699999999997"/>
    <n v="-85.07"/>
    <s v="Transportation"/>
    <s v="LRL-2014-100-sam/Openings Mitigation Bank "/>
    <s v="Yes"/>
    <d v="2023-11-03T00:00:00"/>
    <n v="7680"/>
    <n v="35840"/>
    <n v="7680"/>
    <m/>
    <m/>
    <m/>
    <m/>
    <s v="Openings Mitigation Bank"/>
    <m/>
    <m/>
    <m/>
    <s v="Credit fulfilled, purchased from Openings Mitigation Bank"/>
  </r>
  <r>
    <d v="2020-01-07T00:00:00"/>
    <s v="January "/>
    <x v="3"/>
    <x v="3"/>
    <n v="-6.37"/>
    <x v="0"/>
    <n v="509600"/>
    <n v="69"/>
    <s v="Federal"/>
    <s v="PFO"/>
    <n v="0.02"/>
    <s v="DeKalb County Airport Authority"/>
    <s v="LRE-1989-1170052-R17"/>
    <s v="2017-397-17-HAP-A"/>
    <m/>
    <s v="DeKalb"/>
    <n v="41.301699999999997"/>
    <n v="-85.07"/>
    <s v="Transportation"/>
    <s v="LRL-2014-100-sam/Openings Mitigation Bank "/>
    <s v="Yes"/>
    <d v="2023-11-03T00:00:00"/>
    <n v="76440"/>
    <n v="356720"/>
    <n v="76440"/>
    <m/>
    <m/>
    <m/>
    <m/>
    <s v="Openings Mitigation Bank"/>
    <m/>
    <m/>
    <m/>
    <s v="Credit fulfilled, purchased from Openings Mitigation Bank.  IDEM recorded additional PFO impacts due to converting 2.08 acres of forested wetlands to emergent. "/>
  </r>
  <r>
    <d v="2020-01-08T00:00:00"/>
    <s v="January "/>
    <x v="3"/>
    <x v="2"/>
    <n v="-245"/>
    <x v="1"/>
    <n v="98000"/>
    <n v="64"/>
    <s v="Federal"/>
    <s v="Int"/>
    <n v="245"/>
    <s v="TBH, LLC"/>
    <s v="Not Applicable"/>
    <s v="2019-567-60-TMS-A"/>
    <m/>
    <s v="Owen"/>
    <n v="39.291739999999997"/>
    <n v="-86.755350000000007"/>
    <s v="Development"/>
    <m/>
    <s v="No"/>
    <m/>
    <n v="14700"/>
    <n v="68600"/>
    <n v="14700"/>
    <m/>
    <m/>
    <m/>
    <m/>
    <m/>
    <m/>
    <m/>
    <m/>
    <s v="No USACE number due to minimal impacts (&lt;300 LF) and no notification"/>
  </r>
  <r>
    <d v="2020-01-14T00:00:00"/>
    <s v="January "/>
    <x v="3"/>
    <x v="5"/>
    <n v="-342.6"/>
    <x v="1"/>
    <n v="137040"/>
    <n v="62"/>
    <s v="Federal"/>
    <s v="Eph"/>
    <n v="382.1"/>
    <s v="INDOT "/>
    <s v="LRL-2019-698-scm"/>
    <s v="2019-625-87-JBT-A"/>
    <m/>
    <s v="Warrick"/>
    <n v="38.039839999999998"/>
    <n v="-87.244799999999998"/>
    <s v="Transportation"/>
    <m/>
    <s v="No"/>
    <m/>
    <n v="20556"/>
    <n v="95928"/>
    <n v="20556"/>
    <m/>
    <m/>
    <m/>
    <m/>
    <m/>
    <m/>
    <m/>
    <m/>
    <s v="INDOT DES No. 1500052"/>
  </r>
  <r>
    <d v="2020-01-30T00:00:00"/>
    <s v="January "/>
    <x v="3"/>
    <x v="0"/>
    <n v="-0.43"/>
    <x v="0"/>
    <n v="40850"/>
    <n v="41"/>
    <s v="Federal"/>
    <s v="PEM"/>
    <n v="0.23"/>
    <s v="Providence Real Estate Development"/>
    <s v="LRC-2018-305"/>
    <s v="2018-554-45-MTM-A"/>
    <m/>
    <s v="Lake"/>
    <n v="41.46067"/>
    <n v="-87.405949000000007"/>
    <s v="Development"/>
    <m/>
    <s v="No"/>
    <m/>
    <n v="6127.5"/>
    <n v="28595"/>
    <n v="6127.5"/>
    <m/>
    <m/>
    <m/>
    <m/>
    <m/>
    <m/>
    <m/>
    <m/>
    <s v="Funds received by INRF August 2019; INRF receipt sent to DNR in January 2020 due to oversight. "/>
  </r>
  <r>
    <d v="2020-02-05T00:00:00"/>
    <s v="February"/>
    <x v="3"/>
    <x v="3"/>
    <n v="-740"/>
    <x v="1"/>
    <n v="333000"/>
    <n v="71"/>
    <s v="Federal"/>
    <s v="Per"/>
    <n v="996"/>
    <s v="City of Fort Wayne - Parks and Recreation"/>
    <s v="LRE-2015-01011-102"/>
    <s v="2017-201-02-HAP-A"/>
    <m/>
    <s v="Allen"/>
    <n v="41.082869000000002"/>
    <n v="-85.149878000000001"/>
    <s v="Development"/>
    <m/>
    <s v="No"/>
    <m/>
    <n v="49950"/>
    <n v="233099.99999999997"/>
    <n v="49950"/>
    <m/>
    <m/>
    <m/>
    <m/>
    <m/>
    <m/>
    <m/>
    <m/>
    <m/>
  </r>
  <r>
    <d v="2020-02-05T00:00:00"/>
    <s v="February"/>
    <x v="3"/>
    <x v="3"/>
    <n v="-1.1085"/>
    <x v="0"/>
    <n v="88680"/>
    <n v="71"/>
    <s v="Federal"/>
    <s v="PFO"/>
    <n v="0.26"/>
    <s v="City of Fort Wayne - Parks and Recreation"/>
    <s v="LRE-2015-01011-102"/>
    <s v="2017-201-02-HAP-A"/>
    <m/>
    <s v="Allen"/>
    <n v="41.082869000000002"/>
    <n v="-85.149878000000001"/>
    <s v="Development"/>
    <m/>
    <s v="No"/>
    <m/>
    <n v="13302"/>
    <n v="62075.999999999993"/>
    <n v="13302"/>
    <m/>
    <m/>
    <m/>
    <m/>
    <m/>
    <m/>
    <m/>
    <m/>
    <m/>
  </r>
  <r>
    <d v="2020-02-05T00:00:00"/>
    <s v="February"/>
    <x v="3"/>
    <x v="8"/>
    <n v="-174"/>
    <x v="1"/>
    <n v="69600"/>
    <n v="75"/>
    <s v="Federal"/>
    <s v="Per"/>
    <n v="174"/>
    <s v="Kelley Auto Real Estate, LLC &amp; Menards, Inc."/>
    <s v="LRE-2018-00428-102-R18"/>
    <s v="2018-627-02-MTM-A"/>
    <m/>
    <s v="Allen"/>
    <n v="41.078288999999998"/>
    <n v="-85.225233000000003"/>
    <s v="Development"/>
    <m/>
    <s v="No"/>
    <m/>
    <n v="10440"/>
    <n v="48720"/>
    <n v="10440"/>
    <m/>
    <m/>
    <m/>
    <m/>
    <m/>
    <m/>
    <m/>
    <m/>
    <s v="Corps RGP did not require mitigation - IDEM 401 WQC required mitigation"/>
  </r>
  <r>
    <d v="2020-02-19T00:00:00"/>
    <s v="February"/>
    <x v="3"/>
    <x v="0"/>
    <n v="-0.74099999999999999"/>
    <x v="0"/>
    <n v="70395"/>
    <n v="76"/>
    <s v="Federal"/>
    <s v="PEM"/>
    <n v="0.49399999999999999"/>
    <s v="City of Crown Point"/>
    <s v="LRC-2019-948"/>
    <s v="2019-793-45-MTM-A"/>
    <m/>
    <s v="Lake"/>
    <n v="41.420119999999997"/>
    <n v="-87.31165"/>
    <s v="Transportation"/>
    <m/>
    <s v="No"/>
    <m/>
    <n v="10559.25"/>
    <n v="49276.5"/>
    <n v="10559.25"/>
    <m/>
    <m/>
    <m/>
    <m/>
    <m/>
    <m/>
    <m/>
    <m/>
    <m/>
  </r>
  <r>
    <d v="2020-02-19T00:00:00"/>
    <s v="February"/>
    <x v="3"/>
    <x v="9"/>
    <n v="-0.504"/>
    <x v="0"/>
    <n v="40320"/>
    <n v="80"/>
    <s v="Federal"/>
    <s v="PEM"/>
    <n v="0.21"/>
    <s v="Raindrop, LLC"/>
    <s v="LRL-2018-107-LCL"/>
    <s v="2019-079-32-JMK-A"/>
    <m/>
    <s v="Hendricks"/>
    <n v="39.624200000000002"/>
    <n v="-86.468299999999999"/>
    <s v="Development"/>
    <s v="LRL-2014-100-sam/Candace Lee Fink Mitigtion Bank"/>
    <s v="Yes"/>
    <d v="2023-12-05T00:00:00"/>
    <n v="6048"/>
    <n v="28224"/>
    <n v="6048"/>
    <m/>
    <m/>
    <m/>
    <m/>
    <s v="Candace Lee Fink Mitigation Bank"/>
    <m/>
    <m/>
    <m/>
    <s v="Credit fulfilled, purchased from Candace Lee Fink Mitigation Bank"/>
  </r>
  <r>
    <d v="2020-02-19T00:00:00"/>
    <s v="February"/>
    <x v="3"/>
    <x v="9"/>
    <n v="-0.11"/>
    <x v="0"/>
    <n v="8800"/>
    <n v="80"/>
    <s v="Federal"/>
    <s v="PSS"/>
    <n v="0.03"/>
    <s v="Raindrop, LLC"/>
    <s v="LRL-2018-107-LCL"/>
    <s v="2019-079-32-JMK-A"/>
    <m/>
    <s v="Hendricks"/>
    <n v="39.624200000000002"/>
    <n v="-86.468299999999999"/>
    <s v="Development"/>
    <s v="LRL-2014-100-sam/Candace Lee Fink Mitigtion Bank"/>
    <s v="Yes"/>
    <d v="2023-12-05T00:00:00"/>
    <n v="1320"/>
    <n v="6160"/>
    <n v="1320"/>
    <m/>
    <m/>
    <m/>
    <m/>
    <s v="Candace Lee Fink Mitigation Bank"/>
    <m/>
    <m/>
    <m/>
    <s v="Credit fulfilled, purchased from Candace Lee Fink Mitigation Bank"/>
  </r>
  <r>
    <d v="2020-02-19T00:00:00"/>
    <s v="February"/>
    <x v="3"/>
    <x v="9"/>
    <n v="-1.042"/>
    <x v="0"/>
    <n v="83360"/>
    <n v="80"/>
    <s v="Federal"/>
    <s v="PFO"/>
    <n v="0.28999999999999998"/>
    <s v="Raindrop, LLC"/>
    <s v="LRL-2018-107-LCL"/>
    <s v="2019-079-32-JMK-A"/>
    <m/>
    <s v="Hendricks"/>
    <n v="39.624200000000002"/>
    <n v="-86.468299999999999"/>
    <s v="Development"/>
    <s v="LRL-2014-100-sam/Candace Lee Fink Mitigtion Bank"/>
    <s v="Yes"/>
    <d v="2023-12-05T00:00:00"/>
    <n v="12504"/>
    <n v="58351.999999999993"/>
    <n v="12504"/>
    <m/>
    <m/>
    <m/>
    <m/>
    <s v="Candace Lee Fink Mitigation Bank"/>
    <m/>
    <m/>
    <m/>
    <s v="Credit fulfilled, purchased from Candace Lee Fink Mitigation Bank"/>
  </r>
  <r>
    <d v="2020-02-19T00:00:00"/>
    <s v="February"/>
    <x v="3"/>
    <x v="9"/>
    <n v="-1.95"/>
    <x v="0"/>
    <n v="156000"/>
    <n v="80"/>
    <s v="State Isolated"/>
    <s v="PEM"/>
    <n v="1.95"/>
    <s v="Raindrop, LLC"/>
    <s v="N/A"/>
    <s v="IWIP 2019-079-32-JMK-A "/>
    <m/>
    <s v="Hendricks"/>
    <n v="39.624200000000002"/>
    <n v="-86.468299999999999"/>
    <s v="Development"/>
    <s v="LRL-2014-100-sam/Candace Lee Fink Mitigtion Bank"/>
    <s v="Yes"/>
    <d v="2023-12-05T00:00:00"/>
    <n v="23400"/>
    <n v="109200"/>
    <n v="23400"/>
    <m/>
    <m/>
    <m/>
    <m/>
    <s v="Candace Lee Fink Mitigation Bank"/>
    <m/>
    <m/>
    <m/>
    <s v="Credit fulfilled, purchased from Candace Lee Fink Mitigation Bank.  1.85 credit of the 1.95 credits were refunded to permittee on 1/25/2022, requiring only 0.1 credit to be fulfilled.Class I Non-Forested (PEM) Isolated Wetland Impact"/>
  </r>
  <r>
    <d v="2020-02-19T00:00:00"/>
    <s v="February"/>
    <x v="3"/>
    <x v="9"/>
    <n v="-0.65"/>
    <x v="0"/>
    <n v="52000"/>
    <n v="80"/>
    <s v="State Isolated"/>
    <s v="PFO"/>
    <n v="0.26"/>
    <s v="Raindrop, LLC"/>
    <s v="N/A"/>
    <s v="IWIP 2019-079-32-JMK-A "/>
    <m/>
    <s v="Hendricks"/>
    <n v="39.624200000000002"/>
    <n v="-86.468299999999999"/>
    <s v="Development"/>
    <s v="LRL-2014-100-sam/Candace Lee Fink Mitigtion Bank"/>
    <s v="Yes"/>
    <d v="2023-12-05T00:00:00"/>
    <n v="7800"/>
    <n v="36400"/>
    <n v="7800"/>
    <m/>
    <m/>
    <m/>
    <m/>
    <s v="Candace Lee Fink Mitigation Bank"/>
    <m/>
    <m/>
    <m/>
    <s v="Credit fulfilled, purchased from Candace Lee Fink Mitigation BankClass II Forested Isolated Wetland Impact"/>
  </r>
  <r>
    <d v="2020-02-19T00:00:00"/>
    <s v="February"/>
    <x v="3"/>
    <x v="9"/>
    <n v="-300"/>
    <x v="1"/>
    <n v="135000"/>
    <n v="74"/>
    <s v="Federal"/>
    <s v="Int"/>
    <n v="333.3"/>
    <s v="Town of Zionsville"/>
    <s v="LRL-2019-585-sam"/>
    <s v="2019-600-06-ALF-A"/>
    <m/>
    <s v="Boone"/>
    <n v="39.939478000000001"/>
    <n v="-86.259861000000001"/>
    <s v="Transportation"/>
    <m/>
    <s v="No"/>
    <m/>
    <n v="20250"/>
    <n v="94500"/>
    <n v="20250"/>
    <m/>
    <m/>
    <m/>
    <m/>
    <m/>
    <m/>
    <m/>
    <m/>
    <s v="Corps issued Indiana RGP No. 1 requiring to meet IDEM conditions in which required the ILF stream mitigation credits"/>
  </r>
  <r>
    <d v="2020-02-27T00:00:00"/>
    <s v="February"/>
    <x v="3"/>
    <x v="4"/>
    <n v="-0.18"/>
    <x v="0"/>
    <n v="14400"/>
    <n v="77"/>
    <s v="Federal"/>
    <s v="PSS"/>
    <n v="0.18"/>
    <s v="Jordan Creek Wind Farm, LLC"/>
    <s v="LRL-2019-990-lcl"/>
    <s v="2019-828-86-MTM-X"/>
    <m/>
    <s v="Warren, Benton &amp; Vermillion"/>
    <n v="40.418909999999997"/>
    <n v="-87.442430000000002"/>
    <s v="Energy Production"/>
    <m/>
    <s v="No"/>
    <m/>
    <n v="2160"/>
    <n v="10080"/>
    <n v="2160"/>
    <m/>
    <m/>
    <m/>
    <m/>
    <m/>
    <m/>
    <m/>
    <m/>
    <s v="Mitigation only required by IDEM "/>
  </r>
  <r>
    <d v="2020-03-03T00:00:00"/>
    <s v="March"/>
    <x v="3"/>
    <x v="10"/>
    <n v="-168"/>
    <x v="1"/>
    <n v="67200"/>
    <n v="85"/>
    <s v="Federal"/>
    <s v="Eph"/>
    <n v="140"/>
    <s v="Wal-Mart Compliance"/>
    <s v="LRL-2010-705-sam"/>
    <s v="2010-554-40-DDC-A"/>
    <m/>
    <s v="Jennings"/>
    <n v="39.020642000000002"/>
    <n v="-85.638099999999994"/>
    <s v="Development"/>
    <m/>
    <s v="No"/>
    <m/>
    <n v="10080"/>
    <n v="47040"/>
    <n v="10080"/>
    <m/>
    <m/>
    <m/>
    <m/>
    <m/>
    <m/>
    <m/>
    <m/>
    <s v="Credit purchase a result of failed mitigation, Credits purchased by Kleenco on Wal-Marts behalf"/>
  </r>
  <r>
    <d v="2020-03-03T00:00:00"/>
    <s v="March"/>
    <x v="3"/>
    <x v="10"/>
    <n v="-1.2"/>
    <x v="0"/>
    <n v="96000"/>
    <n v="85"/>
    <s v="Federal"/>
    <s v="PEM"/>
    <n v="0.91"/>
    <s v="Wal-Mart Compliance"/>
    <s v="LRL-2010-705-sam"/>
    <s v="2010-554-40-DDC-A"/>
    <m/>
    <s v="Jennings"/>
    <n v="39.020642000000002"/>
    <n v="-85.638099999999994"/>
    <s v="Development"/>
    <m/>
    <s v="No"/>
    <m/>
    <n v="14400"/>
    <n v="67200"/>
    <n v="14400"/>
    <m/>
    <m/>
    <m/>
    <m/>
    <m/>
    <m/>
    <m/>
    <m/>
    <s v="Credit purchase a result of failed mitigation, Credits purchased by Kleenco on Wal-Marts behalf"/>
  </r>
  <r>
    <d v="2020-03-03T00:00:00"/>
    <s v="March"/>
    <x v="3"/>
    <x v="10"/>
    <n v="-0.14000000000000001"/>
    <x v="0"/>
    <n v="11200"/>
    <n v="85"/>
    <s v="Federal"/>
    <s v="PSS"/>
    <n v="0.04"/>
    <s v="Wal-Mart Compliance"/>
    <s v="LRL-2010-705-sam"/>
    <s v="2010-554-40-DDC-A"/>
    <m/>
    <s v="Jennings"/>
    <n v="39.020642000000002"/>
    <n v="-85.638099999999994"/>
    <s v="Development"/>
    <m/>
    <s v="No"/>
    <m/>
    <n v="1680"/>
    <n v="7839.9999999999991"/>
    <n v="1680"/>
    <m/>
    <m/>
    <m/>
    <m/>
    <m/>
    <m/>
    <m/>
    <m/>
    <s v="Credit purchase a result of failed mitigation, Credits purchased by Kleenco on Wal-Marts behalf"/>
  </r>
  <r>
    <d v="2020-03-04T00:00:00"/>
    <s v="March"/>
    <x v="3"/>
    <x v="0"/>
    <n v="-2.16"/>
    <x v="0"/>
    <n v="205200"/>
    <n v="83"/>
    <s v="Federal"/>
    <s v="PFO"/>
    <n v="0.9"/>
    <s v="A Safe Haven Foundation"/>
    <s v="LRC-2018-674"/>
    <s v="2019-564-45-MTM-A"/>
    <m/>
    <s v="Lake"/>
    <n v="41.474299999999999"/>
    <n v="-87.305679999999995"/>
    <s v="Development"/>
    <m/>
    <s v="No"/>
    <m/>
    <n v="30780"/>
    <n v="143640"/>
    <n v="30780"/>
    <m/>
    <m/>
    <m/>
    <m/>
    <m/>
    <m/>
    <m/>
    <m/>
    <m/>
  </r>
  <r>
    <d v="2020-03-05T00:00:00"/>
    <s v="March"/>
    <x v="3"/>
    <x v="5"/>
    <n v="-1.76"/>
    <x v="0"/>
    <n v="140800"/>
    <n v="87"/>
    <s v="Federal"/>
    <s v="PFO"/>
    <n v="0.44"/>
    <s v="Evansville Water &amp; Sewer Utility "/>
    <s v="LRL-2019-631-mad"/>
    <s v="2019-475-82-TMS-A "/>
    <m/>
    <s v="Vanderburgh"/>
    <n v="37.954315999999999"/>
    <n v="-87.570311000000004"/>
    <s v="Development"/>
    <m/>
    <s v="No"/>
    <m/>
    <n v="21120"/>
    <n v="98560"/>
    <n v="21120"/>
    <m/>
    <m/>
    <m/>
    <m/>
    <m/>
    <m/>
    <m/>
    <m/>
    <m/>
  </r>
  <r>
    <d v="2020-03-18T00:00:00"/>
    <s v="March"/>
    <x v="3"/>
    <x v="6"/>
    <n v="-0.42"/>
    <x v="0"/>
    <n v="50400"/>
    <n v="88"/>
    <s v="Federal"/>
    <s v="PEM"/>
    <n v="0.21"/>
    <s v="P.W. Reality, LLC"/>
    <s v="LRE-2014-00296-143-R20"/>
    <s v="2020-54-43-JWR-X"/>
    <m/>
    <s v="Kosciusko"/>
    <n v="41.426081000000003"/>
    <n v="-85.762451999999996"/>
    <s v="Development"/>
    <m/>
    <s v="No"/>
    <m/>
    <n v="7560"/>
    <n v="35280"/>
    <n v="7560"/>
    <m/>
    <m/>
    <m/>
    <m/>
    <m/>
    <m/>
    <m/>
    <m/>
    <m/>
  </r>
  <r>
    <d v="2020-03-18T00:00:00"/>
    <s v="March"/>
    <x v="3"/>
    <x v="9"/>
    <n v="-0.03"/>
    <x v="0"/>
    <n v="2400"/>
    <n v="89"/>
    <s v="State Isolated"/>
    <s v="PEM"/>
    <n v="0.03"/>
    <s v="Westfield Commercial Ventures, LLC"/>
    <s v="N/A"/>
    <s v="IWGP 2020-64-29-ALF-A"/>
    <m/>
    <s v="Hamilton"/>
    <n v="40.044176999999998"/>
    <n v="-86.156177999999997"/>
    <s v="Development"/>
    <s v="LRL-2014-100-sam/Candace Lee Fink Mitigtion Bank"/>
    <s v="Yes"/>
    <d v="2023-12-05T00:00:00"/>
    <n v="360"/>
    <n v="1680"/>
    <n v="360"/>
    <m/>
    <m/>
    <m/>
    <m/>
    <s v="Candace Lee Fink Mitigation Bank"/>
    <m/>
    <m/>
    <m/>
    <s v="Credit fulfilled, purchased from Candace Lee Fink Mitigation Bank.  State Isolated Wetland General Permit for Class I Non-Forested wetland"/>
  </r>
  <r>
    <d v="2020-03-24T00:00:00"/>
    <s v="March"/>
    <x v="3"/>
    <x v="2"/>
    <n v="-186"/>
    <x v="1"/>
    <n v="74400"/>
    <n v="81"/>
    <s v="Federal"/>
    <s v="Int"/>
    <n v="186"/>
    <s v="INDOT "/>
    <s v="LRL-2019-872-djd"/>
    <s v="2019-647-36-JBT-A"/>
    <m/>
    <s v="Jackson"/>
    <n v="38.94744"/>
    <n v="-86.124170000000007"/>
    <s v="Transportation"/>
    <m/>
    <s v="No"/>
    <m/>
    <n v="11160"/>
    <n v="52080"/>
    <n v="11160"/>
    <m/>
    <m/>
    <m/>
    <m/>
    <m/>
    <m/>
    <m/>
    <m/>
    <s v="Corps issued Indiana RGP requiring to meet IDEM conditions required the ILF stream mitigation credits"/>
  </r>
  <r>
    <d v="2020-03-24T00:00:00"/>
    <s v="March"/>
    <x v="3"/>
    <x v="2"/>
    <n v="-86"/>
    <x v="1"/>
    <n v="34400"/>
    <n v="81"/>
    <s v="Federal"/>
    <s v="Per"/>
    <n v="86"/>
    <s v="INDOT "/>
    <s v="LRL-2019-872-djd"/>
    <s v="2019-647-36-JBT-A"/>
    <m/>
    <s v="Jackson"/>
    <n v="38.94744"/>
    <n v="-86.124170000000007"/>
    <s v="Transportation"/>
    <m/>
    <s v="No"/>
    <m/>
    <n v="5160"/>
    <n v="24080"/>
    <n v="5160"/>
    <m/>
    <m/>
    <m/>
    <m/>
    <m/>
    <m/>
    <m/>
    <m/>
    <s v="Corps issued Indiana RGP requiring to meet IDEM conditions required the ILF stream mitigation credits"/>
  </r>
  <r>
    <d v="2020-03-24T00:00:00"/>
    <s v="March"/>
    <x v="3"/>
    <x v="2"/>
    <n v="-500"/>
    <x v="1"/>
    <n v="200000"/>
    <n v="78"/>
    <s v="Federal"/>
    <s v="Eph"/>
    <n v="417"/>
    <s v="INDOT "/>
    <s v="LRL-2019-972-scm"/>
    <s v="2019-735-19-JBT-A"/>
    <m/>
    <s v="Dubois"/>
    <n v="38.480975000000001"/>
    <n v="-86.864420999999993"/>
    <s v="Transportation"/>
    <m/>
    <s v="No"/>
    <m/>
    <n v="30000"/>
    <n v="140000"/>
    <n v="30000"/>
    <m/>
    <m/>
    <m/>
    <m/>
    <m/>
    <m/>
    <m/>
    <m/>
    <m/>
  </r>
  <r>
    <d v="2020-03-24T00:00:00"/>
    <s v="March"/>
    <x v="3"/>
    <x v="2"/>
    <n v="-74"/>
    <x v="1"/>
    <n v="29600"/>
    <n v="78"/>
    <s v="Federal"/>
    <s v="Int"/>
    <n v="62"/>
    <s v="INDOT "/>
    <s v="LRL-2019-972-scm"/>
    <s v="2019-735-19-JBT-A"/>
    <m/>
    <s v="Dubois"/>
    <n v="38.480975000000001"/>
    <n v="-86.864420999999993"/>
    <s v="Transportation"/>
    <m/>
    <s v="No"/>
    <m/>
    <n v="4440"/>
    <n v="20720"/>
    <n v="4440"/>
    <m/>
    <m/>
    <m/>
    <m/>
    <m/>
    <m/>
    <m/>
    <m/>
    <m/>
  </r>
  <r>
    <d v="2020-03-24T00:00:00"/>
    <s v="March"/>
    <x v="3"/>
    <x v="9"/>
    <n v="-0.31"/>
    <x v="0"/>
    <n v="24800"/>
    <n v="92"/>
    <s v="State Isolated"/>
    <s v="PSS"/>
    <n v="0.13"/>
    <s v="Raindrop, LLC"/>
    <s v="N/A"/>
    <s v="IWGP 2018-169-32-JMK-A"/>
    <m/>
    <s v="Hendricks"/>
    <n v="39.623136000000002"/>
    <n v="-86.477220000000003"/>
    <s v="Development"/>
    <s v="LRL-2014-100-sam/Candace Lee Fink Mitigtion Bank"/>
    <s v="Yes"/>
    <d v="2023-12-05T00:00:00"/>
    <n v="3720"/>
    <n v="17360"/>
    <n v="3720"/>
    <m/>
    <m/>
    <m/>
    <m/>
    <s v="Candace Lee Fink Mitigation Bank"/>
    <m/>
    <m/>
    <m/>
    <s v="Credit fulfilled, purchased from Candace Lee Fink Mitigation Bank.  State Isolated Wetland General Permit for Class II Scrub-Shrub wetland"/>
  </r>
  <r>
    <d v="2020-03-25T00:00:00"/>
    <s v="March"/>
    <x v="3"/>
    <x v="10"/>
    <n v="-144"/>
    <x v="1"/>
    <n v="57600"/>
    <n v="72"/>
    <s v="Federal"/>
    <s v="Int"/>
    <n v="120"/>
    <s v="Arbor Homes"/>
    <s v="LRL-2016-1055-sjk"/>
    <s v="2019-731-30-ALF-A"/>
    <m/>
    <s v="Hancock"/>
    <n v="39.808100000000003"/>
    <n v="-85.926100000000005"/>
    <s v="Development"/>
    <m/>
    <s v="No"/>
    <m/>
    <n v="8640"/>
    <n v="40320"/>
    <n v="8640"/>
    <m/>
    <m/>
    <m/>
    <m/>
    <m/>
    <m/>
    <m/>
    <m/>
    <m/>
  </r>
  <r>
    <d v="2020-03-25T00:00:00"/>
    <s v="March"/>
    <x v="3"/>
    <x v="10"/>
    <n v="-0.2"/>
    <x v="0"/>
    <n v="16000"/>
    <n v="72"/>
    <s v="Federal"/>
    <s v="PEM"/>
    <n v="7.0000000000000007E-2"/>
    <s v="Arbor Homes"/>
    <s v="LRL-2016-1055-sjk"/>
    <s v="2019-731-30-ALF-A"/>
    <m/>
    <s v="Hancock"/>
    <n v="39.808100000000003"/>
    <n v="-85.926100000000005"/>
    <s v="Development"/>
    <m/>
    <s v="No"/>
    <m/>
    <n v="2400"/>
    <n v="11200"/>
    <n v="2400"/>
    <m/>
    <m/>
    <m/>
    <m/>
    <m/>
    <m/>
    <m/>
    <m/>
    <m/>
  </r>
  <r>
    <d v="2020-03-25T00:00:00"/>
    <s v="March"/>
    <x v="3"/>
    <x v="10"/>
    <n v="-0.36799999999999999"/>
    <x v="0"/>
    <n v="29440"/>
    <n v="72"/>
    <s v="Federal"/>
    <s v="PFO"/>
    <n v="0.1"/>
    <s v="Arbor Homes"/>
    <s v="LRL-2016-1055-sjk"/>
    <s v="2019-731-30-ALF-A"/>
    <m/>
    <s v="Hancock"/>
    <n v="39.808100000000003"/>
    <n v="-85.926100000000005"/>
    <s v="Development"/>
    <m/>
    <s v="No"/>
    <m/>
    <n v="4416"/>
    <n v="20608"/>
    <n v="4416"/>
    <m/>
    <m/>
    <m/>
    <m/>
    <m/>
    <m/>
    <m/>
    <m/>
    <m/>
  </r>
  <r>
    <d v="2020-03-31T00:00:00"/>
    <s v="March"/>
    <x v="3"/>
    <x v="9"/>
    <n v="-8"/>
    <x v="1"/>
    <n v="3600"/>
    <n v="73"/>
    <s v="Federal"/>
    <s v="Int"/>
    <n v="8"/>
    <s v="Hendricks County Highway Department"/>
    <s v="LRL-2019-395-MKD"/>
    <s v="2019-542-32-JMK-A"/>
    <m/>
    <s v="Hendricks"/>
    <n v="39.615389999999998"/>
    <n v="-86.503309999999999"/>
    <s v="Transportation"/>
    <m/>
    <s v="No"/>
    <m/>
    <n v="540"/>
    <n v="2520"/>
    <n v="540"/>
    <m/>
    <m/>
    <m/>
    <m/>
    <m/>
    <m/>
    <m/>
    <m/>
    <s v="Corps RGP - 401 WQC mitigation required"/>
  </r>
  <r>
    <d v="2020-03-31T00:00:00"/>
    <s v="March"/>
    <x v="3"/>
    <x v="9"/>
    <n v="-122"/>
    <x v="1"/>
    <n v="54900"/>
    <n v="73"/>
    <s v="Federal"/>
    <s v="Per"/>
    <n v="122"/>
    <s v="Hendricks County Highway Department"/>
    <s v="LRL-2019-395-MKD"/>
    <s v="2019-542-32-JMK-A"/>
    <m/>
    <s v="Hendricks"/>
    <n v="39.615389999999998"/>
    <n v="-86.503309999999999"/>
    <s v="Transportation"/>
    <m/>
    <s v="No"/>
    <m/>
    <n v="8235"/>
    <n v="38430"/>
    <n v="8235"/>
    <m/>
    <m/>
    <m/>
    <m/>
    <m/>
    <m/>
    <m/>
    <m/>
    <s v="Corps RGP - 401 WQC mitigation required"/>
  </r>
  <r>
    <d v="2020-04-01T00:00:00"/>
    <s v="April"/>
    <x v="3"/>
    <x v="0"/>
    <n v="-8"/>
    <x v="1"/>
    <n v="4800"/>
    <n v="66"/>
    <s v="Federal"/>
    <s v="Per"/>
    <n v="8"/>
    <s v="INDOT "/>
    <s v="LRC-2019-181"/>
    <s v="2019-133-64-JBT-A"/>
    <m/>
    <s v="Porter"/>
    <n v="41.587400000000002"/>
    <n v="-87.124600000000001"/>
    <s v="Transportation"/>
    <m/>
    <s v="No"/>
    <m/>
    <n v="720"/>
    <n v="3360"/>
    <n v="720"/>
    <m/>
    <m/>
    <m/>
    <m/>
    <m/>
    <m/>
    <m/>
    <m/>
    <m/>
  </r>
  <r>
    <d v="2020-04-01T00:00:00"/>
    <s v="April"/>
    <x v="3"/>
    <x v="0"/>
    <n v="-0.53200000000000003"/>
    <x v="0"/>
    <n v="50540"/>
    <n v="66"/>
    <s v="Federal"/>
    <s v="PFO"/>
    <n v="0.13300000000000001"/>
    <s v="INDOT "/>
    <s v="LRC-2019-181"/>
    <s v="2019-133-64-JBT-A"/>
    <m/>
    <s v="Porter"/>
    <n v="41.587400000000002"/>
    <n v="-87.124600000000001"/>
    <s v="Transportation"/>
    <m/>
    <s v="No"/>
    <m/>
    <n v="7581"/>
    <n v="35378"/>
    <n v="7581"/>
    <m/>
    <m/>
    <m/>
    <m/>
    <m/>
    <m/>
    <m/>
    <m/>
    <m/>
  </r>
  <r>
    <d v="2020-04-01T00:00:00"/>
    <s v="April"/>
    <x v="3"/>
    <x v="0"/>
    <n v="-0.38"/>
    <x v="0"/>
    <n v="36100"/>
    <n v="66"/>
    <s v="Federal"/>
    <s v="PEM"/>
    <n v="0.19"/>
    <s v="INDOT "/>
    <s v="LRC-2019-181"/>
    <s v="2019-133-64-JBT-A"/>
    <m/>
    <s v="Porter"/>
    <n v="41.587400000000002"/>
    <n v="-87.124600000000001"/>
    <s v="Transportation"/>
    <m/>
    <s v="No"/>
    <m/>
    <n v="5415"/>
    <n v="25270"/>
    <n v="5415"/>
    <m/>
    <m/>
    <m/>
    <m/>
    <m/>
    <m/>
    <m/>
    <m/>
    <m/>
  </r>
  <r>
    <d v="2020-04-01T00:00:00"/>
    <s v="April"/>
    <x v="3"/>
    <x v="2"/>
    <n v="-3236"/>
    <x v="1"/>
    <n v="1294400"/>
    <n v="90"/>
    <s v="Federal"/>
    <s v="Eph"/>
    <n v="2697"/>
    <s v="INDOT "/>
    <s v="LRL-2013-590-djd"/>
    <s v="2019-759-59-JBT-A"/>
    <m/>
    <s v="Orange"/>
    <n v="38.503500000000003"/>
    <n v="-86.635999999999996"/>
    <s v="Transportation"/>
    <m/>
    <s v="No"/>
    <m/>
    <n v="194160"/>
    <n v="906080"/>
    <n v="194160"/>
    <m/>
    <m/>
    <m/>
    <m/>
    <m/>
    <m/>
    <m/>
    <m/>
    <m/>
  </r>
  <r>
    <d v="2020-04-01T00:00:00"/>
    <s v="April"/>
    <x v="3"/>
    <x v="2"/>
    <n v="-0.22"/>
    <x v="0"/>
    <n v="17600"/>
    <n v="90"/>
    <s v="Federal"/>
    <s v="PEM"/>
    <n v="0.09"/>
    <s v="INDOT "/>
    <s v="LRL-2013-590-djd"/>
    <s v="2019-759-59-JBT-A"/>
    <m/>
    <s v="Orange"/>
    <n v="38.503500000000003"/>
    <n v="-86.635999999999996"/>
    <s v="Transportation"/>
    <m/>
    <s v="No"/>
    <m/>
    <n v="2640"/>
    <n v="12320"/>
    <n v="2640"/>
    <m/>
    <m/>
    <m/>
    <m/>
    <m/>
    <m/>
    <m/>
    <m/>
    <m/>
  </r>
  <r>
    <d v="2020-04-01T00:00:00"/>
    <s v="April"/>
    <x v="3"/>
    <x v="2"/>
    <n v="-0.01"/>
    <x v="0"/>
    <n v="800"/>
    <n v="90"/>
    <s v="Federal"/>
    <s v="PFO"/>
    <n v="4.0000000000000001E-3"/>
    <s v="INDOT "/>
    <s v="LRL-2013-590-djd"/>
    <s v="2019-759-59-JBT-A"/>
    <m/>
    <s v="Orange"/>
    <n v="38.503500000000003"/>
    <n v="-86.635999999999996"/>
    <s v="Transportation"/>
    <m/>
    <s v="No"/>
    <m/>
    <n v="120"/>
    <n v="560"/>
    <n v="120"/>
    <m/>
    <m/>
    <m/>
    <m/>
    <m/>
    <m/>
    <m/>
    <m/>
    <m/>
  </r>
  <r>
    <d v="2020-04-01T00:00:00"/>
    <s v="April"/>
    <x v="3"/>
    <x v="5"/>
    <n v="-0.45200000000000001"/>
    <x v="0"/>
    <n v="36160"/>
    <n v="82"/>
    <s v="Federal"/>
    <s v="PFO"/>
    <n v="0.113"/>
    <s v="INDOT "/>
    <s v="LRL-2019-959-scm"/>
    <s v="2019-720-87-JBT-A"/>
    <m/>
    <s v="Warrick"/>
    <n v="38.174999999999997"/>
    <n v="-87.415999999999997"/>
    <s v="Transportation"/>
    <m/>
    <s v="No"/>
    <m/>
    <n v="5424"/>
    <n v="25312"/>
    <n v="5424"/>
    <m/>
    <m/>
    <m/>
    <m/>
    <m/>
    <m/>
    <m/>
    <m/>
    <m/>
  </r>
  <r>
    <d v="2020-04-01T00:00:00"/>
    <s v="April"/>
    <x v="3"/>
    <x v="5"/>
    <n v="-10"/>
    <x v="1"/>
    <n v="4000"/>
    <n v="82"/>
    <s v="Federal"/>
    <s v="Int"/>
    <n v="10"/>
    <s v="INDOT "/>
    <s v="LRL-2019-959-scm"/>
    <s v="2019-720-87-JBT-A"/>
    <m/>
    <s v="Warrick"/>
    <n v="38.174999999999997"/>
    <n v="-87.415999999999997"/>
    <s v="Transportation"/>
    <m/>
    <s v="No"/>
    <m/>
    <n v="600"/>
    <n v="2800"/>
    <n v="600"/>
    <m/>
    <m/>
    <m/>
    <m/>
    <m/>
    <m/>
    <m/>
    <m/>
    <m/>
  </r>
  <r>
    <d v="2020-04-01T00:00:00"/>
    <s v="April"/>
    <x v="3"/>
    <x v="5"/>
    <n v="-118"/>
    <x v="1"/>
    <n v="47200"/>
    <n v="82"/>
    <s v="Federal"/>
    <s v="Per"/>
    <n v="118"/>
    <s v="INDOT "/>
    <s v="LRL-2019-959-scm"/>
    <s v="2019-720-87-JBT-A"/>
    <m/>
    <s v="Warrick"/>
    <n v="38.174999999999997"/>
    <n v="-87.415999999999997"/>
    <s v="Transportation"/>
    <m/>
    <s v="No"/>
    <m/>
    <n v="7080"/>
    <n v="33040"/>
    <n v="7080"/>
    <m/>
    <m/>
    <m/>
    <m/>
    <m/>
    <m/>
    <m/>
    <m/>
    <m/>
  </r>
  <r>
    <d v="2020-04-15T00:00:00"/>
    <s v="April"/>
    <x v="3"/>
    <x v="1"/>
    <n v="-82"/>
    <x v="1"/>
    <n v="41000"/>
    <n v="91"/>
    <s v="Federal"/>
    <s v="Int"/>
    <n v="82"/>
    <s v="INDOT "/>
    <s v="LRC-2019-793"/>
    <s v="2019-654-45-JBT-A"/>
    <m/>
    <s v="Lake"/>
    <n v="41.43"/>
    <n v="-87.47"/>
    <s v="Transportation"/>
    <m/>
    <s v="No"/>
    <m/>
    <n v="6150"/>
    <n v="28700"/>
    <n v="6150"/>
    <m/>
    <m/>
    <m/>
    <m/>
    <m/>
    <m/>
    <m/>
    <m/>
    <m/>
  </r>
  <r>
    <d v="2020-04-15T00:00:00"/>
    <s v="April"/>
    <x v="3"/>
    <x v="1"/>
    <n v="-15"/>
    <x v="1"/>
    <n v="7500"/>
    <n v="91"/>
    <s v="Federal"/>
    <s v="Per"/>
    <n v="15"/>
    <s v="INDOT "/>
    <s v="LRC-2019-793"/>
    <s v="2019-654-45-JBT-A"/>
    <m/>
    <s v="Lake"/>
    <n v="41.43"/>
    <n v="-87.47"/>
    <s v="Transportation"/>
    <m/>
    <s v="No"/>
    <m/>
    <n v="1125"/>
    <n v="5250"/>
    <n v="1125"/>
    <m/>
    <m/>
    <m/>
    <m/>
    <m/>
    <m/>
    <m/>
    <m/>
    <m/>
  </r>
  <r>
    <d v="2020-04-15T00:00:00"/>
    <s v="April"/>
    <x v="3"/>
    <x v="1"/>
    <n v="-0.4"/>
    <x v="0"/>
    <n v="38000"/>
    <n v="91"/>
    <s v="Federal"/>
    <s v="PEM"/>
    <n v="0.2"/>
    <s v="INDOT "/>
    <s v="LRC-2019-793"/>
    <s v="2019-654-45-JBT-A"/>
    <m/>
    <s v="Lake"/>
    <n v="41.43"/>
    <n v="-87.47"/>
    <s v="Transportation"/>
    <m/>
    <s v="No"/>
    <m/>
    <n v="5700"/>
    <n v="26600"/>
    <n v="5700"/>
    <m/>
    <m/>
    <m/>
    <m/>
    <m/>
    <m/>
    <m/>
    <m/>
    <m/>
  </r>
  <r>
    <d v="2020-04-15T00:00:00"/>
    <s v="April"/>
    <x v="3"/>
    <x v="1"/>
    <n v="-0.48599999999999999"/>
    <x v="0"/>
    <n v="46170"/>
    <n v="91"/>
    <s v="Federal"/>
    <s v="PSS"/>
    <n v="0.16200000000000001"/>
    <s v="INDOT "/>
    <s v="LRC-2019-793"/>
    <s v="2019-654-45-JBT-A"/>
    <m/>
    <s v="Lake"/>
    <n v="41.43"/>
    <n v="-87.47"/>
    <s v="Transportation"/>
    <m/>
    <s v="No"/>
    <m/>
    <n v="6925.5"/>
    <n v="32319"/>
    <n v="6925.5"/>
    <m/>
    <m/>
    <m/>
    <m/>
    <m/>
    <m/>
    <m/>
    <m/>
    <m/>
  </r>
  <r>
    <d v="2020-04-15T00:00:00"/>
    <s v="April"/>
    <x v="3"/>
    <x v="8"/>
    <n v="-280"/>
    <x v="1"/>
    <n v="112000"/>
    <n v="94"/>
    <s v="Federal"/>
    <s v="Eph"/>
    <n v="233"/>
    <s v="AEP"/>
    <s v="LRL-2014-540-lcl  "/>
    <s v="2020-12-34-JWR-X "/>
    <m/>
    <s v="Howard"/>
    <n v="40.473500000000001"/>
    <n v="-85.915199999999999"/>
    <s v="Transportation"/>
    <m/>
    <s v="No"/>
    <m/>
    <n v="16800"/>
    <n v="78400"/>
    <n v="16800"/>
    <m/>
    <m/>
    <m/>
    <m/>
    <m/>
    <m/>
    <m/>
    <m/>
    <s v="Corps NWP 12 and IDEM RGP"/>
  </r>
  <r>
    <d v="2020-04-15T00:00:00"/>
    <s v="April"/>
    <x v="3"/>
    <x v="8"/>
    <n v="-0.14000000000000001"/>
    <x v="0"/>
    <n v="11200"/>
    <n v="94"/>
    <s v="Federal"/>
    <s v="PEM"/>
    <n v="0.06"/>
    <s v="AEP"/>
    <s v="LRL-2014-540-lcl  "/>
    <s v="2020-12-34-JWR-X "/>
    <m/>
    <s v="Howard"/>
    <n v="40.473500000000001"/>
    <n v="-85.915199999999999"/>
    <s v="Transportation"/>
    <m/>
    <s v="No"/>
    <m/>
    <n v="1680"/>
    <n v="7840"/>
    <n v="1680"/>
    <m/>
    <m/>
    <m/>
    <m/>
    <m/>
    <m/>
    <m/>
    <m/>
    <s v="Corps NWP 12 and IDEM RGP"/>
  </r>
  <r>
    <d v="2020-04-15T00:00:00"/>
    <s v="April"/>
    <x v="3"/>
    <x v="9"/>
    <n v="-1.05"/>
    <x v="0"/>
    <n v="84000"/>
    <n v="93"/>
    <s v="Federal"/>
    <s v="PFO"/>
    <n v="0.09"/>
    <s v="M/I Homes of Indiana, L.P."/>
    <s v="LRL-2013-242-sam"/>
    <s v="2013-298-29-HAP-A"/>
    <m/>
    <s v="Hamilton"/>
    <n v="39.9788"/>
    <n v="-86.205200000000005"/>
    <s v="Development"/>
    <s v="LRL-2014-100-sam/Candace Lee Fink Mitigtion Bank"/>
    <s v="Yes"/>
    <d v="2023-12-05T00:00:00"/>
    <n v="12600"/>
    <n v="58800"/>
    <n v="12600"/>
    <m/>
    <m/>
    <m/>
    <m/>
    <s v="Candace Lee Fink Mitigation Bank"/>
    <m/>
    <m/>
    <m/>
    <s v="Credit fulfilled, purchased from Candace Lee Fink Mitigation Bank"/>
  </r>
  <r>
    <d v="2020-04-17T00:00:00"/>
    <s v="April"/>
    <x v="3"/>
    <x v="5"/>
    <n v="-0.624"/>
    <x v="0"/>
    <n v="49920"/>
    <n v="102"/>
    <s v="Federal"/>
    <s v="PEM"/>
    <n v="0.26"/>
    <s v="Duke Energy"/>
    <s v="LRL-2019-539-JMG"/>
    <s v="2019-639-26-TMS-A"/>
    <m/>
    <s v="Gibson"/>
    <n v="38.343862999999999"/>
    <n v="-87.778317000000001"/>
    <s v="Energy Production"/>
    <m/>
    <s v="No"/>
    <m/>
    <n v="7488"/>
    <n v="34944"/>
    <n v="7488"/>
    <m/>
    <m/>
    <m/>
    <m/>
    <m/>
    <m/>
    <m/>
    <m/>
    <m/>
  </r>
  <r>
    <d v="2020-04-21T00:00:00"/>
    <s v="April"/>
    <x v="3"/>
    <x v="10"/>
    <n v="-1.35"/>
    <x v="0"/>
    <n v="108000"/>
    <n v="106"/>
    <s v="State Isolated"/>
    <s v="PFO"/>
    <n v="1.35"/>
    <s v="Sunbeam Malores, LLC"/>
    <s v="N/A"/>
    <s v="IWIP 2020-132-41-TMS-A"/>
    <m/>
    <s v="Johnson"/>
    <n v="39.484650000000002"/>
    <n v="-86.010898999999995"/>
    <s v="Development"/>
    <m/>
    <s v="No"/>
    <m/>
    <n v="16200"/>
    <n v="75600"/>
    <n v="16200"/>
    <m/>
    <m/>
    <m/>
    <m/>
    <m/>
    <m/>
    <m/>
    <m/>
    <s v="State Isolated Wetland Individual Permit for Class II Forested Wetland Impacts"/>
  </r>
  <r>
    <d v="2020-04-22T00:00:00"/>
    <s v="April"/>
    <x v="3"/>
    <x v="9"/>
    <n v="-191"/>
    <x v="1"/>
    <n v="85950"/>
    <n v="84"/>
    <s v="Federal"/>
    <s v="Eph"/>
    <n v="159"/>
    <s v="Lennar Homes of Indiana, Inc."/>
    <s v="LRL-2019-740-LCL"/>
    <s v="2019-846-32-ERL-A"/>
    <m/>
    <s v="Hendricks"/>
    <n v="39.772599999999997"/>
    <n v="-86.455299999999994"/>
    <s v="Development"/>
    <m/>
    <s v="No"/>
    <m/>
    <n v="12892.5"/>
    <n v="60164.999999999993"/>
    <n v="12892.5"/>
    <m/>
    <m/>
    <m/>
    <m/>
    <m/>
    <m/>
    <m/>
    <m/>
    <m/>
  </r>
  <r>
    <d v="2020-04-22T00:00:00"/>
    <s v="April"/>
    <x v="3"/>
    <x v="9"/>
    <n v="-19"/>
    <x v="1"/>
    <n v="8550"/>
    <n v="84"/>
    <s v="Federal"/>
    <s v="Per"/>
    <n v="16"/>
    <s v="Lennar Homes of Indiana, Inc."/>
    <s v="LRL-2019-740-LCL"/>
    <s v="2019-846-32-ERL-A"/>
    <m/>
    <s v="Hendricks"/>
    <n v="39.772599999999997"/>
    <n v="-86.455299999999994"/>
    <s v="Development"/>
    <m/>
    <s v="No"/>
    <m/>
    <n v="1282.5"/>
    <n v="5985"/>
    <n v="1282.5"/>
    <m/>
    <m/>
    <m/>
    <m/>
    <m/>
    <m/>
    <m/>
    <m/>
    <m/>
  </r>
  <r>
    <d v="2020-04-22T00:00:00"/>
    <s v="April"/>
    <x v="3"/>
    <x v="9"/>
    <n v="-0.03"/>
    <x v="0"/>
    <n v="2400"/>
    <n v="84"/>
    <s v="Federal"/>
    <s v="PSS"/>
    <n v="0.01"/>
    <s v="Lennar Homes of Indiana, Inc."/>
    <s v="LRL-2019-740-LCL"/>
    <s v="2019-846-32-ERL-A"/>
    <m/>
    <s v="Hendricks"/>
    <n v="39.772599999999997"/>
    <n v="-86.455299999999994"/>
    <s v="Development"/>
    <s v="LRL-2014-100-sam/Candace Lee Fink Mitigtion Bank"/>
    <s v="Yes"/>
    <d v="2023-12-05T00:00:00"/>
    <n v="360"/>
    <n v="1680"/>
    <n v="360"/>
    <m/>
    <m/>
    <m/>
    <m/>
    <s v="Candace Lee Fink Mitigation Bank"/>
    <m/>
    <m/>
    <m/>
    <s v="Credit fulfilled, purchased from Candace Lee Fink Mitigation Bank"/>
  </r>
  <r>
    <d v="2020-04-22T00:00:00"/>
    <s v="April"/>
    <x v="3"/>
    <x v="9"/>
    <n v="-0.12"/>
    <x v="0"/>
    <n v="9600"/>
    <n v="84"/>
    <s v="Federal"/>
    <s v="PFO"/>
    <n v="0.03"/>
    <s v="Lennar Homes of Indiana, Inc."/>
    <s v="LRL-2019-740-LCL"/>
    <s v="2019-846-32-ERL-A"/>
    <m/>
    <s v="Hendricks"/>
    <n v="39.772599999999997"/>
    <n v="-86.455299999999994"/>
    <s v="Development"/>
    <s v="LRL-2014-100-sam/Candace Lee Fink Mitigtion Bank"/>
    <s v="Yes"/>
    <d v="2023-12-05T00:00:00"/>
    <n v="1440"/>
    <n v="6720"/>
    <n v="1440"/>
    <m/>
    <m/>
    <m/>
    <m/>
    <s v="Candace Lee Fink Mitigation Bank"/>
    <m/>
    <m/>
    <m/>
    <s v="Credit fulfilled, purchased from Candace Lee Fink Mitigation Bank"/>
  </r>
  <r>
    <d v="2020-04-28T00:00:00"/>
    <s v="April"/>
    <x v="3"/>
    <x v="1"/>
    <n v="-0.12"/>
    <x v="0"/>
    <n v="11400"/>
    <n v="97"/>
    <s v="State Isolated"/>
    <s v="PFO"/>
    <n v="2.9000000000000001E-2"/>
    <s v="NIPSCO"/>
    <s v="N/A"/>
    <s v="IWGP 2019-837-46-MTM-A"/>
    <m/>
    <s v="LaPorte"/>
    <n v="41.604399999999998"/>
    <n v="-86.719139999999996"/>
    <s v="Energy Production"/>
    <m/>
    <s v="No"/>
    <m/>
    <n v="1710"/>
    <n v="7979.9999999999991"/>
    <n v="1710"/>
    <m/>
    <m/>
    <m/>
    <m/>
    <m/>
    <m/>
    <m/>
    <m/>
    <s v="Originally reported as Calumet-Dunes, but impact was in the Kankakee SA, and has been updated; Class II Forested Wetland"/>
  </r>
  <r>
    <d v="2020-04-28T00:00:00"/>
    <s v="April"/>
    <x v="3"/>
    <x v="5"/>
    <n v="-493"/>
    <x v="1"/>
    <n v="197200"/>
    <n v="70"/>
    <s v="Federal"/>
    <s v="Eph"/>
    <n v="384"/>
    <s v="Warrick County Engineer"/>
    <s v="LRL-2018-386-tmb"/>
    <s v="2019-022-87-ADF-A"/>
    <m/>
    <s v="Warrick"/>
    <n v="38.004486"/>
    <n v="-87.404752000000002"/>
    <s v="Transportation"/>
    <m/>
    <s v="No"/>
    <m/>
    <n v="29580"/>
    <n v="138040"/>
    <n v="29580"/>
    <m/>
    <m/>
    <m/>
    <m/>
    <m/>
    <m/>
    <m/>
    <m/>
    <m/>
  </r>
  <r>
    <d v="2020-04-30T00:00:00"/>
    <s v="April"/>
    <x v="3"/>
    <x v="8"/>
    <n v="-666"/>
    <x v="1"/>
    <n v="266400"/>
    <n v="98"/>
    <s v="Federal"/>
    <s v="Int"/>
    <n v="555"/>
    <s v="City of Portland Board of Aviation Commissioners"/>
    <s v="LRL-2019-178-jlt"/>
    <s v="2019-126-38-WRH-A"/>
    <m/>
    <s v="Jay"/>
    <n v="40.451700000000002"/>
    <n v="-84.997320000000002"/>
    <s v="Transportation"/>
    <m/>
    <s v="No"/>
    <m/>
    <n v="39960"/>
    <n v="186480"/>
    <n v="39960"/>
    <m/>
    <m/>
    <m/>
    <m/>
    <m/>
    <m/>
    <m/>
    <m/>
    <m/>
  </r>
  <r>
    <d v="2020-05-04T00:00:00"/>
    <s v="May"/>
    <x v="3"/>
    <x v="0"/>
    <n v="-0.53400000000000003"/>
    <x v="0"/>
    <n v="50730"/>
    <n v="105"/>
    <s v="Federal"/>
    <s v="PEM"/>
    <n v="0.35599999999999998"/>
    <s v="UniFirst Corporation"/>
    <s v="LRC-2018-890"/>
    <s v="2020-011-45-MTM-A"/>
    <m/>
    <s v="Lake"/>
    <n v="41.382292999999997"/>
    <n v="-87.332835000000003"/>
    <s v="Development"/>
    <m/>
    <s v="No"/>
    <m/>
    <n v="7609.5"/>
    <n v="35511"/>
    <n v="7609.5"/>
    <m/>
    <m/>
    <m/>
    <m/>
    <m/>
    <m/>
    <m/>
    <m/>
    <m/>
  </r>
  <r>
    <d v="2020-05-05T00:00:00"/>
    <s v="May"/>
    <x v="3"/>
    <x v="9"/>
    <n v="-209"/>
    <x v="1"/>
    <n v="94050"/>
    <n v="63"/>
    <s v="Federal"/>
    <s v="Int"/>
    <n v="209"/>
    <s v="City of Indianapolis DPW"/>
    <s v="LRL-2019-320-scm"/>
    <s v="2019-222-49-ALF-A"/>
    <m/>
    <s v="Marion "/>
    <n v="39.681193999999998"/>
    <n v="-86.044255000000007"/>
    <s v="Transportation"/>
    <m/>
    <s v="No"/>
    <m/>
    <n v="14107.5"/>
    <n v="65835"/>
    <n v="14107.5"/>
    <m/>
    <m/>
    <m/>
    <m/>
    <m/>
    <m/>
    <m/>
    <m/>
    <s v="Corps RGP - IDEM only required mitigation"/>
  </r>
  <r>
    <d v="2020-05-05T00:00:00"/>
    <s v="May"/>
    <x v="3"/>
    <x v="9"/>
    <n v="-153"/>
    <x v="1"/>
    <n v="68850"/>
    <n v="104"/>
    <s v="Federal"/>
    <s v="Eph"/>
    <n v="153"/>
    <s v="Lennar Homes of Indiana, Inc."/>
    <s v="LRL-2019-715-sjk"/>
    <s v="2020-017-29-ALF-A"/>
    <m/>
    <s v="Hamilton"/>
    <n v="39.9602"/>
    <n v="-85.883099999999999"/>
    <s v="Development"/>
    <m/>
    <s v="No"/>
    <m/>
    <n v="10327.5"/>
    <n v="48195"/>
    <n v="10327.5"/>
    <m/>
    <m/>
    <m/>
    <m/>
    <m/>
    <m/>
    <m/>
    <m/>
    <s v="Corps RGP - IDEM only required mitigation"/>
  </r>
  <r>
    <d v="2020-05-05T00:00:00"/>
    <s v="May"/>
    <x v="3"/>
    <x v="9"/>
    <n v="-1.35"/>
    <x v="0"/>
    <n v="108000"/>
    <n v="99"/>
    <s v="Federal"/>
    <s v="PFO"/>
    <n v="0.43"/>
    <s v="Hendricks County Engineering Department"/>
    <s v="LRL-2009-336-sam"/>
    <s v="2009-146-32-JPS-A"/>
    <m/>
    <s v="Hendricks"/>
    <n v="39.752732999999999"/>
    <n v="-86.338806000000005"/>
    <s v="Transportation"/>
    <s v="LRL-2014-100-sam/Candace Lee Fink Mitigation Bank, LRL-2020-989-sam/HC Farms"/>
    <s v="Yes"/>
    <s v="12/5/2023, 9/3/2024"/>
    <n v="16200"/>
    <n v="75600"/>
    <n v="16200"/>
    <m/>
    <m/>
    <m/>
    <m/>
    <m/>
    <m/>
    <m/>
    <m/>
    <s v="0.716 fulfilled from Candace Lee Fink Mitigation Bank purchase and 0.634 fulfilled from 2nd HC Farms credit release"/>
  </r>
  <r>
    <d v="2020-05-08T00:00:00"/>
    <s v=" May "/>
    <x v="3"/>
    <x v="5"/>
    <n v="-0.94"/>
    <x v="0"/>
    <n v="75200"/>
    <n v="108"/>
    <s v="Federal"/>
    <s v="PEM"/>
    <n v="0.39"/>
    <s v="Duke Energy, LLC."/>
    <s v="LRL-2020-152-JMG"/>
    <s v="2020-102-26-TMS-A"/>
    <m/>
    <s v="Gibson"/>
    <n v="38.372483000000003"/>
    <n v="-87.747861999999998"/>
    <s v="Energy Production"/>
    <m/>
    <s v="No"/>
    <m/>
    <n v="11280"/>
    <n v="52640"/>
    <n v="11280"/>
    <m/>
    <m/>
    <m/>
    <m/>
    <m/>
    <m/>
    <m/>
    <m/>
    <m/>
  </r>
  <r>
    <d v="2020-06-01T00:00:00"/>
    <s v="June"/>
    <x v="3"/>
    <x v="5"/>
    <n v="-0.14799999999999999"/>
    <x v="0"/>
    <n v="11840"/>
    <n v="103"/>
    <s v="State Isolated"/>
    <s v="PEM"/>
    <n v="0.14799999999999999"/>
    <s v="Vanderburgh County Commissioners"/>
    <s v="N/A"/>
    <s v="IWGP 2020-172-82-TMS-A"/>
    <m/>
    <s v="Vanderburgh"/>
    <n v="38.063870000000001"/>
    <n v="-87.49342"/>
    <s v="Transportation"/>
    <m/>
    <s v="No"/>
    <m/>
    <n v="1776"/>
    <n v="8288"/>
    <n v="1776"/>
    <m/>
    <m/>
    <m/>
    <m/>
    <m/>
    <m/>
    <m/>
    <m/>
    <s v="Related jurisdictional impacts minimal and approved via RGP, no jurisdictional mitigation for this project."/>
  </r>
  <r>
    <d v="2020-06-09T00:00:00"/>
    <s v="June"/>
    <x v="3"/>
    <x v="7"/>
    <n v="-1.08"/>
    <x v="0"/>
    <n v="86400"/>
    <n v="116"/>
    <s v="Federal"/>
    <s v="PEM"/>
    <n v="0.443"/>
    <s v="DDM, LLC."/>
    <s v="LRL-2019-184-cat"/>
    <s v="2019-147-10-TMS-A"/>
    <m/>
    <s v="Clark"/>
    <n v="38.325339999999997"/>
    <n v="-84.688649999999996"/>
    <s v="Development"/>
    <s v="LRL-2014-100-sam/Fourteeen Mile Creek Mitigation Bank"/>
    <s v="Yes"/>
    <d v="2024-01-22T00:00:00"/>
    <n v="12960"/>
    <n v="60479.999999999993"/>
    <n v="12960"/>
    <m/>
    <m/>
    <m/>
    <m/>
    <s v="Fourteen Mile Creek Mitigation Bank"/>
    <m/>
    <m/>
    <m/>
    <s v="Credit fulfilled, purchased from Fourteen Mile Creek Mitigation Bank.  "/>
  </r>
  <r>
    <d v="2020-06-09T00:00:00"/>
    <s v="June"/>
    <x v="3"/>
    <x v="9"/>
    <n v="-1.1000000000000001"/>
    <x v="0"/>
    <n v="88000"/>
    <n v="100"/>
    <s v="Federal"/>
    <s v="PEM"/>
    <n v="0.46"/>
    <s v="Westport Homes"/>
    <s v="LRL-2019-865-sjk"/>
    <s v="2019-903-49-ALF-A"/>
    <m/>
    <s v="Marion "/>
    <n v="39.659300000000002"/>
    <n v="-86.305099999999996"/>
    <s v="Development"/>
    <s v="Mod 1 - LRL-2020-989-sam"/>
    <s v="Yes"/>
    <d v="2024-09-03T00:00:00"/>
    <n v="13200"/>
    <n v="61599.999999999993"/>
    <n v="13200"/>
    <m/>
    <m/>
    <m/>
    <m/>
    <m/>
    <m/>
    <m/>
    <m/>
    <s v="Credits fulfilled and released - HC Farms second release."/>
  </r>
  <r>
    <d v="2020-06-09T00:00:00"/>
    <s v="June"/>
    <x v="3"/>
    <x v="9"/>
    <n v="-0.4"/>
    <x v="0"/>
    <n v="32000"/>
    <n v="100"/>
    <s v="Federal"/>
    <s v="PSS"/>
    <n v="0.11"/>
    <s v="Westport Homes"/>
    <s v="LRL-2019-865-sjk"/>
    <s v="2019-903-49-ALF-A"/>
    <m/>
    <s v="Marion "/>
    <n v="39.659300000000002"/>
    <n v="-86.305099999999996"/>
    <s v="Development"/>
    <s v="Mod 1 - LRL-2020-989-sam/ LRL-2021-552-sam"/>
    <s v="Yes"/>
    <d v="2025-02-06T00:00:00"/>
    <n v="4800"/>
    <n v="22400"/>
    <n v="4800"/>
    <m/>
    <m/>
    <m/>
    <m/>
    <s v="HC Farms Release #2/ Fall Creek Woods Release #1"/>
    <m/>
    <m/>
    <m/>
    <s v="0.316/0.4 credits fulfilled by HC Farms second release. 0.084 credits fulfilled by Fall Creek Woods release #1."/>
  </r>
  <r>
    <d v="2020-06-17T00:00:00"/>
    <s v="June"/>
    <x v="3"/>
    <x v="0"/>
    <n v="-0.15"/>
    <x v="0"/>
    <n v="14250"/>
    <n v="110"/>
    <s v="Federal"/>
    <s v="PEM"/>
    <n v="0.1"/>
    <s v="NIPSCO"/>
    <s v="LRC-2015-763"/>
    <s v="2020-196-45-MTM-X"/>
    <m/>
    <s v="Lake"/>
    <n v="41.56006"/>
    <n v="-87.464039999999997"/>
    <s v="Energy Production"/>
    <m/>
    <s v="No"/>
    <m/>
    <n v="2137.5"/>
    <n v="9975"/>
    <n v="2137.5"/>
    <m/>
    <m/>
    <m/>
    <m/>
    <m/>
    <m/>
    <m/>
    <m/>
    <m/>
  </r>
  <r>
    <d v="2020-06-17T00:00:00"/>
    <s v="June"/>
    <x v="3"/>
    <x v="0"/>
    <n v="-0.3"/>
    <x v="0"/>
    <n v="28500"/>
    <n v="107"/>
    <s v="State Isolated"/>
    <s v="PEM"/>
    <n v="0.3"/>
    <s v="Spectacle Gary, LLC"/>
    <s v="N/A"/>
    <s v="2020-159-45-MTM-A"/>
    <m/>
    <s v="Lake"/>
    <n v="41.566719999999997"/>
    <n v="-87.404290000000003"/>
    <s v="Development"/>
    <m/>
    <s v="No"/>
    <m/>
    <n v="4275"/>
    <n v="19950"/>
    <n v="4275"/>
    <m/>
    <m/>
    <m/>
    <m/>
    <m/>
    <m/>
    <m/>
    <m/>
    <m/>
  </r>
  <r>
    <d v="2020-06-22T00:00:00"/>
    <s v="June"/>
    <x v="3"/>
    <x v="0"/>
    <n v="-5.2630000000000003E-2"/>
    <x v="0"/>
    <n v="4999.8599999999997"/>
    <n v="123"/>
    <s v="Federal"/>
    <s v="PEM"/>
    <n v="0"/>
    <s v="James Lanigan"/>
    <s v="LRC-2020-467"/>
    <s v="2020-424-64-MTM-X"/>
    <m/>
    <s v="Porter"/>
    <n v="41.458440000000003"/>
    <n v="-87.145560000000003"/>
    <s v="Development"/>
    <m/>
    <s v="No"/>
    <m/>
    <n v="749.97899999999993"/>
    <n v="3499.9019999999996"/>
    <n v="749.97899999999993"/>
    <m/>
    <m/>
    <m/>
    <m/>
    <m/>
    <m/>
    <m/>
    <m/>
    <s v="*885 linear feet of seawall impacts to open water.  "/>
  </r>
  <r>
    <d v="2020-06-24T00:00:00"/>
    <s v="June"/>
    <x v="3"/>
    <x v="7"/>
    <n v="-7.0000000000000007E-2"/>
    <x v="0"/>
    <n v="5600"/>
    <n v="124"/>
    <s v="Federal"/>
    <s v="PEM"/>
    <n v="3.5000000000000003E-2"/>
    <s v="Dearborn County Board of Commissioners"/>
    <s v="LRL-2020-228-cat"/>
    <s v="2020-307-15-TMS"/>
    <m/>
    <s v="Dearborn"/>
    <n v="39.019474000000002"/>
    <n v="-84.929779999999994"/>
    <s v="Transportation"/>
    <s v="LRL-2014-100-sam/Fourteeen Mile Creek Mitigation Bank"/>
    <s v="Yes"/>
    <d v="2024-01-22T00:00:00"/>
    <n v="840"/>
    <n v="3919.9999999999995"/>
    <n v="840"/>
    <m/>
    <m/>
    <m/>
    <m/>
    <s v="Fourteen Mile Creek Mitigation Bank"/>
    <m/>
    <m/>
    <m/>
    <s v="Credit fulfilled, purchased from Fourteen Mile Creek Mitigation Bank.  "/>
  </r>
  <r>
    <d v="2020-06-24T00:00:00"/>
    <s v="June"/>
    <x v="3"/>
    <x v="7"/>
    <n v="-0.74399999999999999"/>
    <x v="0"/>
    <n v="59520"/>
    <n v="124"/>
    <s v="Federal"/>
    <s v="PFO"/>
    <n v="0.186"/>
    <s v="Dearborn County Board of Commissioners"/>
    <s v="LRL-2020-228-cat"/>
    <s v="2020-307-15-TMS"/>
    <m/>
    <s v="Dearborn"/>
    <n v="39.019474000000002"/>
    <n v="-84.929779999999994"/>
    <s v="Transportation"/>
    <s v="LRL-2014-100-sam/Fourteeen Mile Creek Mitigation Bank"/>
    <s v="Yes"/>
    <d v="2024-01-22T00:00:00"/>
    <n v="8928"/>
    <n v="41664"/>
    <n v="8928"/>
    <m/>
    <m/>
    <m/>
    <m/>
    <s v="Fourteen Mile Creek Mitigation Bank"/>
    <m/>
    <m/>
    <m/>
    <s v="Credit fulfilled, purchased from Fourteen Mile Creek Mitigation Bank.  "/>
  </r>
  <r>
    <d v="2020-06-26T00:00:00"/>
    <s v="June"/>
    <x v="3"/>
    <x v="3"/>
    <n v="-0.28000000000000003"/>
    <x v="0"/>
    <n v="22400"/>
    <n v="114"/>
    <s v="Federal"/>
    <s v="PSS"/>
    <n v="0.14000000000000001"/>
    <s v="Dominion Group"/>
    <s v="LRE-2016-00710-102-R20"/>
    <s v="2017-321-02-HAP-A"/>
    <m/>
    <s v="Allen"/>
    <n v="41.183199999999999"/>
    <n v="-85.092799999999997"/>
    <s v="Development"/>
    <s v="LRL-2014-100-sam/Openings Mitigation Bank "/>
    <s v="Yes"/>
    <d v="2024-01-15T00:00:00"/>
    <n v="3360"/>
    <n v="15679.999999999998"/>
    <n v="3360"/>
    <m/>
    <m/>
    <m/>
    <m/>
    <s v="Openings Mitigation Bank"/>
    <m/>
    <m/>
    <m/>
    <s v="Credit fulfilled, purchased from Openings Mitigation Bank"/>
  </r>
  <r>
    <d v="2020-06-26T00:00:00"/>
    <s v="June"/>
    <x v="3"/>
    <x v="8"/>
    <n v="-114"/>
    <x v="1"/>
    <n v="45600"/>
    <n v="115"/>
    <s v="Federal"/>
    <s v="Per"/>
    <n v="52"/>
    <s v="City of Wabash"/>
    <s v="LRL-2012-686-sjk"/>
    <s v="2018-909-85-JWR-A"/>
    <m/>
    <s v="Wabash"/>
    <n v="40.836100000000002"/>
    <n v="-85.805700000000002"/>
    <s v="Transportation"/>
    <m/>
    <s v="No"/>
    <m/>
    <n v="6840"/>
    <n v="31919.999999999996"/>
    <n v="6840"/>
    <m/>
    <m/>
    <m/>
    <m/>
    <m/>
    <m/>
    <m/>
    <m/>
    <s v="Corps determined stream impacts perennial - IDEM recorded stream impacts intermittent (IN SWMP recorded per 404 impact/credit table)"/>
  </r>
  <r>
    <d v="2020-06-26T00:00:00"/>
    <s v="June"/>
    <x v="3"/>
    <x v="8"/>
    <n v="-0.4"/>
    <x v="0"/>
    <n v="32000"/>
    <n v="115"/>
    <s v="Federal"/>
    <s v="PEM"/>
    <n v="0.18"/>
    <s v="City of Wabash"/>
    <s v="LRL-2012-686-sjk"/>
    <s v="2018-909-85-JWR-A"/>
    <m/>
    <s v="Wabash"/>
    <n v="40.836100000000002"/>
    <n v="-85.805700000000002"/>
    <s v="Transportation"/>
    <m/>
    <s v="No"/>
    <m/>
    <n v="4800"/>
    <n v="22400"/>
    <n v="4800"/>
    <m/>
    <m/>
    <m/>
    <m/>
    <m/>
    <m/>
    <m/>
    <m/>
    <m/>
  </r>
  <r>
    <d v="2020-07-09T00:00:00"/>
    <s v="July"/>
    <x v="3"/>
    <x v="6"/>
    <n v="-850"/>
    <x v="1"/>
    <n v="510000"/>
    <n v="129"/>
    <s v="Federal"/>
    <s v="Int"/>
    <n v="850"/>
    <s v="Elvie Frey Investments, LLC"/>
    <s v="LRE-2018-1302-144-U18"/>
    <s v="2019-509-44-JWR-V"/>
    <m/>
    <s v="LaGrange"/>
    <n v="41.652929999999998"/>
    <n v="-85.610738999999995"/>
    <s v="Development"/>
    <m/>
    <s v="No"/>
    <m/>
    <n v="76500"/>
    <n v="357000"/>
    <n v="76500"/>
    <m/>
    <m/>
    <m/>
    <m/>
    <m/>
    <m/>
    <m/>
    <m/>
    <s v="Corps did not specifically require mitigation, but special condition requires to meet conditions of 401 WQC"/>
  </r>
  <r>
    <d v="2020-07-16T00:00:00"/>
    <s v="July"/>
    <x v="3"/>
    <x v="10"/>
    <n v="-0.87"/>
    <x v="0"/>
    <n v="69600"/>
    <n v="117"/>
    <s v="Federal"/>
    <s v="PFO"/>
    <n v="0.2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10440"/>
    <n v="48720"/>
    <n v="10440"/>
    <m/>
    <m/>
    <m/>
    <m/>
    <m/>
    <m/>
    <m/>
    <m/>
    <s v="*Note: Reported 401 as PFO vs. PSS, per verification JLT.  "/>
  </r>
  <r>
    <d v="2020-07-16T00:00:00"/>
    <s v="July"/>
    <x v="3"/>
    <x v="10"/>
    <n v="-0.19"/>
    <x v="0"/>
    <n v="15200"/>
    <n v="117"/>
    <s v="Federal"/>
    <s v="PEM"/>
    <n v="0.19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2280"/>
    <n v="10640"/>
    <n v="2280"/>
    <m/>
    <m/>
    <m/>
    <m/>
    <m/>
    <m/>
    <m/>
    <m/>
    <s v="*Note: USACE required 0.23 PEM, IDEM's increased PFO offset "/>
  </r>
  <r>
    <d v="2020-07-16T00:00:00"/>
    <s v="July"/>
    <x v="3"/>
    <x v="10"/>
    <n v="-81"/>
    <x v="1"/>
    <n v="32400"/>
    <n v="117"/>
    <s v="Federal"/>
    <s v="Eph"/>
    <n v="81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4860"/>
    <n v="22680"/>
    <n v="4860"/>
    <m/>
    <m/>
    <m/>
    <m/>
    <m/>
    <m/>
    <m/>
    <m/>
    <m/>
  </r>
  <r>
    <d v="2020-07-16T00:00:00"/>
    <s v="July"/>
    <x v="3"/>
    <x v="10"/>
    <n v="-21"/>
    <x v="1"/>
    <n v="8400"/>
    <n v="117"/>
    <s v="Federal"/>
    <s v="Per"/>
    <n v="21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1260"/>
    <n v="5880"/>
    <n v="1260"/>
    <m/>
    <m/>
    <m/>
    <m/>
    <m/>
    <m/>
    <m/>
    <m/>
    <m/>
  </r>
  <r>
    <d v="2020-07-16T00:00:00"/>
    <s v="July"/>
    <x v="3"/>
    <x v="10"/>
    <n v="-0.05"/>
    <x v="0"/>
    <n v="4000"/>
    <n v="117"/>
    <s v="State Isolated"/>
    <s v="PEM"/>
    <n v="0.05"/>
    <s v="Louisville and Indiana Railroad Co."/>
    <s v="N/A"/>
    <s v="IWGP 2020-114-41-JBT-A"/>
    <m/>
    <s v="Johnson"/>
    <n v="39.403750000000002"/>
    <n v="-85.987942000000004"/>
    <s v="Transportation"/>
    <m/>
    <s v="No"/>
    <m/>
    <n v="600"/>
    <n v="2800"/>
    <n v="600"/>
    <m/>
    <m/>
    <m/>
    <m/>
    <m/>
    <m/>
    <m/>
    <m/>
    <m/>
  </r>
  <r>
    <d v="2020-07-20T00:00:00"/>
    <s v="July"/>
    <x v="3"/>
    <x v="0"/>
    <n v="-1.41"/>
    <x v="0"/>
    <n v="133950"/>
    <n v="130"/>
    <s v="State Isolated"/>
    <s v="PEM"/>
    <n v="1.28"/>
    <s v="Lennar Corporation"/>
    <s v="N/A"/>
    <s v="IWGP-2020-515-45-MTM-A"/>
    <m/>
    <s v="Lake"/>
    <n v="41.417644000000003"/>
    <n v="-87.30932"/>
    <s v="Development"/>
    <m/>
    <s v="No"/>
    <m/>
    <n v="20092.5"/>
    <n v="93765"/>
    <n v="20092.5"/>
    <m/>
    <m/>
    <m/>
    <m/>
    <m/>
    <m/>
    <m/>
    <m/>
    <m/>
  </r>
  <r>
    <d v="2020-07-21T00:00:00"/>
    <s v="July"/>
    <x v="3"/>
    <x v="9"/>
    <n v="-2.5"/>
    <x v="0"/>
    <n v="200000"/>
    <n v="132"/>
    <s v="State Isolated"/>
    <s v="PEM"/>
    <n v="2.5"/>
    <s v="Indy Clean Fill South"/>
    <s v="N/A"/>
    <s v="IWGP 2020-538-49-JWR-A"/>
    <m/>
    <s v="Marion "/>
    <n v="39.73695"/>
    <n v="-86.202079999999995"/>
    <s v="Development"/>
    <s v="LRL-2021-552-sam"/>
    <s v="Yes"/>
    <d v="2025-02-06T00:00:00"/>
    <n v="30000"/>
    <n v="140000"/>
    <n v="30000"/>
    <m/>
    <m/>
    <m/>
    <m/>
    <s v="Fall Creek Woods Release #1"/>
    <m/>
    <m/>
    <m/>
    <s v="Class I Non-Forested (PEM) wetland impacts. Credits fulfilled by Fall Creek Woods release #1"/>
  </r>
  <r>
    <d v="2020-07-22T00:00:00"/>
    <s v="July"/>
    <x v="3"/>
    <x v="9"/>
    <n v="-12"/>
    <x v="1"/>
    <n v="5400"/>
    <n v="133"/>
    <s v="Federal"/>
    <s v="Per"/>
    <n v="10"/>
    <s v="City of Carmel"/>
    <s v="LRL-2020-194-sjk"/>
    <s v="2020-448-29-ALF-X"/>
    <m/>
    <s v="Hamilton"/>
    <n v="39.957799999999999"/>
    <n v="-86.090299999999999"/>
    <s v="Development"/>
    <m/>
    <s v="No"/>
    <m/>
    <n v="810"/>
    <n v="3779.9999999999995"/>
    <n v="810"/>
    <m/>
    <m/>
    <m/>
    <m/>
    <m/>
    <m/>
    <m/>
    <m/>
    <m/>
  </r>
  <r>
    <d v="2020-08-04T00:00:00"/>
    <s v="August"/>
    <x v="3"/>
    <x v="2"/>
    <n v="-8.2000000000000003E-2"/>
    <x v="0"/>
    <n v="6560"/>
    <n v="95"/>
    <s v="Federal"/>
    <s v="PEM"/>
    <n v="4.1000000000000002E-2"/>
    <s v="Hoosier Energy"/>
    <s v="LRL-2019-710"/>
    <s v="2019-508-63-TMS-A"/>
    <m/>
    <s v="Pike"/>
    <n v="38.520000000000003"/>
    <n v="-87.267200000000003"/>
    <s v="Energy Production"/>
    <m/>
    <s v="No"/>
    <m/>
    <n v="984"/>
    <n v="4592"/>
    <n v="984"/>
    <m/>
    <m/>
    <m/>
    <m/>
    <m/>
    <m/>
    <m/>
    <m/>
    <m/>
  </r>
  <r>
    <d v="2020-08-04T00:00:00"/>
    <s v="August"/>
    <x v="3"/>
    <x v="2"/>
    <n v="-0.22"/>
    <x v="0"/>
    <n v="17600"/>
    <n v="95"/>
    <s v="Federal"/>
    <s v="PFO"/>
    <n v="5.5E-2"/>
    <s v="Hoosier Energy"/>
    <s v="LRL-2019-710"/>
    <s v="2019-508-63-TMS-A"/>
    <m/>
    <s v="Pike"/>
    <n v="38.520000000000003"/>
    <n v="-87.267200000000003"/>
    <s v="Energy Production"/>
    <m/>
    <s v="No"/>
    <m/>
    <n v="2640"/>
    <n v="12320"/>
    <n v="2640"/>
    <m/>
    <m/>
    <m/>
    <m/>
    <m/>
    <m/>
    <m/>
    <m/>
    <m/>
  </r>
  <r>
    <d v="2020-08-04T00:00:00"/>
    <s v="August"/>
    <x v="3"/>
    <x v="4"/>
    <n v="-82"/>
    <x v="1"/>
    <n v="32800"/>
    <n v="134"/>
    <s v="Federal"/>
    <s v="Per"/>
    <n v="146"/>
    <s v="DePauw University"/>
    <s v="LRL-2019-845-lcl"/>
    <s v="2020-430-67-ERL-A"/>
    <m/>
    <s v="Putnam"/>
    <n v="39.637700000000002"/>
    <n v="-86.870199999999997"/>
    <s v="Development"/>
    <m/>
    <s v="No"/>
    <m/>
    <n v="4920"/>
    <n v="22960"/>
    <n v="4920"/>
    <m/>
    <m/>
    <m/>
    <m/>
    <m/>
    <m/>
    <m/>
    <m/>
    <m/>
  </r>
  <r>
    <d v="2020-08-04T00:00:00"/>
    <s v="August"/>
    <x v="3"/>
    <x v="9"/>
    <n v="-0.57999999999999996"/>
    <x v="0"/>
    <n v="4640"/>
    <n v="127"/>
    <s v="State Isolated"/>
    <s v="PFO"/>
    <n v="2.3E-2"/>
    <s v="C&amp;H Capital LLC"/>
    <s v="N/A"/>
    <s v="IWGP 2020-447-29-ALF-A"/>
    <m/>
    <s v="Hamilton"/>
    <n v="39.972499999999997"/>
    <n v="-85.962699999999998"/>
    <s v="Development"/>
    <s v="LRL-2021-552-sam"/>
    <s v="Yes"/>
    <s v="2/6/2025, 5/9/2025"/>
    <n v="696"/>
    <n v="3248"/>
    <n v="696"/>
    <m/>
    <m/>
    <m/>
    <m/>
    <s v="Fall Creek Woods Release #1/Fall Creek Woods Release #2"/>
    <m/>
    <m/>
    <m/>
    <s v="Class II Forested Wetland impacts. 0.466/0.58 credits fulfilled by Fall Creek Woods release #1. Remaining 0.114 credits fulfilled by Fall Creek Woods release #2."/>
  </r>
  <r>
    <d v="2020-08-04T00:00:00"/>
    <s v="August"/>
    <x v="3"/>
    <x v="9"/>
    <n v="-597"/>
    <x v="1"/>
    <n v="268650"/>
    <n v="139"/>
    <s v="Federal"/>
    <s v="Eph"/>
    <n v="497"/>
    <s v="Hendricks County (Jail)"/>
    <s v="LRL-2020-453-sjk"/>
    <s v="2020-429-32-ERL-A"/>
    <m/>
    <s v="Hendricks"/>
    <n v="39.758299999999998"/>
    <n v="-86.501000000000005"/>
    <s v="Development"/>
    <m/>
    <s v="No"/>
    <m/>
    <n v="40297.5"/>
    <n v="188055"/>
    <n v="40297.5"/>
    <m/>
    <m/>
    <m/>
    <m/>
    <m/>
    <m/>
    <m/>
    <m/>
    <m/>
  </r>
  <r>
    <d v="2020-08-04T00:00:00"/>
    <s v="August"/>
    <x v="3"/>
    <x v="9"/>
    <n v="-0.05"/>
    <x v="0"/>
    <n v="4000"/>
    <n v="139"/>
    <s v="Federal"/>
    <s v="PEM"/>
    <n v="0.02"/>
    <s v="Hendricks County (Jail)"/>
    <s v="LRL-2020-453-sjk"/>
    <s v="2020-429-32-ERL-A"/>
    <m/>
    <s v="Hendricks"/>
    <n v="39.758299999999998"/>
    <n v="-86.501000000000005"/>
    <s v="Development"/>
    <s v="LRL-2021-552-sam"/>
    <s v="Yes"/>
    <d v="2025-05-09T00:00:00"/>
    <n v="600"/>
    <n v="2800"/>
    <n v="600"/>
    <m/>
    <m/>
    <m/>
    <m/>
    <s v="Fall Creek Woods Release #2"/>
    <m/>
    <m/>
    <m/>
    <s v="Credits fulfilled by Fall Creek Woods Release #2"/>
  </r>
  <r>
    <d v="2020-08-04T00:00:00"/>
    <s v="August"/>
    <x v="3"/>
    <x v="9"/>
    <n v="-1.3"/>
    <x v="0"/>
    <n v="104000"/>
    <n v="139"/>
    <s v="Federal"/>
    <s v="PFO"/>
    <n v="0.27"/>
    <s v="Hendricks County (Jail)"/>
    <s v="LRL-2020-453-sjk"/>
    <s v="2020-429-32-ERL-A"/>
    <m/>
    <s v="Hendricks"/>
    <n v="39.758299999999998"/>
    <n v="-86.501000000000005"/>
    <s v="Development"/>
    <s v="LRL-2021-552-sam"/>
    <s v="Yes"/>
    <d v="2025-05-09T00:00:00"/>
    <n v="15600"/>
    <n v="72800"/>
    <n v="15600"/>
    <m/>
    <m/>
    <m/>
    <m/>
    <s v="Fall Creek Woods Release #2"/>
    <m/>
    <m/>
    <m/>
    <s v="Credits fulfilled by Fall Creek Woods Release #2"/>
  </r>
  <r>
    <d v="2020-08-04T00:00:00"/>
    <s v="August"/>
    <x v="3"/>
    <x v="10"/>
    <n v="-4.49"/>
    <x v="0"/>
    <n v="359200"/>
    <n v="135"/>
    <s v="Federal"/>
    <s v="PEM"/>
    <n v="1.87"/>
    <s v="Prologis"/>
    <s v="LRL-2020-00683-SAM"/>
    <s v="2019-904-30-ALF-A"/>
    <m/>
    <s v="Hancock"/>
    <n v="39.824100000000001"/>
    <n v="-85.882199999999997"/>
    <s v="Development"/>
    <m/>
    <s v="No"/>
    <m/>
    <n v="53880"/>
    <n v="251439.99999999997"/>
    <n v="53880"/>
    <m/>
    <m/>
    <m/>
    <m/>
    <m/>
    <m/>
    <m/>
    <m/>
    <m/>
  </r>
  <r>
    <d v="2020-08-11T00:00:00"/>
    <s v="August"/>
    <x v="3"/>
    <x v="0"/>
    <n v="-0.628"/>
    <x v="0"/>
    <n v="59660"/>
    <n v="79"/>
    <s v="Federal"/>
    <s v="PEM"/>
    <n v="0.32700000000000001"/>
    <s v="Lake County Board of Commissioners"/>
    <s v="LRC-2019-729"/>
    <s v="2019-619-45-MTM-A"/>
    <m/>
    <s v="Lake"/>
    <n v="41.537149999999997"/>
    <n v="-87.380949999999999"/>
    <s v="Transportation"/>
    <m/>
    <s v="No"/>
    <m/>
    <n v="8949"/>
    <n v="41762"/>
    <n v="8949"/>
    <m/>
    <m/>
    <m/>
    <m/>
    <m/>
    <m/>
    <m/>
    <m/>
    <m/>
  </r>
  <r>
    <d v="2020-08-11T00:00:00"/>
    <s v="August"/>
    <x v="3"/>
    <x v="9"/>
    <n v="-0.17"/>
    <x v="0"/>
    <n v="13600"/>
    <n v="138"/>
    <s v="State Isolated"/>
    <s v="PEM"/>
    <n v="0.1"/>
    <s v="Raindrop, LLC"/>
    <s v="N/A"/>
    <s v="IWGP 2020-498-32-ERL-A"/>
    <m/>
    <s v="Hendricks"/>
    <n v="39.623699999999999"/>
    <n v="-86.472399999999993"/>
    <s v="Development"/>
    <s v="LRL-2021-552-sam"/>
    <s v="Yes"/>
    <d v="2025-05-09T00:00:00"/>
    <n v="2040"/>
    <n v="9520"/>
    <n v="2040"/>
    <m/>
    <m/>
    <m/>
    <m/>
    <s v="Fall Creek Woods Release #2"/>
    <m/>
    <m/>
    <m/>
    <s v="0.03 Class I NF (PEM) impact; 0.07 Class II NF (PEM) impact - require 0.17 credit. Credits fulfilled by Fall Creek Woods Release #2."/>
  </r>
  <r>
    <d v="2020-08-11T00:00:00"/>
    <s v="August"/>
    <x v="3"/>
    <x v="9"/>
    <n v="-0.2"/>
    <x v="0"/>
    <n v="16000"/>
    <n v="138"/>
    <s v="State Isolated"/>
    <s v="PSS"/>
    <n v="0.08"/>
    <s v="Raindrop, LLC"/>
    <s v="N/A"/>
    <s v="IWGP 2020-498-32-ERL-A"/>
    <m/>
    <s v="Hendricks"/>
    <n v="39.623699999999999"/>
    <n v="-86.472399999999993"/>
    <s v="Development"/>
    <s v="LRL-2021-552-sam"/>
    <s v="Yes"/>
    <d v="2025-05-09T00:00:00"/>
    <n v="2400"/>
    <n v="11200"/>
    <n v="2400"/>
    <m/>
    <m/>
    <m/>
    <m/>
    <s v="Fall Creek Woods Release #2"/>
    <m/>
    <m/>
    <m/>
    <s v="0.08 Class II NF (PSS) impact - require 0.2 credit.  Credits fulfilled by Fall Creek Woods Release #2."/>
  </r>
  <r>
    <d v="2020-08-19T00:00:00"/>
    <s v="August"/>
    <x v="3"/>
    <x v="0"/>
    <n v="-1.3"/>
    <x v="0"/>
    <n v="123500"/>
    <n v="143"/>
    <s v="Federal"/>
    <s v="PEM"/>
    <n v="0.72"/>
    <s v="Tonn and Blank Construction"/>
    <s v="LRC-2019-872"/>
    <s v="2020-269-45-MTM-A"/>
    <m/>
    <s v="Lake"/>
    <n v="41.38194"/>
    <n v="-87.318830000000005"/>
    <s v="Transportation"/>
    <m/>
    <s v="No"/>
    <m/>
    <n v="18525"/>
    <n v="86450"/>
    <n v="18525"/>
    <m/>
    <m/>
    <m/>
    <m/>
    <m/>
    <m/>
    <m/>
    <m/>
    <m/>
  </r>
  <r>
    <d v="2020-08-19T00:00:00"/>
    <s v="August"/>
    <x v="3"/>
    <x v="0"/>
    <n v="-0.43"/>
    <x v="0"/>
    <n v="40850"/>
    <n v="143"/>
    <s v="Federal"/>
    <s v="PFO"/>
    <n v="0.24"/>
    <s v="Tonn and Blank Construction"/>
    <s v="LRC-2019-872"/>
    <s v="2020-269-45-MTM-A"/>
    <m/>
    <s v="Lake"/>
    <n v="41.38194"/>
    <n v="-87.318830000000005"/>
    <s v="Transportation"/>
    <m/>
    <s v="No"/>
    <m/>
    <n v="6127.5"/>
    <n v="28595"/>
    <n v="6127.5"/>
    <m/>
    <m/>
    <m/>
    <m/>
    <m/>
    <m/>
    <m/>
    <m/>
    <m/>
  </r>
  <r>
    <d v="2020-08-20T00:00:00"/>
    <s v="August"/>
    <x v="3"/>
    <x v="5"/>
    <n v="-297"/>
    <x v="1"/>
    <n v="118800"/>
    <n v="122"/>
    <s v="Federal"/>
    <s v="Int"/>
    <n v="235"/>
    <s v="SIGECO dba Vectren Power Supply"/>
    <s v="LRL-2016-408-jmb"/>
    <s v="2016-259-65-JWR-A"/>
    <m/>
    <s v="Posey"/>
    <n v="37.90119"/>
    <n v="-87.712779999999995"/>
    <s v="Energy Production"/>
    <m/>
    <s v="No"/>
    <m/>
    <n v="17820"/>
    <n v="83160"/>
    <n v="17820"/>
    <m/>
    <m/>
    <m/>
    <m/>
    <m/>
    <m/>
    <m/>
    <m/>
    <m/>
  </r>
  <r>
    <d v="2020-08-20T00:00:00"/>
    <s v="August"/>
    <x v="3"/>
    <x v="10"/>
    <n v="-132.5"/>
    <x v="1"/>
    <n v="53000"/>
    <n v="96"/>
    <s v="Federal"/>
    <s v="Eph"/>
    <n v="642.5"/>
    <s v="INDOT "/>
    <s v="LRL-2019-670-scm"/>
    <s v="2019-488-72-JBT-A"/>
    <m/>
    <s v="Scott"/>
    <n v="38.737000000000002"/>
    <n v="-85.711100000000002"/>
    <s v="Transportation"/>
    <m/>
    <s v="No"/>
    <m/>
    <n v="7950"/>
    <n v="37100"/>
    <n v="7950"/>
    <m/>
    <m/>
    <m/>
    <m/>
    <m/>
    <m/>
    <m/>
    <m/>
    <s v="Corps RGP - IDEM only required mitigation"/>
  </r>
  <r>
    <d v="2020-08-20T00:00:00"/>
    <s v="August"/>
    <x v="3"/>
    <x v="10"/>
    <n v="-6"/>
    <x v="1"/>
    <n v="2400"/>
    <n v="96"/>
    <s v="Federal"/>
    <s v="Int"/>
    <n v="92"/>
    <s v="INDOT "/>
    <s v="LRL-2019-670-scm"/>
    <s v="2019-488-72-JBT-A"/>
    <m/>
    <s v="Scott"/>
    <n v="38.737000000000002"/>
    <n v="-85.711100000000002"/>
    <s v="Transportation"/>
    <m/>
    <s v="No"/>
    <m/>
    <n v="360"/>
    <n v="1680"/>
    <n v="360"/>
    <m/>
    <m/>
    <m/>
    <m/>
    <m/>
    <m/>
    <m/>
    <m/>
    <s v="Corps RGP - IDEM only required mitigation"/>
  </r>
  <r>
    <d v="2020-08-20T00:00:00"/>
    <s v="August"/>
    <x v="3"/>
    <x v="10"/>
    <n v="-3.9E-2"/>
    <x v="0"/>
    <n v="3120"/>
    <n v="96"/>
    <s v="Federal"/>
    <s v="PEM"/>
    <n v="1.9699999999999999E-2"/>
    <s v="INDOT "/>
    <s v="LRL-2019-670-scm"/>
    <s v="2019-488-72-JBT-A"/>
    <m/>
    <s v="Scott"/>
    <n v="38.737000000000002"/>
    <n v="-85.711100000000002"/>
    <s v="Transportation"/>
    <m/>
    <s v="No"/>
    <m/>
    <n v="468"/>
    <n v="2184"/>
    <n v="468"/>
    <m/>
    <m/>
    <m/>
    <m/>
    <m/>
    <m/>
    <m/>
    <m/>
    <s v="Corps RGP - IDEM only required mitigation"/>
  </r>
  <r>
    <d v="2020-08-20T00:00:00"/>
    <s v="August"/>
    <x v="3"/>
    <x v="10"/>
    <n v="-3.2000000000000001E-2"/>
    <x v="0"/>
    <n v="2560"/>
    <n v="96"/>
    <s v="Federal"/>
    <s v="PFO"/>
    <n v="8.0000000000000002E-3"/>
    <s v="INDOT "/>
    <s v="LRL-2019-670-scm"/>
    <s v="2019-488-72-JBT-A"/>
    <m/>
    <s v="Scott"/>
    <n v="38.737000000000002"/>
    <n v="-85.711100000000002"/>
    <s v="Transportation"/>
    <m/>
    <s v="No"/>
    <m/>
    <n v="384"/>
    <n v="1792"/>
    <n v="384"/>
    <m/>
    <m/>
    <m/>
    <m/>
    <m/>
    <m/>
    <m/>
    <m/>
    <s v="Corps RGP - IDEM only required mitigation"/>
  </r>
  <r>
    <d v="2020-08-28T00:00:00"/>
    <s v="August"/>
    <x v="3"/>
    <x v="7"/>
    <n v="-110"/>
    <x v="1"/>
    <n v="44000"/>
    <n v="137"/>
    <s v="Federal"/>
    <s v="Per"/>
    <n v="110"/>
    <s v="Indiana DNR"/>
    <s v="LRL-2020-406-cat"/>
    <s v="2020-305-39-TMS-X"/>
    <m/>
    <s v="Jefferson"/>
    <n v="38.732199999999999"/>
    <n v="-85.246099999999998"/>
    <s v="Transportation"/>
    <m/>
    <s v="No"/>
    <m/>
    <n v="6600"/>
    <n v="30799.999999999996"/>
    <n v="6600"/>
    <m/>
    <m/>
    <m/>
    <m/>
    <m/>
    <m/>
    <m/>
    <m/>
    <m/>
  </r>
  <r>
    <d v="2020-08-31T00:00:00"/>
    <s v="August"/>
    <x v="3"/>
    <x v="5"/>
    <n v="-0.52"/>
    <x v="0"/>
    <n v="41440"/>
    <n v="118"/>
    <s v="Federal"/>
    <s v="PEM"/>
    <n v="0.22"/>
    <s v="Perry County Development Corporation"/>
    <s v="LRL-2015-59-KJS"/>
    <s v="2017-426-JWR-62-JWR"/>
    <m/>
    <s v="Perry"/>
    <n v="37.986739999999998"/>
    <n v="-86.771259999999998"/>
    <s v="Development"/>
    <m/>
    <s v="No"/>
    <m/>
    <n v="6216"/>
    <n v="29007.999999999996"/>
    <n v="6216"/>
    <m/>
    <m/>
    <m/>
    <m/>
    <m/>
    <m/>
    <m/>
    <m/>
    <m/>
  </r>
  <r>
    <d v="2020-08-31T00:00:00"/>
    <s v="August"/>
    <x v="3"/>
    <x v="5"/>
    <n v="-0.78"/>
    <x v="0"/>
    <n v="62560"/>
    <n v="118"/>
    <s v="Federal"/>
    <s v="PFO"/>
    <n v="0.16"/>
    <s v="Perry County Development Corporation"/>
    <s v="LRL-2015-59-KJS"/>
    <s v="2017-426-JWR-62-JWR"/>
    <m/>
    <s v="Perry"/>
    <n v="37.986739999999998"/>
    <n v="-86.771259999999998"/>
    <s v="Development"/>
    <m/>
    <s v="No"/>
    <m/>
    <n v="9384"/>
    <n v="43792"/>
    <n v="9384"/>
    <m/>
    <m/>
    <m/>
    <m/>
    <m/>
    <m/>
    <m/>
    <m/>
    <m/>
  </r>
  <r>
    <d v="2020-08-31T00:00:00"/>
    <s v="August"/>
    <x v="3"/>
    <x v="6"/>
    <n v="-0.122"/>
    <x v="0"/>
    <n v="14640"/>
    <n v="146"/>
    <s v="Federal"/>
    <s v="PEM"/>
    <n v="6.0999999999999999E-2"/>
    <s v="St. Joseph County"/>
    <s v="LRE-2019-01448-171-R19"/>
    <s v="2019-919-71-JWR-A"/>
    <m/>
    <s v="St. Joseph"/>
    <n v="41.709065000000002"/>
    <n v="-86.215205999999995"/>
    <s v="Transportation"/>
    <m/>
    <s v="No"/>
    <m/>
    <n v="2196"/>
    <n v="10248"/>
    <n v="2196"/>
    <m/>
    <m/>
    <m/>
    <m/>
    <m/>
    <m/>
    <m/>
    <m/>
    <m/>
  </r>
  <r>
    <d v="2020-08-31T00:00:00"/>
    <s v="August"/>
    <x v="3"/>
    <x v="6"/>
    <n v="-2.2040000000000002"/>
    <x v="0"/>
    <n v="264480"/>
    <n v="146"/>
    <s v="Federal"/>
    <s v="PFO"/>
    <n v="0.55100000000000005"/>
    <s v="St. Joseph County"/>
    <s v="LRE-2019-01448-171-R19"/>
    <s v="2019-919-71-JWR-A"/>
    <m/>
    <s v="St. Joseph"/>
    <n v="41.709065000000002"/>
    <n v="-86.215205999999995"/>
    <s v="Transportation"/>
    <m/>
    <s v="No"/>
    <m/>
    <n v="39672"/>
    <n v="185136"/>
    <n v="39672"/>
    <m/>
    <m/>
    <m/>
    <m/>
    <m/>
    <m/>
    <m/>
    <m/>
    <m/>
  </r>
  <r>
    <d v="2020-08-31T00:00:00"/>
    <s v="August"/>
    <x v="3"/>
    <x v="7"/>
    <n v="-0.221"/>
    <x v="0"/>
    <n v="17680"/>
    <n v="141"/>
    <s v="State Isolated"/>
    <s v="PEM"/>
    <n v="0.221"/>
    <s v="City of Greendale"/>
    <s v="N/A"/>
    <s v="IWGP 2020-405-15-TMS-A"/>
    <m/>
    <s v="Dearborn"/>
    <n v="39.113160000000001"/>
    <n v="-84.856620000000007"/>
    <s v="Development"/>
    <s v="LRL-2014-100-sam/Fourteeen Mile Creek Mitigation Bank"/>
    <s v="Yes"/>
    <d v="2024-01-22T00:00:00"/>
    <n v="2652"/>
    <n v="12376"/>
    <n v="2652"/>
    <m/>
    <m/>
    <m/>
    <m/>
    <s v="Fourteen Mile Creek Mitigation Bank"/>
    <m/>
    <m/>
    <m/>
    <s v="Credit fulfilled, purchased from Fourteen Mile Creek Mitigation Bank.  "/>
  </r>
  <r>
    <d v="2020-08-31T00:00:00"/>
    <s v="August"/>
    <x v="3"/>
    <x v="9"/>
    <n v="-0.74"/>
    <x v="0"/>
    <n v="59200"/>
    <n v="142"/>
    <s v="State Isolated"/>
    <s v="PEM"/>
    <n v="0.74"/>
    <s v="Walmart Stores, Inc."/>
    <s v="N/A"/>
    <s v="IWIP 2020-388-30-ALF-A"/>
    <m/>
    <s v="Hancock"/>
    <n v="39.852800000000002"/>
    <n v="-85.905500000000004"/>
    <s v="Development"/>
    <s v="LRL-2021-552-sam"/>
    <s v="Yes"/>
    <d v="2025-05-09T00:00:00"/>
    <n v="8880"/>
    <n v="41440"/>
    <n v="8880"/>
    <m/>
    <m/>
    <m/>
    <m/>
    <s v="Fall Creek Woods Release #2"/>
    <m/>
    <m/>
    <m/>
    <s v="Class I Non-Forested (1 to 1 ratio). Credits fulfilled by Fall Creek Woods Release #2."/>
  </r>
  <r>
    <d v="2020-08-31T00:00:00"/>
    <s v="August"/>
    <x v="3"/>
    <x v="9"/>
    <n v="-6.48"/>
    <x v="0"/>
    <n v="518400"/>
    <n v="142"/>
    <s v="State Isolated"/>
    <s v="PFO"/>
    <n v="2.16"/>
    <s v="Walmart Stores, Inc."/>
    <s v="N/A"/>
    <s v="IWIP 2020-388-30-ALF-A"/>
    <m/>
    <s v="Hancock"/>
    <n v="39.852800000000002"/>
    <n v="-85.905500000000004"/>
    <s v="Development"/>
    <s v="LRL-2021-552-sam"/>
    <s v="No"/>
    <s v="5/9/2025,"/>
    <n v="77760"/>
    <n v="362880"/>
    <n v="77760"/>
    <m/>
    <m/>
    <m/>
    <m/>
    <s v="Fall Creek Woods Release #2"/>
    <m/>
    <m/>
    <m/>
    <s v="Class III Forested (3 to 1 ratio). 0.476 credits fulfilled by Fall Creek Woods Release #2. 6.004/6.48 credits remaining to be fulfilled. "/>
  </r>
  <r>
    <d v="2020-09-08T00:00:00"/>
    <s v="September"/>
    <x v="3"/>
    <x v="0"/>
    <n v="-0.88"/>
    <x v="0"/>
    <n v="83600"/>
    <n v="148"/>
    <s v="State Isolated"/>
    <s v="PEM"/>
    <n v="0.88"/>
    <s v="Olthof Homes - Ed Recktenwald"/>
    <s v="N/A"/>
    <s v="2019-425-64-MTM-A"/>
    <m/>
    <s v="Porter"/>
    <n v="41.584589999999999"/>
    <n v="-87.117549999999994"/>
    <s v="Development"/>
    <m/>
    <s v="No"/>
    <m/>
    <n v="12540"/>
    <n v="58519.999999999993"/>
    <n v="12540"/>
    <m/>
    <m/>
    <m/>
    <m/>
    <m/>
    <m/>
    <m/>
    <m/>
    <s v="Class I Non-Forested (1 to 1 ratio)"/>
  </r>
  <r>
    <d v="2020-09-08T00:00:00"/>
    <s v="September"/>
    <x v="3"/>
    <x v="6"/>
    <n v="-0.42"/>
    <x v="0"/>
    <n v="50400"/>
    <n v="136"/>
    <s v="Federal"/>
    <s v="PEM"/>
    <n v="0.21"/>
    <s v="St. Joseph County Airport Authority"/>
    <s v="LRE-2001-1710041-R20"/>
    <s v="2020-521-71-JWR-X"/>
    <m/>
    <s v="St. Joseph"/>
    <n v="41.702539999999999"/>
    <n v="-86.325190000000006"/>
    <s v="Transportation"/>
    <m/>
    <s v="No"/>
    <m/>
    <n v="7560"/>
    <n v="35280"/>
    <n v="7560"/>
    <m/>
    <m/>
    <m/>
    <m/>
    <m/>
    <m/>
    <m/>
    <m/>
    <s v="Corps and IDEM RGP"/>
  </r>
  <r>
    <d v="2020-09-15T00:00:00"/>
    <s v="September"/>
    <x v="3"/>
    <x v="8"/>
    <n v="-0.46"/>
    <x v="0"/>
    <n v="36800"/>
    <n v="112"/>
    <s v="Federal"/>
    <s v="PEM"/>
    <n v="0.23"/>
    <s v="INDOT"/>
    <s v="LRL-2018-801-djd"/>
    <s v="2019-653-12-JBT-A"/>
    <m/>
    <s v="Clinton &amp; Howard"/>
    <n v="40.417000000000002"/>
    <n v="-86.582999999999998"/>
    <s v="Transportation"/>
    <m/>
    <s v="No"/>
    <m/>
    <n v="5520"/>
    <n v="25760"/>
    <n v="5520"/>
    <m/>
    <m/>
    <m/>
    <m/>
    <m/>
    <m/>
    <m/>
    <m/>
    <s v="IDEM required more ILF Credits than the Corps for PEM impacts (INDOT DES No.: 1400263, 1592971, 1400265)"/>
  </r>
  <r>
    <d v="2020-09-15T00:00:00"/>
    <s v="September"/>
    <x v="3"/>
    <x v="8"/>
    <n v="-1794"/>
    <x v="1"/>
    <n v="717600"/>
    <n v="112"/>
    <s v="Federal"/>
    <s v="Int"/>
    <n v="2067"/>
    <s v="INDOT"/>
    <s v="LRL-2018-801-djd"/>
    <s v="2019-653-12-JBT-A"/>
    <m/>
    <s v="Clinton &amp; Howard"/>
    <n v="40.417000000000002"/>
    <n v="-86.582999999999998"/>
    <s v="Transportation"/>
    <m/>
    <s v="No"/>
    <m/>
    <n v="107640"/>
    <n v="502319.99999999994"/>
    <n v="107640"/>
    <m/>
    <m/>
    <m/>
    <m/>
    <m/>
    <m/>
    <m/>
    <m/>
    <s v="The Corps did not require ILF Stream Credits (INDOT DES No.: 1400263, 1592971, 1400265)"/>
  </r>
  <r>
    <d v="2020-09-15T00:00:00"/>
    <s v="September"/>
    <x v="3"/>
    <x v="8"/>
    <n v="-10"/>
    <x v="1"/>
    <n v="4000"/>
    <n v="112"/>
    <s v="Federal"/>
    <s v="Per"/>
    <n v="10"/>
    <s v="INDOT"/>
    <s v="LRL-2018-801-djd"/>
    <s v="2019-653-12-JBT-A"/>
    <m/>
    <s v="Clinton &amp; Howard"/>
    <n v="40.417000000000002"/>
    <n v="-86.582999999999998"/>
    <s v="Transportation"/>
    <m/>
    <s v="No"/>
    <m/>
    <n v="600"/>
    <n v="2800"/>
    <n v="600"/>
    <m/>
    <m/>
    <m/>
    <m/>
    <m/>
    <m/>
    <m/>
    <m/>
    <s v="The Corps did not require ILF Stream Credits (INDOT DES No.: 1400263, 1592971, 1400265)"/>
  </r>
  <r>
    <d v="2020-09-15T00:00:00"/>
    <s v="September"/>
    <x v="3"/>
    <x v="8"/>
    <n v="-0.03"/>
    <x v="0"/>
    <n v="2400"/>
    <n v="112"/>
    <s v="Federal"/>
    <s v="PSS"/>
    <n v="0.01"/>
    <s v="INDOT"/>
    <s v="LRL-2018-801-djd"/>
    <s v="2019-653-12-JBT-A"/>
    <m/>
    <s v="Clinton &amp; Howard"/>
    <n v="40.417000000000002"/>
    <n v="-86.582999999999998"/>
    <s v="Transportation"/>
    <m/>
    <s v="No"/>
    <m/>
    <n v="360"/>
    <n v="1680"/>
    <n v="360"/>
    <m/>
    <m/>
    <m/>
    <m/>
    <m/>
    <m/>
    <m/>
    <m/>
    <s v="The Corps did not require ILF credits for PSS impacts (INDOT DES No.: 1400263, 1592971, 1400265)"/>
  </r>
  <r>
    <d v="2020-09-15T00:00:00"/>
    <s v="September"/>
    <x v="3"/>
    <x v="8"/>
    <n v="-1.04"/>
    <x v="0"/>
    <n v="83200"/>
    <n v="112"/>
    <s v="Federal"/>
    <s v="PFO"/>
    <n v="0.26"/>
    <s v="INDOT"/>
    <s v="LRL-2018-801-djd"/>
    <s v="2019-653-12-JBT-A"/>
    <m/>
    <s v="Clinton &amp; Howard"/>
    <n v="40.417000000000002"/>
    <n v="-86.582999999999998"/>
    <s v="Transportation"/>
    <m/>
    <s v="No"/>
    <m/>
    <n v="12480"/>
    <n v="58239.999999999993"/>
    <n v="12480"/>
    <m/>
    <m/>
    <m/>
    <m/>
    <m/>
    <m/>
    <m/>
    <m/>
    <s v="IDEM required more ILF Credits than the Corps for PFO impacts (INDOT DES No.: 1400263, 1592971, 1400265)"/>
  </r>
  <r>
    <d v="2020-09-15T00:00:00"/>
    <s v="September"/>
    <x v="3"/>
    <x v="8"/>
    <n v="-0.05"/>
    <x v="0"/>
    <n v="4000"/>
    <n v="112"/>
    <s v="State Isolated"/>
    <s v="PEM"/>
    <n v="0.05"/>
    <s v="INDOT"/>
    <s v="N/A"/>
    <s v="IWGP 2019-653-12-JBT-A"/>
    <m/>
    <s v="Clinton &amp; Howard"/>
    <n v="40.417299999999997"/>
    <n v="-86.305999999999997"/>
    <s v="Transportation"/>
    <m/>
    <s v="No"/>
    <m/>
    <n v="600"/>
    <n v="2800"/>
    <n v="600"/>
    <m/>
    <m/>
    <m/>
    <m/>
    <m/>
    <m/>
    <m/>
    <m/>
    <s v="Class I Non-Forested (1 to 1 ratio) (INDOT DES No.: 1400263, 1592971, 1400265)"/>
  </r>
  <r>
    <d v="2020-09-15T00:00:00"/>
    <s v="September"/>
    <x v="3"/>
    <x v="9"/>
    <n v="-411"/>
    <x v="1"/>
    <n v="184950"/>
    <n v="113"/>
    <s v="Federal"/>
    <s v="Int"/>
    <n v="411"/>
    <s v="INDOT"/>
    <s v="LRL-2019-584-djd "/>
    <s v="2020-136-06-JBT-A"/>
    <m/>
    <s v="Boone"/>
    <n v="39.981999999999999"/>
    <n v="-86.396000000000001"/>
    <s v="Transportation"/>
    <m/>
    <s v="No"/>
    <m/>
    <n v="27742.5"/>
    <n v="129465"/>
    <n v="27742.5"/>
    <m/>
    <m/>
    <m/>
    <m/>
    <m/>
    <m/>
    <m/>
    <m/>
    <s v="The Corps did not require ILF Stream Credits (INDOT DES No.: 1400071)"/>
  </r>
  <r>
    <d v="2020-09-15T00:00:00"/>
    <s v="September"/>
    <x v="3"/>
    <x v="9"/>
    <n v="-0.16200000000000001"/>
    <x v="0"/>
    <n v="12960"/>
    <n v="113"/>
    <s v="State Isolated"/>
    <s v="PEM"/>
    <n v="0.16200000000000001"/>
    <s v="INDOT"/>
    <s v="N/A"/>
    <s v="IWGP 2020-136-06-JBT-A"/>
    <m/>
    <s v="Boone"/>
    <n v="39.984000000000002"/>
    <n v="-86.399000000000001"/>
    <s v="Transportation"/>
    <m/>
    <s v="No"/>
    <m/>
    <n v="1944"/>
    <n v="9072"/>
    <n v="1944"/>
    <m/>
    <m/>
    <m/>
    <m/>
    <m/>
    <m/>
    <m/>
    <m/>
    <s v="Class I Non-Forested (INDOT DES No.: 1400071)"/>
  </r>
  <r>
    <d v="2020-09-15T00:00:00"/>
    <s v="September"/>
    <x v="3"/>
    <x v="9"/>
    <n v="-0.27500000000000002"/>
    <x v="0"/>
    <n v="22000"/>
    <n v="113"/>
    <s v="State Isolated"/>
    <s v="PFO"/>
    <n v="0.11"/>
    <s v="INDOT"/>
    <s v="N/A"/>
    <s v="IWGP 2020-136-06-JBT-A"/>
    <m/>
    <s v="Boone"/>
    <n v="39.984000000000002"/>
    <n v="-86.399000000000001"/>
    <s v="Transportation"/>
    <m/>
    <s v="No"/>
    <m/>
    <n v="3300"/>
    <n v="15399.999999999998"/>
    <n v="3300"/>
    <m/>
    <m/>
    <m/>
    <m/>
    <m/>
    <m/>
    <m/>
    <m/>
    <s v="Class II Forested (INDOT DES No.: 1400071)"/>
  </r>
  <r>
    <d v="2020-09-15T00:00:00"/>
    <s v="September"/>
    <x v="3"/>
    <x v="9"/>
    <n v="-88.25"/>
    <x v="1"/>
    <n v="39712.51"/>
    <n v="128"/>
    <s v="Federal"/>
    <s v="Int"/>
    <n v="88.25"/>
    <s v="INDOT"/>
    <s v="LRL-2017-461-scm"/>
    <s v="2019-844-32-JBT-A"/>
    <m/>
    <s v="Hendricks"/>
    <n v="39.667999999999999"/>
    <n v="-86.370699999999999"/>
    <s v="Transportation"/>
    <m/>
    <s v="No"/>
    <m/>
    <n v="5956.8765000000003"/>
    <n v="27798.757000000001"/>
    <n v="5956.8765000000003"/>
    <m/>
    <m/>
    <m/>
    <m/>
    <m/>
    <m/>
    <m/>
    <m/>
    <s v="Corps did not require ILF mitigation for this reach of I-70 (mitigation required previously under same 404 No.) (DES 1592433)"/>
  </r>
  <r>
    <d v="2020-09-17T00:00:00"/>
    <s v="September"/>
    <x v="3"/>
    <x v="4"/>
    <n v="-7.0000000000000001E-3"/>
    <x v="0"/>
    <n v="560"/>
    <n v="126"/>
    <s v="State Isolated"/>
    <s v="PEM"/>
    <n v="7.0000000000000001E-3"/>
    <s v="INDOT "/>
    <s v="N/A"/>
    <s v="IWGP 2020-287-04-JBT-A"/>
    <m/>
    <s v="Benton"/>
    <n v="40.539299999999997"/>
    <n v="-87.378799999999998"/>
    <s v="Transportation"/>
    <m/>
    <s v="No"/>
    <m/>
    <n v="84"/>
    <n v="392"/>
    <n v="84"/>
    <m/>
    <m/>
    <m/>
    <m/>
    <m/>
    <m/>
    <m/>
    <m/>
    <s v="DES NO. 1701564; Class 1 State Isolated Wetland Impact"/>
  </r>
  <r>
    <d v="2020-09-18T00:00:00"/>
    <s v="September "/>
    <x v="3"/>
    <x v="4"/>
    <n v="-18.3"/>
    <x v="1"/>
    <n v="7320"/>
    <n v="125"/>
    <s v="Federal"/>
    <s v="Eph"/>
    <n v="740.3"/>
    <s v="INDOT "/>
    <s v="LRL-2020-60-scm"/>
    <s v="2020-91-77-JBT-A"/>
    <m/>
    <s v="Sullivan"/>
    <n v="39.194546000000003"/>
    <n v="-87.489445000000003"/>
    <s v="Transportation"/>
    <m/>
    <s v="No"/>
    <m/>
    <n v="1098"/>
    <n v="5124"/>
    <n v="1098"/>
    <m/>
    <m/>
    <m/>
    <m/>
    <m/>
    <m/>
    <m/>
    <m/>
    <s v="DES No. 9701930; USACE did not require mitigation approved RGP"/>
  </r>
  <r>
    <d v="2020-09-18T00:00:00"/>
    <s v="September "/>
    <x v="3"/>
    <x v="4"/>
    <n v="-176"/>
    <x v="1"/>
    <n v="70400"/>
    <n v="125"/>
    <s v="Federal"/>
    <s v="Per"/>
    <n v="176"/>
    <s v="INDOT "/>
    <s v="LRL-2020-60-scm"/>
    <s v="2020-91-77-JBT-A"/>
    <m/>
    <s v="Sullivan"/>
    <n v="39.194546000000003"/>
    <n v="-87.489445000000003"/>
    <s v="Transportation"/>
    <m/>
    <s v="No"/>
    <m/>
    <n v="10560"/>
    <n v="49280"/>
    <n v="10560"/>
    <m/>
    <m/>
    <m/>
    <m/>
    <m/>
    <m/>
    <m/>
    <m/>
    <s v="DES No. 9701930; USACE did not require mitigation approved RGP"/>
  </r>
  <r>
    <d v="2020-09-18T00:00:00"/>
    <s v="September"/>
    <x v="3"/>
    <x v="4"/>
    <n v="-1.4E-2"/>
    <x v="0"/>
    <n v="1120"/>
    <n v="125"/>
    <s v="Federal"/>
    <s v="PEM"/>
    <n v="7.0000000000000001E-3"/>
    <s v="INDOT "/>
    <s v="LRL-2020-60-scm"/>
    <s v="2020-91-77-JBT-A"/>
    <m/>
    <s v="Sullivan"/>
    <n v="39.194546000000003"/>
    <n v="-87.489445000000003"/>
    <s v="Transportation"/>
    <m/>
    <s v="No"/>
    <m/>
    <n v="168"/>
    <n v="784"/>
    <n v="168"/>
    <m/>
    <m/>
    <m/>
    <m/>
    <m/>
    <m/>
    <m/>
    <m/>
    <s v="DES No. 9701930; USACE did not require mitigation approved RGP"/>
  </r>
  <r>
    <d v="2020-09-18T00:00:00"/>
    <s v="September"/>
    <x v="3"/>
    <x v="4"/>
    <n v="-162"/>
    <x v="1"/>
    <n v="64800"/>
    <n v="119"/>
    <s v="Federal"/>
    <s v="Per"/>
    <n v="162"/>
    <s v="INDOT "/>
    <s v="LRL-2019-882-djd"/>
    <s v="2019-878-06-JBT-A"/>
    <m/>
    <s v="Boone"/>
    <n v="40.152200000000001"/>
    <n v="-86.537649999999999"/>
    <s v="Transportation"/>
    <m/>
    <s v="No"/>
    <m/>
    <n v="9720"/>
    <n v="45360"/>
    <n v="9720"/>
    <m/>
    <m/>
    <m/>
    <m/>
    <m/>
    <m/>
    <m/>
    <m/>
    <s v="DES No. 1173629 and 1173630; USACE did not require mitigation approved RGP"/>
  </r>
  <r>
    <d v="2020-09-18T00:00:00"/>
    <s v="September"/>
    <x v="3"/>
    <x v="4"/>
    <n v="-0.1172"/>
    <x v="0"/>
    <n v="9376"/>
    <n v="119"/>
    <s v="Federal"/>
    <s v="PEM"/>
    <n v="5.8599999999999999E-2"/>
    <s v="INDOT "/>
    <s v="LRL-2019-882-djd"/>
    <s v="2019-878-06-JBT-A"/>
    <m/>
    <s v="Boone"/>
    <n v="40.152200000000001"/>
    <n v="-86.537649999999999"/>
    <s v="Transportation"/>
    <m/>
    <s v="No"/>
    <m/>
    <n v="1406.3999999999999"/>
    <n v="6563.2"/>
    <n v="1406.3999999999999"/>
    <m/>
    <m/>
    <m/>
    <m/>
    <m/>
    <m/>
    <m/>
    <m/>
    <s v="DES No. 1173629 and 1173630; USACE did not require mitigation approved RGP"/>
  </r>
  <r>
    <d v="2020-09-18T00:00:00"/>
    <s v="September"/>
    <x v="3"/>
    <x v="4"/>
    <n v="-8.1000000000000003E-2"/>
    <x v="0"/>
    <n v="6480"/>
    <n v="119"/>
    <s v="Federal"/>
    <s v="PFO"/>
    <n v="2.7E-2"/>
    <s v="INDOT "/>
    <s v="LRL-2019-882-djd"/>
    <s v="2019-878-06-JBT-A"/>
    <m/>
    <s v="Boone"/>
    <n v="40.152200000000001"/>
    <n v="-86.537649999999999"/>
    <s v="Transportation"/>
    <m/>
    <s v="No"/>
    <m/>
    <n v="972"/>
    <n v="4536"/>
    <n v="972"/>
    <m/>
    <m/>
    <m/>
    <m/>
    <m/>
    <m/>
    <m/>
    <m/>
    <s v="DES No. 1173629 and 1173630; USACE did not require mitigation approved RGP"/>
  </r>
  <r>
    <d v="2020-09-18T00:00:00"/>
    <s v="September"/>
    <x v="3"/>
    <x v="5"/>
    <n v="-347"/>
    <x v="1"/>
    <n v="138800"/>
    <n v="120"/>
    <s v="Federal"/>
    <s v="Int"/>
    <n v="703"/>
    <s v="INDOT "/>
    <s v="LRL-2020-39-djd"/>
    <s v="2020-250-74-JBT-A"/>
    <m/>
    <s v="Spencer"/>
    <n v="37.901499999999999"/>
    <n v="-87.104799999999997"/>
    <s v="Transportation"/>
    <m/>
    <s v="No"/>
    <m/>
    <n v="20820"/>
    <n v="97160"/>
    <n v="20820"/>
    <m/>
    <m/>
    <m/>
    <m/>
    <m/>
    <m/>
    <m/>
    <m/>
    <s v="DES No. 0710929; USACE did not require mitigation approved RGP"/>
  </r>
  <r>
    <d v="2020-09-18T00:00:00"/>
    <s v="September"/>
    <x v="3"/>
    <x v="5"/>
    <n v="-0.02"/>
    <x v="0"/>
    <n v="1600"/>
    <n v="120"/>
    <s v="Federal"/>
    <s v="PEM"/>
    <n v="0.01"/>
    <s v="INDOT "/>
    <s v="LRL-2020-39-djd"/>
    <s v="2020-250-74-JBT-A"/>
    <m/>
    <s v="Spencer"/>
    <n v="37.901499999999999"/>
    <n v="-87.104799999999997"/>
    <s v="Transportation"/>
    <m/>
    <s v="No"/>
    <m/>
    <n v="240"/>
    <n v="1120"/>
    <n v="240"/>
    <m/>
    <m/>
    <m/>
    <m/>
    <m/>
    <m/>
    <m/>
    <m/>
    <s v="DES No. 0710929; USACE did not require mitigation approved RGP"/>
  </r>
  <r>
    <d v="2020-09-30T00:00:00"/>
    <s v="September"/>
    <x v="3"/>
    <x v="2"/>
    <n v="-1070"/>
    <x v="1"/>
    <n v="428000"/>
    <n v="109"/>
    <s v="Federal"/>
    <s v="Eph"/>
    <n v="892"/>
    <s v="NAVFAC MIDPLANT PWD"/>
    <s v="LRL-2019-71-lcl"/>
    <s v="2020-084-51-TMS-A"/>
    <m/>
    <s v="Martin"/>
    <n v="38.891100000000002"/>
    <n v="-86.864900000000006"/>
    <s v="Development"/>
    <m/>
    <s v="No"/>
    <m/>
    <n v="64200"/>
    <n v="299600"/>
    <n v="64200"/>
    <m/>
    <m/>
    <m/>
    <m/>
    <m/>
    <m/>
    <m/>
    <m/>
    <m/>
  </r>
  <r>
    <d v="2020-09-30T00:00:00"/>
    <s v="September"/>
    <x v="3"/>
    <x v="2"/>
    <n v="-1"/>
    <x v="0"/>
    <n v="80000"/>
    <n v="109"/>
    <s v="Federal"/>
    <s v="PFO"/>
    <n v="0.27"/>
    <s v="NAVFAC MIDPLANT PWD"/>
    <s v="LRL-2019-71-lcl"/>
    <s v="2020-084-51-TMS-A"/>
    <m/>
    <s v="Martin"/>
    <n v="38.891100000000002"/>
    <n v="-86.864900000000006"/>
    <s v="Development"/>
    <m/>
    <s v="No"/>
    <m/>
    <n v="12000"/>
    <n v="56000"/>
    <n v="12000"/>
    <m/>
    <m/>
    <m/>
    <m/>
    <m/>
    <m/>
    <m/>
    <m/>
    <m/>
  </r>
  <r>
    <d v="2020-09-30T00:00:00"/>
    <s v="September"/>
    <x v="3"/>
    <x v="2"/>
    <n v="-0.16600000000000001"/>
    <x v="0"/>
    <n v="13280"/>
    <n v="109"/>
    <s v="Federal"/>
    <s v="PEM"/>
    <n v="0.08"/>
    <s v="NAVFAC MIDPLANT PWD"/>
    <s v="LRL-2019-71-lcl"/>
    <s v="2020-084-51-TMS-A"/>
    <m/>
    <s v="Martin"/>
    <n v="38.891100000000002"/>
    <n v="-86.864900000000006"/>
    <s v="Development"/>
    <m/>
    <s v="No"/>
    <m/>
    <n v="1992"/>
    <n v="9296"/>
    <n v="1992"/>
    <m/>
    <m/>
    <m/>
    <m/>
    <m/>
    <m/>
    <m/>
    <m/>
    <m/>
  </r>
  <r>
    <d v="2020-10-13T00:00:00"/>
    <s v="October"/>
    <x v="3"/>
    <x v="0"/>
    <n v="-0.72"/>
    <x v="0"/>
    <n v="68400"/>
    <n v="153"/>
    <s v="Federal"/>
    <s v="PEM"/>
    <n v="750"/>
    <s v="Glenn Springs Holdings, Inc"/>
    <s v="LRC-2020-125"/>
    <s v="2020-464-45-MTM-A"/>
    <m/>
    <s v="Lake"/>
    <n v="41.619916000000003"/>
    <n v="-87.431398000000002"/>
    <s v="Energy Production"/>
    <m/>
    <s v="No"/>
    <m/>
    <n v="10260"/>
    <n v="47880"/>
    <n v="10260"/>
    <m/>
    <m/>
    <m/>
    <m/>
    <m/>
    <m/>
    <m/>
    <m/>
    <s v="Wetland credit purchase for perennial stream encapsulation.  "/>
  </r>
  <r>
    <d v="2020-10-13T00:00:00"/>
    <s v="October"/>
    <x v="3"/>
    <x v="9"/>
    <n v="-5602"/>
    <x v="1"/>
    <n v="2520900"/>
    <n v="149"/>
    <s v="Federal"/>
    <s v="Eph"/>
    <n v="4668"/>
    <s v="INDOT"/>
    <s v="LRL-2019-945-dds (IP)"/>
    <s v="2020-154-49-JBT-A"/>
    <m/>
    <s v="Marion "/>
    <n v="39.698371999999999"/>
    <n v="-86.138490000000004"/>
    <s v="Transportation"/>
    <m/>
    <s v="No"/>
    <m/>
    <n v="378135"/>
    <n v="1764630"/>
    <n v="378135"/>
    <m/>
    <m/>
    <m/>
    <m/>
    <m/>
    <m/>
    <m/>
    <m/>
    <s v="DES No. 1802075"/>
  </r>
  <r>
    <d v="2020-10-13T00:00:00"/>
    <s v="October"/>
    <x v="3"/>
    <x v="9"/>
    <n v="-1360"/>
    <x v="1"/>
    <n v="612000"/>
    <n v="149"/>
    <s v="Federal"/>
    <s v="Int"/>
    <n v="1113"/>
    <s v="INDOT"/>
    <s v="LRL-2019-945-dds (IP)"/>
    <s v="2020-154-49-JBT-A"/>
    <m/>
    <s v="Marion "/>
    <n v="39.698371999999999"/>
    <n v="-86.138490000000004"/>
    <s v="Transportation"/>
    <m/>
    <s v="No"/>
    <m/>
    <n v="91800"/>
    <n v="428400"/>
    <n v="91800"/>
    <m/>
    <m/>
    <m/>
    <m/>
    <m/>
    <m/>
    <m/>
    <m/>
    <s v="DES No. 1802075"/>
  </r>
  <r>
    <d v="2020-10-13T00:00:00"/>
    <s v="October"/>
    <x v="3"/>
    <x v="9"/>
    <n v="-0.34200000000000003"/>
    <x v="0"/>
    <n v="27360"/>
    <n v="149"/>
    <s v="Federal"/>
    <s v="PSS"/>
    <n v="0.114"/>
    <s v="INDOT"/>
    <s v="LRL-2019-945-dds (IP)"/>
    <s v="2020-154-49-JBT-A"/>
    <m/>
    <s v="Marion "/>
    <n v="39.698371999999999"/>
    <n v="-86.138490000000004"/>
    <s v="Transportation"/>
    <m/>
    <s v="No"/>
    <m/>
    <n v="4104"/>
    <n v="19152"/>
    <n v="4104"/>
    <m/>
    <m/>
    <m/>
    <m/>
    <m/>
    <m/>
    <m/>
    <m/>
    <s v="DES No. 1802075; IDEM required more PSS ILF mitigation than the Corps"/>
  </r>
  <r>
    <d v="2020-10-13T00:00:00"/>
    <s v="October"/>
    <x v="3"/>
    <x v="9"/>
    <n v="-1850"/>
    <x v="1"/>
    <n v="832500"/>
    <n v="149"/>
    <s v="Federal"/>
    <s v="Eph"/>
    <n v="1542"/>
    <s v="INDOT"/>
    <s v="LRL-2019-945-dds (RGP)"/>
    <s v="2020-154-49-JBT-A"/>
    <m/>
    <s v="Marion "/>
    <n v="39.698371999999999"/>
    <n v="-86.138490000000004"/>
    <s v="Transportation"/>
    <m/>
    <s v="No"/>
    <m/>
    <n v="124875"/>
    <n v="582750"/>
    <n v="124875"/>
    <m/>
    <m/>
    <m/>
    <m/>
    <m/>
    <m/>
    <m/>
    <m/>
    <s v="DES No. 1802075"/>
  </r>
  <r>
    <d v="2020-10-13T00:00:00"/>
    <s v="October"/>
    <x v="3"/>
    <x v="9"/>
    <n v="-26"/>
    <x v="1"/>
    <n v="11700"/>
    <n v="149"/>
    <s v="Federal"/>
    <s v="Per"/>
    <n v="22"/>
    <s v="INDOT"/>
    <s v="LRL-2019-945-dds (RGP)"/>
    <s v="2020-154-49-JBT-A"/>
    <m/>
    <s v="Marion "/>
    <n v="39.698371999999999"/>
    <n v="-86.138490000000004"/>
    <s v="Transportation"/>
    <m/>
    <s v="No"/>
    <m/>
    <n v="1755"/>
    <n v="8189.9999999999991"/>
    <n v="1755"/>
    <m/>
    <m/>
    <m/>
    <m/>
    <m/>
    <m/>
    <m/>
    <m/>
    <s v="DES No. 1802075"/>
  </r>
  <r>
    <d v="2020-10-13T00:00:00"/>
    <s v="October"/>
    <x v="3"/>
    <x v="9"/>
    <n v="-8.7999999999999995E-2"/>
    <x v="0"/>
    <n v="7040"/>
    <n v="149"/>
    <s v="Federal"/>
    <s v="PFO"/>
    <n v="2.1999999999999999E-2"/>
    <s v="INDOT"/>
    <s v="LRL-2019-945-dds (RGP)"/>
    <s v="2020-154-49-JBT-A"/>
    <m/>
    <s v="Marion "/>
    <n v="39.698371999999999"/>
    <n v="-86.138490000000004"/>
    <s v="Transportation"/>
    <m/>
    <s v="No"/>
    <m/>
    <n v="1056"/>
    <n v="4928"/>
    <n v="1056"/>
    <m/>
    <m/>
    <m/>
    <m/>
    <m/>
    <m/>
    <m/>
    <m/>
    <s v="DES No. 1802075; IDEM required more PFO ILF mitigation than the Corps"/>
  </r>
  <r>
    <d v="2020-10-13T00:00:00"/>
    <s v="October"/>
    <x v="3"/>
    <x v="9"/>
    <n v="-1.2999999999999999E-2"/>
    <x v="0"/>
    <n v="1040"/>
    <n v="149"/>
    <s v="State Isolated"/>
    <s v="PEM"/>
    <n v="1.2999999999999999E-2"/>
    <s v="INDOT"/>
    <s v="N/A"/>
    <s v="IWGP 2020-154-49-JBT-A"/>
    <m/>
    <s v="Marion "/>
    <n v="39.698371999999999"/>
    <n v="-86.138490000000004"/>
    <s v="Transportation"/>
    <m/>
    <s v="No"/>
    <m/>
    <n v="156"/>
    <n v="728"/>
    <n v="156"/>
    <m/>
    <m/>
    <m/>
    <m/>
    <m/>
    <m/>
    <m/>
    <m/>
    <s v="DES No. 1802075; Class I non-forested state isolated wetland"/>
  </r>
  <r>
    <d v="2020-10-14T00:00:00"/>
    <s v="October"/>
    <x v="3"/>
    <x v="9"/>
    <n v="-220"/>
    <x v="1"/>
    <n v="99000"/>
    <n v="151"/>
    <s v="Federal"/>
    <s v="Int"/>
    <n v="183"/>
    <s v="Pulte Homes of Indiana"/>
    <s v="LRL-2019-905-sjk"/>
    <s v="2020-40-32-ERL-A"/>
    <m/>
    <s v="Hendricks"/>
    <n v="39.697929000000002"/>
    <n v="-86.444142999999997"/>
    <s v="Development"/>
    <m/>
    <s v="No"/>
    <m/>
    <n v="14850"/>
    <n v="69300"/>
    <n v="14850"/>
    <m/>
    <m/>
    <m/>
    <m/>
    <m/>
    <m/>
    <m/>
    <m/>
    <s v="The Corps required more stream credits than IDEM"/>
  </r>
  <r>
    <d v="2020-10-14T00:00:00"/>
    <s v="October"/>
    <x v="3"/>
    <x v="9"/>
    <n v="-1.44"/>
    <x v="0"/>
    <n v="115200"/>
    <n v="151"/>
    <s v="Federal"/>
    <s v="PFO"/>
    <n v="0.36"/>
    <s v="Pulte Homes of Indiana"/>
    <s v="LRL-2019-905-sjk"/>
    <s v="2020-40-32-ERL-A"/>
    <m/>
    <s v="Hendricks"/>
    <n v="39.697929000000002"/>
    <n v="-86.444142999999997"/>
    <s v="Development"/>
    <m/>
    <s v="No"/>
    <m/>
    <n v="17280"/>
    <n v="80640"/>
    <n v="17280"/>
    <m/>
    <m/>
    <m/>
    <m/>
    <m/>
    <m/>
    <m/>
    <m/>
    <s v="IDEM required more wetland credits than the Corps"/>
  </r>
  <r>
    <d v="2020-10-15T00:00:00"/>
    <s v="October"/>
    <x v="3"/>
    <x v="7"/>
    <n v="-32"/>
    <x v="1"/>
    <n v="12800"/>
    <n v="147"/>
    <s v="Federal"/>
    <s v="Int"/>
    <n v="32"/>
    <s v="INDOT"/>
    <s v="LRL-2020-443-djd"/>
    <s v="2020-533-22-JBT-X"/>
    <m/>
    <s v="Floyd"/>
    <n v="38.380450000000003"/>
    <n v="-86.004589999999993"/>
    <s v="Transportation"/>
    <m/>
    <s v="No"/>
    <m/>
    <n v="1920"/>
    <n v="8960"/>
    <n v="1920"/>
    <m/>
    <m/>
    <m/>
    <m/>
    <m/>
    <m/>
    <m/>
    <m/>
    <s v="DES No. 1700126 USACE approved RGP no mitigation.  Project has 204 LF EPH stream impacts"/>
  </r>
  <r>
    <d v="2020-10-22T00:00:00"/>
    <s v="October"/>
    <x v="3"/>
    <x v="5"/>
    <n v="-0.5"/>
    <x v="0"/>
    <n v="40000"/>
    <n v="145"/>
    <s v="Federal"/>
    <s v="PFO"/>
    <n v="0.35"/>
    <s v="Vanderburgh County Engineering Department"/>
    <s v="LRL-2008-912-mdh"/>
    <s v="2008-327-JPS-A"/>
    <m/>
    <s v="Vanderburgh"/>
    <n v="38.042119999999997"/>
    <n v="-87.491659999999996"/>
    <s v="Transportation"/>
    <m/>
    <s v="No"/>
    <m/>
    <n v="6000"/>
    <n v="28000"/>
    <n v="6000"/>
    <m/>
    <m/>
    <m/>
    <m/>
    <m/>
    <m/>
    <m/>
    <m/>
    <s v="401 did not require credit purchase for failed mitigation."/>
  </r>
  <r>
    <d v="2020-11-10T00:00:00"/>
    <s v="November"/>
    <x v="3"/>
    <x v="9"/>
    <n v="-0.33"/>
    <x v="0"/>
    <n v="26400"/>
    <n v="161"/>
    <s v="Federal"/>
    <s v="PEM"/>
    <n v="0.22"/>
    <s v="Marina Limited Partnership (Hassan Mercho)"/>
    <s v="LRL-2017-1037-sjk"/>
    <s v="2019-276-30-ALF-A"/>
    <m/>
    <s v="Marion "/>
    <n v="39.927199999999999"/>
    <n v="-85.937200000000004"/>
    <s v="Development"/>
    <m/>
    <s v="No"/>
    <m/>
    <n v="3960"/>
    <n v="18480"/>
    <n v="3960"/>
    <m/>
    <m/>
    <m/>
    <m/>
    <m/>
    <m/>
    <m/>
    <m/>
    <s v="Impacts to open water of Geist Reservoir; Corps RGP, only IDEM required mitigation"/>
  </r>
  <r>
    <d v="2020-11-13T00:00:00"/>
    <s v="November"/>
    <x v="3"/>
    <x v="2"/>
    <n v="-123"/>
    <x v="1"/>
    <n v="49200"/>
    <n v="159"/>
    <s v="Federal"/>
    <s v="Eph"/>
    <n v="510"/>
    <s v="Monroe County Highway Engineering"/>
    <s v="LRL-2017-69-lcl"/>
    <s v="2020-150-53-JBT-A"/>
    <m/>
    <s v="Monroe"/>
    <n v="38.988999999999997"/>
    <n v="-86.367999999999995"/>
    <s v="Transportation"/>
    <m/>
    <s v="No"/>
    <m/>
    <n v="7380"/>
    <n v="34440"/>
    <n v="7380"/>
    <m/>
    <m/>
    <m/>
    <m/>
    <m/>
    <m/>
    <m/>
    <m/>
    <s v="Des No. 1702958; USACE approved RGP 1 and required no mitigation "/>
  </r>
  <r>
    <d v="2020-11-13T00:00:00"/>
    <s v="November"/>
    <x v="3"/>
    <x v="2"/>
    <n v="-211"/>
    <x v="1"/>
    <n v="84400"/>
    <n v="159"/>
    <s v="Federal"/>
    <s v="Int"/>
    <n v="920"/>
    <s v="Monroe County Highway Engineering"/>
    <s v="LRL-2017-69-lcl"/>
    <s v="2020-150-53-JBT-A"/>
    <m/>
    <s v="Monroe"/>
    <n v="38.988999999999997"/>
    <n v="-86.367999999999995"/>
    <s v="Transportation"/>
    <m/>
    <s v="No"/>
    <m/>
    <n v="12660"/>
    <n v="59079.999999999993"/>
    <n v="12660"/>
    <m/>
    <m/>
    <m/>
    <m/>
    <m/>
    <m/>
    <m/>
    <m/>
    <s v="Des No. 1702958; USACE approved RGP 1 and required no mitigation "/>
  </r>
  <r>
    <d v="2020-11-13T00:00:00"/>
    <s v="November"/>
    <x v="3"/>
    <x v="2"/>
    <n v="-95"/>
    <x v="1"/>
    <n v="38000"/>
    <n v="159"/>
    <s v="Federal"/>
    <s v="Per"/>
    <n v="839"/>
    <s v="Monroe County Highway Engineering"/>
    <s v="LRL-2017-69-lcl"/>
    <s v="2020-150-53-JBT-A"/>
    <m/>
    <s v="Monroe"/>
    <n v="38.988999999999997"/>
    <n v="-86.367999999999995"/>
    <s v="Transportation"/>
    <m/>
    <s v="No"/>
    <m/>
    <n v="5700"/>
    <n v="26600"/>
    <n v="5700"/>
    <m/>
    <m/>
    <m/>
    <m/>
    <m/>
    <m/>
    <m/>
    <m/>
    <s v="Des No. 1702958; USACE approved RGP 1 and required no mitigation "/>
  </r>
  <r>
    <d v="2020-11-17T00:00:00"/>
    <s v="November"/>
    <x v="3"/>
    <x v="9"/>
    <n v="-520"/>
    <x v="1"/>
    <n v="234000"/>
    <n v="154"/>
    <s v="Federal"/>
    <s v="Int"/>
    <n v="520"/>
    <s v="Hendricks County Engineering Department"/>
    <s v="LRL-2017-1185-djd (RGP)"/>
    <s v="2020-282-32-ERL-A"/>
    <m/>
    <s v="Hendricks"/>
    <n v="39.909120000000001"/>
    <n v="-86.374600000000001"/>
    <s v="Transportation"/>
    <m/>
    <s v="No"/>
    <m/>
    <n v="35100"/>
    <n v="163800"/>
    <n v="35100"/>
    <m/>
    <m/>
    <m/>
    <m/>
    <m/>
    <m/>
    <m/>
    <m/>
    <s v="Corps RGP did not require ILF mitigation"/>
  </r>
  <r>
    <d v="2020-11-17T00:00:00"/>
    <s v="November"/>
    <x v="3"/>
    <x v="9"/>
    <n v="-20"/>
    <x v="1"/>
    <n v="9000"/>
    <n v="154"/>
    <s v="Federal"/>
    <s v="Per"/>
    <n v="20"/>
    <s v="Hendricks County Engineering Department"/>
    <s v="LRL-2017-1185-djd (RGP)"/>
    <s v="2020-282-32-ERL-A"/>
    <m/>
    <s v="Hendricks"/>
    <n v="39.909120000000001"/>
    <n v="-86.374600000000001"/>
    <s v="Transportation"/>
    <m/>
    <s v="No"/>
    <m/>
    <n v="1350"/>
    <n v="6300"/>
    <n v="1350"/>
    <m/>
    <m/>
    <m/>
    <m/>
    <m/>
    <m/>
    <m/>
    <m/>
    <s v="Corps RGP did not require ILF mitigation"/>
  </r>
  <r>
    <d v="2020-11-17T00:00:00"/>
    <s v="November"/>
    <x v="3"/>
    <x v="9"/>
    <n v="-0.14000000000000001"/>
    <x v="0"/>
    <n v="11200"/>
    <n v="154"/>
    <s v="Federal"/>
    <s v="PEM"/>
    <n v="7.0000000000000007E-2"/>
    <s v="Hendricks County Engineering Department"/>
    <s v="LRL-2017-1185-djd (RGP)"/>
    <s v="2020-282-32-ERL-A"/>
    <m/>
    <s v="Hendricks"/>
    <n v="39.909120000000001"/>
    <n v="-86.374600000000001"/>
    <s v="Transportation"/>
    <m/>
    <s v="No"/>
    <m/>
    <n v="1680"/>
    <n v="7839.9999999999991"/>
    <n v="1680"/>
    <m/>
    <m/>
    <m/>
    <m/>
    <m/>
    <m/>
    <m/>
    <m/>
    <s v="Corps RGP did not require ILF mitigation"/>
  </r>
  <r>
    <d v="2020-11-17T00:00:00"/>
    <s v="November"/>
    <x v="3"/>
    <x v="9"/>
    <n v="-0.05"/>
    <x v="0"/>
    <n v="4000"/>
    <n v="154"/>
    <s v="State Isolated"/>
    <s v="PEM"/>
    <n v="0.05"/>
    <s v="Hendricks County Engineering Department"/>
    <s v="N/A"/>
    <s v="IWGP 2020-282-32-ERL-A"/>
    <m/>
    <s v="Hendricks"/>
    <n v="39.909120000000001"/>
    <n v="-86.374600000000001"/>
    <s v="Transportation"/>
    <m/>
    <s v="No"/>
    <m/>
    <n v="600"/>
    <n v="2800"/>
    <n v="600"/>
    <m/>
    <m/>
    <m/>
    <m/>
    <m/>
    <m/>
    <m/>
    <m/>
    <s v="State Isolated Class 1 (PEM) Non-Forested Wetland impact"/>
  </r>
  <r>
    <d v="2020-11-17T00:00:00"/>
    <s v="November"/>
    <x v="3"/>
    <x v="9"/>
    <n v="-7.0000000000000007E-2"/>
    <x v="0"/>
    <n v="5600"/>
    <n v="155"/>
    <s v="State Isolated"/>
    <s v="PEM"/>
    <n v="7.0000000000000007E-2"/>
    <s v="Lennar Homes of Indiana, Inc."/>
    <s v="N/A"/>
    <s v="IWGP 2020-686-29-ALF-A"/>
    <m/>
    <s v="Hamilton"/>
    <n v="39.997500000000002"/>
    <n v="-86.048699999999997"/>
    <s v="Development"/>
    <m/>
    <s v="No"/>
    <m/>
    <n v="840"/>
    <n v="3919.9999999999995"/>
    <n v="840"/>
    <m/>
    <m/>
    <m/>
    <m/>
    <m/>
    <m/>
    <m/>
    <m/>
    <s v="State Isolated Class 1 (PEM) Non-Forested Wetland impact"/>
  </r>
  <r>
    <d v="2020-11-17T00:00:00"/>
    <s v="November"/>
    <x v="3"/>
    <x v="10"/>
    <n v="-0.12"/>
    <x v="0"/>
    <n v="9600"/>
    <n v="160"/>
    <s v="State Isolated"/>
    <s v="PEM"/>
    <n v="0.12"/>
    <s v="City of Richmond"/>
    <s v="N/A"/>
    <s v="IWGP 2020-581-89-ALF-A"/>
    <m/>
    <s v="Wayne"/>
    <n v="39.856499999999997"/>
    <n v="-84.949100000000001"/>
    <s v="Development"/>
    <m/>
    <s v="No"/>
    <m/>
    <n v="1440"/>
    <n v="6720"/>
    <n v="1440"/>
    <m/>
    <m/>
    <m/>
    <m/>
    <m/>
    <m/>
    <m/>
    <m/>
    <s v="State Isolated Class 1 (PEM) Non-Forested Wetland impact"/>
  </r>
  <r>
    <d v="2020-11-24T00:00:00"/>
    <s v="November"/>
    <x v="3"/>
    <x v="10"/>
    <n v="-11"/>
    <x v="1"/>
    <n v="4400"/>
    <n v="152"/>
    <s v="Federal"/>
    <s v="Int"/>
    <n v="164"/>
    <s v="INDOT"/>
    <s v="LRL-2020-445-scm"/>
    <s v="2020-462-24-JBT-X"/>
    <m/>
    <s v="Franklin"/>
    <n v="39.413513999999999"/>
    <n v="-84.901888999999997"/>
    <s v="Transportation"/>
    <m/>
    <s v="No"/>
    <m/>
    <n v="660"/>
    <n v="3080"/>
    <n v="660"/>
    <m/>
    <m/>
    <m/>
    <m/>
    <m/>
    <m/>
    <m/>
    <m/>
    <s v="Des #1600492; Corps RGP did not require ILF mitigation"/>
  </r>
  <r>
    <d v="2020-11-24T00:00:00"/>
    <s v="November"/>
    <x v="3"/>
    <x v="10"/>
    <n v="-65"/>
    <x v="1"/>
    <n v="26000"/>
    <n v="152"/>
    <s v="Federal"/>
    <s v="Per"/>
    <n v="65"/>
    <s v="INDOT"/>
    <s v="LRL-2020-445-scm"/>
    <s v="2020-462-24-JBT-X"/>
    <m/>
    <s v="Franklin"/>
    <n v="39.413513999999999"/>
    <n v="-84.901888999999997"/>
    <s v="Transportation"/>
    <m/>
    <s v="No"/>
    <m/>
    <n v="3900"/>
    <n v="18200"/>
    <n v="3900"/>
    <m/>
    <m/>
    <m/>
    <m/>
    <m/>
    <m/>
    <m/>
    <m/>
    <s v="Des #1600492; Corps RGP did not require ILF mitigation"/>
  </r>
  <r>
    <d v="2020-11-24T00:00:00"/>
    <s v="November"/>
    <x v="3"/>
    <x v="10"/>
    <n v="-0.04"/>
    <x v="0"/>
    <n v="3200"/>
    <n v="152"/>
    <s v="Federal"/>
    <s v="PEM"/>
    <n v="0.02"/>
    <s v="INDOT"/>
    <s v="LRL-2020-445-scm"/>
    <s v="2020-462-24-JBT-X"/>
    <m/>
    <s v="Franklin"/>
    <n v="39.413513999999999"/>
    <n v="-84.901888999999997"/>
    <s v="Transportation"/>
    <m/>
    <s v="No"/>
    <m/>
    <n v="480"/>
    <n v="2240"/>
    <n v="480"/>
    <m/>
    <m/>
    <m/>
    <m/>
    <m/>
    <m/>
    <m/>
    <m/>
    <s v="Des #1600492; Corps RGP did not require ILF mitigation"/>
  </r>
  <r>
    <d v="2020-11-24T00:00:00"/>
    <s v="November"/>
    <x v="3"/>
    <x v="10"/>
    <n v="-129"/>
    <x v="1"/>
    <n v="51600"/>
    <n v="144"/>
    <s v="Federal"/>
    <s v="Eph"/>
    <n v="627"/>
    <s v="INDOT"/>
    <s v="LRL-2017-54"/>
    <s v="2016-702-79-SKG-A"/>
    <m/>
    <s v="Bartholomew and Jackson"/>
    <n v="39.04927"/>
    <n v="-85.913449999999997"/>
    <s v="Transportation"/>
    <m/>
    <s v="No"/>
    <m/>
    <n v="7740"/>
    <n v="36120"/>
    <n v="7740"/>
    <m/>
    <m/>
    <m/>
    <m/>
    <m/>
    <m/>
    <m/>
    <m/>
    <s v="DES # 0501212; USACE did not require mitigation"/>
  </r>
  <r>
    <d v="2020-11-30T00:00:00"/>
    <s v="November"/>
    <x v="3"/>
    <x v="0"/>
    <n v="-0.48"/>
    <x v="0"/>
    <n v="45600"/>
    <n v="167"/>
    <s v="Federal"/>
    <s v="PFO"/>
    <n v="0.16"/>
    <s v="Aaron Anderson"/>
    <s v="LRC-2020-393(RGP)"/>
    <s v="2020-573-64-MTM-A"/>
    <m/>
    <s v="Porter"/>
    <n v="41.617820000000002"/>
    <n v="-86.986503999999996"/>
    <s v="Development"/>
    <m/>
    <s v="No"/>
    <m/>
    <n v="6840"/>
    <n v="31919.999999999996"/>
    <n v="6840"/>
    <m/>
    <m/>
    <m/>
    <m/>
    <m/>
    <m/>
    <m/>
    <m/>
    <m/>
  </r>
  <r>
    <d v="2020-11-30T00:00:00"/>
    <s v="November"/>
    <x v="3"/>
    <x v="6"/>
    <n v="-91"/>
    <x v="1"/>
    <n v="54600"/>
    <n v="158"/>
    <s v="Federal"/>
    <s v="Per"/>
    <n v="91"/>
    <s v="INDOT"/>
    <s v="LRE-2020-00293-120-R20 (RGP) "/>
    <s v="2020-553-20-JBT-A "/>
    <m/>
    <s v="Elkhart"/>
    <n v="41.704459999999997"/>
    <n v="-85.872399999999999"/>
    <s v="Transportation"/>
    <m/>
    <s v="No"/>
    <m/>
    <n v="8190"/>
    <n v="38220"/>
    <n v="8190"/>
    <m/>
    <m/>
    <m/>
    <m/>
    <m/>
    <m/>
    <m/>
    <m/>
    <s v="DES No. 1600415; USACE did not require ILF mitigation"/>
  </r>
  <r>
    <d v="2020-11-30T00:00:00"/>
    <s v="November"/>
    <x v="3"/>
    <x v="9"/>
    <n v="-0.98"/>
    <x v="0"/>
    <n v="78400"/>
    <n v="170"/>
    <s v="State Isolated"/>
    <s v="PFO"/>
    <n v="0.39"/>
    <s v="Shear Group"/>
    <s v="N/A"/>
    <s v="IWIP 2019-817-49-ALF-A"/>
    <m/>
    <s v="Marion "/>
    <n v="39.699241000000001"/>
    <n v="-86.074978000000002"/>
    <s v="Development"/>
    <m/>
    <s v="No"/>
    <m/>
    <n v="11760"/>
    <n v="54880"/>
    <n v="11760"/>
    <m/>
    <m/>
    <m/>
    <m/>
    <m/>
    <m/>
    <m/>
    <m/>
    <s v="State Isolated Class II (PFO) Forested Wetland impact"/>
  </r>
  <r>
    <d v="2020-12-02T00:00:00"/>
    <s v="December"/>
    <x v="3"/>
    <x v="2"/>
    <n v="-9.7000000000000003E-2"/>
    <x v="0"/>
    <n v="7760"/>
    <n v="165"/>
    <s v="State Isolated"/>
    <s v="PEM"/>
    <n v="9.7000000000000003E-2"/>
    <s v="Donna Neese"/>
    <s v="N/A"/>
    <s v="IWGP 2020-680-TMS-A"/>
    <m/>
    <s v="Monroe"/>
    <n v="39.297471000000002"/>
    <n v="-86.572394000000003"/>
    <s v="Development"/>
    <m/>
    <s v="No"/>
    <m/>
    <n v="1164"/>
    <n v="5432"/>
    <n v="1164"/>
    <m/>
    <m/>
    <m/>
    <m/>
    <m/>
    <m/>
    <m/>
    <m/>
    <m/>
  </r>
  <r>
    <d v="2020-12-04T00:00:00"/>
    <s v="December"/>
    <x v="3"/>
    <x v="9"/>
    <n v="-0.03"/>
    <x v="0"/>
    <n v="2400"/>
    <n v="174"/>
    <s v="State Isolated"/>
    <s v="PSS"/>
    <n v="0.03"/>
    <s v="Sunbeam Development"/>
    <s v="N/A"/>
    <s v="IWGP 2020-877-29-ALF-A"/>
    <m/>
    <s v="Hamilton"/>
    <n v="39.965474999999998"/>
    <n v="-85.996429000000006"/>
    <s v="Development"/>
    <m/>
    <s v="No"/>
    <m/>
    <n v="360"/>
    <n v="1680"/>
    <n v="360"/>
    <m/>
    <m/>
    <m/>
    <m/>
    <m/>
    <m/>
    <m/>
    <m/>
    <s v="State Isolated Class I Non-Forested (PSS) Wetland impact"/>
  </r>
  <r>
    <d v="2020-12-07T00:00:00"/>
    <s v="December"/>
    <x v="3"/>
    <x v="9"/>
    <n v="-0.32"/>
    <x v="0"/>
    <n v="25600"/>
    <n v="169"/>
    <s v="State Isolated"/>
    <s v="PEM"/>
    <n v="0.32"/>
    <s v="North Buck Creek Realty, LLC"/>
    <s v="N/A"/>
    <s v="IWGP-2020-816-30-ALF-A"/>
    <m/>
    <s v="Hancock"/>
    <n v="39.820300000000003"/>
    <n v="-85.940600000000003"/>
    <s v="Development"/>
    <m/>
    <s v="No"/>
    <m/>
    <n v="3840"/>
    <n v="17920"/>
    <n v="3840"/>
    <m/>
    <m/>
    <m/>
    <m/>
    <m/>
    <m/>
    <m/>
    <m/>
    <s v="State Isolated Class I Non-Forested (PEM) Wetland impact"/>
  </r>
  <r>
    <d v="2020-12-21T00:00:00"/>
    <s v="December"/>
    <x v="3"/>
    <x v="9"/>
    <n v="-3.7600000000000001E-2"/>
    <x v="0"/>
    <n v="3008"/>
    <n v="157"/>
    <s v="Federal"/>
    <s v="PEM"/>
    <n v="1.8800000000000001E-2"/>
    <s v="City of Indianapolis DPW"/>
    <s v="LRL-2020-497-lcl"/>
    <s v="2020-549-49-ALF-A"/>
    <m/>
    <s v="Marion "/>
    <n v="39.886099999999999"/>
    <n v="-86.314099999999996"/>
    <s v="Transportation"/>
    <m/>
    <s v="No"/>
    <m/>
    <n v="451.2"/>
    <n v="2105.6"/>
    <n v="451.2"/>
    <m/>
    <m/>
    <m/>
    <m/>
    <m/>
    <m/>
    <m/>
    <m/>
    <s v="Corps RGP did not require mitigation"/>
  </r>
  <r>
    <d v="2020-12-21T00:00:00"/>
    <s v="December"/>
    <x v="3"/>
    <x v="9"/>
    <n v="-0.2"/>
    <x v="0"/>
    <n v="16000"/>
    <n v="163"/>
    <s v="State Isolated"/>
    <s v="PEM"/>
    <n v="0.2"/>
    <s v="Lennar Homes of Indiana, Inc."/>
    <s v="N/A"/>
    <s v="IWGP 2020-753-29-ALF-A"/>
    <m/>
    <s v="Hamilton"/>
    <n v="40.038899999999998"/>
    <n v="-86.057000000000002"/>
    <s v="Development"/>
    <m/>
    <s v="No"/>
    <m/>
    <n v="2400"/>
    <n v="11200"/>
    <n v="2400"/>
    <m/>
    <m/>
    <m/>
    <m/>
    <m/>
    <m/>
    <m/>
    <m/>
    <s v="State Isolated Class I Non-Forested (PEM) Wetland impact - Project had additional impacts that were mitigated permittee responsible"/>
  </r>
  <r>
    <d v="2020-12-29T00:00:00"/>
    <s v="December"/>
    <x v="3"/>
    <x v="9"/>
    <n v="-3.7"/>
    <x v="0"/>
    <n v="296000"/>
    <n v="177"/>
    <s v="State Isolated"/>
    <s v="PFO"/>
    <n v="1.48"/>
    <s v="Exeter Property Group"/>
    <s v="N/A"/>
    <s v="IWIP 2020-795-30-ALF-A"/>
    <m/>
    <s v="Hancock"/>
    <n v="39.492600000000003"/>
    <n v="-85.555499999999995"/>
    <s v="Development"/>
    <m/>
    <s v="No"/>
    <m/>
    <n v="44400"/>
    <n v="207200"/>
    <n v="44400"/>
    <m/>
    <m/>
    <m/>
    <m/>
    <m/>
    <m/>
    <m/>
    <m/>
    <s v="State Isolated Class II Forested (PFO) Wetland impacts"/>
  </r>
  <r>
    <m/>
    <m/>
    <x v="1"/>
    <x v="11"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1-01-04T00:00:00"/>
    <s v="January"/>
    <x v="4"/>
    <x v="3"/>
    <n v="-0.248"/>
    <x v="0"/>
    <n v="19840"/>
    <n v="173"/>
    <s v="Federal"/>
    <s v="PFO"/>
    <n v="6.2E-2"/>
    <s v="Allen County Highway Department"/>
    <s v="LRE-2020-02315-102-R20"/>
    <s v="2020-856-02-WRH-X"/>
    <m/>
    <s v="Allen"/>
    <n v="41.200091"/>
    <n v="-85.100429000000005"/>
    <s v="Transportation"/>
    <m/>
    <s v="No"/>
    <m/>
    <n v="2976"/>
    <n v="13888"/>
    <n v="2976"/>
    <s v="D"/>
    <s v="J"/>
    <m/>
    <m/>
    <m/>
    <m/>
    <m/>
    <m/>
    <s v="Corps RGP - IDEM RGP"/>
  </r>
  <r>
    <d v="2021-01-04T00:00:00"/>
    <s v="January"/>
    <x v="4"/>
    <x v="4"/>
    <n v="-0.25"/>
    <x v="0"/>
    <n v="20000"/>
    <n v="168"/>
    <s v="State Isolated"/>
    <s v="PEM"/>
    <n v="0.25"/>
    <s v="Terre Haute Regional Airport"/>
    <s v="N/A"/>
    <s v="IWGP 2019-380-84-JMK-A"/>
    <m/>
    <s v="Vigo"/>
    <n v="39.453290000000003"/>
    <n v="-87.311220000000006"/>
    <s v="Transportation"/>
    <m/>
    <s v="No"/>
    <m/>
    <n v="3000"/>
    <n v="14000"/>
    <n v="3000"/>
    <s v="L"/>
    <s v="SI"/>
    <s v="1 NF"/>
    <m/>
    <m/>
    <m/>
    <m/>
    <m/>
    <s v="State Isolated General Permit Non-Forested (PEM)"/>
  </r>
  <r>
    <d v="2021-01-14T00:00:00"/>
    <s v="January"/>
    <x v="4"/>
    <x v="9"/>
    <n v="-88"/>
    <x v="1"/>
    <n v="39600"/>
    <n v="166"/>
    <s v="Federal"/>
    <s v="Int"/>
    <n v="88"/>
    <s v="INDOT"/>
    <s v="LRL-2020-447-scm "/>
    <s v="2020-568-32-JBT-A "/>
    <m/>
    <s v="Hendricks and Marion"/>
    <n v="39.7637"/>
    <n v="-86.328000000000003"/>
    <s v="Transportation"/>
    <m/>
    <s v="No"/>
    <m/>
    <n v="5940"/>
    <n v="27720"/>
    <n v="5940"/>
    <s v="L"/>
    <s v="J"/>
    <m/>
    <m/>
    <m/>
    <m/>
    <m/>
    <m/>
    <s v="Corps RGP did not require mitigation"/>
  </r>
  <r>
    <d v="2021-01-25T00:00:00"/>
    <s v="January"/>
    <x v="4"/>
    <x v="7"/>
    <n v="-1664"/>
    <x v="1"/>
    <n v="665600"/>
    <n v="111"/>
    <s v="Federal"/>
    <s v="Int"/>
    <n v="1387"/>
    <s v="INDOT"/>
    <s v="LRL-2016-559-djd"/>
    <s v="2019-171-10-JBT-A"/>
    <m/>
    <s v="Clark"/>
    <n v="38.342010000000002"/>
    <n v="-85.668440000000004"/>
    <s v="Transportation"/>
    <m/>
    <s v="No"/>
    <m/>
    <n v="99840"/>
    <n v="465919.99999999994"/>
    <n v="99840"/>
    <s v="L"/>
    <s v="J"/>
    <m/>
    <m/>
    <m/>
    <m/>
    <m/>
    <m/>
    <s v="DES #1382612, MOD"/>
  </r>
  <r>
    <d v="2021-01-25T00:00:00"/>
    <s v="January"/>
    <x v="4"/>
    <x v="7"/>
    <n v="-0.14000000000000001"/>
    <x v="0"/>
    <n v="11200"/>
    <n v="111"/>
    <s v="Federal"/>
    <s v="PFO"/>
    <n v="3.5000000000000003E-2"/>
    <s v="INDOT"/>
    <s v="LRL-2016-559-djd"/>
    <s v="2019-171-10-JBT-A"/>
    <m/>
    <s v="Clark"/>
    <n v="38.342010000000002"/>
    <n v="-85.668440000000004"/>
    <s v="Transportation"/>
    <m/>
    <s v="No"/>
    <m/>
    <n v="1680"/>
    <n v="7839.9999999999991"/>
    <n v="1680"/>
    <s v="L"/>
    <s v="J"/>
    <m/>
    <m/>
    <m/>
    <m/>
    <m/>
    <m/>
    <s v="DES #1382612, MOD"/>
  </r>
  <r>
    <d v="2021-01-26T00:00:00"/>
    <s v="January"/>
    <x v="4"/>
    <x v="8"/>
    <n v="-1.02"/>
    <x v="0"/>
    <n v="81600"/>
    <n v="175"/>
    <s v="State Isolated"/>
    <s v="PEM"/>
    <n v="0.51"/>
    <s v="AWP"/>
    <s v="N/A"/>
    <s v="IWIP 2020-782-38-WRH-A"/>
    <m/>
    <s v="Jay"/>
    <n v="40.378520000000002"/>
    <n v="-85.191590000000005"/>
    <s v="Energy Production"/>
    <m/>
    <s v="No"/>
    <m/>
    <n v="12240"/>
    <n v="57120"/>
    <n v="12240"/>
    <s v="L"/>
    <s v="SI"/>
    <s v="2 NF"/>
    <m/>
    <m/>
    <m/>
    <m/>
    <m/>
    <s v="State Isolated Class II Non-Forested (PEM) impacts"/>
  </r>
  <r>
    <d v="2021-01-26T00:00:00"/>
    <s v="January"/>
    <x v="4"/>
    <x v="8"/>
    <n v="-0.42499999999999999"/>
    <x v="0"/>
    <n v="34000"/>
    <n v="175"/>
    <s v="State Isolated"/>
    <s v="PFO"/>
    <n v="0.17"/>
    <s v="AEP"/>
    <s v="N/A"/>
    <s v="IWIP 2020-782-38-WRH-A"/>
    <m/>
    <s v="Jay"/>
    <n v="40.378520000000002"/>
    <n v="-85.191590000000005"/>
    <s v="Energy Production"/>
    <m/>
    <s v="No"/>
    <m/>
    <n v="5100"/>
    <n v="23800"/>
    <n v="5100"/>
    <s v="L"/>
    <s v="SI"/>
    <s v="2 F"/>
    <m/>
    <m/>
    <m/>
    <m/>
    <m/>
    <s v="State Isolated Class II Forested (PFO) impacts"/>
  </r>
  <r>
    <d v="2021-01-28T00:00:00"/>
    <s v="January"/>
    <x v="4"/>
    <x v="7"/>
    <n v="-458"/>
    <x v="1"/>
    <n v="183200"/>
    <n v="164"/>
    <s v="Federal"/>
    <s v="Int"/>
    <n v="858"/>
    <s v="INDOT"/>
    <s v="LRL-2020-494-scm"/>
    <s v="2020-587-39-JBT-A"/>
    <m/>
    <s v="Jefferson"/>
    <n v="38.734000000000002"/>
    <n v="-85.367500000000007"/>
    <s v="Transportation"/>
    <m/>
    <s v="No"/>
    <m/>
    <n v="27480"/>
    <n v="128239.99999999999"/>
    <n v="27480"/>
    <s v="L"/>
    <s v="J"/>
    <m/>
    <m/>
    <m/>
    <m/>
    <m/>
    <m/>
    <s v="DES # 1600669"/>
  </r>
  <r>
    <d v="2021-01-28T00:00:00"/>
    <s v="January"/>
    <x v="4"/>
    <x v="8"/>
    <n v="-6.9000000000000006E-2"/>
    <x v="0"/>
    <n v="5520"/>
    <n v="181"/>
    <s v="State Isolated"/>
    <s v="PEM"/>
    <n v="6.9000000000000006E-2"/>
    <s v="INDOT"/>
    <s v="N/A"/>
    <s v="IWGP 2020-746-JBT-A"/>
    <m/>
    <s v="Tippecanoe"/>
    <n v="40.258200000000002"/>
    <n v="-86.706000000000003"/>
    <s v="Transportation"/>
    <m/>
    <s v="No"/>
    <m/>
    <n v="828"/>
    <n v="3863.9999999999995"/>
    <n v="828"/>
    <s v="L"/>
    <s v="SI"/>
    <s v="2 NF"/>
    <m/>
    <m/>
    <m/>
    <m/>
    <m/>
    <s v="State Isolated Wetland General Permit - Non-Forested (PEM) impact - DES#1592968"/>
  </r>
  <r>
    <d v="2021-01-28T00:00:00"/>
    <s v="January"/>
    <x v="4"/>
    <x v="8"/>
    <n v="-0.26500000000000001"/>
    <x v="0"/>
    <n v="21200"/>
    <n v="181"/>
    <s v="State Isolated"/>
    <s v="PEM"/>
    <n v="0.13250000000000001"/>
    <s v="INDOT"/>
    <s v="N/A"/>
    <s v="IWIP 2020-746-JBT-A"/>
    <m/>
    <s v="Tippecanoe"/>
    <n v="40.258200000000002"/>
    <n v="-86.706000000000003"/>
    <s v="Transportation"/>
    <m/>
    <s v="No"/>
    <m/>
    <n v="3180"/>
    <n v="14839.999999999998"/>
    <n v="3180"/>
    <s v="L"/>
    <s v="SI"/>
    <s v="2 NF"/>
    <m/>
    <m/>
    <m/>
    <m/>
    <m/>
    <s v="State Isolated Wetland Individual Permit - Class II Non-Forested (PEM) impact  - DES#1592968"/>
  </r>
  <r>
    <d v="2021-02-02T00:00:00"/>
    <s v="February"/>
    <x v="4"/>
    <x v="10"/>
    <n v="-0.85"/>
    <x v="0"/>
    <n v="68000"/>
    <n v="187"/>
    <s v="State Isolated"/>
    <s v="PEM"/>
    <n v="0.85"/>
    <s v="Hancock Regional Hospital"/>
    <s v="N/A"/>
    <s v="IWGP 2020-972-30-ALF-A"/>
    <m/>
    <s v="Hancock"/>
    <n v="39.814500000000002"/>
    <n v="-85.920900000000003"/>
    <s v="Development"/>
    <m/>
    <s v="No"/>
    <m/>
    <n v="10200"/>
    <n v="47600"/>
    <n v="10200"/>
    <s v="L"/>
    <s v="SI"/>
    <s v="1 NF"/>
    <m/>
    <m/>
    <m/>
    <m/>
    <m/>
    <s v="State Isolated Wetland General Permit-Class I Non-Forested (PEM)"/>
  </r>
  <r>
    <d v="2021-02-08T00:00:00"/>
    <s v="February"/>
    <x v="4"/>
    <x v="0"/>
    <n v="-0.83"/>
    <x v="0"/>
    <n v="78850"/>
    <n v="171"/>
    <s v="State Isolated"/>
    <s v="PEM"/>
    <n v="0.83"/>
    <s v="Indiana Harbor Belt Railroad"/>
    <s v="N/A"/>
    <s v="IWGP 2020-833-45-MTM-A"/>
    <m/>
    <s v="Lake"/>
    <n v="41.606099999999998"/>
    <n v="-87.476979999999998"/>
    <s v="Transportation"/>
    <m/>
    <s v="No"/>
    <m/>
    <n v="11827.5"/>
    <n v="55195"/>
    <n v="11827.5"/>
    <s v="C"/>
    <s v="SI"/>
    <s v="1 NF"/>
    <m/>
    <m/>
    <m/>
    <m/>
    <m/>
    <s v="State Isolated Wetland General Permit - Class I Non-Forested (PEM)"/>
  </r>
  <r>
    <d v="2021-02-08T00:00:00"/>
    <s v="February"/>
    <x v="4"/>
    <x v="8"/>
    <n v="-7.4999999999999997E-2"/>
    <x v="0"/>
    <n v="6000"/>
    <n v="183"/>
    <s v="State Isolated"/>
    <s v="PFO"/>
    <n v="0.03"/>
    <s v="Oakmont Development"/>
    <s v="N/A"/>
    <s v="IWGP 2020-974-02-WRH-A"/>
    <m/>
    <s v="Allen"/>
    <n v="41.087142"/>
    <n v="-85.294747999999998"/>
    <s v="Development"/>
    <m/>
    <s v="No"/>
    <m/>
    <n v="900"/>
    <n v="4200"/>
    <n v="900"/>
    <s v="D"/>
    <s v="SI"/>
    <s v="2 F"/>
    <m/>
    <m/>
    <m/>
    <m/>
    <m/>
    <s v="Class II Forested Wetland impact"/>
  </r>
  <r>
    <d v="2021-02-16T00:00:00"/>
    <s v="February"/>
    <x v="4"/>
    <x v="1"/>
    <n v="-0.16"/>
    <x v="0"/>
    <n v="15200"/>
    <n v="190"/>
    <s v="Federal"/>
    <s v="PEM"/>
    <n v="0.08"/>
    <s v="Olthof Homes"/>
    <s v="LRC-2019-425"/>
    <s v="2020-73-64-MTM-X"/>
    <m/>
    <s v="Porter"/>
    <n v="41.511557000000003"/>
    <n v="-87.027777"/>
    <s v="Development"/>
    <m/>
    <s v="No"/>
    <m/>
    <n v="2280"/>
    <n v="10640"/>
    <n v="2280"/>
    <s v="C"/>
    <s v="J"/>
    <m/>
    <m/>
    <m/>
    <m/>
    <m/>
    <m/>
    <s v="Corps RGP - IDEM RGP"/>
  </r>
  <r>
    <d v="2021-02-22T00:00:00"/>
    <s v="February"/>
    <x v="4"/>
    <x v="8"/>
    <n v="-0.15"/>
    <x v="0"/>
    <n v="12000"/>
    <n v="191"/>
    <s v="State Isolated"/>
    <s v="PFO"/>
    <n v="0.06"/>
    <s v="AMS 2021 BTS - Fort Wayne IN, LLC"/>
    <s v="N/A"/>
    <s v="IWGP 2021-33-02-WRH-A"/>
    <m/>
    <s v="Allen"/>
    <n v="41.129221000000001"/>
    <n v="-85.220174"/>
    <s v="Development"/>
    <m/>
    <s v="No"/>
    <m/>
    <n v="1800"/>
    <n v="8400"/>
    <n v="1800"/>
    <s v="D"/>
    <s v="SI"/>
    <s v="2 F"/>
    <m/>
    <m/>
    <m/>
    <m/>
    <m/>
    <s v="Class II Forested Wetland impact"/>
  </r>
  <r>
    <d v="2021-03-08T00:00:00"/>
    <s v="March"/>
    <x v="4"/>
    <x v="6"/>
    <n v="-0.79"/>
    <x v="0"/>
    <n v="94800"/>
    <n v="195"/>
    <s v="Federal"/>
    <s v="PEM"/>
    <n v="0.66"/>
    <s v="City of Mishawaka"/>
    <s v="LRE-2018-01101-171-R20"/>
    <s v="2020-060-71-JWR-A"/>
    <m/>
    <s v="St. Joseph"/>
    <n v="41.66413"/>
    <n v="-86.180869999999999"/>
    <s v="Development"/>
    <m/>
    <s v="No"/>
    <m/>
    <n v="14220"/>
    <n v="66360"/>
    <n v="14220"/>
    <s v="D"/>
    <s v="J"/>
    <m/>
    <m/>
    <m/>
    <m/>
    <m/>
    <m/>
    <s v="Open water fill with ILF wetland mitigation required"/>
  </r>
  <r>
    <d v="2021-03-08T00:00:00"/>
    <s v="March"/>
    <x v="4"/>
    <x v="7"/>
    <n v="-0.2"/>
    <x v="0"/>
    <n v="16000"/>
    <n v="192"/>
    <s v="State Isolated"/>
    <s v="PEM"/>
    <n v="8.8999999999999996E-2"/>
    <s v="Cedar Pointe, LLC"/>
    <s v="N/A"/>
    <s v="IWGP 2021-013-22-TMS-A"/>
    <m/>
    <s v="Floyd"/>
    <n v="38.346536999999998"/>
    <n v="-85.932128000000006"/>
    <s v="Development"/>
    <m/>
    <s v="No"/>
    <m/>
    <n v="2400"/>
    <n v="11200"/>
    <n v="2400"/>
    <s v="L"/>
    <s v="SI"/>
    <s v="2 NF"/>
    <m/>
    <m/>
    <m/>
    <m/>
    <m/>
    <s v="State Isolated Class II NF, PEM"/>
  </r>
  <r>
    <d v="2021-03-08T00:00:00"/>
    <s v="March"/>
    <x v="4"/>
    <x v="7"/>
    <n v="-2.23"/>
    <x v="0"/>
    <n v="178400"/>
    <n v="180"/>
    <s v="Federal"/>
    <s v="PEM"/>
    <n v="0.92800000000000005"/>
    <s v="Koetter Real Estate Services"/>
    <s v="LRL-2020-00022"/>
    <s v="2020-013-10-TMS-A"/>
    <m/>
    <s v="Clark"/>
    <n v="38.34666"/>
    <n v="-85.713571000000002"/>
    <s v="Development"/>
    <m/>
    <s v="No"/>
    <m/>
    <n v="26760"/>
    <n v="124879.99999999999"/>
    <n v="26760"/>
    <s v="L"/>
    <s v="J"/>
    <m/>
    <m/>
    <m/>
    <m/>
    <m/>
    <m/>
    <s v="USACE didn't require mitigation, due to change in jurisdiction. "/>
  </r>
  <r>
    <d v="2021-03-08T00:00:00"/>
    <s v="March"/>
    <x v="4"/>
    <x v="7"/>
    <n v="-132"/>
    <x v="1"/>
    <n v="52800"/>
    <n v="180"/>
    <s v="Federal"/>
    <s v="Eph"/>
    <n v="220"/>
    <s v="Koetter Real Estate Services"/>
    <s v="LRL-2020-00022"/>
    <s v="2020-013-10-TMS-A"/>
    <m/>
    <s v="Clark"/>
    <n v="38.34666"/>
    <n v="-85.713571000000002"/>
    <s v="Development"/>
    <m/>
    <s v="No"/>
    <m/>
    <n v="7920"/>
    <n v="36960"/>
    <n v="7920"/>
    <s v="L"/>
    <s v="J"/>
    <m/>
    <m/>
    <m/>
    <m/>
    <m/>
    <m/>
    <s v="USACE didn't require mitigation, due to change in jurisdiction. "/>
  </r>
  <r>
    <d v="2021-03-08T00:00:00"/>
    <s v="March"/>
    <x v="4"/>
    <x v="9"/>
    <n v="-0.36"/>
    <x v="0"/>
    <n v="28800"/>
    <n v="185"/>
    <s v="State Isolated"/>
    <s v="PEM"/>
    <n v="0.36"/>
    <s v="Clover Communities McCordsville LLC"/>
    <s v="N/A"/>
    <s v="IWGP 2020-163-30-ALF-A"/>
    <m/>
    <s v="Hancock"/>
    <n v="39.889200000000002"/>
    <n v="-85.929500000000004"/>
    <s v="Development"/>
    <m/>
    <s v="No"/>
    <m/>
    <n v="4320"/>
    <n v="20160"/>
    <n v="4320"/>
    <s v="L"/>
    <s v="SI"/>
    <s v="1 NF"/>
    <m/>
    <m/>
    <m/>
    <m/>
    <m/>
    <s v="State Isolated Class I Non-Forested (PEM)  Wetland impact"/>
  </r>
  <r>
    <d v="2021-03-08T00:00:00"/>
    <s v="March"/>
    <x v="4"/>
    <x v="9"/>
    <n v="-3.375"/>
    <x v="0"/>
    <n v="270000"/>
    <n v="200"/>
    <s v="State Isolated"/>
    <s v="PFO"/>
    <n v="1.35"/>
    <s v="AMS - RC Services, LLC"/>
    <s v="N/A"/>
    <s v="IWIP 2020-931-32-ERL-A"/>
    <m/>
    <s v="Hendricks"/>
    <n v="39.662700000000001"/>
    <n v="-86.3733"/>
    <s v="Development"/>
    <m/>
    <s v="No"/>
    <m/>
    <n v="40500"/>
    <n v="189000"/>
    <n v="40500"/>
    <s v="L"/>
    <s v="SI"/>
    <s v="2 F"/>
    <m/>
    <m/>
    <m/>
    <m/>
    <m/>
    <s v="State Isolated Class II Forested (PFO) Wetland impacts"/>
  </r>
  <r>
    <d v="2021-03-08T00:00:00"/>
    <s v="March"/>
    <x v="4"/>
    <x v="9"/>
    <n v="-0.09"/>
    <x v="0"/>
    <n v="7200"/>
    <n v="200"/>
    <s v="State Isolated"/>
    <s v="PEM"/>
    <n v="0.09"/>
    <s v="AMS - RC Services, LLC"/>
    <s v="N/A"/>
    <s v="IWGP 2020-931-32-ERL-A"/>
    <m/>
    <s v="Hendricks"/>
    <n v="39.662700000000001"/>
    <n v="-86.3733"/>
    <s v="Development"/>
    <m/>
    <s v="No"/>
    <m/>
    <n v="1080"/>
    <n v="5040"/>
    <n v="1080"/>
    <s v="L"/>
    <s v="SI"/>
    <s v="1 NF"/>
    <m/>
    <m/>
    <m/>
    <m/>
    <m/>
    <s v="State Isolated Class I Non-Forested (PEM)  Wetland impact"/>
  </r>
  <r>
    <d v="2021-03-15T00:00:00"/>
    <s v="March"/>
    <x v="4"/>
    <x v="10"/>
    <n v="-1150"/>
    <x v="1"/>
    <n v="460000"/>
    <n v="186"/>
    <s v="Federal"/>
    <s v="Int"/>
    <n v="759"/>
    <s v="Hanson Aggregates Midwest, LLC"/>
    <s v="LRL-2020-26-MKD"/>
    <s v="2020-041-TMS-A"/>
    <m/>
    <s v="Jennings"/>
    <n v="38.985688000000003"/>
    <n v="-85.727684999999994"/>
    <s v="Development"/>
    <m/>
    <s v="No"/>
    <m/>
    <n v="69000"/>
    <n v="322000"/>
    <n v="69000"/>
    <s v="L"/>
    <s v="J"/>
    <m/>
    <m/>
    <m/>
    <m/>
    <m/>
    <m/>
    <m/>
  </r>
  <r>
    <d v="2021-03-17T00:00:00"/>
    <s v="March"/>
    <x v="4"/>
    <x v="1"/>
    <n v="-194"/>
    <x v="1"/>
    <n v="97000"/>
    <n v="176"/>
    <s v="Federal"/>
    <s v="Int"/>
    <n v="194"/>
    <s v="INDOT"/>
    <s v="LRC-2020-00788"/>
    <s v="2020-838-64-JBT-A"/>
    <m/>
    <s v="Porter"/>
    <n v="41.400540200000002"/>
    <n v="-87.158702300000002"/>
    <s v="Transportation"/>
    <m/>
    <s v="No"/>
    <m/>
    <n v="14550"/>
    <n v="67900"/>
    <n v="14550"/>
    <s v="C"/>
    <s v="J"/>
    <m/>
    <m/>
    <m/>
    <m/>
    <m/>
    <m/>
    <m/>
  </r>
  <r>
    <d v="2021-03-17T00:00:00"/>
    <s v="March"/>
    <x v="4"/>
    <x v="1"/>
    <n v="-140"/>
    <x v="1"/>
    <n v="70000"/>
    <n v="176"/>
    <s v="Federal"/>
    <s v="Per"/>
    <n v="140"/>
    <s v="INDOT"/>
    <s v="LRC-2020-00789"/>
    <s v="2020-838-64-JBT-A"/>
    <m/>
    <s v="Porter"/>
    <n v="41.400540200000002"/>
    <n v="-87.158702300000002"/>
    <s v="Transportation"/>
    <m/>
    <s v="No"/>
    <m/>
    <n v="10500"/>
    <n v="49000"/>
    <n v="10500"/>
    <s v="C"/>
    <s v="J"/>
    <m/>
    <m/>
    <m/>
    <m/>
    <m/>
    <m/>
    <m/>
  </r>
  <r>
    <d v="2021-03-22T00:00:00"/>
    <s v="March"/>
    <x v="4"/>
    <x v="10"/>
    <n v="-3.8"/>
    <x v="0"/>
    <n v="304000"/>
    <n v="196"/>
    <s v="Federal"/>
    <s v="PFO"/>
    <n v="0.95"/>
    <s v="City of Greenfield"/>
    <s v="LRL-2019-726-lcl"/>
    <s v="2020-952-30-ALF-A"/>
    <m/>
    <s v="Hancock"/>
    <n v="39.777700000000003"/>
    <n v="-85.760199999999998"/>
    <s v="Transportation"/>
    <m/>
    <s v="No"/>
    <m/>
    <n v="45600"/>
    <n v="212800"/>
    <n v="45600"/>
    <s v="L"/>
    <s v="J"/>
    <m/>
    <m/>
    <m/>
    <m/>
    <m/>
    <m/>
    <m/>
  </r>
  <r>
    <d v="2021-03-30T00:00:00"/>
    <s v="March"/>
    <x v="4"/>
    <x v="3"/>
    <n v="-2.1"/>
    <x v="0"/>
    <n v="168000"/>
    <n v="202"/>
    <s v="Federal"/>
    <s v="PFO"/>
    <n v="0.03"/>
    <s v="Allen County Highway Department"/>
    <s v="LRE-2000-30021-102-R21"/>
    <s v="2007-698-02-SSA-A"/>
    <m/>
    <s v="Allen"/>
    <s v="41-078652"/>
    <n v="-85.059173000000001"/>
    <s v="Transportation"/>
    <m/>
    <s v="No"/>
    <m/>
    <n v="25200"/>
    <n v="117599.99999999999"/>
    <n v="25200"/>
    <s v="D"/>
    <s v="J"/>
    <m/>
    <m/>
    <m/>
    <m/>
    <m/>
    <m/>
    <s v="For failed mitigation"/>
  </r>
  <r>
    <d v="2021-03-30T00:00:00"/>
    <s v="March"/>
    <x v="4"/>
    <x v="9"/>
    <n v="-76"/>
    <x v="1"/>
    <n v="34200"/>
    <n v="193"/>
    <s v="Federal"/>
    <s v="Int"/>
    <n v="76"/>
    <s v="INDOT"/>
    <s v="LRL-2017-461-scm"/>
    <s v="2020-911-32-JBT-A"/>
    <m/>
    <s v="Hendricks"/>
    <n v="39.659999999999997"/>
    <n v="-86.441999999999993"/>
    <s v="Transportation"/>
    <m/>
    <s v="No"/>
    <m/>
    <n v="5130"/>
    <n v="23940"/>
    <n v="5130"/>
    <s v="L"/>
    <s v="J"/>
    <m/>
    <m/>
    <m/>
    <m/>
    <m/>
    <m/>
    <s v="Corps did not require mitigation"/>
  </r>
  <r>
    <d v="2021-03-30T00:00:00"/>
    <s v="March"/>
    <x v="4"/>
    <x v="9"/>
    <n v="-218"/>
    <x v="1"/>
    <n v="98100"/>
    <n v="193"/>
    <s v="Federal"/>
    <s v="Per"/>
    <n v="218"/>
    <s v="INDOT"/>
    <s v="LRL-2017-461-scm"/>
    <s v="2020-911-32-JBT-A"/>
    <m/>
    <s v="Hendricks"/>
    <n v="39.659999999999997"/>
    <n v="-86.441999999999993"/>
    <s v="Transportation"/>
    <m/>
    <s v="No"/>
    <m/>
    <n v="14715"/>
    <n v="68670"/>
    <n v="14715"/>
    <s v="L"/>
    <s v="J"/>
    <m/>
    <m/>
    <m/>
    <m/>
    <m/>
    <m/>
    <s v="Corps did not require mitigation"/>
  </r>
  <r>
    <d v="2021-03-30T00:00:00"/>
    <s v="March"/>
    <x v="4"/>
    <x v="9"/>
    <n v="-5.3999999999999999E-2"/>
    <x v="0"/>
    <n v="4320"/>
    <n v="193"/>
    <s v="Federal"/>
    <s v="PSS"/>
    <n v="1.7999999999999999E-2"/>
    <s v="INDOT"/>
    <s v="LRL-2017-461-scm"/>
    <s v="2020-911-32-JBT-A"/>
    <m/>
    <s v="Hendricks"/>
    <n v="39.659999999999997"/>
    <n v="-86.441999999999993"/>
    <s v="Transportation"/>
    <m/>
    <s v="No"/>
    <m/>
    <n v="648"/>
    <n v="3024"/>
    <n v="648"/>
    <s v="L"/>
    <s v="J"/>
    <m/>
    <m/>
    <m/>
    <m/>
    <m/>
    <m/>
    <s v="Corps did not require mitigation"/>
  </r>
  <r>
    <d v="2021-04-05T00:00:00"/>
    <s v="April"/>
    <x v="4"/>
    <x v="0"/>
    <n v="-13.08"/>
    <x v="0"/>
    <n v="1242600"/>
    <n v="197"/>
    <s v="Federal"/>
    <s v="PEM"/>
    <n v="4.3600000000000003"/>
    <s v="Northern Indiana Commuter Transportation District"/>
    <s v="LRC-2016-423"/>
    <s v="2020-661-45-MTM-A"/>
    <m/>
    <s v="Lake"/>
    <n v="41.650891000000001"/>
    <n v="-87.137271999999996"/>
    <s v="Transportation"/>
    <m/>
    <s v="No"/>
    <m/>
    <n v="186390"/>
    <n v="869820"/>
    <n v="186390"/>
    <s v="C"/>
    <s v="J"/>
    <m/>
    <m/>
    <m/>
    <m/>
    <m/>
    <m/>
    <m/>
  </r>
  <r>
    <d v="2021-04-05T00:00:00"/>
    <s v="April"/>
    <x v="4"/>
    <x v="4"/>
    <n v="-7.4999999999999997E-2"/>
    <x v="0"/>
    <n v="6000"/>
    <n v="199"/>
    <s v="State Isolated"/>
    <s v="PFO"/>
    <n v="0.03"/>
    <s v="Grand Communities, LLC"/>
    <s v="None"/>
    <s v="IWGP 2020-946-6-ERL-A"/>
    <m/>
    <s v="Boone"/>
    <n v="40.050800000000002"/>
    <n v="-86.455299999999994"/>
    <s v="Development"/>
    <m/>
    <s v="No"/>
    <m/>
    <n v="900"/>
    <n v="4200"/>
    <n v="900"/>
    <s v="L"/>
    <s v="SI"/>
    <s v="2 F"/>
    <m/>
    <m/>
    <m/>
    <m/>
    <m/>
    <s v="State Isolated Class II Forested"/>
  </r>
  <r>
    <d v="2021-04-05T00:00:00"/>
    <s v="April"/>
    <x v="4"/>
    <x v="4"/>
    <n v="-123"/>
    <x v="1"/>
    <n v="49200"/>
    <n v="184"/>
    <s v="Federal"/>
    <s v="Int"/>
    <n v="381"/>
    <s v="INDOT"/>
    <s v="LRL-2020-639-scm"/>
    <s v="2020-640-06-JBT-A"/>
    <m/>
    <s v="Boone"/>
    <n v="40.048000000000002"/>
    <n v="-86.49"/>
    <s v="Transportation"/>
    <m/>
    <s v="No"/>
    <m/>
    <n v="7380"/>
    <n v="34440"/>
    <n v="7380"/>
    <s v="L"/>
    <s v="COMB"/>
    <m/>
    <m/>
    <m/>
    <m/>
    <m/>
    <m/>
    <m/>
  </r>
  <r>
    <d v="2021-04-05T00:00:00"/>
    <s v="April"/>
    <x v="4"/>
    <x v="4"/>
    <n v="-237"/>
    <x v="1"/>
    <n v="94800"/>
    <n v="184"/>
    <s v="Federal"/>
    <s v="Per"/>
    <n v="237"/>
    <s v="INDOT"/>
    <s v="LRL-2020-639-scm"/>
    <s v="2020-640-06-JBT-A"/>
    <m/>
    <s v="Boone"/>
    <n v="40.048000000000002"/>
    <n v="-86.49"/>
    <s v="Transportation"/>
    <m/>
    <s v="No"/>
    <m/>
    <n v="14220"/>
    <n v="66360"/>
    <n v="14220"/>
    <s v="L"/>
    <s v="COMB"/>
    <m/>
    <m/>
    <m/>
    <m/>
    <m/>
    <m/>
    <m/>
  </r>
  <r>
    <d v="2021-04-05T00:00:00"/>
    <s v="April"/>
    <x v="4"/>
    <x v="4"/>
    <n v="-0.05"/>
    <x v="0"/>
    <n v="4000"/>
    <n v="184"/>
    <s v="Federal"/>
    <s v="PEM"/>
    <n v="2.5000000000000001E-2"/>
    <s v="INDOT"/>
    <s v="LRL-2020-639-scm"/>
    <s v="2020-640-06-JBT-A"/>
    <m/>
    <s v="Boone"/>
    <n v="40.048000000000002"/>
    <n v="-86.49"/>
    <s v="Transportation"/>
    <m/>
    <s v="No"/>
    <m/>
    <n v="600"/>
    <n v="2800"/>
    <n v="600"/>
    <s v="L"/>
    <s v="COMB"/>
    <m/>
    <m/>
    <m/>
    <m/>
    <m/>
    <m/>
    <m/>
  </r>
  <r>
    <d v="2021-04-05T00:00:00"/>
    <s v="April"/>
    <x v="4"/>
    <x v="4"/>
    <n v="-2.7E-2"/>
    <x v="0"/>
    <n v="2160"/>
    <n v="184"/>
    <s v="Federal"/>
    <s v="PSS"/>
    <n v="8.9999999999999993E-3"/>
    <s v="INDOT"/>
    <s v="LRL-2020-639-scm"/>
    <s v="2020-640-06-JBT-A"/>
    <m/>
    <s v="Boone"/>
    <n v="40.048000000000002"/>
    <n v="-86.49"/>
    <s v="Transportation"/>
    <m/>
    <s v="No"/>
    <m/>
    <n v="324"/>
    <n v="1512"/>
    <n v="324"/>
    <s v="L"/>
    <s v="COMB"/>
    <m/>
    <m/>
    <m/>
    <m/>
    <m/>
    <m/>
    <m/>
  </r>
  <r>
    <d v="2021-04-05T00:00:00"/>
    <s v="April"/>
    <x v="4"/>
    <x v="4"/>
    <n v="-0.03"/>
    <x v="0"/>
    <n v="2400"/>
    <n v="184"/>
    <s v="State Isolated"/>
    <s v="PEM"/>
    <n v="0.03"/>
    <s v="INDOT"/>
    <s v="LRL-2020-639-scm"/>
    <s v="IWGP 2020-640-06-JBT-A"/>
    <m/>
    <s v="Boone"/>
    <n v="40.048000000000002"/>
    <n v="-86.49"/>
    <s v="Transportation"/>
    <m/>
    <s v="No"/>
    <m/>
    <n v="360"/>
    <n v="1680"/>
    <n v="360"/>
    <s v="L"/>
    <s v="COMB"/>
    <s v="1 NF"/>
    <m/>
    <m/>
    <m/>
    <m/>
    <m/>
    <s v="State Isolated Class I (PEM)"/>
  </r>
  <r>
    <d v="2021-04-05T00:00:00"/>
    <s v="April"/>
    <x v="4"/>
    <x v="4"/>
    <n v="-3.5999999999999997E-2"/>
    <x v="0"/>
    <n v="2880"/>
    <n v="184"/>
    <s v="State Isolated"/>
    <s v="PSS"/>
    <n v="1.7999999999999999E-2"/>
    <s v="INDOT"/>
    <s v="LRL-2020-639-scm"/>
    <s v="IWGP 2020-640-06-JBT-A"/>
    <m/>
    <s v="Boone"/>
    <n v="40.048000000000002"/>
    <n v="-86.49"/>
    <s v="Transportation"/>
    <m/>
    <s v="No"/>
    <m/>
    <n v="432"/>
    <n v="2015.9999999999998"/>
    <n v="432"/>
    <s v="L"/>
    <s v="COMB"/>
    <s v="2 NF"/>
    <m/>
    <m/>
    <m/>
    <m/>
    <m/>
    <s v="State Isolated Class II (PSS)"/>
  </r>
  <r>
    <d v="2021-04-07T00:00:00"/>
    <s v="April"/>
    <x v="4"/>
    <x v="10"/>
    <n v="-296.3"/>
    <x v="1"/>
    <n v="118520"/>
    <n v="178"/>
    <s v="Federal"/>
    <s v="Int"/>
    <n v="696.2"/>
    <s v="INDOT "/>
    <s v="LRL-2020-44-djd"/>
    <s v="2020-649-03-JBT-A"/>
    <m/>
    <s v="Bartholomew"/>
    <n v="39.141649999999998"/>
    <n v="-85.957999999999998"/>
    <s v="Transportation"/>
    <m/>
    <s v="No"/>
    <m/>
    <n v="17778"/>
    <n v="82964"/>
    <n v="17778"/>
    <s v="L"/>
    <s v="J"/>
    <m/>
    <m/>
    <m/>
    <m/>
    <m/>
    <m/>
    <s v="Added later to master ledger as not added - Corps required no credits - INDOT 1802958 I-65 from SR 46 to SR 59"/>
  </r>
  <r>
    <d v="2021-04-07T00:00:00"/>
    <s v="April"/>
    <x v="4"/>
    <x v="10"/>
    <n v="-0.12"/>
    <x v="0"/>
    <n v="9600"/>
    <n v="178"/>
    <s v="Federal"/>
    <s v="PEM"/>
    <n v="0.06"/>
    <s v="INDOT"/>
    <s v="LRL-2020-44-djd"/>
    <s v="2020-649-03-JBT-A"/>
    <m/>
    <s v="Bartholomew"/>
    <n v="39.141649999999998"/>
    <n v="-85.957999999999998"/>
    <s v="Transportation"/>
    <m/>
    <s v="No"/>
    <m/>
    <n v="1440"/>
    <n v="6720"/>
    <n v="1440"/>
    <s v="L"/>
    <s v="J"/>
    <m/>
    <m/>
    <m/>
    <m/>
    <m/>
    <m/>
    <s v="Added later to master ledger as not added - Corps required no credits - INDOT 1802958 I-65 from SR 46 to SR 60"/>
  </r>
  <r>
    <d v="2021-04-15T00:00:00"/>
    <s v="April"/>
    <x v="4"/>
    <x v="9"/>
    <n v="-1"/>
    <x v="0"/>
    <n v="80000"/>
    <n v="203"/>
    <s v="Federal"/>
    <s v="PEM"/>
    <m/>
    <s v="City of Fishers"/>
    <s v="LRL-2018-684-sjk"/>
    <s v="2021-030-29-ALF-A"/>
    <m/>
    <s v="Hamilton"/>
    <n v="39.947200000000002"/>
    <n v="-85.915199999999999"/>
    <s v="Development"/>
    <m/>
    <s v="No"/>
    <m/>
    <n v="12000"/>
    <n v="56000"/>
    <n v="12000"/>
    <s v="L"/>
    <s v="J"/>
    <m/>
    <m/>
    <m/>
    <m/>
    <m/>
    <m/>
    <s v="Open Water Impacts (1.97 acres fill within Geist Reservoir for beach development).  Corps did not require mitigation"/>
  </r>
  <r>
    <d v="2021-04-20T00:00:00"/>
    <s v="April"/>
    <x v="4"/>
    <x v="9"/>
    <n v="-0.23"/>
    <x v="0"/>
    <n v="18400"/>
    <n v="207"/>
    <s v="State Isolated"/>
    <s v="PFO"/>
    <n v="0.09"/>
    <s v="Todd Katz"/>
    <s v="N/A"/>
    <s v="IWIP 2021-028-29-ALF-A"/>
    <m/>
    <s v="Hamilton"/>
    <n v="39.93177"/>
    <n v="-86.240660000000005"/>
    <s v="Development"/>
    <m/>
    <s v="No"/>
    <m/>
    <n v="2760"/>
    <n v="12880"/>
    <n v="2760"/>
    <s v="L"/>
    <s v="SI"/>
    <s v="2 F"/>
    <m/>
    <m/>
    <m/>
    <m/>
    <m/>
    <s v="Class II Forested Wetland impact"/>
  </r>
  <r>
    <d v="2021-04-20T00:00:00"/>
    <s v="April"/>
    <x v="4"/>
    <x v="10"/>
    <n v="-0.48"/>
    <x v="0"/>
    <n v="38400"/>
    <n v="206"/>
    <s v="State Isolated"/>
    <s v="PFO"/>
    <n v="0.32"/>
    <s v="CenterPoint Energy"/>
    <s v="N/A"/>
    <s v="IWGP 2021-184-30-A"/>
    <m/>
    <s v="Hancock"/>
    <n v="39.819391000000003"/>
    <n v="-85.866478999999998"/>
    <s v="Energy Production"/>
    <m/>
    <s v="No"/>
    <m/>
    <n v="5760"/>
    <n v="26880"/>
    <n v="5760"/>
    <s v="L"/>
    <s v="SI"/>
    <s v="2 F"/>
    <m/>
    <m/>
    <m/>
    <m/>
    <m/>
    <s v="Class II Forested Wetland impact"/>
  </r>
  <r>
    <d v="2021-05-03T00:00:00"/>
    <s v="May"/>
    <x v="4"/>
    <x v="0"/>
    <n v="-1.2"/>
    <x v="0"/>
    <n v="114000"/>
    <n v="156"/>
    <s v="Federal"/>
    <s v="PEM"/>
    <n v="0.67"/>
    <s v="Luke Family of Brands"/>
    <s v="LRC-2019-676-RGP"/>
    <s v="2020-428-45-MTM-A"/>
    <m/>
    <s v="Lake"/>
    <n v="41.515949999999997"/>
    <n v="-87.469719999999995"/>
    <s v="Development"/>
    <m/>
    <s v="No"/>
    <m/>
    <n v="17100"/>
    <n v="79800"/>
    <n v="17100"/>
    <s v="C"/>
    <s v="J"/>
    <m/>
    <m/>
    <m/>
    <m/>
    <m/>
    <m/>
    <m/>
  </r>
  <r>
    <d v="2021-05-04T00:00:00"/>
    <s v="May"/>
    <x v="4"/>
    <x v="0"/>
    <n v="-112"/>
    <x v="1"/>
    <n v="67200"/>
    <n v="198"/>
    <s v="Federal"/>
    <s v="Int"/>
    <n v="198.72"/>
    <s v="INDOT"/>
    <s v="LRC-2020-753-RGP"/>
    <s v="2020-839-64-JBT-A"/>
    <m/>
    <s v="Porter"/>
    <n v="41.521599999999999"/>
    <n v="-87.209000000000003"/>
    <s v="Transportation"/>
    <m/>
    <s v="No"/>
    <m/>
    <n v="10080"/>
    <n v="47040"/>
    <n v="10080"/>
    <s v="C"/>
    <s v="J"/>
    <m/>
    <m/>
    <m/>
    <m/>
    <m/>
    <m/>
    <m/>
  </r>
  <r>
    <d v="2021-05-04T00:00:00"/>
    <s v="May"/>
    <x v="4"/>
    <x v="0"/>
    <n v="-0.45"/>
    <x v="0"/>
    <n v="42750"/>
    <n v="198"/>
    <s v="Federal"/>
    <s v="PEM"/>
    <n v="0.25580000000000003"/>
    <s v="INDOT"/>
    <s v="LRC-2020-753-RGP"/>
    <s v="2020-839-64-JBT-A"/>
    <m/>
    <s v="Porter"/>
    <n v="41.521599999999999"/>
    <n v="-87.209000000000003"/>
    <s v="Transportation"/>
    <m/>
    <s v="No"/>
    <m/>
    <n v="6412.5"/>
    <n v="29924.999999999996"/>
    <n v="6412.5"/>
    <s v="C"/>
    <s v="J"/>
    <m/>
    <m/>
    <m/>
    <m/>
    <m/>
    <m/>
    <m/>
  </r>
  <r>
    <d v="2021-05-04T00:00:00"/>
    <s v="May"/>
    <x v="4"/>
    <x v="0"/>
    <n v="-0.32400000000000001"/>
    <x v="0"/>
    <n v="30780"/>
    <n v="198"/>
    <s v="Federal"/>
    <s v="PFO"/>
    <n v="8.1000000000000003E-2"/>
    <s v="INDOT"/>
    <s v="LRC-2020-753-RGP"/>
    <s v="2020-839-64-JBT-A"/>
    <m/>
    <s v="Porter"/>
    <n v="41.521599999999999"/>
    <n v="-87.209000000000003"/>
    <s v="Transportation"/>
    <m/>
    <s v="No"/>
    <m/>
    <n v="4617"/>
    <n v="21546"/>
    <n v="4617"/>
    <s v="C"/>
    <s v="J"/>
    <m/>
    <m/>
    <m/>
    <m/>
    <m/>
    <m/>
    <m/>
  </r>
  <r>
    <d v="2021-05-05T00:00:00"/>
    <s v="May"/>
    <x v="4"/>
    <x v="9"/>
    <n v="-1.37"/>
    <x v="0"/>
    <n v="109600"/>
    <n v="211"/>
    <s v="State Isolated"/>
    <s v="PEM"/>
    <n v="1.37"/>
    <s v="AEP"/>
    <s v="None"/>
    <s v="IWGP 2021-278-18-WRH-A"/>
    <m/>
    <s v="Delaware"/>
    <n v="40.262307"/>
    <n v="-85.431628000000003"/>
    <s v="Energy Production"/>
    <m/>
    <s v="No"/>
    <m/>
    <n v="16440"/>
    <n v="76720"/>
    <n v="16440"/>
    <s v="L"/>
    <s v="SI"/>
    <s v="1 NF"/>
    <m/>
    <m/>
    <m/>
    <m/>
    <m/>
    <m/>
  </r>
  <r>
    <d v="2021-05-27T00:00:00"/>
    <s v="May"/>
    <x v="4"/>
    <x v="8"/>
    <n v="-349.4"/>
    <x v="1"/>
    <n v="139760"/>
    <n v="212"/>
    <s v="Federal"/>
    <s v="Per"/>
    <n v="349.4"/>
    <s v="INDOT"/>
    <s v="LRE-2020-02409-143-R21"/>
    <s v="2021-217-43-JBT-X"/>
    <m/>
    <s v="Kosciusko"/>
    <n v="41.281999999999996"/>
    <n v="-86.046999999999997"/>
    <s v="Transportation"/>
    <m/>
    <s v="No"/>
    <m/>
    <n v="20964"/>
    <n v="97832"/>
    <n v="20964"/>
    <s v="D"/>
    <s v="J"/>
    <m/>
    <m/>
    <m/>
    <m/>
    <m/>
    <m/>
    <s v="Corps required more ILF stream credit than IDEM"/>
  </r>
  <r>
    <d v="2021-05-27T00:00:00"/>
    <s v="May"/>
    <x v="4"/>
    <x v="8"/>
    <n v="-2.9600000000000001E-2"/>
    <x v="0"/>
    <n v="2368"/>
    <n v="212"/>
    <s v="Federal"/>
    <s v="PEM"/>
    <n v="1.4800000000000001E-2"/>
    <s v="INDOT"/>
    <s v="LRE-2020-02409-143-R21"/>
    <s v="2021-217-43-JBT-X"/>
    <m/>
    <s v="Kosciusko"/>
    <n v="41.281999999999996"/>
    <n v="-86.046999999999997"/>
    <s v="Transportation"/>
    <m/>
    <s v="No"/>
    <m/>
    <n v="355.2"/>
    <n v="1657.6"/>
    <n v="355.2"/>
    <s v="D"/>
    <s v="J"/>
    <m/>
    <m/>
    <m/>
    <m/>
    <m/>
    <m/>
    <m/>
  </r>
  <r>
    <d v="2021-05-27T00:00:00"/>
    <s v="May"/>
    <x v="4"/>
    <x v="8"/>
    <n v="-0.13"/>
    <x v="0"/>
    <n v="10400"/>
    <n v="210"/>
    <s v="Federal"/>
    <s v="PEM"/>
    <n v="0.02"/>
    <s v="INDOT"/>
    <s v="LRL-2020-452-scm"/>
    <s v="2020-468-34-JBT-A"/>
    <m/>
    <s v="Howard"/>
    <n v="40.485999999999997"/>
    <n v="-86.107500000000002"/>
    <s v="Transportation"/>
    <m/>
    <s v="No"/>
    <m/>
    <n v="1560"/>
    <n v="7279.9999999999991"/>
    <n v="1560"/>
    <s v="L"/>
    <s v="J"/>
    <m/>
    <m/>
    <m/>
    <m/>
    <m/>
    <m/>
    <m/>
  </r>
  <r>
    <d v="2021-05-27T00:00:00"/>
    <s v="May"/>
    <x v="4"/>
    <x v="10"/>
    <n v="-131"/>
    <x v="1"/>
    <n v="52400"/>
    <n v="162"/>
    <s v="Federal"/>
    <s v="Eph"/>
    <n v="109"/>
    <s v="INDOT"/>
    <s v="LRL-2019-137-sjk"/>
    <s v="202-537-70-ALF-A "/>
    <m/>
    <s v="Rush"/>
    <n v="39.613289999999999"/>
    <n v="-85.613870000000006"/>
    <s v="Transportation"/>
    <m/>
    <s v="No"/>
    <m/>
    <n v="7860"/>
    <n v="36680"/>
    <n v="7860"/>
    <s v="L"/>
    <s v="J"/>
    <m/>
    <m/>
    <m/>
    <m/>
    <m/>
    <m/>
    <m/>
  </r>
  <r>
    <d v="2021-05-27T00:00:00"/>
    <s v="May"/>
    <x v="4"/>
    <x v="10"/>
    <n v="-1.5"/>
    <x v="0"/>
    <n v="120000"/>
    <n v="162"/>
    <s v="Federal"/>
    <s v="PFO"/>
    <n v="0.375"/>
    <s v="INDOT "/>
    <s v="LRL-2019-137-sjk"/>
    <s v="202-537-70-ALF-A "/>
    <m/>
    <s v="Rush"/>
    <n v="39.613289999999999"/>
    <n v="-85.613870000000006"/>
    <s v="Transportation"/>
    <m/>
    <s v="No"/>
    <m/>
    <n v="18000"/>
    <n v="84000"/>
    <n v="18000"/>
    <s v="L"/>
    <s v="J"/>
    <m/>
    <m/>
    <m/>
    <m/>
    <m/>
    <m/>
    <m/>
  </r>
  <r>
    <d v="2021-06-03T00:00:00"/>
    <s v="June"/>
    <x v="4"/>
    <x v="0"/>
    <n v="-0.05"/>
    <x v="0"/>
    <n v="4750"/>
    <n v="216"/>
    <s v="State Isolated"/>
    <s v="PEM"/>
    <n v="0.05"/>
    <s v="Excel Development"/>
    <s v="None"/>
    <s v="IWGP 2021-35-45-MTM-A"/>
    <m/>
    <s v="Lake"/>
    <n v="41.541547999999999"/>
    <s v="–87.511936"/>
    <s v="Development"/>
    <m/>
    <s v="No"/>
    <m/>
    <n v="712.5"/>
    <n v="3325"/>
    <n v="712.5"/>
    <s v="C"/>
    <s v="SI"/>
    <s v="1 NF"/>
    <m/>
    <m/>
    <m/>
    <m/>
    <m/>
    <m/>
  </r>
  <r>
    <d v="2021-06-10T00:00:00"/>
    <s v="June"/>
    <x v="4"/>
    <x v="7"/>
    <n v="-0.78"/>
    <x v="0"/>
    <n v="62400"/>
    <n v="214"/>
    <s v="Federal"/>
    <s v="PFO"/>
    <n v="0.26"/>
    <s v="Duke Energy"/>
    <s v="LRL-2018-495-MKD"/>
    <s v="2020-978-10-TMS "/>
    <m/>
    <s v="Clark"/>
    <n v="38.450719999999997"/>
    <n v="-85.725769999999997"/>
    <s v="Energy Production"/>
    <m/>
    <s v="No"/>
    <m/>
    <n v="9360"/>
    <n v="43680"/>
    <n v="9360"/>
    <s v="L"/>
    <s v="J"/>
    <m/>
    <m/>
    <m/>
    <m/>
    <m/>
    <m/>
    <m/>
  </r>
  <r>
    <d v="2021-06-10T00:00:00"/>
    <s v="June "/>
    <x v="4"/>
    <x v="9"/>
    <n v="-0.03"/>
    <x v="0"/>
    <n v="2400"/>
    <n v="188"/>
    <s v="State Isolated"/>
    <s v="PFO"/>
    <n v="0.03"/>
    <s v="Pulte Homes of Indiana"/>
    <s v="None"/>
    <s v="IWGP 2020-968-29-ALF-A"/>
    <m/>
    <s v="Hamilton"/>
    <n v="40.019039999999997"/>
    <n v="-86.210729999999998"/>
    <s v="Development"/>
    <m/>
    <s v="No"/>
    <m/>
    <n v="360"/>
    <n v="1680"/>
    <n v="360"/>
    <s v="L"/>
    <s v="SI"/>
    <s v="1 f"/>
    <m/>
    <m/>
    <m/>
    <m/>
    <m/>
    <m/>
  </r>
  <r>
    <d v="2021-06-10T00:00:00"/>
    <s v="June"/>
    <x v="4"/>
    <x v="9"/>
    <n v="-0.8"/>
    <x v="0"/>
    <n v="64000"/>
    <n v="213"/>
    <s v="Federal"/>
    <s v="PFO"/>
    <n v="0.2"/>
    <s v="Pulte Homes of Indiana"/>
    <s v="LRL-2016-994-sjk"/>
    <s v="2017-221-29-HAP-A"/>
    <m/>
    <s v="Hamilton"/>
    <n v="39.9831"/>
    <n v="-85.875500000000002"/>
    <s v="Development"/>
    <m/>
    <s v="No"/>
    <m/>
    <n v="9600"/>
    <n v="44800"/>
    <n v="9600"/>
    <s v="L"/>
    <s v="J"/>
    <m/>
    <m/>
    <m/>
    <m/>
    <m/>
    <m/>
    <m/>
  </r>
  <r>
    <d v="2021-06-16T00:00:00"/>
    <s v="June"/>
    <x v="4"/>
    <x v="0"/>
    <n v="-0.04"/>
    <x v="0"/>
    <n v="3800"/>
    <n v="224"/>
    <s v="State Isolated"/>
    <s v="PEM"/>
    <n v="0.04"/>
    <s v="Pure Development"/>
    <m/>
    <s v="2021-425-45-MTM-X"/>
    <m/>
    <s v="Lake "/>
    <n v="41.441094999999997"/>
    <n v="-87.323815999999994"/>
    <s v="Development"/>
    <m/>
    <s v="No"/>
    <m/>
    <n v="570"/>
    <n v="2660"/>
    <n v="570"/>
    <s v="C"/>
    <s v="J"/>
    <m/>
    <m/>
    <m/>
    <m/>
    <m/>
    <m/>
    <m/>
  </r>
  <r>
    <d v="2021-06-16T00:00:00"/>
    <s v="June"/>
    <x v="4"/>
    <x v="7"/>
    <n v="-155"/>
    <x v="1"/>
    <n v="62000"/>
    <n v="221"/>
    <s v="Federal"/>
    <s v="Int"/>
    <n v="86"/>
    <s v="Ports of Indiana"/>
    <s v="LRL-1979-00062"/>
    <s v="2021-205-10-TMS-A"/>
    <m/>
    <s v="Clark"/>
    <n v="38.330910000000003"/>
    <n v="-85.672910000000002"/>
    <s v="Transportation"/>
    <m/>
    <s v="No"/>
    <m/>
    <n v="9300"/>
    <n v="43400"/>
    <n v="9300"/>
    <s v="L"/>
    <s v="COMB"/>
    <m/>
    <m/>
    <m/>
    <m/>
    <m/>
    <m/>
    <s v="Corps required more stream and wetland credits"/>
  </r>
  <r>
    <d v="2021-06-16T00:00:00"/>
    <s v="June"/>
    <x v="4"/>
    <x v="7"/>
    <n v="-0.94"/>
    <x v="0"/>
    <n v="75200"/>
    <n v="221"/>
    <s v="Federal"/>
    <s v="PEM"/>
    <n v="0.38900000000000001"/>
    <s v="Ports of Indiana"/>
    <s v="LRL-1979-00062"/>
    <s v="2021-205-10-TMS-A"/>
    <m/>
    <s v="Clark"/>
    <n v="38.322290000000002"/>
    <n v="-85.661090000000002"/>
    <s v="Transportation"/>
    <m/>
    <s v="No"/>
    <m/>
    <n v="11280"/>
    <n v="52640"/>
    <n v="11280"/>
    <s v="L"/>
    <s v="COMB"/>
    <m/>
    <m/>
    <m/>
    <m/>
    <m/>
    <m/>
    <m/>
  </r>
  <r>
    <d v="2021-06-16T00:00:00"/>
    <s v="June"/>
    <x v="4"/>
    <x v="7"/>
    <n v="-5.0999999999999997E-2"/>
    <x v="0"/>
    <n v="4080"/>
    <n v="221"/>
    <s v="State Isolated"/>
    <s v="PEM"/>
    <n v="3.4000000000000002E-2"/>
    <s v="Ports of Indiana"/>
    <s v="LRL-1979-00062"/>
    <s v="IWGP 2021-205-10-TMS-A "/>
    <m/>
    <s v="Clark"/>
    <n v="38.322290000000002"/>
    <n v="-85.661090000000002"/>
    <s v="Transportation"/>
    <m/>
    <s v="No"/>
    <m/>
    <n v="612"/>
    <n v="2856"/>
    <n v="612"/>
    <s v="L"/>
    <s v="COMB"/>
    <s v="1 NF"/>
    <m/>
    <m/>
    <m/>
    <m/>
    <m/>
    <s v="Called wanting credit sale now so invoiced for ISO W too"/>
  </r>
  <r>
    <d v="2021-06-21T00:00:00"/>
    <s v="June"/>
    <x v="4"/>
    <x v="8"/>
    <n v="-2.09"/>
    <x v="0"/>
    <n v="167200"/>
    <n v="217"/>
    <s v="State Isolated"/>
    <s v="PFO"/>
    <n v="0.83599999999999997"/>
    <s v="CP215, LLC"/>
    <s v="None"/>
    <s v="IWIP 2020-970-35-WRH-A"/>
    <m/>
    <s v="Huntington"/>
    <n v="40.894539999999999"/>
    <n v="-85.518429999999995"/>
    <s v="Development"/>
    <m/>
    <s v="No"/>
    <m/>
    <n v="25080"/>
    <n v="117039.99999999999"/>
    <n v="25080"/>
    <s v="L"/>
    <s v="SI"/>
    <s v="2 F"/>
    <m/>
    <m/>
    <m/>
    <m/>
    <m/>
    <m/>
  </r>
  <r>
    <d v="2021-06-29T00:00:00"/>
    <s v="June"/>
    <x v="4"/>
    <x v="7"/>
    <n v="-2254.6"/>
    <x v="1"/>
    <n v="901840"/>
    <n v="219"/>
    <s v="Federal"/>
    <s v="Int"/>
    <n v="2019.5"/>
    <s v="Harrison County"/>
    <s v="LRL-2017-773-djd"/>
    <s v="2017-533-31-ALF-A"/>
    <m/>
    <s v="Harrison"/>
    <n v="38.01473"/>
    <n v="-86.168059999999997"/>
    <s v="Transportation"/>
    <m/>
    <s v="No"/>
    <m/>
    <n v="135276"/>
    <n v="631288"/>
    <n v="135276"/>
    <s v="L"/>
    <s v="J"/>
    <m/>
    <m/>
    <m/>
    <m/>
    <m/>
    <m/>
    <s v="Non-Compliance Required Credit Purchase, appears to have not been sent, so proceeding. "/>
  </r>
  <r>
    <d v="2021-06-29T00:00:00"/>
    <s v="June"/>
    <x v="4"/>
    <x v="7"/>
    <n v="-0.51200000000000001"/>
    <x v="0"/>
    <n v="40960"/>
    <n v="219"/>
    <s v="Federal"/>
    <s v="PFO"/>
    <n v="0.128"/>
    <s v="Harrison County"/>
    <s v="LRL-2017-773-djd"/>
    <s v="2017-533-31-ALF-A"/>
    <m/>
    <s v="Harrison"/>
    <n v="38.01473"/>
    <n v="-86.168059999999997"/>
    <s v="Transportation"/>
    <m/>
    <s v="No"/>
    <m/>
    <n v="6144"/>
    <n v="28672"/>
    <n v="6144"/>
    <s v="L"/>
    <s v="J"/>
    <m/>
    <m/>
    <m/>
    <m/>
    <m/>
    <m/>
    <m/>
  </r>
  <r>
    <d v="2021-06-29T00:00:00"/>
    <s v="June"/>
    <x v="4"/>
    <x v="7"/>
    <n v="-8.7999999999999995E-2"/>
    <x v="0"/>
    <n v="7040"/>
    <n v="219"/>
    <s v="Federal"/>
    <s v="PEM"/>
    <n v="0.04"/>
    <s v="Harrison County"/>
    <s v="LRL-2017-773-djd"/>
    <s v="2017-533-31-ALF-A"/>
    <m/>
    <s v="Harrison"/>
    <n v="38.01473"/>
    <n v="-86.168059999999997"/>
    <s v="Transportation"/>
    <m/>
    <s v="No"/>
    <m/>
    <n v="1056"/>
    <n v="4928"/>
    <n v="1056"/>
    <s v="L"/>
    <s v="J"/>
    <m/>
    <m/>
    <m/>
    <m/>
    <m/>
    <m/>
    <m/>
  </r>
  <r>
    <d v="2021-06-29T00:00:00"/>
    <s v="June"/>
    <x v="4"/>
    <x v="9"/>
    <n v="-600"/>
    <x v="1"/>
    <n v="270000"/>
    <n v="226"/>
    <s v="Federal"/>
    <s v="Per"/>
    <n v="500"/>
    <s v="Citizens Energy Group"/>
    <s v="LRL-2019-806-LCL"/>
    <s v="2020-914-49-ALF-A"/>
    <s v="FW-30807-0"/>
    <s v="Marion"/>
    <n v="39.801600000000001"/>
    <n v="-86.197400000000002"/>
    <s v="Dam"/>
    <m/>
    <s v="No"/>
    <m/>
    <n v="40500"/>
    <n v="189000"/>
    <n v="40500"/>
    <s v="L"/>
    <s v="J"/>
    <m/>
    <m/>
    <m/>
    <m/>
    <m/>
    <m/>
    <s v="Corps permit requires 600, IDEM permit requires 500, DNR Permit requires 0.25 FW purchase.  Had thought also 500 additional credits per FW permit, but are modifying permit to clarify. "/>
  </r>
  <r>
    <d v="2021-06-29T00:00:00"/>
    <s v="June"/>
    <x v="4"/>
    <x v="9"/>
    <n v="-1.464"/>
    <x v="0"/>
    <n v="117120"/>
    <n v="222"/>
    <s v="State Isolated"/>
    <s v="PEM"/>
    <n v="1.613"/>
    <s v="Arco/Murray"/>
    <s v="None"/>
    <s v="IWIP 2021-104-32-ERL-A"/>
    <m/>
    <s v="Hendricks"/>
    <n v="39.742600000000003"/>
    <n v="-86.340800000000002"/>
    <s v="Development"/>
    <m/>
    <s v="No"/>
    <m/>
    <n v="17568"/>
    <n v="81984"/>
    <n v="17568"/>
    <s v="L"/>
    <s v="SI"/>
    <s v="2 NF"/>
    <m/>
    <m/>
    <m/>
    <m/>
    <m/>
    <s v="Note: Permit to purchase Class I was rescinded.  Thus requirement changed.   IWIP 2021-104-32-ERL-A:  1.464 credits for 0.732 impacts Class II Isolated PEM, IWGP 2021-104-32-ERL-A:  0.881 credits for 0.881 impacts to 0.881 Class I PEM - rescinded. _x000a_"/>
  </r>
  <r>
    <d v="2021-07-01T00:00:00"/>
    <s v="July"/>
    <x v="4"/>
    <x v="5"/>
    <n v="-0.1875"/>
    <x v="0"/>
    <n v="15000"/>
    <n v="227"/>
    <s v="Federal"/>
    <s v="PFO"/>
    <n v="0.25"/>
    <s v="Eagle Enclave"/>
    <s v="LRL-2013-8807-RJB"/>
    <s v="2013-543-82-DCC-V."/>
    <m/>
    <s v="Vanderburgh"/>
    <n v="37.967385999999998"/>
    <n v="-87.661501000000001"/>
    <s v="Development"/>
    <m/>
    <s v="No"/>
    <m/>
    <n v="2250"/>
    <n v="10500"/>
    <n v="2250"/>
    <s v="L"/>
    <s v="J"/>
    <m/>
    <m/>
    <m/>
    <m/>
    <m/>
    <m/>
    <s v="Purchase in Agreed Judgement 82D05-1707-MI-003721 to resolve violations in 401 Permit 2013-543-82-DCC-V."/>
  </r>
  <r>
    <d v="2021-07-01T00:00:00"/>
    <s v="July"/>
    <x v="4"/>
    <x v="9"/>
    <n v="-6.91"/>
    <x v="0"/>
    <n v="552800"/>
    <n v="209"/>
    <s v="Federal"/>
    <s v="PFO"/>
    <n v="2.88"/>
    <s v="Duke Energy"/>
    <s v="LRL-2020-1000-sjk"/>
    <s v="2020-994-49-ALF-A"/>
    <m/>
    <s v="Marion"/>
    <n v="39.702300000000001"/>
    <n v="-86.1631"/>
    <s v="Transportation"/>
    <m/>
    <s v="No"/>
    <m/>
    <n v="82920"/>
    <n v="386960"/>
    <n v="82920"/>
    <s v="L"/>
    <s v="J"/>
    <m/>
    <m/>
    <m/>
    <m/>
    <m/>
    <m/>
    <m/>
  </r>
  <r>
    <d v="2021-07-08T00:00:00"/>
    <s v="July"/>
    <x v="4"/>
    <x v="9"/>
    <n v="-48"/>
    <x v="1"/>
    <n v="21600"/>
    <n v="228"/>
    <s v="Federal"/>
    <s v="Per"/>
    <n v="121"/>
    <s v="City of Carmel"/>
    <s v="LRL-2020-194-sjk"/>
    <s v="2021-0369-29-JBT-X"/>
    <m/>
    <s v="Hamilton"/>
    <n v="39.957799999999999"/>
    <n v="-86.090299999999999"/>
    <s v="Transportation"/>
    <m/>
    <s v="No"/>
    <m/>
    <n v="3240"/>
    <n v="15119.999999999998"/>
    <n v="3240"/>
    <s v="L"/>
    <s v="J"/>
    <m/>
    <m/>
    <m/>
    <m/>
    <m/>
    <m/>
    <m/>
  </r>
  <r>
    <d v="2021-07-19T00:00:00"/>
    <s v="July"/>
    <x v="4"/>
    <x v="9"/>
    <n v="-24"/>
    <x v="1"/>
    <n v="10800"/>
    <n v="232"/>
    <s v="Federal"/>
    <s v="Int"/>
    <s v="Mitig Shortfall"/>
    <s v="Poindexter Excavating"/>
    <s v="LRL-2018-446-sam"/>
    <s v="2018-899-32-JMK-A"/>
    <m/>
    <s v="Hendricks"/>
    <n v="39.665999999999997"/>
    <n v="-86.376999999999995"/>
    <s v="Transportation"/>
    <m/>
    <s v="No"/>
    <m/>
    <n v="1620"/>
    <n v="7559.9999999999991"/>
    <n v="1620"/>
    <s v="L"/>
    <s v="J"/>
    <m/>
    <m/>
    <m/>
    <m/>
    <m/>
    <m/>
    <s v="401 Modification - mitigation shortfall - permit modification for ILF credit purchase for remainder. "/>
  </r>
  <r>
    <d v="2021-07-21T00:00:00"/>
    <s v="July"/>
    <x v="4"/>
    <x v="7"/>
    <n v="-140"/>
    <x v="1"/>
    <n v="56000"/>
    <n v="223"/>
    <s v="Federal"/>
    <s v="Int"/>
    <n v="151"/>
    <s v="Clark County "/>
    <s v="LRL-2020-807-MKD"/>
    <s v="2020-993-10-TMS-A"/>
    <m/>
    <s v="Clark"/>
    <n v="38.48592"/>
    <n v="-85.530699999999996"/>
    <s v="Transportation"/>
    <m/>
    <s v="No"/>
    <m/>
    <n v="8400"/>
    <n v="39200"/>
    <n v="8400"/>
    <s v="L"/>
    <s v="J"/>
    <m/>
    <m/>
    <m/>
    <m/>
    <m/>
    <m/>
    <s v="No Corps Mitigation required. "/>
  </r>
  <r>
    <d v="2021-07-21T00:00:00"/>
    <s v="July"/>
    <x v="4"/>
    <x v="9"/>
    <n v="-122"/>
    <x v="1"/>
    <n v="54900"/>
    <n v="231"/>
    <s v="Federal"/>
    <s v="Per"/>
    <n v="1035"/>
    <s v="Park 100 Development"/>
    <s v="LRL-2019-642-sjk"/>
    <s v="2021-222-49-JWR-A"/>
    <m/>
    <s v="Marion"/>
    <n v="39.894840000000002"/>
    <n v="-86.266040000000004"/>
    <s v="Development"/>
    <m/>
    <s v="No"/>
    <m/>
    <n v="8235"/>
    <n v="38430"/>
    <n v="8235"/>
    <s v="L"/>
    <s v="J"/>
    <m/>
    <m/>
    <m/>
    <m/>
    <m/>
    <m/>
    <s v="IDEM requires total stream mitigation of 440 intermittent and the rest is remediation done by the Permittee, Corps a total of 441. "/>
  </r>
  <r>
    <d v="2021-07-21T00:00:00"/>
    <s v="July"/>
    <x v="4"/>
    <x v="9"/>
    <n v="-319"/>
    <x v="1"/>
    <n v="143550"/>
    <n v="231"/>
    <s v="Federal"/>
    <s v="Int"/>
    <n v="266"/>
    <s v="Park 100 Development"/>
    <s v="LRL-2019-642-sjk"/>
    <s v="2021-222-49-JWR-A"/>
    <m/>
    <s v="Marion"/>
    <n v="39.894840000000002"/>
    <n v="-86.266040000000004"/>
    <s v="Development"/>
    <m/>
    <s v="No"/>
    <m/>
    <n v="21532.5"/>
    <n v="100485"/>
    <n v="21532.5"/>
    <s v="L"/>
    <s v="J"/>
    <m/>
    <m/>
    <m/>
    <m/>
    <m/>
    <m/>
    <s v="IWGP related to this not sub w other permits, credit sale will be processed separately. "/>
  </r>
  <r>
    <d v="2021-07-21T00:00:00"/>
    <s v="July"/>
    <x v="4"/>
    <x v="9"/>
    <n v="-1.1000000000000001"/>
    <x v="0"/>
    <n v="88000"/>
    <n v="231"/>
    <s v="Federal"/>
    <s v="PFO"/>
    <n v="0.24"/>
    <s v="Park 100 Development"/>
    <s v="LRL-2019-642-sjk"/>
    <s v="2021-222-49-JWR-A"/>
    <m/>
    <s v="Marion"/>
    <n v="39.894840000000002"/>
    <n v="-86.266040000000004"/>
    <s v="Development"/>
    <m/>
    <s v="No"/>
    <m/>
    <n v="13200"/>
    <n v="61599.999999999993"/>
    <n v="13200"/>
    <s v="L"/>
    <s v="J"/>
    <m/>
    <m/>
    <m/>
    <m/>
    <m/>
    <m/>
    <s v="IDEM has a larger amount of credit purchase requirements. "/>
  </r>
  <r>
    <d v="2021-07-27T00:00:00"/>
    <s v="July"/>
    <x v="4"/>
    <x v="10"/>
    <n v="-0.37"/>
    <x v="0"/>
    <n v="29600"/>
    <n v="220"/>
    <s v="Federal"/>
    <s v="PEM"/>
    <n v="0.154"/>
    <s v="Hancock Co Hway"/>
    <s v="LRL-2020-783-sjk"/>
    <s v="2020-718-30-ALF-A"/>
    <m/>
    <s v="Hancock"/>
    <n v="39.924570000000003"/>
    <n v="-85.692149999999998"/>
    <s v="Transportation"/>
    <m/>
    <s v="No"/>
    <m/>
    <n v="4440"/>
    <n v="20720"/>
    <n v="4440"/>
    <s v="L"/>
    <s v="J"/>
    <m/>
    <m/>
    <m/>
    <m/>
    <m/>
    <m/>
    <s v="Corrected from permit to be WW EF, Corps requires slightly more. "/>
  </r>
  <r>
    <d v="2021-07-27T00:00:00"/>
    <s v="July"/>
    <x v="4"/>
    <x v="10"/>
    <n v="-0.1"/>
    <x v="0"/>
    <n v="8000"/>
    <n v="220"/>
    <s v="Federal"/>
    <s v="PFO"/>
    <n v="2.9000000000000001E-2"/>
    <s v="Hancock Co Hway"/>
    <s v="LRL-2020-783-sjk"/>
    <s v="2020-718-30-ALF-A"/>
    <m/>
    <s v="Hancock"/>
    <n v="39.924570000000003"/>
    <n v="-85.692149999999998"/>
    <s v="Transportation"/>
    <m/>
    <s v="No"/>
    <m/>
    <n v="1200"/>
    <n v="5600"/>
    <n v="1200"/>
    <s v="L"/>
    <s v="J"/>
    <m/>
    <m/>
    <m/>
    <m/>
    <m/>
    <m/>
    <s v="Corrected from permit to be WW EF"/>
  </r>
  <r>
    <d v="2021-08-07T00:00:00"/>
    <s v="August"/>
    <x v="4"/>
    <x v="2"/>
    <n v="-408"/>
    <x v="1"/>
    <n v="163200"/>
    <n v="229"/>
    <s v="Federal"/>
    <s v="Int"/>
    <n v="340"/>
    <s v="Crider and Crider"/>
    <s v="LRL-2020-815-MKD"/>
    <s v="2021-246-53-TMS-A"/>
    <m/>
    <s v="Monroe"/>
    <n v="39.196618999999998"/>
    <n v="-86.575967000000006"/>
    <s v="Development"/>
    <m/>
    <s v="No"/>
    <m/>
    <n v="24480"/>
    <n v="114240"/>
    <n v="24480"/>
    <s v="L"/>
    <s v="J"/>
    <m/>
    <m/>
    <m/>
    <m/>
    <m/>
    <m/>
    <m/>
  </r>
  <r>
    <d v="2021-08-10T00:00:00"/>
    <s v="August"/>
    <x v="4"/>
    <x v="0"/>
    <n v="-1.476"/>
    <x v="0"/>
    <n v="140220"/>
    <n v="233"/>
    <s v="Federal"/>
    <s v="PEM"/>
    <n v="25.08"/>
    <s v="NIPSCO"/>
    <s v="LRC-2020-490"/>
    <s v="2020-818-45-MTM-A"/>
    <m/>
    <s v="Lake and Porter"/>
    <n v="41.58399"/>
    <n v="-87.299000000000007"/>
    <s v="Energy Production"/>
    <m/>
    <s v="No"/>
    <m/>
    <n v="21033"/>
    <n v="98154"/>
    <n v="21033"/>
    <s v="C"/>
    <s v="J"/>
    <m/>
    <m/>
    <m/>
    <m/>
    <m/>
    <m/>
    <s v="Aetna to Tassinong Gas Transmission Upgrade Project"/>
  </r>
  <r>
    <d v="2021-08-10T00:00:00"/>
    <s v="August"/>
    <x v="4"/>
    <x v="0"/>
    <n v="-0.216"/>
    <x v="0"/>
    <n v="20520"/>
    <n v="233"/>
    <s v="Federal"/>
    <s v="PSS"/>
    <n v="0.73"/>
    <s v="NIPSCO"/>
    <s v="LRC-2020-490"/>
    <s v="2020-818-45-MTM-A"/>
    <m/>
    <s v="Lake and Porter"/>
    <n v="41.58399"/>
    <n v="-87.299000000000007"/>
    <s v="Energy Production"/>
    <m/>
    <s v="No"/>
    <m/>
    <n v="3078"/>
    <n v="14363.999999999998"/>
    <n v="3078"/>
    <s v="C"/>
    <s v="J"/>
    <m/>
    <m/>
    <m/>
    <m/>
    <m/>
    <m/>
    <s v="Aetna to Tassinong Gas Transmission Upgrade Project"/>
  </r>
  <r>
    <d v="2021-08-10T00:00:00"/>
    <s v="August"/>
    <x v="4"/>
    <x v="0"/>
    <n v="-0.13800000000000001"/>
    <x v="0"/>
    <n v="13110.000000000002"/>
    <n v="233"/>
    <s v="Federal"/>
    <s v="PFO"/>
    <n v="0.23"/>
    <s v="NIPSCO"/>
    <s v="LRC-2020-490"/>
    <s v="2020-818-45-MTM-A"/>
    <m/>
    <s v="Lake and Porter"/>
    <n v="41.58399"/>
    <n v="-87.299000000000007"/>
    <s v="Energy Production"/>
    <m/>
    <s v="No"/>
    <m/>
    <n v="1966.5000000000002"/>
    <n v="9177"/>
    <n v="1966.5000000000002"/>
    <s v="C"/>
    <s v="J"/>
    <m/>
    <m/>
    <m/>
    <m/>
    <m/>
    <m/>
    <s v="Aetna to Tassinong Gas Transmission Upgrade Project"/>
  </r>
  <r>
    <d v="2021-08-24T00:00:00"/>
    <s v="August"/>
    <x v="4"/>
    <x v="3"/>
    <n v="-0.96"/>
    <x v="0"/>
    <n v="76800"/>
    <n v="235"/>
    <s v="Federal"/>
    <s v="PFO"/>
    <n v="0.24"/>
    <s v="ANR Pipeline Company’s MP26.71 Integrity Dig"/>
    <s v="LRE-2021-00699-117"/>
    <s v="2021-520-17-WRH-X"/>
    <m/>
    <s v="DeKalb"/>
    <n v="41.484231999999999"/>
    <n v="-84.836512999999997"/>
    <s v="Energy Production"/>
    <m/>
    <s v="No"/>
    <m/>
    <n v="11520"/>
    <n v="53760"/>
    <n v="11520"/>
    <s v="D"/>
    <s v="J"/>
    <m/>
    <m/>
    <m/>
    <m/>
    <m/>
    <m/>
    <m/>
  </r>
  <r>
    <d v="2021-08-24T00:00:00"/>
    <s v="August"/>
    <x v="4"/>
    <x v="9"/>
    <n v="-7.4999999999999997E-2"/>
    <x v="0"/>
    <n v="6000"/>
    <n v="236"/>
    <s v="State Isolated"/>
    <s v="PFO"/>
    <n v="0.03"/>
    <s v="Park 100 Development"/>
    <s v="None"/>
    <s v="IWGP 2021-222-49-JWR-A"/>
    <m/>
    <s v="Marion"/>
    <n v="39.894840000000002"/>
    <n v="-86.266040000000004"/>
    <s v="Development"/>
    <m/>
    <s v="No"/>
    <m/>
    <n v="900"/>
    <n v="4200"/>
    <n v="900"/>
    <s v="L"/>
    <s v="COMB"/>
    <s v="2 F"/>
    <m/>
    <m/>
    <m/>
    <m/>
    <m/>
    <s v="401/404 credit sale issued separately.  Didn't submit this w the other permits related to the credit request.  Discovered during clarification with agencies on permit language. "/>
  </r>
  <r>
    <d v="2021-09-07T00:00:00"/>
    <s v="September"/>
    <x v="4"/>
    <x v="1"/>
    <n v="-215"/>
    <x v="1"/>
    <n v="107500"/>
    <n v="179"/>
    <s v="Federal"/>
    <s v="Int"/>
    <n v="289"/>
    <s v="INDOT"/>
    <s v=" LRC-2019-854 -DES 1401029"/>
    <s v="2020-574-64-MTM-A "/>
    <m/>
    <s v="Porter"/>
    <n v="41.420140000000004"/>
    <n v="-87.201599999999999"/>
    <s v="Transportation"/>
    <m/>
    <s v="No"/>
    <m/>
    <n v="16125"/>
    <n v="75250"/>
    <n v="16125"/>
    <s v="C"/>
    <s v="J"/>
    <m/>
    <m/>
    <m/>
    <m/>
    <m/>
    <m/>
    <s v="Emergent credits purchased elsewhere. "/>
  </r>
  <r>
    <d v="2021-09-07T00:00:00"/>
    <s v="September"/>
    <x v="4"/>
    <x v="1"/>
    <n v="-0.24640000000000001"/>
    <x v="0"/>
    <n v="23408"/>
    <n v="179"/>
    <s v="Federal"/>
    <s v="PSS"/>
    <n v="9.4E-2"/>
    <s v="INDOT"/>
    <s v=" LRC-2019-854 -DES 1401029"/>
    <s v="2020-574-64-MTM-A "/>
    <m/>
    <s v="Porter"/>
    <n v="41.420140000000004"/>
    <n v="-87.201599999999999"/>
    <s v="Transportation"/>
    <m/>
    <s v="No"/>
    <m/>
    <n v="3511.2"/>
    <n v="16385.599999999999"/>
    <n v="3511.2"/>
    <s v="C"/>
    <s v="J"/>
    <m/>
    <m/>
    <m/>
    <m/>
    <m/>
    <m/>
    <s v="Emergent credits purchased elsewhere. "/>
  </r>
  <r>
    <d v="2021-09-07T00:00:00"/>
    <s v="September"/>
    <x v="4"/>
    <x v="1"/>
    <n v="-0.10920000000000001"/>
    <x v="0"/>
    <n v="10374"/>
    <n v="179"/>
    <s v="Federal"/>
    <s v="PFO"/>
    <n v="2.5999999999999999E-2"/>
    <s v="INDOT"/>
    <s v=" LRC-2019-854 -DES 1401029"/>
    <s v="2020-574-64-MTM-A "/>
    <m/>
    <s v="Porter"/>
    <n v="41.420140000000004"/>
    <n v="-87.201599999999999"/>
    <s v="Transportation"/>
    <m/>
    <s v="No"/>
    <m/>
    <n v="1556.1"/>
    <n v="7261.7999999999993"/>
    <n v="1556.1"/>
    <s v="C"/>
    <s v="J"/>
    <m/>
    <m/>
    <m/>
    <m/>
    <m/>
    <m/>
    <s v="Emergent credits purchased elsewhere. "/>
  </r>
  <r>
    <d v="2021-09-15T00:00:00"/>
    <s v="September"/>
    <x v="4"/>
    <x v="0"/>
    <n v="-0.7"/>
    <x v="0"/>
    <n v="66500"/>
    <n v="247"/>
    <s v="State Isolated"/>
    <s v="PFO"/>
    <n v="0.54"/>
    <s v="Lennar Corporation"/>
    <s v="None"/>
    <s v="IWIP 2021-472-45-MTM-A"/>
    <m/>
    <s v="Lake"/>
    <n v="41.412514999999999"/>
    <n v="-87.261118999999994"/>
    <s v="Development"/>
    <m/>
    <s v="No"/>
    <m/>
    <n v="9975"/>
    <n v="46550"/>
    <n v="9975"/>
    <s v="C"/>
    <s v="SI"/>
    <s v="2 F"/>
    <m/>
    <m/>
    <m/>
    <m/>
    <m/>
    <s v="Aylesworth Farm"/>
  </r>
  <r>
    <d v="2021-09-23T00:00:00"/>
    <s v="September"/>
    <x v="4"/>
    <x v="8"/>
    <n v="-7.4999999999999997E-3"/>
    <x v="0"/>
    <n v="600"/>
    <n v="250"/>
    <s v="State Isolated"/>
    <s v="PFO"/>
    <n v="3.0000000000000001E-3"/>
    <s v="Oakmont Development"/>
    <s v="None"/>
    <s v="IWGP 2021-445-02-WRH-A"/>
    <m/>
    <s v="Allen"/>
    <n v="41.08502"/>
    <n v="-85.295559999999995"/>
    <s v="Development"/>
    <m/>
    <s v="No"/>
    <m/>
    <n v="90"/>
    <n v="420"/>
    <n v="90"/>
    <s v="D"/>
    <s v="SI"/>
    <s v="2 F"/>
    <m/>
    <m/>
    <m/>
    <m/>
    <m/>
    <s v="Orig Impacts permitted under IWGP 2020-974-02-WRH-A,these are addtl impacts. "/>
  </r>
  <r>
    <d v="2021-09-27T00:00:00"/>
    <s v="September"/>
    <x v="4"/>
    <x v="1"/>
    <n v="-1.2E-2"/>
    <x v="0"/>
    <n v="1140"/>
    <n v="251"/>
    <s v="Federal"/>
    <s v="PEM"/>
    <n v="0.02"/>
    <s v="Graythorne Development"/>
    <s v="LRC-2019-190"/>
    <s v="2021-92-45-MTM-A"/>
    <m/>
    <s v="Lake"/>
    <n v="41.315891999999998"/>
    <n v="-87.387343000000001"/>
    <s v="Development"/>
    <m/>
    <s v="No"/>
    <m/>
    <n v="171"/>
    <n v="798"/>
    <n v="171"/>
    <s v="C"/>
    <s v="COMB"/>
    <m/>
    <m/>
    <m/>
    <m/>
    <m/>
    <m/>
    <s v="Credit Sale Ltr Inadvertently sent later.  IDEM required 0 emergent. IDEM had wrong SA on permit, used Corps and IDEM noted this. "/>
  </r>
  <r>
    <d v="2021-09-27T00:00:00"/>
    <s v="September"/>
    <x v="4"/>
    <x v="1"/>
    <n v="-0.3"/>
    <x v="0"/>
    <n v="28500"/>
    <n v="251"/>
    <s v="Federal"/>
    <s v="PFO"/>
    <n v="0.63"/>
    <s v="Graythorne Development"/>
    <s v="LRC-2019-190"/>
    <s v="2021-92-45-MTM-A"/>
    <m/>
    <s v="Lake"/>
    <n v="41.315891999999998"/>
    <n v="-87.387343000000001"/>
    <s v="Development"/>
    <m/>
    <s v="No"/>
    <m/>
    <n v="4275"/>
    <n v="19950"/>
    <n v="4275"/>
    <s v="C"/>
    <s v="COMB"/>
    <m/>
    <m/>
    <m/>
    <m/>
    <m/>
    <m/>
    <s v="IDEM required 0.26 Forested. IDEM had wrong SA on permit, used Corps and IDEM noted this. "/>
  </r>
  <r>
    <d v="2021-09-27T00:00:00"/>
    <s v="September"/>
    <x v="4"/>
    <x v="1"/>
    <n v="-0.05"/>
    <x v="0"/>
    <n v="4750"/>
    <n v="251"/>
    <s v="State Isolated"/>
    <s v="PFO"/>
    <n v="0.14000000000000001"/>
    <s v="Graythorne Development"/>
    <s v="None"/>
    <s v="IWIP 2021-92-45-MTM-A"/>
    <m/>
    <s v="Lake"/>
    <n v="41.315891999999998"/>
    <n v="-87.387343000000001"/>
    <s v="Development"/>
    <m/>
    <s v="No"/>
    <m/>
    <n v="712.5"/>
    <n v="3325"/>
    <n v="712.5"/>
    <s v="C"/>
    <s v="COMB"/>
    <s v="3 F"/>
    <m/>
    <m/>
    <m/>
    <m/>
    <m/>
    <s v="IDEM had wrong SA on permit, used Corps and IDEM noted this. "/>
  </r>
  <r>
    <d v="2021-09-27T00:00:00"/>
    <s v="September"/>
    <x v="4"/>
    <x v="10"/>
    <n v="-478"/>
    <x v="1"/>
    <n v="191200"/>
    <n v="237"/>
    <s v="Federal"/>
    <s v="Per"/>
    <n v="398"/>
    <s v="Force Holdings - Project Husky"/>
    <s v="LRL-2021-277-sjk"/>
    <s v="2021-407-03-TMS-A"/>
    <m/>
    <s v="Bartholomew"/>
    <n v="39.144100000000002"/>
    <n v="-85.944559999999996"/>
    <s v="Development"/>
    <m/>
    <s v="No"/>
    <m/>
    <n v="28680"/>
    <n v="133840"/>
    <n v="28680"/>
    <s v="L"/>
    <s v="COMB"/>
    <m/>
    <m/>
    <m/>
    <m/>
    <m/>
    <m/>
    <s v="Requested invoice re-sent to diff recipient.  Corps requires more at 478 perennial, state 398. "/>
  </r>
  <r>
    <d v="2021-09-27T00:00:00"/>
    <s v="September"/>
    <x v="4"/>
    <x v="10"/>
    <n v="-1271"/>
    <x v="1"/>
    <n v="508400"/>
    <n v="237"/>
    <s v="Federal"/>
    <s v="Int"/>
    <n v="1059"/>
    <s v="Force Holdings - Project Husky"/>
    <s v="LRL-2021-277-sjk"/>
    <s v="2021-407-03-TMS-A"/>
    <m/>
    <s v="Bartholomew"/>
    <n v="39.144100000000002"/>
    <n v="-85.944559999999996"/>
    <s v="Development"/>
    <m/>
    <s v="No"/>
    <m/>
    <n v="76260"/>
    <n v="355880"/>
    <n v="76260"/>
    <s v="L"/>
    <s v="COMB"/>
    <m/>
    <m/>
    <m/>
    <m/>
    <m/>
    <m/>
    <s v="Corps is more at 1271 intermittent stream, State is 1059 intermittent stream. "/>
  </r>
  <r>
    <d v="2021-09-27T00:00:00"/>
    <s v="September"/>
    <x v="4"/>
    <x v="10"/>
    <n v="-0.61719999999999997"/>
    <x v="0"/>
    <n v="49376"/>
    <n v="237"/>
    <s v="Federal"/>
    <s v="PFO"/>
    <n v="0.15429999999999999"/>
    <s v="Force Holdings - Project Husky"/>
    <s v="LRL-2021-277-sjk"/>
    <s v="2021-407-03-TMS-A"/>
    <m/>
    <s v="Bartholomew"/>
    <n v="39.144100000000002"/>
    <n v="-85.944559999999996"/>
    <s v="Development"/>
    <m/>
    <s v="No"/>
    <m/>
    <n v="7406.4"/>
    <n v="34563.199999999997"/>
    <n v="7406.4"/>
    <s v="L"/>
    <s v="COMB"/>
    <m/>
    <m/>
    <m/>
    <m/>
    <m/>
    <m/>
    <s v="Corps is less at .56 forested wetland credits"/>
  </r>
  <r>
    <d v="2021-09-27T00:00:00"/>
    <s v="September"/>
    <x v="4"/>
    <x v="10"/>
    <n v="-0.30549999999999999"/>
    <x v="0"/>
    <n v="24440"/>
    <n v="237"/>
    <s v="State Isolated"/>
    <s v="PFO"/>
    <n v="0.1222"/>
    <s v="Force Holdings - Project Husky"/>
    <s v="LRL-2021-277-sjk"/>
    <s v="IWIP-2021-407-03-TMS-A"/>
    <m/>
    <s v="Bartholomew"/>
    <n v="39.144100000000002"/>
    <n v="-85.944559999999996"/>
    <s v="Development"/>
    <m/>
    <s v="No"/>
    <m/>
    <n v="3666"/>
    <n v="17108"/>
    <n v="3666"/>
    <s v="L"/>
    <s v="COMB"/>
    <s v="3 F"/>
    <m/>
    <m/>
    <m/>
    <m/>
    <m/>
    <s v="IWIP Class III Forested "/>
  </r>
  <r>
    <d v="2021-09-30T00:00:00"/>
    <s v="September"/>
    <x v="4"/>
    <x v="7"/>
    <n v="-0.29799999999999999"/>
    <x v="0"/>
    <n v="23840"/>
    <n v="252"/>
    <s v="Federal"/>
    <s v="PEM"/>
    <n v="0.10100000000000001"/>
    <s v="Stonecrest Development"/>
    <s v="LRL-2017-00451"/>
    <s v="2019-779-22-TMS-A"/>
    <m/>
    <s v="Floyd"/>
    <n v="38.355286"/>
    <s v="-85.81 8652"/>
    <s v="Development"/>
    <m/>
    <s v="No"/>
    <m/>
    <n v="3576"/>
    <n v="16688"/>
    <n v="3576"/>
    <s v="L"/>
    <s v="J"/>
    <m/>
    <m/>
    <m/>
    <m/>
    <m/>
    <m/>
    <s v="Corps requires .91 total wetland mitig - IDEM .202 emergent"/>
  </r>
  <r>
    <d v="2021-09-30T00:00:00"/>
    <s v="September"/>
    <x v="4"/>
    <x v="7"/>
    <n v="-0.38400000000000001"/>
    <x v="0"/>
    <n v="30720"/>
    <n v="252"/>
    <s v="Federal"/>
    <s v="PSS"/>
    <n v="0.10100000000000001"/>
    <s v="Stonecrest Development"/>
    <s v="LRL-2017-00451"/>
    <s v="2019-779-22-TMS-A"/>
    <m/>
    <s v="Floyd"/>
    <n v="38.355286"/>
    <s v="-85.81 8652"/>
    <s v="Development"/>
    <m/>
    <s v="No"/>
    <m/>
    <n v="4608"/>
    <n v="21504"/>
    <n v="4608"/>
    <s v="L"/>
    <s v="J"/>
    <m/>
    <m/>
    <m/>
    <m/>
    <m/>
    <m/>
    <s v="Corps requires .91 total wetland mitig - IDEM .384 shrub"/>
  </r>
  <r>
    <d v="2021-09-30T00:00:00"/>
    <s v="September"/>
    <x v="4"/>
    <x v="7"/>
    <n v="-0.22800000000000001"/>
    <x v="0"/>
    <n v="18240"/>
    <n v="252"/>
    <s v="Federal"/>
    <s v="PFO"/>
    <n v="0.10100000000000001"/>
    <s v="Stonecrest Development"/>
    <s v="LRL-2017-00451"/>
    <s v="2019-779-22-TMS-A"/>
    <m/>
    <s v="Floyd"/>
    <n v="38.355286"/>
    <s v="-85.81 8652"/>
    <s v="Development"/>
    <m/>
    <s v="No"/>
    <m/>
    <n v="2736"/>
    <n v="12768"/>
    <n v="2736"/>
    <s v="L"/>
    <s v="J"/>
    <m/>
    <m/>
    <m/>
    <m/>
    <m/>
    <m/>
    <s v="Corps requires .91 total wetland mitig - IDEM .228 forested"/>
  </r>
  <r>
    <d v="2021-09-30T00:00:00"/>
    <s v="September"/>
    <x v="4"/>
    <x v="9"/>
    <n v="-0.34"/>
    <x v="0"/>
    <n v="27200"/>
    <n v="204"/>
    <s v="State Isolated"/>
    <s v="PEM"/>
    <n v="0.34"/>
    <s v="INDOT"/>
    <s v="None"/>
    <s v="IWGP 2020-787-80-JBT-A"/>
    <m/>
    <s v="Tipton"/>
    <n v="40.289437"/>
    <n v="-86.127049"/>
    <s v="Transportation"/>
    <m/>
    <s v="No"/>
    <m/>
    <n v="4080"/>
    <n v="19040"/>
    <n v="4080"/>
    <s v="L"/>
    <s v="SI"/>
    <s v="1 NF"/>
    <m/>
    <m/>
    <m/>
    <m/>
    <m/>
    <s v="Class I Non-Forested (PEM) DES 1592421"/>
  </r>
  <r>
    <d v="2021-10-06T00:00:00"/>
    <s v="October"/>
    <x v="4"/>
    <x v="1"/>
    <n v="-0.99"/>
    <x v="0"/>
    <n v="94050"/>
    <n v="239"/>
    <s v="Federal"/>
    <s v="PFO"/>
    <n v="0.34100000000000003"/>
    <s v="INDOT"/>
    <s v="LRE-2020-1742-137-R21"/>
    <s v="2021-0231-37-JBT-A"/>
    <m/>
    <s v="Jasper"/>
    <n v="40.907580000000003"/>
    <n v="-87.210695999999999"/>
    <s v="Transportation"/>
    <m/>
    <s v="No"/>
    <m/>
    <n v="14107.5"/>
    <n v="65835"/>
    <n v="14107.5"/>
    <s v="L"/>
    <s v="J"/>
    <m/>
    <m/>
    <m/>
    <m/>
    <m/>
    <m/>
    <s v="1700378 - I-65 Unnamed Tributary to Iroquois Liner - Corps required no mitigation. "/>
  </r>
  <r>
    <d v="2021-10-06T00:00:00"/>
    <s v="October"/>
    <x v="4"/>
    <x v="2"/>
    <n v="-449.5"/>
    <x v="1"/>
    <n v="179800"/>
    <n v="241"/>
    <s v="Federal"/>
    <s v="Int"/>
    <n v="516.5"/>
    <s v="INDOT"/>
    <s v="LRL-2020-1097-scm"/>
    <s v="2021-110-42-JBT-A"/>
    <m/>
    <s v="Knox"/>
    <n v="38.867088000000003"/>
    <n v="-87.250826000000004"/>
    <s v="Transportation"/>
    <m/>
    <s v="No"/>
    <m/>
    <n v="26970"/>
    <n v="125859.99999999999"/>
    <n v="26970"/>
    <s v="L"/>
    <s v="J"/>
    <m/>
    <m/>
    <m/>
    <m/>
    <m/>
    <m/>
    <s v="Corps required no credits, confirmed - INDOT 1700156 &amp; 1700159"/>
  </r>
  <r>
    <d v="2021-10-06T00:00:00"/>
    <s v="October"/>
    <x v="4"/>
    <x v="2"/>
    <n v="-89.5"/>
    <x v="1"/>
    <n v="35800"/>
    <n v="241"/>
    <s v="Federal"/>
    <s v="Per"/>
    <n v="33"/>
    <s v="INDOT "/>
    <s v="LRL-2020-1097-scm"/>
    <s v="2021-110-42-JBT-A"/>
    <m/>
    <s v="Knox"/>
    <n v="38.867088000000003"/>
    <n v="-87.250826000000004"/>
    <s v="Transportation"/>
    <m/>
    <s v="No"/>
    <m/>
    <n v="5370"/>
    <n v="25060"/>
    <n v="5370"/>
    <s v="L"/>
    <s v="J"/>
    <m/>
    <m/>
    <m/>
    <m/>
    <m/>
    <m/>
    <s v="Corps required no credits, confirmed - INDOT 1700156 &amp; 1700159"/>
  </r>
  <r>
    <d v="2021-10-06T00:00:00"/>
    <s v="October"/>
    <x v="4"/>
    <x v="10"/>
    <n v="-1.36"/>
    <x v="0"/>
    <n v="108800.00000000001"/>
    <n v="244"/>
    <s v="Federal"/>
    <s v="PEM"/>
    <n v="0.56569999999999998"/>
    <s v="INDOT"/>
    <s v="LRL-2020-217-scm"/>
    <s v="2021-0106-73-JBT-A, IWGP"/>
    <m/>
    <s v="Shelby"/>
    <n v="39.588799999999999"/>
    <n v="-85.828999999999994"/>
    <s v="Transportation"/>
    <m/>
    <s v="No"/>
    <m/>
    <n v="16320.000000000002"/>
    <n v="76160"/>
    <n v="16320.000000000002"/>
    <s v="L"/>
    <s v="COMB"/>
    <m/>
    <m/>
    <m/>
    <m/>
    <m/>
    <m/>
    <s v="Requested credits - then asked to hold off due to IWGP - then replied to proceed on purchase.  Corps required more credits -IDEM 1.132, Corps 1.36, I-74 INDOT 1601973 1601974 1601978 1601980"/>
  </r>
  <r>
    <d v="2021-10-06T00:00:00"/>
    <s v="October"/>
    <x v="4"/>
    <x v="10"/>
    <n v="-0.29799999999999999"/>
    <x v="0"/>
    <n v="23840"/>
    <n v="244"/>
    <s v="State Isolated"/>
    <s v="PEM"/>
    <n v="0.29799999999999999"/>
    <s v="INDOT"/>
    <s v="LRL-2020-217-scm"/>
    <s v="IWGP 2021-106-73-JBT-A"/>
    <m/>
    <s v="Shelby"/>
    <n v="39.588799999999999"/>
    <n v="-85.828999999999994"/>
    <s v="Transportation"/>
    <m/>
    <s v="No"/>
    <m/>
    <n v="3576"/>
    <n v="16688"/>
    <n v="3576"/>
    <s v="L"/>
    <s v="COMB"/>
    <s v="1 NF"/>
    <m/>
    <m/>
    <m/>
    <m/>
    <m/>
    <s v="Requested credits - then asked to hold off due to IWGP - then replied to proceed on purchase.  Corps required more credits -IDEM 1.132, Corps 1.36, I-74 INDOT 1601973 1601974 1601978 1601980"/>
  </r>
  <r>
    <d v="2021-10-06T00:00:00"/>
    <s v="October"/>
    <x v="4"/>
    <x v="10"/>
    <n v="-4"/>
    <x v="1"/>
    <n v="1600"/>
    <n v="242"/>
    <s v="Federal"/>
    <s v="Per"/>
    <n v="300.3"/>
    <s v="INDOT"/>
    <s v="LRL-2020-44-djd"/>
    <s v="2020-649-03-JBT-A"/>
    <m/>
    <s v="Bartholomew"/>
    <n v="39.141649999999998"/>
    <n v="-85.957999999999998"/>
    <s v="Transportation"/>
    <m/>
    <s v="No"/>
    <m/>
    <n v="240"/>
    <n v="1120"/>
    <n v="240"/>
    <s v="L"/>
    <s v="COMB"/>
    <m/>
    <m/>
    <m/>
    <m/>
    <m/>
    <m/>
    <s v="Note 0.12 jurisdictional wetland credits and 296.3 stream credits were purchased under the original IDEM 401 WQC and Corps 404 permits and a credit sale letter was issued on April 6, 2021 when those credits were purchased.   "/>
  </r>
  <r>
    <d v="2021-10-06T00:00:00"/>
    <s v="October"/>
    <x v="4"/>
    <x v="10"/>
    <n v="-0.98"/>
    <x v="0"/>
    <n v="78400"/>
    <n v="242"/>
    <s v="State Isolated"/>
    <s v="PEM"/>
    <n v="0.06"/>
    <s v="INDOT "/>
    <s v="LRL-2020-44-djd"/>
    <s v="IWGP-2020-649-03-JBT-A"/>
    <m/>
    <s v="Bartholomew"/>
    <n v="39.141649999999998"/>
    <n v="-85.957999999999998"/>
    <s v="Transportation"/>
    <m/>
    <s v="No"/>
    <m/>
    <n v="11760"/>
    <n v="54880"/>
    <n v="11760"/>
    <s v="L"/>
    <s v="COMB"/>
    <s v="1 NF"/>
    <m/>
    <m/>
    <m/>
    <m/>
    <m/>
    <s v="Note 0.12 jurisdictional wetland credits and 296.3 stream credits were purchased under the original IDEM 401 WQC and Corps 404 permits and a credit sale letter was issued on April 6, 2021 when those credits were purchased.   "/>
  </r>
  <r>
    <d v="2021-10-18T00:00:00"/>
    <s v="October"/>
    <x v="4"/>
    <x v="2"/>
    <n v="-114"/>
    <x v="1"/>
    <n v="45600"/>
    <n v="215"/>
    <s v="Federal"/>
    <s v="Per"/>
    <n v="95"/>
    <s v="INDOT"/>
    <s v="LRL-2010-506-djd"/>
    <s v="2021-0083-60-JBT-X "/>
    <m/>
    <s v="Owen"/>
    <s v="39.289348°"/>
    <s v="86.779420°"/>
    <s v="Transportation"/>
    <m/>
    <s v="No"/>
    <m/>
    <n v="6840"/>
    <n v="31919.999999999996"/>
    <n v="6840"/>
    <s v="L"/>
    <s v="J"/>
    <m/>
    <m/>
    <m/>
    <m/>
    <m/>
    <m/>
    <s v="Des. No. 0014380 - Corps required more than IDEM required for mitigation. "/>
  </r>
  <r>
    <d v="2021-10-19T00:00:00"/>
    <s v="October"/>
    <x v="4"/>
    <x v="9"/>
    <n v="-3.6669999999999998"/>
    <x v="0"/>
    <n v="293360"/>
    <n v="256"/>
    <s v="State Isolated"/>
    <s v="PFO"/>
    <n v="1.837"/>
    <s v="Raindrop, LLC "/>
    <s v="None"/>
    <s v="IWIP 2021-558-32-ERL-A"/>
    <m/>
    <s v="Hendricks &amp; Morgan"/>
    <n v="39.623800000000003"/>
    <n v="-86.468000000000004"/>
    <s v="Development"/>
    <m/>
    <s v="No"/>
    <m/>
    <n v="44004"/>
    <n v="205352"/>
    <n v="44004"/>
    <s v="L"/>
    <s v="SI"/>
    <s v="2 F"/>
    <m/>
    <m/>
    <m/>
    <m/>
    <m/>
    <s v="Previously had permits IWGP 2020-985-32-ERL-A -rescinded, IWIP 2020-985-32-ERL-A- modified for no credit purchase.  IWIP 2021-558-32-ERL-A is a new permit on same project. "/>
  </r>
  <r>
    <d v="2021-10-19T00:00:00"/>
    <s v="October"/>
    <x v="4"/>
    <x v="9"/>
    <n v="-1.115"/>
    <x v="0"/>
    <n v="89200"/>
    <n v="256"/>
    <s v="State Isolated"/>
    <s v="PSS"/>
    <n v="0.82699999999999996"/>
    <s v="Raindrop, LLC "/>
    <s v="None"/>
    <s v="IWIP 2021-558-32-ERL-A"/>
    <m/>
    <s v="Hendricks &amp; Morgan"/>
    <n v="39.623800000000003"/>
    <n v="-86.468000000000004"/>
    <s v="Development"/>
    <m/>
    <s v="No"/>
    <m/>
    <n v="13380"/>
    <n v="62439.999999999993"/>
    <n v="13380"/>
    <s v="L"/>
    <s v="SI"/>
    <s v="2 NF"/>
    <m/>
    <m/>
    <m/>
    <m/>
    <m/>
    <s v="Previously had permits IWGP 2020-985-32-ERL-A -rescinded, IWIP 2020-985-32-ERL-A- modified for no credit purchase.  IWIP 2021-558-32-ERL-A is a new permit on same project. "/>
  </r>
  <r>
    <d v="2021-10-19T00:00:00"/>
    <s v="October"/>
    <x v="4"/>
    <x v="9"/>
    <n v="-0.83"/>
    <x v="0"/>
    <n v="66400"/>
    <n v="249"/>
    <s v="Federal"/>
    <s v="PFO"/>
    <n v="0.23"/>
    <s v="City of Indianapolis DPW"/>
    <s v="LRL-2021-477-sam"/>
    <s v="2021-348-49-MTM-A"/>
    <m/>
    <s v="Marion"/>
    <n v="39.887799999999999"/>
    <n v="86.300210000000007"/>
    <s v="Dam"/>
    <m/>
    <s v="No"/>
    <m/>
    <n v="9960"/>
    <n v="46480"/>
    <n v="9960"/>
    <s v="L"/>
    <s v="J"/>
    <m/>
    <m/>
    <m/>
    <m/>
    <m/>
    <m/>
    <s v="After the fact Credit Sale - Corps and IDEM required the same amounts. "/>
  </r>
  <r>
    <d v="2021-10-19T00:00:00"/>
    <s v="October"/>
    <x v="4"/>
    <x v="9"/>
    <n v="-0.98"/>
    <x v="0"/>
    <n v="78400"/>
    <n v="249"/>
    <s v="Federal"/>
    <s v="PEM"/>
    <n v="0.41"/>
    <s v="City of Indianapolis DPW"/>
    <s v="LRL-2021-477-sam"/>
    <s v="2021-348-49-MTM-A"/>
    <m/>
    <s v="Marion"/>
    <n v="39.887799999999999"/>
    <n v="86.300210000000007"/>
    <s v="Dam"/>
    <m/>
    <s v="No"/>
    <m/>
    <n v="11760"/>
    <n v="54880"/>
    <n v="11760"/>
    <s v="L"/>
    <s v="J"/>
    <m/>
    <m/>
    <m/>
    <m/>
    <m/>
    <m/>
    <s v="After the fact Credit Sale - Corps and IDEM required the same amounts. "/>
  </r>
  <r>
    <d v="2021-10-22T00:00:00"/>
    <s v="October"/>
    <x v="4"/>
    <x v="6"/>
    <n v="-0.84"/>
    <x v="0"/>
    <n v="100800"/>
    <n v="218"/>
    <s v="Federal"/>
    <s v="PEM"/>
    <n v="0.21"/>
    <s v="INDOT"/>
    <s v="LRE-2021-00232-144-R21"/>
    <s v="2021-0207-44-JBT-A"/>
    <m/>
    <s v="LaGrange"/>
    <n v="41.697600000000001"/>
    <n v="-85.581199999999995"/>
    <s v="Transportation"/>
    <m/>
    <s v="No"/>
    <m/>
    <n v="15120"/>
    <n v="70560"/>
    <n v="15120"/>
    <s v="D"/>
    <s v="J"/>
    <m/>
    <m/>
    <m/>
    <m/>
    <m/>
    <m/>
    <m/>
  </r>
  <r>
    <d v="2021-10-25T00:00:00"/>
    <s v="October"/>
    <x v="4"/>
    <x v="0"/>
    <n v="-0.27600000000000002"/>
    <x v="0"/>
    <n v="26220.000000000004"/>
    <n v="246"/>
    <s v="Federal"/>
    <s v="PEM"/>
    <n v="0.15"/>
    <s v="Boys and Girls Clubs of Greater Northwest Indiana"/>
    <s v="LRC-2020-01139"/>
    <s v="2021-527-64-MTM-X"/>
    <m/>
    <s v="Porter"/>
    <n v="41.447586000000001"/>
    <n v="-87.052993999999998"/>
    <s v="Development"/>
    <m/>
    <s v="No"/>
    <m/>
    <n v="3933.0000000000005"/>
    <n v="18354"/>
    <n v="3933.0000000000005"/>
    <s v="C"/>
    <s v="J"/>
    <m/>
    <m/>
    <m/>
    <m/>
    <m/>
    <m/>
    <s v="IDEM 0.23, Corps .276"/>
  </r>
  <r>
    <d v="2021-10-25T00:00:00"/>
    <s v="October"/>
    <x v="4"/>
    <x v="2"/>
    <n v="-0.25"/>
    <x v="0"/>
    <n v="20000"/>
    <n v="234"/>
    <s v="Federal"/>
    <s v="PEM"/>
    <n v="0.25"/>
    <s v="Bloomington Parks - Griffy Lake "/>
    <s v="None"/>
    <s v="2021-383-53-TMS-X"/>
    <m/>
    <s v="Monroe"/>
    <n v="39.198"/>
    <n v="-86.513000000000005"/>
    <s v="Transportation"/>
    <m/>
    <s v="No"/>
    <m/>
    <n v="3000"/>
    <n v="14000"/>
    <n v="3000"/>
    <s v="L"/>
    <s v="J"/>
    <m/>
    <m/>
    <m/>
    <m/>
    <m/>
    <m/>
    <s v="RGP"/>
  </r>
  <r>
    <d v="2021-10-25T00:00:00"/>
    <s v="October"/>
    <x v="4"/>
    <x v="2"/>
    <n v="-740"/>
    <x v="1"/>
    <n v="296000"/>
    <n v="259"/>
    <s v="Federal"/>
    <s v="Eph"/>
    <n v="1369"/>
    <s v="Monroe County Highway Departmentt"/>
    <s v="LRL-2020-00189"/>
    <s v="2020-197-53-TMS-A"/>
    <m/>
    <s v="Monroe"/>
    <s v="39.260854,"/>
    <n v="-86.51088"/>
    <s v="Transportation"/>
    <m/>
    <s v="No"/>
    <m/>
    <n v="44400"/>
    <n v="207200"/>
    <n v="44400"/>
    <s v="L"/>
    <s v="J"/>
    <m/>
    <m/>
    <m/>
    <m/>
    <m/>
    <m/>
    <s v="Corps did not require a credit purchase. "/>
  </r>
  <r>
    <d v="2021-11-17T00:00:00"/>
    <s v="November "/>
    <x v="4"/>
    <x v="0"/>
    <n v="-0.11"/>
    <x v="0"/>
    <n v="10450"/>
    <n v="189"/>
    <s v="State Isolated"/>
    <s v="PEM"/>
    <n v="0.11"/>
    <s v="Savannah Ridge"/>
    <s v="None"/>
    <s v="IWGP-2020-912-45-MTMA"/>
    <m/>
    <s v="Lake"/>
    <n v="41.47925"/>
    <n v="-87.358260000000001"/>
    <s v="Development"/>
    <m/>
    <s v="No"/>
    <m/>
    <n v="1567.5"/>
    <n v="7314.9999999999991"/>
    <n v="1567.5"/>
    <s v="C"/>
    <s v="SI"/>
    <s v="1 NF"/>
    <m/>
    <m/>
    <m/>
    <m/>
    <m/>
    <s v="Emailed - Credit receipt dated 1/25/2021 - letter inadvertently sent later.  "/>
  </r>
  <r>
    <d v="2021-11-17T00:00:00"/>
    <s v="November "/>
    <x v="4"/>
    <x v="2"/>
    <n v="-115.5"/>
    <x v="1"/>
    <n v="46200"/>
    <n v="255"/>
    <s v="Federal"/>
    <s v="Eph"/>
    <n v="345"/>
    <s v="INDOT"/>
    <s v="LRL-2019-699-dds"/>
    <s v="2019-506-28-JBT-A"/>
    <m/>
    <s v="Greene and Sullivan"/>
    <n v="39.015700000000002"/>
    <n v="-87.213310000000007"/>
    <s v="Transportation"/>
    <m/>
    <s v="No"/>
    <m/>
    <n v="6930"/>
    <n v="32339.999999999996"/>
    <n v="6930"/>
    <s v="L"/>
    <s v="J"/>
    <m/>
    <m/>
    <m/>
    <m/>
    <m/>
    <m/>
    <s v="Redbird recreational area -  Des. No. 1601178 - Corps required no mitigation"/>
  </r>
  <r>
    <d v="2021-11-17T00:00:00"/>
    <s v="November "/>
    <x v="4"/>
    <x v="2"/>
    <n v="-71"/>
    <x v="1"/>
    <n v="28400"/>
    <n v="255"/>
    <s v="Federal"/>
    <s v="Int"/>
    <n v="209.5"/>
    <s v="INDOT"/>
    <s v="LRL-2019-699-dds"/>
    <s v="2019-506-28-JBT-A"/>
    <m/>
    <s v="Greene and Sullivan"/>
    <n v="39.015700000000002"/>
    <n v="-87.213310000000007"/>
    <s v="Transportation"/>
    <m/>
    <s v="No"/>
    <m/>
    <n v="4260"/>
    <n v="19880"/>
    <n v="4260"/>
    <s v="L"/>
    <s v="J"/>
    <m/>
    <m/>
    <m/>
    <m/>
    <m/>
    <m/>
    <s v="Redbird recreational area -  Des. No. 1601178 - Corps required no mitigation"/>
  </r>
  <r>
    <d v="2021-11-17T00:00:00"/>
    <s v="November "/>
    <x v="4"/>
    <x v="2"/>
    <n v="-0.1"/>
    <x v="0"/>
    <n v="8000"/>
    <n v="255"/>
    <s v="Federal"/>
    <s v="PEM"/>
    <n v="0.05"/>
    <s v="INDOT"/>
    <s v="LRL-2019-699-dds"/>
    <s v="2019-506-28-JBT-A"/>
    <m/>
    <s v="Greene and Sullivan"/>
    <n v="39.015700000000002"/>
    <n v="-87.213310000000007"/>
    <s v="Transportation"/>
    <m/>
    <s v="No"/>
    <m/>
    <n v="1200"/>
    <n v="5600"/>
    <n v="1200"/>
    <s v="L"/>
    <s v="J"/>
    <m/>
    <m/>
    <m/>
    <m/>
    <m/>
    <m/>
    <s v="Redbird recreational area -  Des. No. 1601178 - Corps required no mitigation"/>
  </r>
  <r>
    <d v="2021-11-17T00:00:00"/>
    <s v="November "/>
    <x v="4"/>
    <x v="2"/>
    <n v="-0.08"/>
    <x v="0"/>
    <n v="6400"/>
    <n v="255"/>
    <s v="Federal"/>
    <s v="PFO"/>
    <n v="0.02"/>
    <s v="INDOT"/>
    <s v="LRL-2019-699-dds"/>
    <s v="2019-506-28-JBT-A"/>
    <m/>
    <s v="Greene and Sullivan"/>
    <n v="39.015700000000002"/>
    <n v="-87.213310000000007"/>
    <s v="Transportation"/>
    <m/>
    <s v="No"/>
    <m/>
    <n v="960"/>
    <n v="4480"/>
    <n v="960"/>
    <s v="L"/>
    <s v="J"/>
    <m/>
    <m/>
    <m/>
    <m/>
    <m/>
    <m/>
    <s v="Redbird recreational area -  Des. No. 1601178 - Corps required no mitigation"/>
  </r>
  <r>
    <d v="2021-11-17T00:00:00"/>
    <s v="November "/>
    <x v="4"/>
    <x v="6"/>
    <n v="-124"/>
    <x v="1"/>
    <n v="74400"/>
    <n v="253"/>
    <s v="Federal"/>
    <s v="Per"/>
    <n v="124"/>
    <s v="INDOT"/>
    <s v="LRE-2008-103-120--R21"/>
    <s v="2021-366-20-JBT-X"/>
    <m/>
    <s v="Elkhart"/>
    <n v="41.654051000000003"/>
    <n v="-85.670492999999993"/>
    <s v="Transportation"/>
    <m/>
    <s v="No"/>
    <m/>
    <n v="11160"/>
    <n v="52080"/>
    <n v="11160"/>
    <s v="D"/>
    <s v="J"/>
    <m/>
    <m/>
    <m/>
    <m/>
    <m/>
    <m/>
    <s v="Corps did not require any credit purchase - 1600421 US20"/>
  </r>
  <r>
    <d v="2021-11-17T00:00:00"/>
    <s v="November "/>
    <x v="4"/>
    <x v="6"/>
    <n v="-8.9999999999999993E-3"/>
    <x v="0"/>
    <n v="1080"/>
    <n v="253"/>
    <s v="Federal"/>
    <s v="PEM"/>
    <n v="4.4999999999999997E-3"/>
    <s v="INDOT"/>
    <s v="LRE-2008-103-120--R21"/>
    <s v="2021-366-20-JBT-X"/>
    <m/>
    <s v="Elkhart"/>
    <n v="41.654051000000003"/>
    <n v="-85.670492999999993"/>
    <s v="Transportation"/>
    <m/>
    <s v="No"/>
    <m/>
    <n v="162"/>
    <n v="756"/>
    <n v="162"/>
    <s v="D"/>
    <s v="J"/>
    <m/>
    <m/>
    <m/>
    <m/>
    <m/>
    <m/>
    <s v="Corps did not require any credit purchase - 1600421 US21"/>
  </r>
  <r>
    <d v="2021-11-17T00:00:00"/>
    <s v="November "/>
    <x v="4"/>
    <x v="6"/>
    <n v="-6.6E-3"/>
    <x v="0"/>
    <n v="792"/>
    <n v="253"/>
    <s v="Federal"/>
    <s v="PSS"/>
    <n v="2.2000000000000001E-3"/>
    <s v="INDOT"/>
    <s v="LRE-2008-103-120--R21"/>
    <s v="2021-366-20-JBT-X"/>
    <m/>
    <s v="Elkhart"/>
    <n v="41.654051000000003"/>
    <n v="-85.670492999999993"/>
    <s v="Transportation"/>
    <m/>
    <s v="No"/>
    <m/>
    <n v="118.8"/>
    <n v="554.4"/>
    <n v="118.8"/>
    <s v="D"/>
    <s v="J"/>
    <m/>
    <m/>
    <m/>
    <m/>
    <m/>
    <m/>
    <s v="Corps did not require any credit purchase - 1600421 US22"/>
  </r>
  <r>
    <d v="2021-11-17T00:00:00"/>
    <s v="November "/>
    <x v="4"/>
    <x v="6"/>
    <n v="-0.2954"/>
    <x v="0"/>
    <n v="35448"/>
    <n v="253"/>
    <s v="Federal"/>
    <s v="PFO"/>
    <n v="7.2599999999999998E-2"/>
    <s v="INDOT"/>
    <s v="LRE-2008-103-120--R21"/>
    <s v="2021-366-20-JBT-X"/>
    <m/>
    <s v="Elkhart"/>
    <n v="41.654051000000003"/>
    <n v="-85.670492999999993"/>
    <s v="Transportation"/>
    <m/>
    <s v="No"/>
    <m/>
    <n v="5317.2"/>
    <n v="24813.599999999999"/>
    <n v="5317.2"/>
    <s v="D"/>
    <s v="J"/>
    <m/>
    <m/>
    <m/>
    <m/>
    <m/>
    <m/>
    <s v="Corps did not require any credit purchase - 1600421 US23"/>
  </r>
  <r>
    <d v="2021-11-17T00:00:00"/>
    <s v="November "/>
    <x v="4"/>
    <x v="6"/>
    <n v="-52"/>
    <x v="1"/>
    <n v="31200"/>
    <n v="254"/>
    <s v="Federal"/>
    <s v="Per"/>
    <n v="100"/>
    <s v="INDOT"/>
    <s v="LRE-2010-00799-120-S20"/>
    <s v="2020-981-20-JBT-A"/>
    <m/>
    <s v="Elkhart &amp; Kosciusko"/>
    <n v="41.667400000000001"/>
    <n v="-85.821399999999997"/>
    <s v="Transportation"/>
    <m/>
    <s v="No"/>
    <m/>
    <n v="4680"/>
    <n v="21840"/>
    <n v="4680"/>
    <s v="D"/>
    <s v="J"/>
    <m/>
    <m/>
    <m/>
    <m/>
    <m/>
    <m/>
    <s v="IDEM 52 - INDOT 1600517 - Permit revision changing amounts"/>
  </r>
  <r>
    <d v="2021-11-17T00:00:00"/>
    <s v="November "/>
    <x v="4"/>
    <x v="6"/>
    <n v="-7.1829999999999998"/>
    <x v="0"/>
    <n v="861960"/>
    <n v="254"/>
    <s v="Federal"/>
    <s v="PEM"/>
    <n v="3.831"/>
    <s v="INDOT"/>
    <s v="LRE-2010-00799-120-S20"/>
    <s v="2020-981-20-JBT-A"/>
    <m/>
    <s v="Elkhart &amp; Kosciusko"/>
    <n v="41.667400000000001"/>
    <n v="-85.821399999999997"/>
    <s v="Transportation"/>
    <m/>
    <s v="No"/>
    <m/>
    <n v="129294"/>
    <n v="603372"/>
    <n v="129294"/>
    <s v="D"/>
    <s v="J"/>
    <m/>
    <m/>
    <m/>
    <m/>
    <m/>
    <m/>
    <s v="IDEM 7.183, Corps all wetland credits total of 7.705"/>
  </r>
  <r>
    <d v="2021-11-17T00:00:00"/>
    <s v="November "/>
    <x v="4"/>
    <x v="6"/>
    <n v="-0.28199999999999997"/>
    <x v="0"/>
    <n v="33840"/>
    <n v="254"/>
    <s v="Federal"/>
    <s v="PSS"/>
    <n v="9.4E-2"/>
    <s v="INDOT"/>
    <s v="LRE-2010-00799-120-S20"/>
    <s v="2020-981-20-JBT-A"/>
    <m/>
    <s v="Elkhart &amp; Kosciusko"/>
    <n v="41.667400000000001"/>
    <n v="-85.821399999999997"/>
    <s v="Transportation"/>
    <m/>
    <s v="No"/>
    <m/>
    <n v="5076"/>
    <n v="23688"/>
    <n v="5076"/>
    <s v="D"/>
    <s v="J"/>
    <m/>
    <m/>
    <m/>
    <m/>
    <m/>
    <m/>
    <s v="IDEM 0.282"/>
  </r>
  <r>
    <d v="2021-11-17T00:00:00"/>
    <s v="November "/>
    <x v="4"/>
    <x v="6"/>
    <n v="-0.24"/>
    <x v="0"/>
    <n v="28800"/>
    <n v="254"/>
    <s v="Federal"/>
    <s v="PFO"/>
    <n v="5.3999999999999999E-2"/>
    <s v="INDOT"/>
    <s v="LRE-2010-00799-120-S20"/>
    <s v="2020-981-20-JBT-A"/>
    <m/>
    <s v="Elkhart &amp; Kosciusko"/>
    <n v="41.667400000000001"/>
    <n v="-85.821399999999997"/>
    <s v="Transportation"/>
    <m/>
    <s v="No"/>
    <m/>
    <n v="4320"/>
    <n v="20160"/>
    <n v="4320"/>
    <s v="D"/>
    <s v="J"/>
    <m/>
    <m/>
    <m/>
    <m/>
    <m/>
    <m/>
    <s v="IDEM 0.24"/>
  </r>
  <r>
    <d v="2021-11-30T00:00:00"/>
    <s v="November "/>
    <x v="4"/>
    <x v="8"/>
    <n v="-65"/>
    <x v="1"/>
    <n v="26000"/>
    <n v="121"/>
    <s v="Federal"/>
    <s v="Per"/>
    <n v="65"/>
    <s v="Love's Travel Stops and Country Stores, Inc."/>
    <s v="LRL-2019-473-lcl"/>
    <s v="2020-293-79-ERL-A"/>
    <m/>
    <s v="Tippecanoe"/>
    <n v="40.4529"/>
    <n v="-86.850300000000004"/>
    <s v="Development"/>
    <m/>
    <s v="No"/>
    <m/>
    <n v="3900"/>
    <n v="18200"/>
    <n v="3900"/>
    <s v="L"/>
    <s v="J"/>
    <m/>
    <m/>
    <m/>
    <m/>
    <m/>
    <m/>
    <s v="IDEM required more ILF stream credit than the Corps"/>
  </r>
  <r>
    <d v="2021-11-30T00:00:00"/>
    <s v="November "/>
    <x v="4"/>
    <x v="8"/>
    <n v="-1.54"/>
    <x v="0"/>
    <n v="123200"/>
    <n v="121"/>
    <s v="Federal"/>
    <s v="PEM"/>
    <n v="0.64"/>
    <s v="Love's Travel Stops and Country Stores, Inc."/>
    <s v="LRL-2019-473-lcl"/>
    <s v="2020-293-79-ERL-A"/>
    <m/>
    <s v="Tippecanoe"/>
    <n v="40.4529"/>
    <n v="-86.850300000000004"/>
    <s v="Development"/>
    <m/>
    <s v="No"/>
    <m/>
    <n v="18480"/>
    <n v="86240"/>
    <n v="18480"/>
    <s v="L"/>
    <s v="J"/>
    <m/>
    <m/>
    <m/>
    <m/>
    <m/>
    <m/>
    <s v="Corps required more PEM ILF credit"/>
  </r>
  <r>
    <d v="2021-11-30T00:00:00"/>
    <s v="November "/>
    <x v="4"/>
    <x v="8"/>
    <n v="-0.34"/>
    <x v="0"/>
    <n v="27200"/>
    <n v="121"/>
    <s v="Federal"/>
    <s v="PSS"/>
    <n v="0.14000000000000001"/>
    <s v="Love's Travel Stops and Country Stores, Inc."/>
    <s v="LRL-2019-473-lcl"/>
    <s v="2020-293-79-ERL-A"/>
    <m/>
    <s v="Tippecanoe"/>
    <n v="40.4529"/>
    <n v="-86.850300000000004"/>
    <s v="Development"/>
    <m/>
    <s v="No"/>
    <m/>
    <n v="4080"/>
    <n v="19040"/>
    <n v="4080"/>
    <s v="L"/>
    <s v="J"/>
    <m/>
    <m/>
    <m/>
    <m/>
    <m/>
    <m/>
    <s v="IDEM required more PSS credit, but accepted the additional PSS for the compensation"/>
  </r>
  <r>
    <d v="2021-11-30T00:00:00"/>
    <s v="November "/>
    <x v="4"/>
    <x v="9"/>
    <n v="-429"/>
    <x v="1"/>
    <n v="193050"/>
    <n v="257"/>
    <s v="Federal"/>
    <s v="Per"/>
    <n v="357"/>
    <s v="Indy South Greenwood Airport"/>
    <s v="LRL-2019-1080-sjk"/>
    <s v="2021-397-41-TMS-A"/>
    <m/>
    <s v="Johnson"/>
    <n v="39.628300000000003"/>
    <n v="-86.090199999999996"/>
    <s v="Transportation"/>
    <m/>
    <s v="No"/>
    <m/>
    <n v="28957.5"/>
    <n v="135135"/>
    <n v="28957.5"/>
    <s v="L"/>
    <s v="J"/>
    <m/>
    <m/>
    <m/>
    <m/>
    <m/>
    <m/>
    <m/>
  </r>
  <r>
    <d v="2021-11-30T00:00:00"/>
    <s v="November "/>
    <x v="4"/>
    <x v="9"/>
    <n v="-0.43"/>
    <x v="0"/>
    <n v="34400"/>
    <n v="257"/>
    <s v="Federal"/>
    <s v="PEM"/>
    <n v="0.18"/>
    <s v="Indy South Greenwood Airport"/>
    <s v="LRL-2019-1080-sjk"/>
    <s v="2021-397-41-TMS-A"/>
    <m/>
    <s v="Johnson"/>
    <n v="39.628300000000003"/>
    <n v="-86.090199999999996"/>
    <s v="Transportation"/>
    <m/>
    <s v="No"/>
    <m/>
    <n v="5160"/>
    <n v="24080"/>
    <n v="5160"/>
    <s v="L"/>
    <s v="J"/>
    <m/>
    <m/>
    <m/>
    <m/>
    <m/>
    <m/>
    <m/>
  </r>
  <r>
    <d v="2021-12-07T00:00:00"/>
    <s v="December"/>
    <x v="4"/>
    <x v="0"/>
    <n v="-232"/>
    <x v="1"/>
    <n v="139200"/>
    <n v="258"/>
    <s v="Federal"/>
    <s v="Int"/>
    <n v="1060"/>
    <s v="Lake County"/>
    <s v="LRE 2000-1450751"/>
    <s v="2021-360-45-MTM-A"/>
    <m/>
    <s v="Lake"/>
    <n v="41.53716"/>
    <n v="-87.398420000000002"/>
    <s v="Transportation"/>
    <m/>
    <s v="No"/>
    <m/>
    <n v="20880"/>
    <n v="97440"/>
    <n v="20880"/>
    <s v="C"/>
    <s v="J"/>
    <m/>
    <m/>
    <m/>
    <m/>
    <m/>
    <m/>
    <s v="45th Avenue Phase IIIA and IIIB – Des. 9980080"/>
  </r>
  <r>
    <d v="2021-12-07T00:00:00"/>
    <s v="December"/>
    <x v="4"/>
    <x v="0"/>
    <n v="-0.93400000000000005"/>
    <x v="0"/>
    <n v="88730"/>
    <n v="258"/>
    <s v="Federal"/>
    <s v="PEM"/>
    <n v="0.42499999999999999"/>
    <s v="Lake County"/>
    <s v="LRE 2000-1450751"/>
    <s v="2021-360-45-MTM-A"/>
    <m/>
    <s v="Lake"/>
    <n v="41.53716"/>
    <n v="-87.398420000000002"/>
    <s v="Transportation"/>
    <m/>
    <s v="No"/>
    <m/>
    <n v="13309.5"/>
    <n v="62110.999999999993"/>
    <n v="13309.5"/>
    <s v="C"/>
    <s v="J"/>
    <m/>
    <m/>
    <m/>
    <m/>
    <m/>
    <m/>
    <s v="46th Avenue Phase IIIA and IIIB – Des. 9980080"/>
  </r>
  <r>
    <d v="2021-12-07T00:00:00"/>
    <s v="December"/>
    <x v="4"/>
    <x v="0"/>
    <n v="-0.01"/>
    <x v="0"/>
    <n v="950"/>
    <n v="258"/>
    <s v="Federal"/>
    <s v="PSS"/>
    <n v="3.0000000000000001E-3"/>
    <s v="Lake County"/>
    <s v="LRE 2000-1450751"/>
    <s v="2021-360-45-MTM-A"/>
    <m/>
    <s v="Lake"/>
    <n v="41.53716"/>
    <n v="-87.398420000000002"/>
    <s v="Transportation"/>
    <m/>
    <s v="No"/>
    <m/>
    <n v="142.5"/>
    <n v="665"/>
    <n v="142.5"/>
    <s v="C"/>
    <s v="J"/>
    <m/>
    <m/>
    <m/>
    <m/>
    <m/>
    <m/>
    <s v="47th Avenue Phase IIIA and IIIB – Des. 9980080"/>
  </r>
  <r>
    <d v="2021-12-07T00:00:00"/>
    <s v="December"/>
    <x v="4"/>
    <x v="0"/>
    <n v="-0.185"/>
    <x v="0"/>
    <n v="17575"/>
    <n v="258"/>
    <s v="Federal"/>
    <s v="PFO"/>
    <n v="4.3999999999999997E-2"/>
    <s v="Lake County"/>
    <s v="LRE 2000-1450751"/>
    <s v="2021-360-45-MTM-A"/>
    <m/>
    <s v="Lake"/>
    <n v="41.53716"/>
    <n v="-87.398420000000002"/>
    <s v="Transportation"/>
    <m/>
    <s v="No"/>
    <m/>
    <n v="2636.25"/>
    <n v="12302.5"/>
    <n v="2636.25"/>
    <s v="C"/>
    <s v="J"/>
    <m/>
    <m/>
    <m/>
    <m/>
    <m/>
    <m/>
    <s v="48th Avenue Phase IIIA and IIIB – Des. 9980080"/>
  </r>
  <r>
    <d v="2021-12-07T00:00:00"/>
    <s v="December"/>
    <x v="4"/>
    <x v="5"/>
    <n v="-0.16"/>
    <x v="0"/>
    <n v="12800"/>
    <n v="267"/>
    <s v="Federal"/>
    <s v="PEM"/>
    <n v="0.16"/>
    <s v="Old Dominion Road - Failed mitig - short time period"/>
    <s v="LRL-2019-152-jmb"/>
    <s v="2018-693-82"/>
    <m/>
    <s v="Vanderburgh"/>
    <n v="38.104962999999998"/>
    <n v="-87.512309999999999"/>
    <s v="Development"/>
    <m/>
    <s v="No"/>
    <m/>
    <n v="1920"/>
    <n v="8960"/>
    <n v="1920"/>
    <s v="L"/>
    <s v="J"/>
    <m/>
    <m/>
    <m/>
    <m/>
    <m/>
    <m/>
    <s v="Non-Compliance letter sent via IDEM 11/21 - Corps did not pursue as determined impacts pre-2014"/>
  </r>
  <r>
    <d v="2021-12-07T00:00:00"/>
    <s v="December"/>
    <x v="4"/>
    <x v="9"/>
    <n v="-2.1749999999999998"/>
    <x v="0"/>
    <n v="174000"/>
    <n v="266"/>
    <s v="State Isolated"/>
    <s v="PFO"/>
    <n v="0.87"/>
    <s v="Vail Properties"/>
    <s v="None"/>
    <s v="IWIP 2021-682-30-JBT-A"/>
    <m/>
    <s v="Hancock"/>
    <n v="39.869999999999997"/>
    <n v="-85.91"/>
    <s v="Development"/>
    <m/>
    <s v="No"/>
    <m/>
    <n v="26100"/>
    <n v="121799.99999999999"/>
    <n v="26100"/>
    <s v="L"/>
    <s v="SI"/>
    <s v="3 F"/>
    <m/>
    <m/>
    <m/>
    <m/>
    <m/>
    <m/>
  </r>
  <r>
    <d v="2021-12-15T00:00:00"/>
    <s v="December"/>
    <x v="4"/>
    <x v="9"/>
    <n v="-230"/>
    <x v="1"/>
    <n v="103500"/>
    <n v="194"/>
    <s v="Federal"/>
    <s v="Int"/>
    <n v="230"/>
    <s v="City of Greenwood"/>
    <s v="LRL-2020-01079-htm"/>
    <s v="2020-951-41-TMS-A"/>
    <m/>
    <s v="Johnson"/>
    <n v="39.581670000000003"/>
    <n v="-86.139799999999994"/>
    <s v="Transportation"/>
    <m/>
    <s v="No"/>
    <m/>
    <n v="15525"/>
    <n v="72450"/>
    <n v="15525"/>
    <s v="L"/>
    <s v="J"/>
    <m/>
    <m/>
    <m/>
    <m/>
    <m/>
    <m/>
    <s v="Corps RGP did not require ILF mitigation"/>
  </r>
  <r>
    <d v="2021-12-15T00:00:00"/>
    <s v="December"/>
    <x v="4"/>
    <x v="9"/>
    <n v="-4"/>
    <x v="0"/>
    <n v="320000"/>
    <n v="248"/>
    <s v="Federal"/>
    <s v="PFO"/>
    <n v="1"/>
    <s v="City of Indianapolis DPW"/>
    <s v="LRL-1991-119-sam"/>
    <s v="1995-304-49-HAK-A"/>
    <m/>
    <s v="Marion"/>
    <n v="39.865496"/>
    <n v="-86.045828"/>
    <s v="Development"/>
    <m/>
    <s v="No"/>
    <m/>
    <n v="48000"/>
    <n v="224000"/>
    <n v="48000"/>
    <s v="L"/>
    <s v="J"/>
    <m/>
    <m/>
    <m/>
    <m/>
    <m/>
    <m/>
    <s v="Failed mitigation - Shadeland Avenue over Fall Creek Mitigation Resolution - 90 days to complete purchase. "/>
  </r>
  <r>
    <d v="2021-12-15T00:00:00"/>
    <s v="December"/>
    <x v="4"/>
    <x v="8"/>
    <n v="-0.35"/>
    <x v="0"/>
    <n v="28000"/>
    <n v="263"/>
    <s v="State Isolated"/>
    <s v="PEM"/>
    <n v="0.18"/>
    <s v="AEP"/>
    <s v="None"/>
    <s v="IWIP 2021-629-05-WRH-A"/>
    <m/>
    <s v="Blackford and Jay"/>
    <n v="40.406025"/>
    <n v="-85.276526000000004"/>
    <s v="Transportation"/>
    <m/>
    <s v="No"/>
    <m/>
    <n v="4200"/>
    <n v="19600"/>
    <n v="4200"/>
    <s v="L"/>
    <s v="SI"/>
    <s v="2 F"/>
    <m/>
    <m/>
    <m/>
    <m/>
    <m/>
    <m/>
  </r>
  <r>
    <d v="2021-12-28T00:00:00"/>
    <s v="December"/>
    <x v="4"/>
    <x v="0"/>
    <n v="-126"/>
    <x v="1"/>
    <n v="75600"/>
    <n v="238"/>
    <s v="Federal"/>
    <s v="Int"/>
    <n v="101"/>
    <s v="INDOT"/>
    <s v="LRC-2021-00335"/>
    <s v="2020-804-45-JBT-A"/>
    <m/>
    <s v="Lake"/>
    <n v="41.42"/>
    <n v="-87.3215"/>
    <s v="Transportation"/>
    <m/>
    <s v="No"/>
    <m/>
    <n v="11340"/>
    <n v="52920"/>
    <n v="11340"/>
    <s v="C"/>
    <s v="J"/>
    <m/>
    <m/>
    <m/>
    <m/>
    <m/>
    <m/>
    <s v="Corps required more - IDEM 101, Corps 126 - INDOT DES 1801500"/>
  </r>
  <r>
    <d v="2021-12-28T00:00:00"/>
    <s v="December"/>
    <x v="4"/>
    <x v="0"/>
    <n v="-1.45"/>
    <x v="0"/>
    <n v="137750"/>
    <n v="238"/>
    <s v="Federal"/>
    <s v="PEM"/>
    <n v="0.66700000000000004"/>
    <s v="INDOT"/>
    <s v="LRC-2021-00335"/>
    <s v="2020-804-45-JBT-A"/>
    <m/>
    <s v="Lake"/>
    <n v="41.42"/>
    <n v="-87.3215"/>
    <s v="Transportation"/>
    <m/>
    <s v="No"/>
    <m/>
    <n v="20662.5"/>
    <n v="96425"/>
    <n v="20662.5"/>
    <s v="C"/>
    <s v="J"/>
    <m/>
    <m/>
    <m/>
    <m/>
    <m/>
    <m/>
    <s v="IDEM was 1.16, Corps was 1.45, Corps added surcharge for impacts while projects being planned/implemented"/>
  </r>
  <r>
    <m/>
    <m/>
    <x v="1"/>
    <x v="11"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2-01-04T00:00:00"/>
    <s v="January"/>
    <x v="5"/>
    <x v="9"/>
    <n v="-0.5"/>
    <x v="0"/>
    <n v="40000"/>
    <n v="262"/>
    <s v="State Isolated"/>
    <s v="PFO"/>
    <n v="0.2"/>
    <s v="INDOT"/>
    <s v="LRL-2020-426-scm"/>
    <s v="IWIP 2020-407-29-JBT-A "/>
    <m/>
    <s v="Hamilton"/>
    <n v="40.131169999999997"/>
    <n v="86.128159999999994"/>
    <s v="Transportation"/>
    <m/>
    <s v="No"/>
    <m/>
    <n v="6000"/>
    <n v="28000"/>
    <n v="6000"/>
    <s v="L"/>
    <s v="SI"/>
    <s v="2 FO"/>
    <m/>
    <m/>
    <m/>
    <m/>
    <m/>
    <s v="Class II Forested  DES 1702149"/>
  </r>
  <r>
    <d v="2022-01-04T00:00:00"/>
    <s v="January"/>
    <x v="5"/>
    <x v="9"/>
    <n v="-1654"/>
    <x v="1"/>
    <n v="744300"/>
    <n v="262"/>
    <s v="Federal"/>
    <s v="Int"/>
    <n v="1654"/>
    <s v="INDOT"/>
    <s v="LRL-2020-426-scm"/>
    <s v="2020-407-29-JBT-A "/>
    <m/>
    <s v="Hamilton"/>
    <n v="40.131169999999997"/>
    <n v="86.128159999999994"/>
    <s v="Transportation"/>
    <m/>
    <s v="No"/>
    <m/>
    <n v="111645"/>
    <n v="521009.99999999994"/>
    <n v="111645"/>
    <s v="L"/>
    <s v="COMB"/>
    <m/>
    <m/>
    <m/>
    <m/>
    <m/>
    <m/>
    <s v="Corps required 526 lf int.  IDEM required more ILF stream credits than the Corps. IWGP Wetland credits 0.223, and .016 from 401, purchased from bank. 1702149"/>
  </r>
  <r>
    <d v="2022-01-04T00:00:00"/>
    <s v="January"/>
    <x v="5"/>
    <x v="9"/>
    <n v="-2.68"/>
    <x v="0"/>
    <n v="214400"/>
    <n v="260"/>
    <s v="Federal"/>
    <s v="PFO"/>
    <n v="1.8"/>
    <s v="Scannell Properties"/>
    <s v="LRL-2020-1066-lcl"/>
    <s v="2021-324-32-ERL-A"/>
    <m/>
    <s v="Hendricks"/>
    <n v="39.832799999999999"/>
    <n v="-86.349500000000006"/>
    <s v="Development"/>
    <m/>
    <s v="No"/>
    <m/>
    <n v="32160"/>
    <n v="150080"/>
    <n v="32160"/>
    <s v="L"/>
    <s v="J"/>
    <m/>
    <m/>
    <m/>
    <m/>
    <m/>
    <m/>
    <s v="WOSD revision issued - IWGP was rescinded, and IWIP was modified.  Held until mod final and revised credit amount."/>
  </r>
  <r>
    <d v="2022-01-05T00:00:00"/>
    <s v="January"/>
    <x v="5"/>
    <x v="5"/>
    <n v="-0.86"/>
    <x v="0"/>
    <n v="68800"/>
    <n v="230"/>
    <s v="Federal"/>
    <s v="PEM"/>
    <n v="0.35589999999999999"/>
    <s v="INDOT"/>
    <s v="LRL-2021-83-scm"/>
    <s v="2021-0297-82-JBT-A"/>
    <m/>
    <s v="Vanderburgh"/>
    <s v="38.004,"/>
    <n v="-87.538600000000002"/>
    <s v="Transportation"/>
    <m/>
    <s v="No"/>
    <m/>
    <n v="10320"/>
    <n v="48160"/>
    <n v="10320"/>
    <s v="L"/>
    <s v="J"/>
    <m/>
    <m/>
    <m/>
    <m/>
    <m/>
    <m/>
    <s v="US41 Pigeon Creek DES 2001766 &amp; 200514 - DNR no addtl mitigation - IDEM .96 as all emergent - Corps broke out emergent and forested and .97 total"/>
  </r>
  <r>
    <d v="2022-01-05T00:00:00"/>
    <s v="January"/>
    <x v="5"/>
    <x v="5"/>
    <n v="-0.11"/>
    <x v="0"/>
    <n v="8800"/>
    <n v="230"/>
    <s v="Federal"/>
    <s v="PFO"/>
    <n v="2.9000000000000001E-2"/>
    <s v="INDOT"/>
    <s v="LRL-2021-83-scm"/>
    <s v="2021-0297-82-JBT-A"/>
    <m/>
    <s v="Vanderburgh"/>
    <s v="38.004,"/>
    <n v="-87.538600000000002"/>
    <s v="Transportation"/>
    <m/>
    <s v="No"/>
    <m/>
    <n v="1320"/>
    <n v="6160"/>
    <n v="1320"/>
    <s v="L"/>
    <s v="J"/>
    <m/>
    <m/>
    <m/>
    <m/>
    <m/>
    <m/>
    <s v="US41 Pigeon Creek DES 2001766 &amp; 200514"/>
  </r>
  <r>
    <d v="2022-01-12T00:00:00"/>
    <s v="January"/>
    <x v="5"/>
    <x v="1"/>
    <n v="-0.46"/>
    <x v="0"/>
    <n v="43700"/>
    <n v="281"/>
    <s v="Federal"/>
    <s v="PEM"/>
    <n v="0.19"/>
    <s v="NIPSCO"/>
    <s v="LRC-2021-00964"/>
    <s v="2021-872-45-MTM-X"/>
    <m/>
    <s v="Lake"/>
    <n v="41.443241700000002"/>
    <n v="-87.488253999999998"/>
    <s v="Energy Production"/>
    <m/>
    <s v="No"/>
    <m/>
    <n v="6555"/>
    <n v="30589.999999999996"/>
    <n v="6555"/>
    <s v="C"/>
    <s v="J"/>
    <m/>
    <m/>
    <m/>
    <m/>
    <m/>
    <m/>
    <m/>
  </r>
  <r>
    <d v="2022-01-18T00:00:00"/>
    <s v="January"/>
    <x v="5"/>
    <x v="9"/>
    <n v="-1.8"/>
    <x v="0"/>
    <n v="144000"/>
    <n v="268"/>
    <s v="State Isolated"/>
    <s v="PFO"/>
    <n v="0.7"/>
    <s v="Point 70 Logistic Ventures"/>
    <s v="N/A"/>
    <s v="IWIP 2021-506-30-SLG-A"/>
    <m/>
    <s v="Hancock"/>
    <n v="39.820034999999997"/>
    <n v="-85.927935000000005"/>
    <s v="Development"/>
    <m/>
    <s v="No"/>
    <m/>
    <n v="21600"/>
    <n v="100800"/>
    <n v="21600"/>
    <s v="L"/>
    <s v="SI"/>
    <s v="2 FO"/>
    <m/>
    <m/>
    <m/>
    <m/>
    <m/>
    <s v="Bridge Replacement - INDOT DES 1701595"/>
  </r>
  <r>
    <d v="2022-01-18T00:00:00"/>
    <s v="January"/>
    <x v="5"/>
    <x v="10"/>
    <n v="-3.0000000000000001E-3"/>
    <x v="0"/>
    <n v="240"/>
    <n v="273"/>
    <s v="State Isolated"/>
    <s v="PEM"/>
    <n v="2E-3"/>
    <s v="INDOT"/>
    <s v="N/A"/>
    <s v="IWGP 2021-0060-30-JBT-A,"/>
    <m/>
    <s v="Hancock and Henry"/>
    <n v="39.8416"/>
    <n v="-85.551199999999994"/>
    <s v="Transportation"/>
    <m/>
    <s v="No"/>
    <m/>
    <n v="36"/>
    <n v="168"/>
    <n v="36"/>
    <s v="L"/>
    <s v="SI"/>
    <s v="2 NF"/>
    <m/>
    <m/>
    <m/>
    <m/>
    <m/>
    <s v="INDOT 1700897 - confirmed 401/404 did not require any mitigation"/>
  </r>
  <r>
    <d v="2022-01-24T00:00:00"/>
    <s v="January"/>
    <x v="5"/>
    <x v="4"/>
    <n v="-52"/>
    <x v="1"/>
    <n v="20800"/>
    <n v="271"/>
    <s v="Federal"/>
    <s v="Per"/>
    <n v="184.2"/>
    <s v="INDOT "/>
    <s v="LRL-2021-118"/>
    <s v="2021-505-60-JBT-A"/>
    <m/>
    <s v="Owen"/>
    <n v="39.353000000000002"/>
    <n v="-86.930999999999997"/>
    <s v="Transportation"/>
    <m/>
    <s v="No"/>
    <m/>
    <n v="3120"/>
    <n v="14559.999999999998"/>
    <n v="3120"/>
    <s v="L"/>
    <s v="J"/>
    <m/>
    <m/>
    <m/>
    <m/>
    <m/>
    <m/>
    <s v="Corps requires 52, IDEM 51.1 - INDOT 1701595 SR 46 Bridge Replacement - note table provides wrong SA. "/>
  </r>
  <r>
    <d v="2022-01-24T00:00:00"/>
    <s v="January"/>
    <x v="5"/>
    <x v="4"/>
    <n v="-0.755"/>
    <x v="0"/>
    <n v="60400"/>
    <n v="271"/>
    <s v="Federal"/>
    <s v="PFO"/>
    <n v="0.19"/>
    <s v="INDOT "/>
    <s v="LRL-2021-118"/>
    <s v="2021-505-60-JBT-A"/>
    <m/>
    <s v="Owen"/>
    <n v="39.353000000000002"/>
    <n v="-86.930999999999997"/>
    <s v="Transportation"/>
    <m/>
    <s v="No"/>
    <m/>
    <n v="9060"/>
    <n v="42280"/>
    <n v="9060"/>
    <s v="L"/>
    <s v="J"/>
    <m/>
    <m/>
    <m/>
    <m/>
    <m/>
    <m/>
    <s v="Corps requires 0.68, IDEM 0.755 INDOT 1701595 SR 46 Bridge Replacement - note table provides wrong SA. "/>
  </r>
  <r>
    <d v="2022-01-25T00:00:00"/>
    <s v="January"/>
    <x v="5"/>
    <x v="9"/>
    <n v="1.85"/>
    <x v="0"/>
    <n v="-125800"/>
    <n v="80"/>
    <s v="State Isolated"/>
    <s v="PEM"/>
    <n v="1.85"/>
    <s v="Raindrop, LLC"/>
    <s v="N/A"/>
    <s v="IWIP 2019-079-32-JMK-A "/>
    <m/>
    <s v="Hendricks"/>
    <n v="39.624200000000002"/>
    <n v="-86.468299999999999"/>
    <s v="Development"/>
    <m/>
    <s v="No"/>
    <m/>
    <n v="0"/>
    <n v="-103600"/>
    <n v="-22200"/>
    <s v="L"/>
    <s v="SI"/>
    <s v="1 NF"/>
    <m/>
    <m/>
    <m/>
    <m/>
    <m/>
    <s v="Refund 1/25/22 - Funds except for Admin.  1.85 Class 1 Wetlands refunded - rest of the  Credit Purchase is unaffected.  Original Invoice #80. "/>
  </r>
  <r>
    <d v="2022-01-26T00:00:00"/>
    <s v="January"/>
    <x v="5"/>
    <x v="9"/>
    <n v="-231"/>
    <x v="1"/>
    <n v="103950"/>
    <n v="275"/>
    <s v="Federal"/>
    <s v="Int"/>
    <n v="231"/>
    <s v="City of Fishers"/>
    <s v="LRL-2021-00711-DDC"/>
    <s v="2021-667-29-JBT-A"/>
    <m/>
    <s v="Hamilton"/>
    <n v="39.972700000000003"/>
    <n v="-85.908000000000001"/>
    <s v="Development"/>
    <m/>
    <s v="No"/>
    <m/>
    <n v="15592.5"/>
    <n v="72765"/>
    <n v="15592.5"/>
    <s v="L"/>
    <s v="J"/>
    <m/>
    <m/>
    <m/>
    <m/>
    <m/>
    <m/>
    <s v="Geist Trail"/>
  </r>
  <r>
    <d v="2022-01-26T00:00:00"/>
    <s v="January"/>
    <x v="5"/>
    <x v="9"/>
    <n v="-2.14"/>
    <x v="0"/>
    <n v="171200"/>
    <n v="275"/>
    <s v="Federal"/>
    <s v="PFO"/>
    <n v="0.53500000000000003"/>
    <s v="City of Fishers"/>
    <s v="LRL-2021-00711-DDC"/>
    <s v="2021-667-29-JBT-A"/>
    <m/>
    <s v="Hamilton"/>
    <n v="39.972700000000003"/>
    <n v="-85.908000000000001"/>
    <s v="Development"/>
    <m/>
    <s v="No"/>
    <m/>
    <n v="25680"/>
    <n v="119839.99999999999"/>
    <n v="25680"/>
    <s v="L"/>
    <s v="J"/>
    <m/>
    <m/>
    <m/>
    <m/>
    <m/>
    <m/>
    <s v="Geist Trail - Corps requires 1.926 PFO only "/>
  </r>
  <r>
    <d v="2022-02-08T00:00:00"/>
    <s v="February"/>
    <x v="5"/>
    <x v="0"/>
    <n v="-3.0000000000000001E-3"/>
    <x v="0"/>
    <n v="285"/>
    <n v="274"/>
    <s v="Federal"/>
    <s v="PEM"/>
    <n v="1.4E-3"/>
    <s v="INDOT "/>
    <s v="LRC-2021-00529"/>
    <s v="2021-0328-45-JBT-A"/>
    <m/>
    <s v="Lake"/>
    <n v="41.519300000000001"/>
    <n v="-87.259100000000004"/>
    <s v="Transportation"/>
    <m/>
    <s v="No"/>
    <m/>
    <n v="42.75"/>
    <n v="199.5"/>
    <n v="42.75"/>
    <s v="C"/>
    <s v="J"/>
    <m/>
    <m/>
    <m/>
    <m/>
    <m/>
    <m/>
    <s v="1701454 - Corps did not require mitigation. "/>
  </r>
  <r>
    <d v="2022-02-08T00:00:00"/>
    <s v="February"/>
    <x v="5"/>
    <x v="4"/>
    <n v="-6.8000000000000005E-2"/>
    <x v="0"/>
    <n v="5440"/>
    <n v="276"/>
    <s v="State Isolated"/>
    <s v="PEM"/>
    <n v="4.4999999999999998E-2"/>
    <s v="INDOT"/>
    <s v="N/A"/>
    <s v="IWIP-2021-681-86-JBT-A"/>
    <m/>
    <s v="Warren"/>
    <n v="40.454700000000003"/>
    <n v="-87.373999999999995"/>
    <s v="Transportation"/>
    <m/>
    <s v="No"/>
    <m/>
    <n v="816"/>
    <n v="3807.9999999999995"/>
    <n v="816"/>
    <s v="L"/>
    <s v="SI"/>
    <s v="2 NF"/>
    <m/>
    <m/>
    <m/>
    <m/>
    <m/>
    <s v="DES 1400249 State Road 26 Overlay - 401 and 404 did not require mitigation. "/>
  </r>
  <r>
    <d v="2022-02-08T00:00:00"/>
    <s v="February"/>
    <x v="5"/>
    <x v="8"/>
    <n v="-39"/>
    <x v="1"/>
    <n v="15600"/>
    <n v="289"/>
    <s v="Federal"/>
    <s v="Per"/>
    <n v="26"/>
    <s v="City of Kokomo"/>
    <s v="LRL-2021-00739"/>
    <s v="2019-602-00-JWR-A"/>
    <m/>
    <s v="Howard"/>
    <n v="40.433100000000003"/>
    <n v="86.140900000000002"/>
    <s v="Transportation"/>
    <m/>
    <s v="No"/>
    <m/>
    <n v="2340"/>
    <n v="10920"/>
    <n v="2340"/>
    <s v="L"/>
    <s v="J"/>
    <m/>
    <m/>
    <m/>
    <m/>
    <m/>
    <m/>
    <s v="IDEM not requiring mitigation"/>
  </r>
  <r>
    <d v="2022-02-08T00:00:00"/>
    <s v="February"/>
    <x v="5"/>
    <x v="9"/>
    <n v="-1.56"/>
    <x v="0"/>
    <n v="124800"/>
    <n v="287"/>
    <s v="State Isolated"/>
    <s v="PFO"/>
    <n v="0.78"/>
    <s v="421 Realty Corporation"/>
    <s v="N/A"/>
    <s v="IWIP 2021-787-49-JWR-A"/>
    <m/>
    <s v="Hamilton"/>
    <n v="39.899299999999997"/>
    <n v="-86.053600000000003"/>
    <s v="Development"/>
    <m/>
    <s v="No"/>
    <m/>
    <n v="18720"/>
    <n v="87360"/>
    <n v="18720"/>
    <s v="L"/>
    <s v="SI"/>
    <s v="2 FO"/>
    <m/>
    <m/>
    <m/>
    <m/>
    <m/>
    <s v="Permit mod 1/25/22 reduced credits from 3.87 to 1.56"/>
  </r>
  <r>
    <d v="2022-02-09T00:00:00"/>
    <s v="February"/>
    <x v="5"/>
    <x v="0"/>
    <n v="-93"/>
    <x v="1"/>
    <n v="55800"/>
    <n v="278"/>
    <s v="Federal"/>
    <s v="Int"/>
    <n v="93"/>
    <s v="INDOT"/>
    <s v="LRC-2021-00482"/>
    <s v="2021-0356-46-JBT-A"/>
    <m/>
    <s v="LaPorte"/>
    <n v="41.687600000000003"/>
    <n v="-86.7637"/>
    <s v="Transportation"/>
    <m/>
    <s v="No"/>
    <m/>
    <n v="8370"/>
    <n v="39060"/>
    <n v="8370"/>
    <s v="C"/>
    <s v="J"/>
    <m/>
    <m/>
    <m/>
    <m/>
    <m/>
    <m/>
    <s v="INDOT 1700021 US 20"/>
  </r>
  <r>
    <d v="2022-02-09T00:00:00"/>
    <s v="February"/>
    <x v="5"/>
    <x v="0"/>
    <n v="-0.24"/>
    <x v="0"/>
    <n v="22800"/>
    <n v="278"/>
    <s v="Federal"/>
    <s v="PEM"/>
    <n v="0.12"/>
    <s v="INDOT"/>
    <s v="LRC-2021-00482"/>
    <s v="2021-0356-46-JBT-A"/>
    <m/>
    <s v="LaPorte"/>
    <n v="41.687600000000003"/>
    <n v="-86.7637"/>
    <s v="Transportation"/>
    <m/>
    <s v="No"/>
    <m/>
    <n v="3420"/>
    <n v="15959.999999999998"/>
    <n v="3420"/>
    <s v="C"/>
    <s v="J"/>
    <m/>
    <m/>
    <m/>
    <m/>
    <m/>
    <m/>
    <s v="INDOT 1700021 US 20"/>
  </r>
  <r>
    <d v="2022-02-09T00:00:00"/>
    <s v="February"/>
    <x v="5"/>
    <x v="1"/>
    <n v="-63"/>
    <x v="1"/>
    <n v="31500"/>
    <n v="279"/>
    <s v="Federal"/>
    <s v="Int"/>
    <n v="63"/>
    <s v="INDOT"/>
    <s v="LRE-2020-01227-150-R20"/>
    <s v="2020-584-50-JBT-A"/>
    <m/>
    <s v="Marshall"/>
    <n v="41.1905"/>
    <n v="-86.251300000000001"/>
    <s v="Transportation"/>
    <m/>
    <s v="No"/>
    <m/>
    <n v="4725"/>
    <n v="22050"/>
    <n v="4725"/>
    <s v="L"/>
    <s v="J"/>
    <m/>
    <m/>
    <m/>
    <m/>
    <m/>
    <m/>
    <s v="1700331 - Corps did not require any mitigation. "/>
  </r>
  <r>
    <d v="2022-02-09T00:00:00"/>
    <s v="February"/>
    <x v="5"/>
    <x v="9"/>
    <n v="-5501.3"/>
    <x v="1"/>
    <n v="2475585"/>
    <n v="283"/>
    <s v="Federal"/>
    <s v="Int"/>
    <n v="9404.7000000000007"/>
    <s v="INDOT"/>
    <s v="LRL-2017-1021"/>
    <s v="2021-626-49-JBT-A"/>
    <m/>
    <s v="Marion"/>
    <n v="39.865000000000002"/>
    <n v="-86.046999999999997"/>
    <s v="Transportation"/>
    <m/>
    <s v="No"/>
    <m/>
    <n v="371337.75"/>
    <n v="1732909.5"/>
    <n v="371337.75"/>
    <s v="L"/>
    <s v="J"/>
    <m/>
    <m/>
    <m/>
    <m/>
    <m/>
    <m/>
    <s v="I-465 NE Clear Path -DES 1400075 - corps required 924 int stream credits"/>
  </r>
  <r>
    <d v="2022-02-09T00:00:00"/>
    <s v="February"/>
    <x v="5"/>
    <x v="9"/>
    <n v="-68.3"/>
    <x v="1"/>
    <n v="30735"/>
    <n v="283"/>
    <s v="Federal"/>
    <s v="Per"/>
    <n v="863.3"/>
    <s v="INDOT"/>
    <s v="LRL-2017-1021"/>
    <s v="2021-626-49-JBT-A"/>
    <m/>
    <s v="Marion"/>
    <n v="39.865000000000002"/>
    <n v="-86.046999999999997"/>
    <s v="Transportation"/>
    <m/>
    <s v="No"/>
    <m/>
    <n v="4610.25"/>
    <n v="21514.5"/>
    <n v="4610.25"/>
    <s v="L"/>
    <s v="J"/>
    <m/>
    <m/>
    <m/>
    <m/>
    <m/>
    <m/>
    <s v="I-465 NE Clear Path -DES 1400076 - Corps did not require any PER"/>
  </r>
  <r>
    <d v="2022-02-09T00:00:00"/>
    <s v="February"/>
    <x v="5"/>
    <x v="9"/>
    <n v="-4.0000000000000001E-3"/>
    <x v="0"/>
    <n v="320"/>
    <n v="283"/>
    <s v="Federal"/>
    <s v="PFO"/>
    <n v="1E-3"/>
    <s v="INDOT"/>
    <s v="LRL-2017-1021"/>
    <s v="2021-626-49-JBT-A"/>
    <m/>
    <s v="Marion"/>
    <n v="39.865000000000002"/>
    <n v="-86.046999999999997"/>
    <s v="Transportation"/>
    <m/>
    <s v="No"/>
    <m/>
    <n v="48"/>
    <n v="224"/>
    <n v="48"/>
    <s v="L"/>
    <s v="J"/>
    <m/>
    <m/>
    <m/>
    <m/>
    <m/>
    <m/>
    <s v="I-465 NE Clear Path -DES 1400076 - Corps did not require any wetland mitig other than emergent through a Bank. "/>
  </r>
  <r>
    <d v="2022-02-10T00:00:00"/>
    <s v="February"/>
    <x v="5"/>
    <x v="2"/>
    <n v="-1.2E-2"/>
    <x v="0"/>
    <n v="960"/>
    <n v="277"/>
    <s v="State Isolated"/>
    <s v="PEM"/>
    <n v="6.0000000000000001E-3"/>
    <s v="INDOT "/>
    <s v="N/A"/>
    <s v="IWGP 2021-169-47-JBT-A"/>
    <m/>
    <s v="Lawrence"/>
    <n v="38.724705999999998"/>
    <n v="-86.672685999999999"/>
    <s v="Transportation"/>
    <m/>
    <s v="No"/>
    <m/>
    <n v="144"/>
    <n v="672"/>
    <n v="144"/>
    <s v="L"/>
    <s v="SI"/>
    <s v="2 NF"/>
    <m/>
    <m/>
    <m/>
    <m/>
    <m/>
    <s v="1801377 &amp; 0400077 - IDEM 401 and 404 did not require any mitigation. "/>
  </r>
  <r>
    <d v="2022-02-10T00:00:00"/>
    <s v="February"/>
    <x v="5"/>
    <x v="2"/>
    <n v="-1.2E-2"/>
    <x v="0"/>
    <n v="960"/>
    <n v="277"/>
    <s v="State Isolated"/>
    <s v="PSS"/>
    <n v="6.0000000000000001E-3"/>
    <s v="INDOT"/>
    <s v="N/A"/>
    <s v="IWGP 2021-169-47-JBT-A"/>
    <m/>
    <s v="Lawrence"/>
    <n v="38.724705999999998"/>
    <n v="-86.672685999999999"/>
    <s v="Transportation"/>
    <m/>
    <s v="No"/>
    <m/>
    <n v="144"/>
    <n v="672"/>
    <n v="144"/>
    <s v="L"/>
    <s v="SI"/>
    <s v="2 NF"/>
    <m/>
    <m/>
    <m/>
    <m/>
    <m/>
    <s v="1801377 &amp; 0400077 - IDEM 401 and 404 did not require any mitigation. "/>
  </r>
  <r>
    <d v="2022-02-10T00:00:00"/>
    <s v="February"/>
    <x v="5"/>
    <x v="2"/>
    <n v="-0.1"/>
    <x v="0"/>
    <n v="8000"/>
    <n v="277"/>
    <s v="State Isolated"/>
    <s v="PFO"/>
    <n v="0.04"/>
    <s v="INDOT"/>
    <s v="N/A"/>
    <s v="IWGP 2021-169-47-JBT-A"/>
    <m/>
    <s v="Lawrence"/>
    <n v="38.724705999999998"/>
    <n v="-86.672685999999999"/>
    <s v="Transportation"/>
    <m/>
    <s v="No"/>
    <m/>
    <n v="1200"/>
    <n v="5600"/>
    <n v="1200"/>
    <s v="L"/>
    <s v="SI"/>
    <s v="2 FO"/>
    <m/>
    <m/>
    <m/>
    <m/>
    <m/>
    <s v="1801377 &amp; 0400077 - IDEM 401 and 404 did not require any mitigation. "/>
  </r>
  <r>
    <d v="2022-02-25T00:00:00"/>
    <s v="February"/>
    <x v="5"/>
    <x v="0"/>
    <n v="-2.5"/>
    <x v="0"/>
    <n v="237500"/>
    <n v="286"/>
    <s v="Federal"/>
    <s v="PEM"/>
    <n v="2.04"/>
    <s v="Northern Indiana Commuter Transportation District"/>
    <s v="LRC-2016-00529"/>
    <s v="2021-21-45-MTM-A"/>
    <m/>
    <s v="Lake"/>
    <n v="41.573615420000003"/>
    <n v="-87.518517250000002"/>
    <s v="Transportation"/>
    <m/>
    <s v="No"/>
    <m/>
    <n v="35625"/>
    <n v="166250"/>
    <n v="35625"/>
    <s v="C"/>
    <s v="J"/>
    <m/>
    <m/>
    <m/>
    <m/>
    <m/>
    <m/>
    <m/>
  </r>
  <r>
    <d v="2022-02-25T00:00:00"/>
    <s v="February"/>
    <x v="5"/>
    <x v="0"/>
    <n v="-3.6"/>
    <x v="0"/>
    <n v="342000"/>
    <n v="286"/>
    <s v="Federal"/>
    <s v="PFO"/>
    <n v="1.02"/>
    <s v="Northern Indiana Commuter Transportation District"/>
    <s v="LRC-2016-00529"/>
    <s v="2021-21-45-MTM-A"/>
    <m/>
    <s v="Lake"/>
    <n v="41.573615420000003"/>
    <n v="-87.518517250000002"/>
    <s v="Transportation"/>
    <m/>
    <s v="No"/>
    <m/>
    <n v="51300"/>
    <n v="239399.99999999997"/>
    <n v="51300"/>
    <s v="C"/>
    <s v="J"/>
    <m/>
    <m/>
    <m/>
    <m/>
    <m/>
    <m/>
    <m/>
  </r>
  <r>
    <d v="2022-02-25T00:00:00"/>
    <s v="February"/>
    <x v="5"/>
    <x v="10"/>
    <n v="-0.1"/>
    <x v="0"/>
    <n v="8000"/>
    <n v="68"/>
    <s v="Federal"/>
    <s v="PEM"/>
    <n v="4.3999999999999997E-2"/>
    <s v="Johnson County Board Commissioners"/>
    <s v="LRL-2019-866-sjk"/>
    <s v="2019-656-41-TMS-A"/>
    <m/>
    <s v="Johnson"/>
    <n v="39.47645"/>
    <n v="-86.076970000000003"/>
    <s v="Development"/>
    <m/>
    <s v="No"/>
    <m/>
    <n v="1200"/>
    <n v="5600"/>
    <n v="1200"/>
    <s v="L"/>
    <s v="J"/>
    <m/>
    <m/>
    <m/>
    <m/>
    <m/>
    <m/>
    <m/>
  </r>
  <r>
    <d v="2022-02-25T00:00:00"/>
    <s v="February"/>
    <x v="5"/>
    <x v="10"/>
    <n v="-340"/>
    <x v="1"/>
    <n v="136000"/>
    <n v="68"/>
    <s v="Federal"/>
    <s v="Int"/>
    <n v="348"/>
    <s v="Johnson County Board Commissioners"/>
    <s v="LRL-2019-866-sjk"/>
    <s v="2019-656-41-TMS-A"/>
    <m/>
    <s v="Johnson"/>
    <n v="39.47645"/>
    <n v="-86.076970000000003"/>
    <s v="Development"/>
    <m/>
    <s v="No"/>
    <m/>
    <n v="20400"/>
    <n v="95200"/>
    <n v="20400"/>
    <s v="L"/>
    <s v="J"/>
    <m/>
    <m/>
    <m/>
    <m/>
    <m/>
    <m/>
    <m/>
  </r>
  <r>
    <d v="2022-03-09T00:00:00"/>
    <s v="March "/>
    <x v="5"/>
    <x v="9"/>
    <n v="-0.8"/>
    <x v="0"/>
    <n v="64000"/>
    <n v="284"/>
    <s v="State Isolated"/>
    <s v="PEM"/>
    <n v="0.54"/>
    <s v="M/I Homes"/>
    <s v="N/A"/>
    <s v="IWIP 2021-952-29-SCF-A"/>
    <m/>
    <s v="Hamilton"/>
    <n v="40.040506000000001"/>
    <n v="-86.096855000000005"/>
    <s v="Development"/>
    <m/>
    <s v="No"/>
    <m/>
    <n v="9600"/>
    <n v="44800"/>
    <n v="9600"/>
    <s v="L"/>
    <s v="SI"/>
    <s v="2 NF"/>
    <m/>
    <m/>
    <m/>
    <m/>
    <m/>
    <m/>
  </r>
  <r>
    <d v="2022-03-09T00:00:00"/>
    <s v="March"/>
    <x v="5"/>
    <x v="10"/>
    <n v="-53"/>
    <x v="1"/>
    <n v="21200"/>
    <n v="290"/>
    <s v="Federal"/>
    <s v="Per"/>
    <n v="44"/>
    <s v="Bartholomew County"/>
    <s v="LRL-2021-806-sjk"/>
    <s v="2019-602-00-JWR-A "/>
    <m/>
    <s v="Bartholomew"/>
    <n v="39.115299999999998"/>
    <n v="-85.985699999999994"/>
    <s v="Transportation"/>
    <m/>
    <s v="No"/>
    <m/>
    <n v="3180"/>
    <n v="14839.999999999998"/>
    <n v="3180"/>
    <s v="L"/>
    <s v="J"/>
    <m/>
    <m/>
    <m/>
    <m/>
    <m/>
    <m/>
    <s v="IDEM and Corps same amounts"/>
  </r>
  <r>
    <d v="2022-03-09T00:00:00"/>
    <s v="March"/>
    <x v="5"/>
    <x v="10"/>
    <n v="-0.6"/>
    <x v="0"/>
    <n v="48000"/>
    <n v="290"/>
    <s v="Federal"/>
    <s v="PEM"/>
    <n v="0.25"/>
    <s v="Bartholomew County"/>
    <s v="LRL-2021-806-sjk"/>
    <s v="2019-602-00-JWR-A "/>
    <m/>
    <s v="Bartholomew"/>
    <n v="39.115299999999998"/>
    <n v="-85.985699999999994"/>
    <s v="Transportation"/>
    <m/>
    <s v="No"/>
    <m/>
    <n v="7200"/>
    <n v="33600"/>
    <n v="7200"/>
    <s v="L"/>
    <s v="J"/>
    <m/>
    <m/>
    <m/>
    <m/>
    <m/>
    <m/>
    <s v="IDEM and Corps same amounts"/>
  </r>
  <r>
    <d v="2022-03-09T00:00:00"/>
    <s v="March"/>
    <x v="5"/>
    <x v="10"/>
    <n v="-0.08"/>
    <x v="1"/>
    <n v="6400"/>
    <n v="290"/>
    <s v="Federal"/>
    <s v="Per"/>
    <n v="0.02"/>
    <s v="Bartholomew County"/>
    <s v="LRL-2021-806-sjk"/>
    <s v="2019-602-00-JWR-A "/>
    <m/>
    <s v="Bartholomew"/>
    <n v="39.115299999999998"/>
    <n v="-85.985699999999994"/>
    <s v="Transportation"/>
    <m/>
    <s v="No"/>
    <m/>
    <n v="960"/>
    <n v="4480"/>
    <n v="960"/>
    <s v="L"/>
    <s v="J"/>
    <m/>
    <m/>
    <m/>
    <m/>
    <m/>
    <m/>
    <s v="IDEM 0.08 forested wetland - Corps 0.07 "/>
  </r>
  <r>
    <d v="2022-03-16T00:00:00"/>
    <s v="March"/>
    <x v="5"/>
    <x v="6"/>
    <n v="-91.27"/>
    <x v="1"/>
    <n v="54762"/>
    <n v="269"/>
    <s v="Federal"/>
    <s v="Per"/>
    <n v="91.27"/>
    <s v="INDOT"/>
    <s v="LRE-1998-1200250-R21"/>
    <s v="2021-432-20-JBT-X"/>
    <m/>
    <s v="Elkhart"/>
    <n v="41.574416999999997"/>
    <n v="-85.838414999999998"/>
    <s v="Transportation"/>
    <m/>
    <s v="No"/>
    <m/>
    <n v="8214.2999999999993"/>
    <n v="38333.399999999994"/>
    <n v="8214.2999999999993"/>
    <s v="D"/>
    <s v="J"/>
    <m/>
    <m/>
    <m/>
    <m/>
    <m/>
    <m/>
    <s v=" INDOT 1602099 SR 119 Elkhart River Bridge Replacement - Corps required 0 "/>
  </r>
  <r>
    <d v="2022-03-16T00:00:00"/>
    <s v="March"/>
    <x v="5"/>
    <x v="6"/>
    <n v="-0.28360000000000002"/>
    <x v="0"/>
    <n v="34032"/>
    <n v="269"/>
    <s v="Federal"/>
    <s v="PFO"/>
    <n v="7.0900000000000005E-2"/>
    <s v="INDOT"/>
    <s v="LRE-1998-1200250-R22"/>
    <s v="2021-432-20-JBT-X"/>
    <m/>
    <s v="Elkhart"/>
    <n v="41.574416999999997"/>
    <n v="-85.838414999999998"/>
    <s v="Transportation"/>
    <m/>
    <s v="No"/>
    <m/>
    <n v="5104.8"/>
    <n v="23822.399999999998"/>
    <n v="5104.8"/>
    <s v="D"/>
    <s v="J"/>
    <m/>
    <m/>
    <m/>
    <m/>
    <m/>
    <m/>
    <s v="INDOT 1602099 SR 119 Elkhart River Bridge Replacement - Corps required 0 "/>
  </r>
  <r>
    <d v="2022-03-16T00:00:00"/>
    <s v="March"/>
    <x v="5"/>
    <x v="8"/>
    <n v="-3.98"/>
    <x v="0"/>
    <n v="318400"/>
    <n v="297"/>
    <s v="Federal"/>
    <s v="PEM"/>
    <n v="1.81"/>
    <s v="Pioneer Packaging, LLC"/>
    <s v="LRL-2021-1079-SAM"/>
    <s v="2021-954-38-WLR"/>
    <m/>
    <s v="Jay"/>
    <n v="40.448405000000001"/>
    <n v="-84.971175000000002"/>
    <s v="Development"/>
    <m/>
    <s v="No"/>
    <m/>
    <n v="47760"/>
    <n v="222880"/>
    <n v="47760"/>
    <s v="L"/>
    <s v="J"/>
    <m/>
    <m/>
    <m/>
    <m/>
    <m/>
    <m/>
    <s v="After the fact credit sale. "/>
  </r>
  <r>
    <d v="2022-03-17T00:00:00"/>
    <s v="March"/>
    <x v="5"/>
    <x v="8"/>
    <n v="-0.94"/>
    <x v="0"/>
    <n v="75200"/>
    <n v="291"/>
    <s v="Federal"/>
    <s v="PFO"/>
    <n v="0.23499999999999999"/>
    <s v="Autumn Woods"/>
    <s v="LRE-2021-00600-102"/>
    <s v="2021-960-2-WLR-A"/>
    <m/>
    <s v="Allen"/>
    <n v="41.082974"/>
    <n v="-85.332701"/>
    <s v="Development"/>
    <m/>
    <s v="No"/>
    <m/>
    <n v="11280"/>
    <n v="52640"/>
    <n v="11280"/>
    <s v="D"/>
    <s v="J"/>
    <m/>
    <m/>
    <m/>
    <m/>
    <m/>
    <m/>
    <s v="After the fact credit sale. "/>
  </r>
  <r>
    <d v="2022-03-24T00:00:00"/>
    <s v="March"/>
    <x v="5"/>
    <x v="0"/>
    <n v="-0.27"/>
    <x v="0"/>
    <n v="25650"/>
    <n v="172"/>
    <s v="State Isolated"/>
    <s v="PEM"/>
    <n v="0.18"/>
    <s v="Franciscan Health"/>
    <s v="N/A"/>
    <s v="IWIP 2020-715-45-MTM-A"/>
    <m/>
    <s v="Lake"/>
    <n v="41.384070000000001"/>
    <n v="-87.323250000000002"/>
    <s v="Development"/>
    <m/>
    <s v="No"/>
    <m/>
    <n v="3847.5"/>
    <n v="17955"/>
    <n v="3847.5"/>
    <s v="C"/>
    <s v="SI"/>
    <s v="1 NF"/>
    <m/>
    <m/>
    <m/>
    <m/>
    <m/>
    <s v="Class I Non-Forested Wetland impacts"/>
  </r>
  <r>
    <d v="2022-03-24T00:00:00"/>
    <s v="March"/>
    <x v="5"/>
    <x v="9"/>
    <n v="-5.26"/>
    <x v="0"/>
    <n v="420800"/>
    <n v="270"/>
    <s v="State Isolated"/>
    <s v="PFO"/>
    <n v="2.63"/>
    <s v="Red Rocks Developments - Hancock Industrial"/>
    <s v="N/A"/>
    <s v="IWIP 2021-611-30-SLG-A"/>
    <m/>
    <s v="Hancock"/>
    <n v="39.817"/>
    <n v="-85.95"/>
    <s v="Development"/>
    <m/>
    <s v="No"/>
    <m/>
    <n v="63120"/>
    <n v="294560"/>
    <n v="63120"/>
    <s v="L"/>
    <s v="SI"/>
    <s v="2 FO"/>
    <m/>
    <m/>
    <m/>
    <m/>
    <m/>
    <s v="Class II Forested Wetland Impacts"/>
  </r>
  <r>
    <d v="2022-03-24T00:00:00"/>
    <s v="March"/>
    <x v="5"/>
    <x v="9"/>
    <n v="-1.71"/>
    <x v="0"/>
    <n v="136800"/>
    <n v="270"/>
    <s v="State Isolated"/>
    <s v="PEM"/>
    <n v="1.1399999999999999"/>
    <s v="Red Rocks Developments - Hancock Industrial"/>
    <s v="N/A"/>
    <s v="IWIP 2021-611-30-SLG-A"/>
    <m/>
    <s v="Hancock"/>
    <n v="39.817"/>
    <n v="-85.95"/>
    <s v="Development"/>
    <m/>
    <s v="No"/>
    <m/>
    <n v="20520"/>
    <n v="95760"/>
    <n v="20520"/>
    <s v="L"/>
    <s v="SI"/>
    <s v="2 NF"/>
    <m/>
    <m/>
    <m/>
    <m/>
    <m/>
    <s v="Class II Non-Forested Wetland Impacts"/>
  </r>
  <r>
    <d v="2022-03-29T00:00:00"/>
    <s v="March"/>
    <x v="5"/>
    <x v="7"/>
    <n v="-402"/>
    <x v="1"/>
    <n v="160800"/>
    <n v="285"/>
    <s v="Federal"/>
    <s v="Eph"/>
    <n v="335"/>
    <s v="Amazon.com Services"/>
    <s v="LRL-2021-655-MKD"/>
    <s v="2021-908-31-TMS-A"/>
    <m/>
    <s v="Harrison"/>
    <n v="38.267583999999999"/>
    <n v="-86.005077999999997"/>
    <s v="Development"/>
    <m/>
    <s v="No"/>
    <m/>
    <n v="24120"/>
    <n v="112560"/>
    <n v="24120"/>
    <s v="L"/>
    <s v="J"/>
    <m/>
    <m/>
    <m/>
    <m/>
    <m/>
    <m/>
    <s v="Corps required 402, IDEM required 335"/>
  </r>
  <r>
    <d v="2022-03-29T00:00:00"/>
    <s v="March"/>
    <x v="5"/>
    <x v="9"/>
    <n v="-1.18"/>
    <x v="0"/>
    <n v="94400"/>
    <n v="282"/>
    <s v="Federal"/>
    <s v="PEM"/>
    <n v="0.49"/>
    <s v="Pulte Homes of Indiana"/>
    <s v="LRL-2020-89-sjk"/>
    <s v="2021-848-29-WLR-A"/>
    <m/>
    <s v="Hamilton"/>
    <s v="40.0057"/>
    <n v="-86.210599999999999"/>
    <s v="Development"/>
    <m/>
    <s v="No"/>
    <m/>
    <n v="14160"/>
    <n v="66080"/>
    <n v="14160"/>
    <s v="L"/>
    <s v="J"/>
    <m/>
    <m/>
    <m/>
    <m/>
    <m/>
    <m/>
    <m/>
  </r>
  <r>
    <d v="2022-03-31T00:00:00"/>
    <s v="March"/>
    <x v="5"/>
    <x v="4"/>
    <n v="-0.25"/>
    <x v="0"/>
    <n v="20000"/>
    <n v="296"/>
    <s v="State Isolated"/>
    <s v="PFO"/>
    <n v="0.1"/>
    <s v="Tippecanoe Development"/>
    <s v="N/A"/>
    <s v="IWP 2021-943-79-ERL"/>
    <m/>
    <s v="Tippecanoe"/>
    <n v="40.475900000000003"/>
    <s v=" -86.8967."/>
    <s v="Development"/>
    <m/>
    <s v="No"/>
    <m/>
    <n v="3000"/>
    <n v="14000"/>
    <n v="3000"/>
    <s v="L"/>
    <s v="SI"/>
    <s v="3 FO"/>
    <m/>
    <m/>
    <m/>
    <m/>
    <m/>
    <m/>
  </r>
  <r>
    <d v="2022-03-31T00:00:00"/>
    <s v="March"/>
    <x v="5"/>
    <x v="8"/>
    <n v="-0.62"/>
    <x v="0"/>
    <n v="49600"/>
    <n v="288"/>
    <s v="Federal"/>
    <s v="PFO"/>
    <n v="0.13"/>
    <s v="City of Portland "/>
    <s v="LRL-2008-267-sam"/>
    <s v="2007-728-38-SSA-V"/>
    <m/>
    <s v="Jay"/>
    <n v="40.457900000000002"/>
    <n v="-84.964799999999997"/>
    <s v="Development"/>
    <m/>
    <s v="No"/>
    <m/>
    <n v="7440"/>
    <n v="34720"/>
    <n v="7440"/>
    <s v="L"/>
    <s v="J"/>
    <m/>
    <m/>
    <m/>
    <m/>
    <m/>
    <m/>
    <s v="Permit mod after mitigation failed. "/>
  </r>
  <r>
    <d v="2022-03-31T00:00:00"/>
    <s v="March"/>
    <x v="5"/>
    <x v="9"/>
    <n v="-0.53"/>
    <x v="0"/>
    <n v="42400"/>
    <n v="293"/>
    <s v="Federal"/>
    <s v="PEM"/>
    <n v="5.0999999999999997E-2"/>
    <s v="CRG Residential"/>
    <s v="LRL-2018-469-sjk"/>
    <s v="2021-631-29-JBT-A"/>
    <m/>
    <s v="Hamilton"/>
    <n v="39.93"/>
    <n v="-86.07"/>
    <s v="Development"/>
    <m/>
    <s v="No"/>
    <m/>
    <n v="6360"/>
    <n v="29679.999999999996"/>
    <n v="6360"/>
    <s v="L"/>
    <s v="J"/>
    <m/>
    <m/>
    <m/>
    <m/>
    <m/>
    <m/>
    <s v="Corps Rev permit required .0.53, 0.482 IDEM"/>
  </r>
  <r>
    <d v="2022-03-31T00:00:00"/>
    <s v="March"/>
    <x v="5"/>
    <x v="9"/>
    <n v="-0.18"/>
    <x v="0"/>
    <n v="14400"/>
    <n v="293"/>
    <s v="Federal"/>
    <s v="PSS"/>
    <n v="0.219"/>
    <s v="CRG Residential"/>
    <s v="LRL-2018-469-sjk"/>
    <s v="2021-631-29-JBT-A"/>
    <m/>
    <s v="Hamilton"/>
    <n v="39.93"/>
    <n v="-86.07"/>
    <s v="Development"/>
    <m/>
    <s v="No"/>
    <m/>
    <n v="2160"/>
    <n v="10080"/>
    <n v="2160"/>
    <s v="L"/>
    <s v="J"/>
    <m/>
    <m/>
    <m/>
    <m/>
    <m/>
    <m/>
    <s v="Corps REV permit 0.18, IDEM 0.163 "/>
  </r>
  <r>
    <d v="2022-03-31T00:00:00"/>
    <s v="March"/>
    <x v="5"/>
    <x v="9"/>
    <n v="-96"/>
    <x v="1"/>
    <n v="43200"/>
    <n v="293"/>
    <s v="Federal"/>
    <s v="Int"/>
    <n v="791"/>
    <s v="CRG Residential"/>
    <s v="LRL-2018-469-sjk"/>
    <s v="2021-631-29-JBT-A"/>
    <m/>
    <s v="Hamilton"/>
    <n v="39.93"/>
    <n v="-86.07"/>
    <s v="Development"/>
    <m/>
    <s v="No"/>
    <m/>
    <n v="6480"/>
    <n v="30239.999999999996"/>
    <n v="6480"/>
    <s v="L"/>
    <s v="J"/>
    <m/>
    <m/>
    <m/>
    <m/>
    <m/>
    <m/>
    <s v="IDEM table is incorrect and they do require stream credits. Both require 96."/>
  </r>
  <r>
    <d v="2022-03-31T00:00:00"/>
    <s v="March"/>
    <x v="5"/>
    <x v="9"/>
    <n v="-282"/>
    <x v="1"/>
    <n v="126900"/>
    <n v="294"/>
    <s v="Federal"/>
    <s v="Int"/>
    <n v="414"/>
    <s v="Gradison Land Development"/>
    <s v="LRL-2021-583-sjk"/>
    <s v="2021-869-29-JBT-A"/>
    <m/>
    <s v="Hamilton"/>
    <n v="39.936799999999998"/>
    <n v="-86.186599999999999"/>
    <s v="Development"/>
    <m/>
    <s v="No"/>
    <m/>
    <n v="19035"/>
    <n v="88830"/>
    <n v="19035"/>
    <s v="L"/>
    <s v="J"/>
    <m/>
    <m/>
    <m/>
    <m/>
    <m/>
    <m/>
    <s v="Corps requires 282 and IDEM 235"/>
  </r>
  <r>
    <d v="2022-03-31T00:00:00"/>
    <s v="March"/>
    <x v="5"/>
    <x v="9"/>
    <n v="-0.32"/>
    <x v="0"/>
    <n v="25600"/>
    <n v="294"/>
    <s v="Federal"/>
    <s v="PEM"/>
    <n v="0.26900000000000002"/>
    <s v="Gradison Land Development"/>
    <s v="LRL-2021-583-sjk"/>
    <s v="2021-869-29-JBT-A"/>
    <m/>
    <s v="Hamilton"/>
    <n v="39.936799999999998"/>
    <n v="-86.186599999999999"/>
    <s v="Development"/>
    <m/>
    <s v="No"/>
    <m/>
    <n v="3840"/>
    <n v="17920"/>
    <n v="3840"/>
    <s v="L"/>
    <s v="J"/>
    <m/>
    <m/>
    <m/>
    <m/>
    <m/>
    <m/>
    <s v="Both require 0.32"/>
  </r>
  <r>
    <d v="2022-04-06T00:00:00"/>
    <s v="April"/>
    <x v="5"/>
    <x v="9"/>
    <n v="-3000"/>
    <x v="1"/>
    <n v="1350000"/>
    <n v="299"/>
    <s v="Federal"/>
    <s v="Int"/>
    <n v="1834"/>
    <s v="INDOT"/>
    <s v="LRL-2008-1418-djd"/>
    <s v="2009-509-49-JWR-A"/>
    <m/>
    <s v="Marion"/>
    <n v="39.865000000000002"/>
    <n v="-86.046999999999997"/>
    <s v="Transportation"/>
    <m/>
    <s v="No"/>
    <m/>
    <n v="202500"/>
    <n v="944999.99999999988"/>
    <n v="202500"/>
    <s v="L"/>
    <s v="J"/>
    <m/>
    <m/>
    <m/>
    <m/>
    <m/>
    <m/>
    <s v="Sent as one CS Letter with same Des #.  This is the modified total - Corps at 2384 and IDEM at 3000 eff 7/23/21.  All related to Pleasant Run Golf Course and one new DES # DES 1383193 .  Modified Permit Numbers -orig permittee responsibility - IDEM email changing all mitig to INT."/>
  </r>
  <r>
    <d v="2022-04-06T00:00:00"/>
    <s v="April"/>
    <x v="5"/>
    <x v="9"/>
    <n v="-640"/>
    <x v="1"/>
    <n v="288000"/>
    <n v="299"/>
    <s v="Federal"/>
    <s v="Int"/>
    <n v="273"/>
    <s v="INDOT"/>
    <s v="LRL-2010-74-sam"/>
    <s v="2010-259-32-JWR-A"/>
    <m/>
    <s v="Hendricks"/>
    <n v="39.750999999999998"/>
    <n v="-86.528000000000006"/>
    <s v="Transportation"/>
    <m/>
    <s v="No"/>
    <m/>
    <n v="43200"/>
    <n v="201600"/>
    <n v="43200"/>
    <s v="L"/>
    <s v="J"/>
    <m/>
    <m/>
    <m/>
    <m/>
    <m/>
    <m/>
    <s v="Sent as one CS Letter with same Des #. All related to Pleasant Run Golf Course and one new DES # DES 1383193 .  Modified Permit Numbers -orig permittee responsibility - IDEM email changing all mitig to INT."/>
  </r>
  <r>
    <d v="2022-04-06T00:00:00"/>
    <s v="April"/>
    <x v="5"/>
    <x v="9"/>
    <n v="-960"/>
    <x v="1"/>
    <n v="432000"/>
    <n v="299"/>
    <s v="Federal"/>
    <s v="Int"/>
    <n v="389"/>
    <s v="INDOT"/>
    <s v="LRL-2012-89-sjk"/>
    <s v="2012-066-06-JWR-A"/>
    <m/>
    <s v="Boone"/>
    <n v="40.040529999999997"/>
    <n v="-86.312359999999998"/>
    <s v="Transportation"/>
    <m/>
    <s v="No"/>
    <m/>
    <n v="64800"/>
    <n v="302400"/>
    <n v="64800"/>
    <s v="L"/>
    <s v="J "/>
    <m/>
    <m/>
    <m/>
    <m/>
    <m/>
    <m/>
    <s v="Sent as one CS Letter with same Des #. Per INDOT IDEM 778 Corps 960. All related to Pleasant Run Golf Course and one new DES # DES 1383193 .  Modified Permit Numbers -orig permittee responsibility -IDEM email changing all mitig to INT."/>
  </r>
  <r>
    <d v="2022-04-12T00:00:00"/>
    <s v="April"/>
    <x v="5"/>
    <x v="9"/>
    <n v="-0.41"/>
    <x v="0"/>
    <n v="32800"/>
    <n v="298"/>
    <s v="Federal"/>
    <s v="PEM"/>
    <n v="0.34"/>
    <s v="Midwest Logistics"/>
    <s v="LRL-2012-820-sjk"/>
    <s v="2021-1026-49-JWR"/>
    <m/>
    <s v="Marion"/>
    <n v="39.684100000000001"/>
    <n v="-86.317800000000005"/>
    <s v="Development"/>
    <m/>
    <s v="No"/>
    <m/>
    <n v="4920"/>
    <n v="22960"/>
    <n v="4920"/>
    <s v="L"/>
    <s v="J"/>
    <m/>
    <m/>
    <m/>
    <m/>
    <m/>
    <m/>
    <s v="This is the second half of project"/>
  </r>
  <r>
    <d v="2022-04-27T00:00:00"/>
    <s v="April"/>
    <x v="5"/>
    <x v="9"/>
    <n v="-2.33"/>
    <x v="0"/>
    <n v="186400"/>
    <n v="306"/>
    <s v="State Isolated"/>
    <s v="PFO"/>
    <n v="0.93"/>
    <s v="OMPI"/>
    <s v="N/A"/>
    <s v="IWiP-2022-117-29-EKB"/>
    <m/>
    <s v="Hamilton"/>
    <n v="39.967770999999999"/>
    <n v="-85.994855999999999"/>
    <s v="Development"/>
    <m/>
    <s v="No"/>
    <m/>
    <n v="27960"/>
    <n v="130479.99999999999"/>
    <n v="27960"/>
    <s v="L"/>
    <s v="SI"/>
    <s v="2 FO"/>
    <m/>
    <m/>
    <m/>
    <m/>
    <m/>
    <m/>
  </r>
  <r>
    <d v="2022-04-27T00:00:00"/>
    <s v="April"/>
    <x v="5"/>
    <x v="9"/>
    <n v="-0.66"/>
    <x v="0"/>
    <n v="52800"/>
    <n v="295"/>
    <s v="State Isolated"/>
    <s v="PEM"/>
    <n v="0.44"/>
    <s v="Duke Energy"/>
    <s v="N/A"/>
    <s v="IWIP 2022-15-32-ERL-A"/>
    <m/>
    <s v="Hendricks"/>
    <n v="39.832500000000003"/>
    <n v="-86.342399999999998"/>
    <s v="Development"/>
    <m/>
    <s v="No"/>
    <m/>
    <n v="7920"/>
    <n v="36960"/>
    <n v="7920"/>
    <s v="L"/>
    <s v="SI"/>
    <s v="2 NF"/>
    <m/>
    <m/>
    <m/>
    <m/>
    <m/>
    <m/>
  </r>
  <r>
    <d v="2022-04-27T00:00:00"/>
    <s v="April"/>
    <x v="5"/>
    <x v="9"/>
    <n v="-0.32"/>
    <x v="0"/>
    <n v="25600"/>
    <n v="295"/>
    <s v="State Isolated"/>
    <s v="PFO"/>
    <n v="0.16"/>
    <s v="Duke Energy"/>
    <s v="N/A"/>
    <s v="IWIP 2022-15-32-ERL-A"/>
    <m/>
    <s v="Hendricks"/>
    <n v="39.832500000000003"/>
    <n v="-86.342399999999998"/>
    <s v="Development"/>
    <m/>
    <s v="No"/>
    <m/>
    <n v="3840"/>
    <n v="17920"/>
    <n v="3840"/>
    <s v="L"/>
    <s v="SI"/>
    <s v="2 FO"/>
    <m/>
    <m/>
    <m/>
    <m/>
    <m/>
    <m/>
  </r>
  <r>
    <d v="2022-05-16T00:00:00"/>
    <s v="May"/>
    <x v="5"/>
    <x v="0"/>
    <n v="-0.05"/>
    <x v="0"/>
    <n v="4750"/>
    <n v="307"/>
    <s v="State Isolated"/>
    <s v="PFO"/>
    <n v="0.05"/>
    <s v="NIPSCO"/>
    <s v="N/A"/>
    <s v="IWIP-2022-26-45-MTM"/>
    <m/>
    <s v="Lake"/>
    <s v="41.420329     "/>
    <n v="-87.451724999999996"/>
    <s v="Energy Production"/>
    <m/>
    <s v="No"/>
    <m/>
    <n v="712.5"/>
    <n v="3325"/>
    <n v="712.5"/>
    <s v="C"/>
    <s v="SI"/>
    <s v="2 FO"/>
    <m/>
    <m/>
    <m/>
    <m/>
    <m/>
    <m/>
  </r>
  <r>
    <d v="2022-05-16T00:00:00"/>
    <s v="May"/>
    <x v="5"/>
    <x v="1"/>
    <n v="-123"/>
    <x v="1"/>
    <n v="61500"/>
    <n v="302"/>
    <s v="Federal"/>
    <s v="Per"/>
    <n v="123"/>
    <s v="INDOT"/>
    <s v="LRE-2008-01048-156-R21"/>
    <s v="2021-712-56-JBT-A"/>
    <m/>
    <s v="Newton"/>
    <n v="40.865900000000003"/>
    <n v="-87.281000000000006"/>
    <s v="Transportation"/>
    <s v="Credit Refund to INDOT 1/31/2023"/>
    <s v="Yes"/>
    <d v="2023-01-31T00:00:00"/>
    <n v="9225"/>
    <n v="43050"/>
    <n v="9225"/>
    <s v="D"/>
    <s v="J"/>
    <m/>
    <m/>
    <s v="Credit Refund to INDOT"/>
    <m/>
    <m/>
    <m/>
    <s v="Corps verified no mitigation required. *Refund 1/31/24"/>
  </r>
  <r>
    <d v="2022-05-16T00:00:00"/>
    <s v="May"/>
    <x v="5"/>
    <x v="1"/>
    <n v="-1.7999999999999999E-2"/>
    <x v="0"/>
    <n v="1710"/>
    <n v="302"/>
    <s v="Federal"/>
    <s v="PEM"/>
    <n v="8.9999999999999993E-3"/>
    <s v="INDOT"/>
    <s v="LRE-2008-01048-156-R21"/>
    <s v="2021-712-56-JBT-A"/>
    <m/>
    <s v="Newton"/>
    <n v="40.865900000000003"/>
    <n v="-87.281000000000006"/>
    <s v="Transportation"/>
    <s v="Credit Refund to INDOT 1/31/2023"/>
    <s v="Yes"/>
    <d v="2023-01-31T00:00:00"/>
    <n v="256.5"/>
    <n v="1197"/>
    <n v="256.5"/>
    <s v="D"/>
    <s v="J"/>
    <m/>
    <m/>
    <s v="Credit Refund to INDOT"/>
    <m/>
    <m/>
    <m/>
    <s v="Corps verified no mitigation required. *Refund 1/31/24"/>
  </r>
  <r>
    <d v="2022-05-16T00:00:00"/>
    <s v="May"/>
    <x v="5"/>
    <x v="7"/>
    <n v="-17.68"/>
    <x v="0"/>
    <n v="1414400"/>
    <n v="301"/>
    <s v="Federal"/>
    <s v="PFO"/>
    <n v="17.68"/>
    <s v="INDOT"/>
    <s v="LRL-1990-568"/>
    <s v="1991-001-10-GPN-A"/>
    <s v="91-085"/>
    <s v="Clark"/>
    <n v="38.3459"/>
    <n v="-85.723299999999995"/>
    <s v="Transportation"/>
    <m/>
    <s v="No"/>
    <m/>
    <n v="212160"/>
    <n v="990079.99999999988"/>
    <n v="212160"/>
    <s v="L"/>
    <s v="J"/>
    <m/>
    <m/>
    <m/>
    <m/>
    <m/>
    <m/>
    <s v="INDOT Interstate-265 Mitigation - IDEM verified permits are one and the same and only using LRL-1990-568 now. . 1991-001-10-GPN-A had referenced a Corps permit number of 91-085.  However, the Corps permit I have for the I-265 project is LRL-1990-568-djd.  1902145"/>
  </r>
  <r>
    <d v="2022-05-18T00:00:00"/>
    <s v="May"/>
    <x v="5"/>
    <x v="8"/>
    <n v="-0.4"/>
    <x v="0"/>
    <n v="32000"/>
    <n v="304"/>
    <s v="Federal"/>
    <s v="PFO"/>
    <n v="0.1"/>
    <s v="INDOT"/>
    <s v="LRL-2021-1089-scm"/>
    <s v="2019-602-00-JWR-A"/>
    <m/>
    <s v="Delaware"/>
    <n v="40.283152999999999"/>
    <n v="-85.309426000000002"/>
    <s v="Transportation"/>
    <m/>
    <s v="No"/>
    <m/>
    <n v="4800"/>
    <n v="22400"/>
    <n v="4800"/>
    <s v="L"/>
    <s v="J"/>
    <m/>
    <m/>
    <m/>
    <m/>
    <m/>
    <m/>
    <s v="1701336 - Corps required no mitigation "/>
  </r>
  <r>
    <d v="2022-05-18T00:00:00"/>
    <s v="May"/>
    <x v="5"/>
    <x v="10"/>
    <n v="-110"/>
    <x v="1"/>
    <n v="44000"/>
    <n v="305"/>
    <s v="Federal"/>
    <s v="Int"/>
    <n v="796"/>
    <s v="INDOT"/>
    <s v="LRL-2020-973-scm"/>
    <s v="2021-477-30-JBT-A"/>
    <m/>
    <s v="Hancock"/>
    <s v="39.81146 to 39.82161"/>
    <s v="85.93942 to  -85.74089 "/>
    <s v="Transportation"/>
    <m/>
    <s v="No"/>
    <m/>
    <n v="6600"/>
    <n v="30799.999999999996"/>
    <n v="6600"/>
    <s v="L"/>
    <s v="COMB"/>
    <m/>
    <m/>
    <m/>
    <m/>
    <m/>
    <m/>
    <s v="Corps 0 - INDOT 1702919 - I 70 add travel lanes - INDOT 1702919"/>
  </r>
  <r>
    <d v="2022-05-18T00:00:00"/>
    <s v="May"/>
    <x v="5"/>
    <x v="10"/>
    <n v="-359"/>
    <x v="1"/>
    <n v="143600"/>
    <n v="305"/>
    <s v="Federal"/>
    <s v="Per"/>
    <n v="399"/>
    <s v="INDOT"/>
    <s v="LRL-2020-973-scm"/>
    <s v="2021-477-30-JBT-A"/>
    <m/>
    <s v="Hancock"/>
    <s v="39.81146 to 39.82161"/>
    <s v="85.93942 to  -85.74089 "/>
    <s v="Transportation"/>
    <m/>
    <s v="No"/>
    <m/>
    <n v="21540"/>
    <n v="100520"/>
    <n v="21540"/>
    <s v="L"/>
    <s v="COMB"/>
    <m/>
    <m/>
    <m/>
    <m/>
    <m/>
    <m/>
    <s v="Corps 0 - INDOT 1702919 - I 70 add travel lanes - INDOT 1702919"/>
  </r>
  <r>
    <d v="2022-05-18T00:00:00"/>
    <s v="May"/>
    <x v="5"/>
    <x v="10"/>
    <n v="-7.86"/>
    <x v="0"/>
    <n v="628800"/>
    <n v="305"/>
    <s v="Federal"/>
    <s v="PEM"/>
    <n v="3.93"/>
    <s v="INDOT"/>
    <s v="LRL-2020-973-scm"/>
    <s v="2021-477-30-JBT-A"/>
    <m/>
    <s v="Hancock"/>
    <s v="39.81146 to 39.82161"/>
    <s v="85.93942 to  -85.74089 "/>
    <s v="Transportation"/>
    <m/>
    <s v="No"/>
    <m/>
    <n v="94320"/>
    <n v="440160"/>
    <n v="94320"/>
    <s v="L"/>
    <s v="SOMB"/>
    <m/>
    <m/>
    <m/>
    <m/>
    <m/>
    <m/>
    <s v="Corps 3.7 - INDOT 1702919 - I 70 add travel lanes - INDOT 1702919"/>
  </r>
  <r>
    <d v="2022-05-18T00:00:00"/>
    <s v="May"/>
    <x v="5"/>
    <x v="10"/>
    <n v="-1.6559999999999999"/>
    <x v="0"/>
    <n v="132480"/>
    <n v="305"/>
    <s v="Federal"/>
    <s v="PSS"/>
    <n v="0.55200000000000005"/>
    <s v="INDOT"/>
    <s v="LRL-2020-973-scm"/>
    <s v="2021-477-30-JBT-A"/>
    <m/>
    <s v="Hancock"/>
    <s v="39.81146 to 39.82161"/>
    <s v="85.93942 to  -85.74089 "/>
    <s v="Transportation"/>
    <m/>
    <s v="No"/>
    <m/>
    <n v="19872"/>
    <n v="92736"/>
    <n v="19872"/>
    <s v="L"/>
    <s v="COMB"/>
    <m/>
    <m/>
    <m/>
    <m/>
    <m/>
    <m/>
    <s v="Corps 1.33 - INDOT 1702919 - I 70 add travel lanes - INDOT 1702919"/>
  </r>
  <r>
    <d v="2022-05-18T00:00:00"/>
    <s v="May"/>
    <x v="5"/>
    <x v="10"/>
    <n v="-11.32"/>
    <x v="0"/>
    <n v="905600"/>
    <n v="305"/>
    <s v="State Isolated"/>
    <s v="PEM"/>
    <n v="7.5469999999999997"/>
    <s v="INDOT"/>
    <s v="N/A"/>
    <s v="IWGP 2021-477-30-JBT-A"/>
    <m/>
    <s v="Hancock"/>
    <s v="39.81146 to 39.82161"/>
    <s v="85.93942 to  -85.74089 "/>
    <s v="Transportation"/>
    <m/>
    <s v="No"/>
    <m/>
    <n v="135840"/>
    <n v="633920"/>
    <n v="135840"/>
    <s v="L"/>
    <s v="COMB"/>
    <s v="1 NF"/>
    <m/>
    <m/>
    <m/>
    <m/>
    <m/>
    <s v="INDOT 1702919 - I 70 add travel lanes - INDOT 1702919"/>
  </r>
  <r>
    <d v="2022-05-18T00:00:00"/>
    <s v="May"/>
    <x v="5"/>
    <x v="10"/>
    <n v="-1.06"/>
    <x v="0"/>
    <n v="84800"/>
    <n v="305"/>
    <s v="State Isolated"/>
    <s v="PFO"/>
    <n v="0.53"/>
    <s v="INDOT"/>
    <s v="N/A"/>
    <s v="IWGP 2021-477-30-JBT-A"/>
    <m/>
    <s v="Hancock"/>
    <s v="39.81146 to 39.82161"/>
    <s v="85.93942 to  -85.74089 "/>
    <s v="Transportation"/>
    <m/>
    <s v="No"/>
    <m/>
    <n v="12720"/>
    <n v="59359.999999999993"/>
    <n v="12720"/>
    <s v="L"/>
    <s v="COMB"/>
    <s v="1 FO"/>
    <m/>
    <m/>
    <m/>
    <m/>
    <m/>
    <s v="INDOT 1702919 - I 70 add travel lanes - INDOT 1702919"/>
  </r>
  <r>
    <d v="2022-06-06T00:00:00"/>
    <s v="June"/>
    <x v="5"/>
    <x v="1"/>
    <n v="-0.48599999999999999"/>
    <x v="0"/>
    <n v="46170"/>
    <n v="314"/>
    <s v="Federal"/>
    <s v="PFO"/>
    <n v="0.20899999999999999"/>
    <s v="TC Energy"/>
    <s v="LRC-2020-128"/>
    <s v="2020-228-45-MTM-A, 2020-229-45-MTM-A"/>
    <m/>
    <s v="Lake"/>
    <n v="41.428739999999998"/>
    <n v="-87.508480000000006"/>
    <s v="Energy Production"/>
    <m/>
    <s v="No"/>
    <m/>
    <n v="6925.5"/>
    <n v="32318.999999999996"/>
    <n v="6925.5"/>
    <s v="C"/>
    <s v="J"/>
    <m/>
    <m/>
    <m/>
    <m/>
    <m/>
    <m/>
    <s v="Corps P1 required 0.209, P2 0.26 required (total 0.469)total,  IDEM required 0.26 in mod permit - but per Marty it’s a $26,315 which would be 0.277 credit purchase - consultant requested a purchase of 0.43.  Modified IDEM Permits for P1 and 2, so greatest total is P1 Corps at 0.209 and P2 0.277 IDEM. "/>
  </r>
  <r>
    <d v="2022-06-06T00:00:00"/>
    <s v="June "/>
    <x v="5"/>
    <x v="5"/>
    <n v="-0.93"/>
    <x v="0"/>
    <n v="74400"/>
    <n v="101"/>
    <s v="Federal"/>
    <s v="PEM"/>
    <n v="1.44"/>
    <s v="Sun Energy"/>
    <s v="LRL-2019-645"/>
    <s v="General WQC NWP49"/>
    <s v="Mining Permit S-00376"/>
    <s v="Spencer"/>
    <n v="38.162215000000003"/>
    <n v="-86.951781999999994"/>
    <s v="Energy Production"/>
    <m/>
    <s v="No"/>
    <m/>
    <n v="11160"/>
    <n v="52080"/>
    <n v="11160"/>
    <s v="L"/>
    <s v="J"/>
    <m/>
    <m/>
    <m/>
    <m/>
    <m/>
    <m/>
    <s v=".51 of required Corps credit purchase is open water but to be classified under Emergent. IDEM did not require a credit purchase. "/>
  </r>
  <r>
    <d v="2022-06-06T00:00:00"/>
    <s v="June"/>
    <x v="5"/>
    <x v="9"/>
    <n v="-0.68"/>
    <x v="0"/>
    <n v="54400.000000000007"/>
    <n v="309"/>
    <s v="State Isolated"/>
    <s v="PFO"/>
    <n v="0.34"/>
    <s v="COA Avon Landings"/>
    <s v="N/A"/>
    <s v="IWIP 2022-289-32-ERL-A"/>
    <m/>
    <s v="Hendricks"/>
    <n v="39.802050999999999"/>
    <n v="-86.352631000000002"/>
    <s v="Development"/>
    <m/>
    <s v="No"/>
    <m/>
    <n v="8160.0000000000009"/>
    <n v="38080"/>
    <n v="8160.0000000000009"/>
    <s v="L"/>
    <s v="SI "/>
    <s v="2 FO"/>
    <m/>
    <m/>
    <m/>
    <m/>
    <m/>
    <m/>
  </r>
  <r>
    <d v="2022-06-06T00:00:00"/>
    <s v="June"/>
    <x v="5"/>
    <x v="10"/>
    <n v="-0.28000000000000003"/>
    <x v="0"/>
    <n v="22400.000000000004"/>
    <s v="313 C"/>
    <s v="Federal"/>
    <s v="PEM"/>
    <n v="0.14000000000000001"/>
    <s v="Arbor Homes"/>
    <s v="LRL-2022-110-sam"/>
    <s v="2022-311-49"/>
    <m/>
    <s v="Marion"/>
    <n v="39.743665"/>
    <n v="-85.971991000000003"/>
    <s v="Development"/>
    <m/>
    <s v="No"/>
    <m/>
    <n v="3360.0000000000005"/>
    <n v="15680.000000000002"/>
    <n v="3360.0000000000005"/>
    <s v="L"/>
    <s v="J"/>
    <m/>
    <m/>
    <m/>
    <m/>
    <m/>
    <m/>
    <s v="Corps did not require a credit purchase. "/>
  </r>
  <r>
    <d v="2022-06-06T00:00:00"/>
    <s v="June"/>
    <x v="5"/>
    <x v="10"/>
    <n v="-0.06"/>
    <x v="0"/>
    <n v="4800"/>
    <s v="317 C"/>
    <s v="Federal"/>
    <s v="PEM"/>
    <n v="0.03"/>
    <s v="Arbor Homes"/>
    <s v="LRL-2022-110-sam"/>
    <s v="2022-311-49"/>
    <m/>
    <s v="Marion"/>
    <n v="39.743665"/>
    <n v="-85.971991000000003"/>
    <s v="Development"/>
    <m/>
    <s v="No"/>
    <m/>
    <n v="720"/>
    <n v="3360"/>
    <n v="720"/>
    <s v="L"/>
    <s v="J"/>
    <m/>
    <m/>
    <m/>
    <m/>
    <m/>
    <m/>
    <s v="Additional amount related to original credit purchase reflecting the increased amount of Corps over the required IDEM amount (0.34-0.28) Invoice changed to reflect incorrect SA identification in permit. "/>
  </r>
  <r>
    <d v="2022-06-13T00:00:00"/>
    <s v="June"/>
    <x v="5"/>
    <x v="4"/>
    <n v="-0.04"/>
    <x v="0"/>
    <n v="3200"/>
    <n v="308"/>
    <s v="Federal"/>
    <s v="PEM"/>
    <n v="0.02"/>
    <s v="City of West Lafayette"/>
    <s v="LRL-2020-976-sjk"/>
    <s v="2021-268-79"/>
    <m/>
    <s v="Tippecanoe"/>
    <n v="40.453299999999999"/>
    <n v="-86.895799999999994"/>
    <s v="Transportation"/>
    <m/>
    <s v="No"/>
    <m/>
    <n v="480"/>
    <n v="2240"/>
    <n v="480"/>
    <s v="L"/>
    <s v="J"/>
    <m/>
    <m/>
    <m/>
    <m/>
    <m/>
    <m/>
    <s v="Corps did not require mitigation"/>
  </r>
  <r>
    <d v="2022-06-13T00:00:00"/>
    <s v="June"/>
    <x v="5"/>
    <x v="4"/>
    <n v="-228"/>
    <x v="1"/>
    <n v="91200"/>
    <n v="308"/>
    <s v="Federal"/>
    <s v="Int"/>
    <n v="228"/>
    <s v="City of West Lafayette"/>
    <s v="LRL-2020-976-sjk"/>
    <s v="2021-268-79"/>
    <m/>
    <s v="Tippecanoe"/>
    <n v="40.453299999999999"/>
    <n v="-86.895799999999994"/>
    <s v="Transportation"/>
    <m/>
    <s v="No"/>
    <m/>
    <n v="13680"/>
    <n v="63839.999999999993"/>
    <n v="13680"/>
    <s v="L"/>
    <s v="J"/>
    <m/>
    <m/>
    <m/>
    <m/>
    <m/>
    <m/>
    <s v="Corps did not require mitigation"/>
  </r>
  <r>
    <d v="2022-06-13T00:00:00"/>
    <s v="June"/>
    <x v="5"/>
    <x v="10"/>
    <n v="-2153"/>
    <x v="1"/>
    <n v="861200"/>
    <n v="318"/>
    <s v="Federal"/>
    <s v="Int"/>
    <n v="1794"/>
    <s v="Arbor Homes"/>
    <s v="LRL-2021-845-sjk"/>
    <s v="2022-198-30-EKB-A"/>
    <m/>
    <s v="Hancock"/>
    <n v="39.789845"/>
    <n v="-85.818917999999996"/>
    <s v="Development"/>
    <m/>
    <s v="No"/>
    <m/>
    <n v="129180"/>
    <n v="602840"/>
    <n v="129180"/>
    <s v="L"/>
    <s v="J"/>
    <m/>
    <m/>
    <m/>
    <m/>
    <m/>
    <m/>
    <s v="IDEM Permit mod to change SA. Corps required 2153 and IDEM required 1794 INT. "/>
  </r>
  <r>
    <d v="2022-06-23T00:00:00"/>
    <s v="June"/>
    <x v="5"/>
    <x v="8"/>
    <n v="-0.78"/>
    <x v="0"/>
    <n v="62400"/>
    <n v="315"/>
    <s v="State Isolated"/>
    <s v="PFO"/>
    <n v="0.39"/>
    <s v="Oakmont Development"/>
    <s v="N/A"/>
    <s v="2022-261-2-WLR"/>
    <m/>
    <s v="Allen"/>
    <n v="41.065807999999997"/>
    <n v="-85.303758999999999"/>
    <s v="Development"/>
    <m/>
    <s v="No"/>
    <m/>
    <n v="9360"/>
    <n v="43680"/>
    <n v="9360"/>
    <s v="D"/>
    <s v="SI"/>
    <s v="2 FO"/>
    <m/>
    <m/>
    <m/>
    <m/>
    <m/>
    <m/>
  </r>
  <r>
    <d v="2022-06-23T00:00:00"/>
    <s v="June"/>
    <x v="5"/>
    <x v="10"/>
    <n v="-0.375"/>
    <x v="0"/>
    <n v="30000"/>
    <n v="320"/>
    <s v="State Isolated"/>
    <s v="PFO"/>
    <n v="0.15"/>
    <s v="Arbor Homes"/>
    <s v="N/A"/>
    <s v="IWIP-2022-311-49"/>
    <m/>
    <s v="Marion"/>
    <n v="39.743665"/>
    <n v="-85.971991000000003"/>
    <s v="Development"/>
    <m/>
    <s v="No"/>
    <m/>
    <n v="4500"/>
    <n v="21000"/>
    <n v="4500"/>
    <s v="L"/>
    <s v="SI"/>
    <s v="3 FO"/>
    <m/>
    <m/>
    <m/>
    <m/>
    <m/>
    <s v="Changed SA Upper White to WWEF in Permit "/>
  </r>
  <r>
    <d v="2022-07-01T00:00:00"/>
    <s v="July"/>
    <x v="5"/>
    <x v="3"/>
    <n v="-3"/>
    <x v="0"/>
    <n v="240000"/>
    <n v="311"/>
    <s v="Federal"/>
    <s v="PFO"/>
    <n v="1.29"/>
    <s v="AEP"/>
    <s v="LRE-2021-01169-117-N21"/>
    <s v="2022-3-17-WLR-A"/>
    <m/>
    <s v="Dekalb"/>
    <n v="41.427"/>
    <n v="-84.861999999999995"/>
    <s v="Energy Production"/>
    <m/>
    <s v="No"/>
    <m/>
    <n v="36000"/>
    <n v="168000"/>
    <n v="36000"/>
    <s v="D"/>
    <s v="J"/>
    <m/>
    <m/>
    <m/>
    <m/>
    <m/>
    <m/>
    <s v="Corps did not require any credit purchase"/>
  </r>
  <r>
    <d v="2022-07-21T00:00:00"/>
    <s v="July"/>
    <x v="5"/>
    <x v="10"/>
    <n v="-0.41899999999999998"/>
    <x v="0"/>
    <n v="33520"/>
    <n v="321"/>
    <s v="State Isolated"/>
    <s v="PFO"/>
    <n v="0.27900000000000003"/>
    <s v="AEP  "/>
    <s v="N/A"/>
    <s v="IWIP-2022-210-68-EKB-A"/>
    <m/>
    <s v="Randolph"/>
    <n v="40.077447999999997"/>
    <n v="-84.955867999999995"/>
    <s v="Energy Production"/>
    <m/>
    <s v="No"/>
    <m/>
    <n v="5028"/>
    <n v="23464"/>
    <n v="5028"/>
    <s v="L"/>
    <s v="SI"/>
    <s v="3 FO"/>
    <m/>
    <m/>
    <m/>
    <m/>
    <m/>
    <s v="Initiatlly recorded as being in Upper White SA. GPS points check put it in Whitewater. Confirmation with IDEM as Whitewater so it was changed."/>
  </r>
  <r>
    <d v="2022-07-25T00:00:00"/>
    <s v="July"/>
    <x v="5"/>
    <x v="4"/>
    <n v="-0.12"/>
    <x v="0"/>
    <n v="9600"/>
    <n v="325"/>
    <s v="State Isolated"/>
    <s v="PEM"/>
    <n v="0.08"/>
    <s v="D.R. Horton"/>
    <s v="N/A"/>
    <s v="IWIP-2022-339-32-ERL"/>
    <m/>
    <s v="Hendricks"/>
    <n v="39.767499999999998"/>
    <n v="-86.546000000000006"/>
    <s v="Development"/>
    <m/>
    <s v="No"/>
    <m/>
    <n v="1440"/>
    <n v="6720"/>
    <n v="1440"/>
    <s v="L"/>
    <s v="SI"/>
    <s v="2 NF"/>
    <m/>
    <m/>
    <m/>
    <m/>
    <m/>
    <m/>
  </r>
  <r>
    <d v="2022-07-25T00:00:00"/>
    <s v="July"/>
    <x v="5"/>
    <x v="9"/>
    <n v="-1255"/>
    <x v="1"/>
    <n v="564750"/>
    <n v="325"/>
    <s v="Federal"/>
    <s v="Eph"/>
    <n v="1045"/>
    <s v="D.R. Horton"/>
    <s v="LRL-2021-1093"/>
    <s v="2022-339-32-ERL"/>
    <m/>
    <s v="Hendricks"/>
    <n v="39.763013999999998"/>
    <n v="-86.539390999999995"/>
    <s v="Development"/>
    <m/>
    <s v="No"/>
    <m/>
    <n v="84712.5"/>
    <n v="395325"/>
    <n v="84712.5"/>
    <s v="L"/>
    <s v="J"/>
    <m/>
    <m/>
    <m/>
    <m/>
    <m/>
    <m/>
    <s v="IDEM required 1045 and Corps 1255"/>
  </r>
  <r>
    <d v="2022-08-04T00:00:00"/>
    <s v="August"/>
    <x v="5"/>
    <x v="10"/>
    <n v="-520"/>
    <x v="1"/>
    <n v="208000"/>
    <n v="322"/>
    <s v="Federal"/>
    <s v="Eph"/>
    <n v="580"/>
    <s v="City of Seymour"/>
    <s v="LRL-2018-970-scm"/>
    <s v="2019-382-36-TMS-A"/>
    <m/>
    <s v="Jackson"/>
    <n v="38.946480000000001"/>
    <n v="-85.887319000000005"/>
    <s v="Transportation"/>
    <m/>
    <s v="No"/>
    <m/>
    <n v="31200"/>
    <n v="145600"/>
    <n v="31200"/>
    <s v="L"/>
    <s v="J"/>
    <m/>
    <m/>
    <m/>
    <m/>
    <m/>
    <m/>
    <s v="Burkhart Bypass - Corps required 312 EPH, state required 520 EPH and 691 INT. Note incorrect CORPS permit number listed on IDEM permit.  Correct Corps number verified.  DES 1600743 and 1601943"/>
  </r>
  <r>
    <d v="2022-08-04T00:00:00"/>
    <s v="August"/>
    <x v="5"/>
    <x v="10"/>
    <n v="-1.27"/>
    <x v="0"/>
    <n v="101600"/>
    <n v="322"/>
    <s v="Federal"/>
    <s v="PEM"/>
    <n v="0.61199999999999999"/>
    <s v="City of Seymour"/>
    <s v="LRL-2018-970-scm"/>
    <s v="2019-382-36-TMS-A"/>
    <m/>
    <s v="Jackson"/>
    <n v="38.946480000000001"/>
    <n v="-85.887319000000005"/>
    <s v="Transportation"/>
    <m/>
    <s v="No"/>
    <m/>
    <n v="15240"/>
    <n v="71120"/>
    <n v="15240"/>
    <s v="L"/>
    <s v="J"/>
    <m/>
    <m/>
    <m/>
    <m/>
    <m/>
    <m/>
    <s v="Burkhart Bypass -Corps required 1.27 PEM -  state required 1.224 PEM and .004 FOR"/>
  </r>
  <r>
    <d v="2022-08-04T00:00:00"/>
    <s v="August"/>
    <x v="5"/>
    <x v="10"/>
    <n v="-691"/>
    <x v="1"/>
    <n v="276400"/>
    <n v="322"/>
    <s v="Federal"/>
    <s v="Int"/>
    <n v="691"/>
    <s v="City of Seymour"/>
    <s v="LRL-2018-970-scm"/>
    <s v="2019-382-36-TMS-A"/>
    <m/>
    <s v="Jackson"/>
    <n v="38.946480000000001"/>
    <n v="-85.887319000000005"/>
    <s v="Transportation"/>
    <m/>
    <s v="No"/>
    <m/>
    <n v="41460"/>
    <n v="193480"/>
    <n v="41460"/>
    <s v="L"/>
    <s v="J"/>
    <m/>
    <m/>
    <m/>
    <m/>
    <m/>
    <m/>
    <s v="Burkhart Bypass - Corps required 312 EPH, state required 520 EPH and 691 INT"/>
  </r>
  <r>
    <d v="2022-08-04T00:00:00"/>
    <s v="August"/>
    <x v="5"/>
    <x v="10"/>
    <n v="-4.0000000000000001E-3"/>
    <x v="0"/>
    <n v="320"/>
    <n v="322"/>
    <s v="Federal"/>
    <s v="PFO"/>
    <n v="1E-3"/>
    <s v="City of Seymour"/>
    <s v="LRL-2018-970-scm"/>
    <s v="2019-382-36-TMS-A"/>
    <m/>
    <s v="Jackson"/>
    <n v="38.946480000000001"/>
    <n v="-85.887319000000005"/>
    <s v="Transportation"/>
    <m/>
    <s v="No"/>
    <m/>
    <n v="48"/>
    <n v="224"/>
    <n v="48"/>
    <s v="L"/>
    <s v="J"/>
    <m/>
    <m/>
    <m/>
    <m/>
    <m/>
    <m/>
    <s v="Burkhart Bypass -Corps required 1.27 PEM -  state required 1.224 PEM and .004 FOR"/>
  </r>
  <r>
    <d v="2022-08-09T00:00:00"/>
    <s v="August"/>
    <x v="5"/>
    <x v="6"/>
    <n v="-0.23"/>
    <x v="0"/>
    <n v="27600"/>
    <n v="300"/>
    <s v="Federal"/>
    <s v="PEM"/>
    <n v="0.23"/>
    <s v="AEP"/>
    <s v="LRE-2012-00268-120-N21"/>
    <s v="2021-693-20-JWR-A"/>
    <m/>
    <s v="Elkhart"/>
    <n v="41.693517"/>
    <n v="-85.965565999999995"/>
    <s v="Energy Production"/>
    <m/>
    <s v="No"/>
    <m/>
    <n v="4140"/>
    <n v="19320"/>
    <n v="4140"/>
    <s v="D"/>
    <s v="J"/>
    <m/>
    <m/>
    <m/>
    <m/>
    <m/>
    <m/>
    <s v="Open Water Impacts - Emergent wetland credits"/>
  </r>
  <r>
    <d v="2022-08-09T00:00:00"/>
    <s v="August"/>
    <x v="5"/>
    <x v="9"/>
    <n v="-275"/>
    <x v="1"/>
    <n v="123750"/>
    <n v="303"/>
    <s v="Federal"/>
    <s v="Per"/>
    <n v="229"/>
    <s v="Lennar Homes "/>
    <s v="LRL-2017-334-sjk"/>
    <s v="2021-907-29-SCF-A"/>
    <m/>
    <s v="Hamilton"/>
    <n v="40.069056000000003"/>
    <n v="-86.065216000000007"/>
    <s v="Development"/>
    <m/>
    <s v="No"/>
    <m/>
    <n v="18562.5"/>
    <n v="86625"/>
    <n v="18562.5"/>
    <s v="L"/>
    <s v="J"/>
    <m/>
    <m/>
    <m/>
    <m/>
    <m/>
    <m/>
    <s v="IDEM 229 Corps 275"/>
  </r>
  <r>
    <d v="2022-08-09T00:00:00"/>
    <s v="August"/>
    <x v="5"/>
    <x v="9"/>
    <n v="-0.216"/>
    <x v="0"/>
    <n v="17280"/>
    <n v="303"/>
    <s v="Federal"/>
    <s v="PFO"/>
    <n v="5.3999999999999999E-2"/>
    <s v="Lennar Homes "/>
    <s v="LRL-2017-334-sjk"/>
    <s v="2021-907-29-SCF-A"/>
    <m/>
    <s v="Hamilton"/>
    <n v="40.069056000000003"/>
    <n v="-86.065216000000007"/>
    <s v="Development"/>
    <m/>
    <s v="No"/>
    <m/>
    <n v="2592"/>
    <n v="12096"/>
    <n v="2592"/>
    <s v="L"/>
    <s v="J"/>
    <m/>
    <m/>
    <m/>
    <m/>
    <m/>
    <m/>
    <s v="IDEM .216 and Corps 0.19"/>
  </r>
  <r>
    <d v="2022-08-17T00:00:00"/>
    <s v="August "/>
    <x v="5"/>
    <x v="9"/>
    <n v="-98"/>
    <x v="1"/>
    <n v="44100"/>
    <n v="324"/>
    <s v="Federal"/>
    <s v="Eph"/>
    <n v="98"/>
    <s v="Hendricks County Highway Department"/>
    <s v="LRL-2019-1083-jlt"/>
    <s v="2020-294-32-ERL-A"/>
    <m/>
    <s v="Hendricks"/>
    <n v="39.651600000000002"/>
    <n v="-86.462500000000006"/>
    <s v="Transportation"/>
    <m/>
    <s v="No"/>
    <m/>
    <n v="6615"/>
    <n v="30869.999999999996"/>
    <n v="6615"/>
    <s v="L"/>
    <s v="J"/>
    <m/>
    <m/>
    <m/>
    <m/>
    <m/>
    <m/>
    <m/>
  </r>
  <r>
    <d v="2022-08-18T00:00:00"/>
    <s v="August"/>
    <x v="5"/>
    <x v="9"/>
    <n v="-6.0999999999999999E-2"/>
    <x v="0"/>
    <n v="4880"/>
    <n v="330"/>
    <s v="Federal"/>
    <s v="PEM"/>
    <n v="1.7999999999999999E-2"/>
    <s v="Indianapolis Department of Public Works"/>
    <s v="LRL-2019-22-sjk"/>
    <s v="2022-401-49-EKB-A"/>
    <m/>
    <s v="Marion"/>
    <n v="39.872276999999997"/>
    <n v="-86.308274999999995"/>
    <s v="Development"/>
    <m/>
    <s v="No"/>
    <m/>
    <n v="732"/>
    <n v="3416"/>
    <n v="732"/>
    <s v="L"/>
    <s v="J"/>
    <m/>
    <m/>
    <m/>
    <m/>
    <m/>
    <m/>
    <s v="Corps did not require mitigation"/>
  </r>
  <r>
    <d v="2022-08-22T00:00:00"/>
    <s v="August"/>
    <x v="5"/>
    <x v="5"/>
    <n v="-671"/>
    <x v="1"/>
    <n v="268400"/>
    <s v="326C"/>
    <s v="Federal"/>
    <s v="Int"/>
    <n v="671"/>
    <s v="Center Point"/>
    <s v="N/A"/>
    <s v="2022-449-82-TMS"/>
    <m/>
    <s v="Vanderburgh"/>
    <n v="38.003590000000003"/>
    <n v="-87.628496999999996"/>
    <s v="Energy Production"/>
    <m/>
    <s v="No"/>
    <m/>
    <n v="40260"/>
    <n v="187880"/>
    <n v="40260"/>
    <s v="L"/>
    <s v="J"/>
    <m/>
    <m/>
    <m/>
    <m/>
    <m/>
    <m/>
    <s v="No Corps Permit Issued"/>
  </r>
  <r>
    <d v="2022-08-22T00:00:00"/>
    <s v="August"/>
    <x v="5"/>
    <x v="5"/>
    <n v="-0.1"/>
    <x v="0"/>
    <n v="8000"/>
    <s v="326C"/>
    <s v="Federal"/>
    <s v="PEM"/>
    <n v="0.05"/>
    <s v="Center Point"/>
    <s v="N/A"/>
    <s v="2022-449-82-TMS"/>
    <m/>
    <s v="Vanderburgh"/>
    <n v="38.003590000000003"/>
    <n v="-87.628496999999996"/>
    <s v="Energy Production"/>
    <m/>
    <s v="No"/>
    <m/>
    <n v="1200"/>
    <n v="5600"/>
    <n v="1200"/>
    <s v="L"/>
    <s v="J"/>
    <m/>
    <m/>
    <m/>
    <m/>
    <m/>
    <m/>
    <s v="No Corps Permit Issued"/>
  </r>
  <r>
    <d v="2022-08-26T00:00:00"/>
    <s v="August"/>
    <x v="5"/>
    <x v="1"/>
    <n v="-40.5"/>
    <x v="1"/>
    <n v="20250"/>
    <n v="329"/>
    <s v="Federal"/>
    <s v="Per"/>
    <n v="75.5"/>
    <s v="INDOT"/>
    <s v="LRE-2022-00212-146"/>
    <s v="2022-362-46-JBT"/>
    <m/>
    <s v="LaPorte"/>
    <n v="41.317303000000003"/>
    <n v="-86.896017000000001"/>
    <s v="Transportation"/>
    <m/>
    <s v="No"/>
    <m/>
    <n v="3037.5"/>
    <n v="14175"/>
    <n v="3037.5"/>
    <s v="C"/>
    <s v="J"/>
    <m/>
    <m/>
    <m/>
    <m/>
    <m/>
    <m/>
    <s v="Corps did not require mitigation. DES 1703002"/>
  </r>
  <r>
    <d v="2022-08-31T00:00:00"/>
    <s v="August"/>
    <x v="5"/>
    <x v="5"/>
    <n v="-0.45"/>
    <x v="0"/>
    <n v="36000"/>
    <n v="333"/>
    <s v="Federal"/>
    <s v="PEM"/>
    <n v="0.187"/>
    <s v="INDOT"/>
    <s v="LRL-2018-840"/>
    <s v="2022-247-88-JBT"/>
    <m/>
    <s v="Vanderburgh"/>
    <n v="37.976823000000003"/>
    <n v="-87.444322999999997"/>
    <s v="Transportation"/>
    <m/>
    <s v="No"/>
    <m/>
    <n v="5400"/>
    <n v="25200"/>
    <n v="5400"/>
    <s v="L"/>
    <s v="J"/>
    <m/>
    <m/>
    <m/>
    <m/>
    <m/>
    <m/>
    <s v="INDOT DES 1400195 - Corps required 0.45 Emergent, IDEM 0.374 "/>
  </r>
  <r>
    <d v="2022-08-31T00:00:00"/>
    <s v="August"/>
    <x v="5"/>
    <x v="5"/>
    <n v="-310"/>
    <x v="1"/>
    <n v="124000"/>
    <n v="333"/>
    <s v="Federal"/>
    <s v="Int"/>
    <n v="766"/>
    <s v="INDOT"/>
    <s v="LRL-2018-840"/>
    <s v="2022-247-88-JBT"/>
    <m/>
    <s v="Vanderburgh"/>
    <n v="37.976823000000003"/>
    <n v="-87.444322999999997"/>
    <s v="Transportation"/>
    <m/>
    <s v="No"/>
    <m/>
    <n v="18600"/>
    <n v="86800"/>
    <n v="18600"/>
    <s v="L"/>
    <s v="J"/>
    <m/>
    <m/>
    <m/>
    <m/>
    <m/>
    <m/>
    <s v="INDOT DES 1400195 - Corps required 284, IDEM required 310"/>
  </r>
  <r>
    <d v="2022-08-31T00:00:00"/>
    <s v="August"/>
    <x v="5"/>
    <x v="10"/>
    <n v="-166"/>
    <x v="1"/>
    <n v="74700"/>
    <n v="334"/>
    <s v="Federal"/>
    <s v="Int"/>
    <n v="313"/>
    <s v="INDOT"/>
    <s v="LRL-2022-92-djd"/>
    <s v="2022-86-68-SCF-X"/>
    <m/>
    <s v="Randolph"/>
    <n v="40.04862"/>
    <n v="-84.968459999999993"/>
    <s v="Transportation"/>
    <m/>
    <s v="No"/>
    <m/>
    <n v="11205"/>
    <n v="52290"/>
    <n v="11205"/>
    <s v="L"/>
    <s v="J"/>
    <m/>
    <m/>
    <m/>
    <m/>
    <m/>
    <m/>
    <s v="INDOT DES 1702882, amount not in permit in email from IDEM. "/>
  </r>
  <r>
    <d v="2022-09-06T00:00:00"/>
    <s v="September"/>
    <x v="5"/>
    <x v="4"/>
    <n v="-0.26"/>
    <x v="0"/>
    <n v="20800"/>
    <n v="336"/>
    <s v="Federal"/>
    <s v="PEM"/>
    <n v="0.11"/>
    <s v="Duke Energy"/>
    <s v="LRL-2022-708-sjk"/>
    <s v="2022-726-79-ERL-X"/>
    <m/>
    <s v="Tippecanoe"/>
    <n v="40.432400000000001"/>
    <n v="-86.943200000000004"/>
    <s v="Transportation"/>
    <m/>
    <s v="No"/>
    <m/>
    <n v="3120"/>
    <n v="14560"/>
    <n v="3120"/>
    <s v="L"/>
    <s v="J"/>
    <m/>
    <m/>
    <m/>
    <m/>
    <m/>
    <m/>
    <m/>
  </r>
  <r>
    <d v="2022-09-15T00:00:00"/>
    <s v="September"/>
    <x v="5"/>
    <x v="7"/>
    <n v="-3908"/>
    <x v="1"/>
    <n v="1563200"/>
    <s v="280C"/>
    <s v="Federal"/>
    <s v="Int"/>
    <n v="1496"/>
    <s v="Harrison County"/>
    <s v="LRL-2021-30-MKD"/>
    <s v="2021-729-31-TMS-A"/>
    <m/>
    <s v="Harrison"/>
    <n v="38.293999999999997"/>
    <n v="-86.013999999999996"/>
    <s v="Transportation"/>
    <m/>
    <s v="No"/>
    <m/>
    <n v="234480"/>
    <n v="1094240"/>
    <n v="234480"/>
    <s v="L"/>
    <s v="J"/>
    <m/>
    <m/>
    <m/>
    <m/>
    <m/>
    <m/>
    <s v="INDOT DES 1702960 - Corps required more ILF mitigation credits than IDEM"/>
  </r>
  <r>
    <d v="2022-09-20T00:00:00"/>
    <s v="September"/>
    <x v="5"/>
    <x v="7"/>
    <n v="-576"/>
    <x v="1"/>
    <n v="230400"/>
    <n v="338"/>
    <s v="Federal"/>
    <s v="Eph"/>
    <n v="1554"/>
    <s v="Clark County Board of Commissioners (Landfill)"/>
    <s v="LRL-2013-00374"/>
    <s v="2021-189-10-TMS-A"/>
    <m/>
    <s v="Clark"/>
    <n v="38.457000000000001"/>
    <n v="-85.847740000000002"/>
    <s v="Development"/>
    <m/>
    <s v="No"/>
    <m/>
    <n v="34560"/>
    <n v="161280"/>
    <n v="34560"/>
    <s v="L"/>
    <m/>
    <m/>
    <m/>
    <m/>
    <m/>
    <m/>
    <m/>
    <s v="Purchase 1 of 7 scheduled credit purchases per the 404 and 401"/>
  </r>
  <r>
    <d v="2022-09-20T00:00:00"/>
    <s v="September"/>
    <x v="5"/>
    <x v="7"/>
    <n v="-1.3"/>
    <x v="0"/>
    <n v="104000"/>
    <n v="338"/>
    <s v="Federal"/>
    <s v="PEM"/>
    <n v="1.59"/>
    <s v="Clark County Board of Commissioners (Landfill)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m/>
    <m/>
    <m/>
    <m/>
    <m/>
    <m/>
    <m/>
    <s v="Purchase 1 of 7 scheduled credit purchases per the 404 and 401"/>
  </r>
  <r>
    <d v="2022-09-22T00:00:00"/>
    <s v="September"/>
    <x v="5"/>
    <x v="3"/>
    <n v="-37.549999999999997"/>
    <x v="1"/>
    <n v="16898"/>
    <n v="332"/>
    <s v="Federal"/>
    <s v="Per"/>
    <n v="37.549999999999997"/>
    <s v="Steuben County Highway Department"/>
    <s v="LRE-2021-00264-176"/>
    <s v="2021-129-76-WRH-A"/>
    <m/>
    <s v="Steuben"/>
    <n v="41.645215999999998"/>
    <n v="-84.840986000000001"/>
    <s v="Transportation"/>
    <m/>
    <s v="No"/>
    <m/>
    <n v="2534.6999999999998"/>
    <n v="11828.599999999999"/>
    <n v="2534.6999999999998"/>
    <s v="D"/>
    <s v="J"/>
    <m/>
    <m/>
    <m/>
    <m/>
    <m/>
    <m/>
    <m/>
  </r>
  <r>
    <d v="2022-09-22T00:00:00"/>
    <s v="September"/>
    <x v="5"/>
    <x v="7"/>
    <n v="-150"/>
    <x v="1"/>
    <n v="60000"/>
    <n v="335"/>
    <s v="Federal"/>
    <s v="Eph"/>
    <n v="250"/>
    <s v="Clayton Properties"/>
    <s v="LRL-2021-949-MKD"/>
    <s v="2022-430-22-JWR-A"/>
    <m/>
    <s v="Floyd"/>
    <n v="38.313028000000003"/>
    <n v="-85.902213000000003"/>
    <s v="Development"/>
    <m/>
    <s v="No"/>
    <m/>
    <n v="9000"/>
    <n v="42000"/>
    <n v="9000"/>
    <s v="L"/>
    <s v="J"/>
    <m/>
    <m/>
    <m/>
    <m/>
    <m/>
    <m/>
    <m/>
  </r>
  <r>
    <d v="2022-09-22T00:00:00"/>
    <s v="September"/>
    <x v="5"/>
    <x v="7"/>
    <n v="-600"/>
    <x v="1"/>
    <n v="240000"/>
    <n v="335"/>
    <s v="Federal"/>
    <s v="Int"/>
    <n v="434"/>
    <s v="Clayton Properties"/>
    <s v="LRL-2021-949-MKD"/>
    <s v="2022-430-22-JWR-A"/>
    <m/>
    <s v="Floyd"/>
    <n v="38.313028000000003"/>
    <n v="-85.902213000000003"/>
    <s v="Development"/>
    <m/>
    <s v="No"/>
    <m/>
    <n v="36000"/>
    <n v="168000"/>
    <n v="36000"/>
    <s v="L"/>
    <s v="J"/>
    <m/>
    <m/>
    <m/>
    <m/>
    <m/>
    <m/>
    <m/>
  </r>
  <r>
    <d v="2022-09-22T00:00:00"/>
    <s v="September"/>
    <x v="5"/>
    <x v="7"/>
    <n v="-4.1000000000000002E-2"/>
    <x v="0"/>
    <n v="3280"/>
    <n v="335"/>
    <s v="Federal"/>
    <s v="PEM"/>
    <n v="1.6E-2"/>
    <s v="Clayton Properties"/>
    <s v="LRL-2021-949-MKD"/>
    <s v="2022-430-22-JWR-A"/>
    <m/>
    <s v="Floyd"/>
    <n v="38.313028000000003"/>
    <n v="-85.902213000000003"/>
    <s v="Development"/>
    <m/>
    <s v="No"/>
    <m/>
    <n v="492"/>
    <n v="2296"/>
    <n v="492"/>
    <s v="L"/>
    <s v="J"/>
    <m/>
    <m/>
    <m/>
    <m/>
    <m/>
    <m/>
    <m/>
  </r>
  <r>
    <d v="2022-09-22T00:00:00"/>
    <s v="September"/>
    <x v="5"/>
    <x v="7"/>
    <n v="-5.8999999999999997E-2"/>
    <x v="0"/>
    <n v="4720"/>
    <n v="335"/>
    <s v="Federal"/>
    <s v="PSS"/>
    <n v="0.02"/>
    <s v="Clayton Properties"/>
    <s v="LRL-2021-949-MKD"/>
    <s v="2022-430-22-JWR-A"/>
    <m/>
    <s v="Floyd"/>
    <n v="38.313028000000003"/>
    <n v="-85.902213000000003"/>
    <s v="Development"/>
    <m/>
    <s v="No"/>
    <m/>
    <n v="708"/>
    <n v="3304"/>
    <n v="708"/>
    <s v="L"/>
    <s v="J"/>
    <m/>
    <m/>
    <m/>
    <m/>
    <m/>
    <m/>
    <m/>
  </r>
  <r>
    <d v="2022-09-22T00:00:00"/>
    <s v="September"/>
    <x v="5"/>
    <x v="9"/>
    <n v="-0.34100000000000003"/>
    <x v="0"/>
    <n v="27280"/>
    <s v="86C"/>
    <s v="State Isolated"/>
    <s v="PEM"/>
    <n v="0.34100000000000003"/>
    <s v="The Club at Holiday Farms, LLP"/>
    <s v="N/A"/>
    <s v="IWIP 2018-728-06-JMK"/>
    <m/>
    <s v="Boone"/>
    <n v="39.983576999999997"/>
    <n v="-86.265264999999999"/>
    <s v="Development"/>
    <m/>
    <s v="No"/>
    <m/>
    <n v="4092"/>
    <n v="19096"/>
    <n v="4092"/>
    <s v="L"/>
    <s v="SI"/>
    <s v="1 NF"/>
    <m/>
    <m/>
    <m/>
    <m/>
    <m/>
    <s v="Revised Permit and Invoice - new invoice 86C 0 Class I Non-Forested (PEM)"/>
  </r>
  <r>
    <d v="2022-09-22T00:00:00"/>
    <s v="September"/>
    <x v="5"/>
    <x v="9"/>
    <n v="-0.51500000000000001"/>
    <x v="0"/>
    <n v="41200"/>
    <s v="86C"/>
    <s v="State Isolated"/>
    <s v="PFO"/>
    <n v="0.25700000000000001"/>
    <s v="The Club at Holiday Farms, LLP"/>
    <s v="N/A"/>
    <s v="IWIP 2018-728-06-JMK"/>
    <m/>
    <s v="Boone"/>
    <n v="39.983576999999997"/>
    <n v="-86.265264999999999"/>
    <s v="Development"/>
    <m/>
    <s v="No"/>
    <m/>
    <n v="6180"/>
    <n v="28839.999999999996"/>
    <n v="6180"/>
    <s v="L"/>
    <s v="SI"/>
    <s v="2 FO"/>
    <m/>
    <m/>
    <m/>
    <m/>
    <m/>
    <s v="Revised Permit and Invoice - new invoice 86C- Class II Forested - Revised amount"/>
  </r>
  <r>
    <d v="2022-09-22T00:00:00"/>
    <s v="September"/>
    <x v="5"/>
    <x v="9"/>
    <n v="-1309"/>
    <x v="1"/>
    <n v="589050"/>
    <s v="86C"/>
    <s v="Federal"/>
    <s v="Int"/>
    <n v="1091"/>
    <s v="The Club at Holiday Farms, LLP"/>
    <s v="LRL-2017-1101-lcl"/>
    <s v="2018-728-06-JMK-A"/>
    <m/>
    <s v="Boone"/>
    <n v="39.983576999999997"/>
    <n v="-86.265264999999999"/>
    <s v="Development"/>
    <m/>
    <s v="No"/>
    <m/>
    <n v="88357.5"/>
    <n v="412335"/>
    <n v="88357.5"/>
    <s v="L"/>
    <s v="J"/>
    <m/>
    <m/>
    <m/>
    <m/>
    <m/>
    <m/>
    <s v="Revised Permit and Invoice - new invoice 86C- Revised Permit - 401 Requirements same as the Corps"/>
  </r>
  <r>
    <d v="2022-09-22T00:00:00"/>
    <s v="September"/>
    <x v="5"/>
    <x v="9"/>
    <n v="-2.87"/>
    <x v="0"/>
    <n v="229600"/>
    <s v="86C"/>
    <s v="Federal"/>
    <s v="PFO"/>
    <n v="1.64"/>
    <s v="The Club at Holiday Farms, LLP"/>
    <s v="LRL-2017-1101-lcl"/>
    <s v="2018-728-06-JMK-A"/>
    <m/>
    <s v="Boone"/>
    <n v="39.983576999999997"/>
    <n v="-86.265264999999999"/>
    <s v="Development"/>
    <m/>
    <s v="No"/>
    <m/>
    <n v="34440"/>
    <n v="160720"/>
    <n v="34440"/>
    <s v="L"/>
    <s v="J"/>
    <m/>
    <m/>
    <m/>
    <m/>
    <m/>
    <m/>
    <s v="Revised Permit and Invoice - new invoice 86C- Revised Permit - 401 Requirements same as the Corps"/>
  </r>
  <r>
    <d v="2022-09-22T00:00:00"/>
    <s v="September"/>
    <x v="5"/>
    <x v="9"/>
    <n v="-2.161"/>
    <x v="0"/>
    <n v="172880"/>
    <n v="337"/>
    <s v="Federal"/>
    <s v="PSS"/>
    <n v="0.76400000000000001"/>
    <s v="Pulte Homes of Indiana"/>
    <s v="LRL-2022-467"/>
    <s v="2022-411-32"/>
    <m/>
    <s v="Hendricks"/>
    <n v="39.667650000000002"/>
    <n v="-86.410212999999999"/>
    <s v="Development"/>
    <m/>
    <s v="No"/>
    <m/>
    <n v="25932"/>
    <n v="121015.99999999999"/>
    <n v="25932"/>
    <s v="L"/>
    <s v="J"/>
    <m/>
    <m/>
    <m/>
    <m/>
    <m/>
    <m/>
    <s v="IDEM Required 2.161, Corps 1.82"/>
  </r>
  <r>
    <d v="2022-09-26T00:00:00"/>
    <s v="September"/>
    <x v="5"/>
    <x v="7"/>
    <n v="-1.1000000000000001"/>
    <x v="0"/>
    <n v="88000"/>
    <n v="346"/>
    <s v="Federal"/>
    <s v="PEM"/>
    <n v="0.629"/>
    <s v="New Albany Senior Partners, LLC"/>
    <s v="LRL-2017-94-MKD"/>
    <s v="2022-471-22-TMS-A"/>
    <m/>
    <s v="Floyd"/>
    <n v="38.358026000000002"/>
    <n v="-85.815745000000007"/>
    <s v="Development"/>
    <m/>
    <s v="No"/>
    <m/>
    <n v="13200"/>
    <n v="61599.999999999993"/>
    <n v="13200"/>
    <s v="L"/>
    <s v="J"/>
    <m/>
    <m/>
    <m/>
    <m/>
    <m/>
    <m/>
    <m/>
  </r>
  <r>
    <d v="2022-09-26T00:00:00"/>
    <s v="September"/>
    <x v="5"/>
    <x v="7"/>
    <n v="-74.400000000000006"/>
    <x v="1"/>
    <n v="29760.000000000004"/>
    <n v="346"/>
    <s v="Federal"/>
    <s v="Eph"/>
    <n v="124"/>
    <s v="New Albany Senior Partners, LLC"/>
    <s v="LRL-2017-94-MKD"/>
    <s v="2022-471-22-TMS-A"/>
    <m/>
    <s v="Floyd"/>
    <n v="38.358026000000002"/>
    <n v="-85.815745000000007"/>
    <s v="Development"/>
    <m/>
    <s v="No"/>
    <m/>
    <n v="4464"/>
    <n v="20832"/>
    <n v="4464"/>
    <s v="L"/>
    <s v="J"/>
    <m/>
    <m/>
    <m/>
    <m/>
    <m/>
    <m/>
    <m/>
  </r>
  <r>
    <d v="2022-09-27T00:00:00"/>
    <s v="September"/>
    <x v="5"/>
    <x v="9"/>
    <n v="-0.15"/>
    <x v="0"/>
    <n v="12000"/>
    <n v="340"/>
    <s v="State Isolated"/>
    <s v="PFO"/>
    <n v="0.15"/>
    <s v="Browning Investment, Inc."/>
    <s v="N/A"/>
    <s v="IWIP 2022-549-32-ERL-A"/>
    <m/>
    <s v="Hendricks"/>
    <n v="39.852600000000002"/>
    <n v="-86.418139999999994"/>
    <s v="Development"/>
    <m/>
    <s v="No"/>
    <m/>
    <n v="1800"/>
    <n v="8400"/>
    <n v="1800"/>
    <s v="L"/>
    <s v="SI"/>
    <s v="3 FO"/>
    <m/>
    <m/>
    <m/>
    <m/>
    <m/>
    <m/>
  </r>
  <r>
    <d v="2022-10-06T00:00:00"/>
    <s v="October"/>
    <x v="5"/>
    <x v="1"/>
    <n v="-2.2000000000000002"/>
    <x v="0"/>
    <n v="209000"/>
    <n v="347"/>
    <s v="State Isolated"/>
    <s v="PEM"/>
    <n v="2.2000000000000002"/>
    <s v="CDS Mixers &amp; Parts"/>
    <s v="N/A"/>
    <s v="IWIP 2022-871-50-SCF-A"/>
    <m/>
    <s v="Marshall"/>
    <n v="41.364803999999999"/>
    <n v="-86.319647000000003"/>
    <s v="Development"/>
    <m/>
    <s v="No"/>
    <m/>
    <n v="31350"/>
    <n v="146300"/>
    <n v="31350"/>
    <s v="D"/>
    <s v="SI"/>
    <s v="2 NF"/>
    <m/>
    <m/>
    <m/>
    <m/>
    <m/>
    <m/>
  </r>
  <r>
    <d v="2022-10-06T00:00:00"/>
    <s v="October"/>
    <x v="5"/>
    <x v="9"/>
    <n v="-0.499"/>
    <x v="0"/>
    <n v="39320"/>
    <n v="327"/>
    <s v="Federal"/>
    <s v="PEM"/>
    <n v="0.499"/>
    <s v="City of Noblesville"/>
    <s v="LRL-2022-108-sjk"/>
    <s v="2022-444-29-EJW-A"/>
    <m/>
    <s v="Hamilton"/>
    <n v="40.090819000000003"/>
    <n v="-86.071279000000004"/>
    <s v="Transportation"/>
    <m/>
    <s v="No"/>
    <m/>
    <n v="5898"/>
    <n v="27524"/>
    <n v="5898"/>
    <s v="L"/>
    <s v="J"/>
    <m/>
    <m/>
    <m/>
    <m/>
    <m/>
    <m/>
    <s v="Corps did not require mitigation"/>
  </r>
  <r>
    <d v="2022-10-26T00:00:00"/>
    <s v="October"/>
    <x v="5"/>
    <x v="0"/>
    <n v="-0.40649999999999997"/>
    <x v="0"/>
    <n v="38617.51"/>
    <n v="349"/>
    <s v="State Isolated"/>
    <s v="PEM"/>
    <n v="0.27100000000000002"/>
    <s v="Maple Leaf Crossing, LLC"/>
    <s v="N/A"/>
    <s v="IWIP 2022-689-45-MTM-A"/>
    <m/>
    <s v="Lake"/>
    <n v="41.543187000000003"/>
    <n v="-87.511863000000005"/>
    <s v="Development"/>
    <m/>
    <s v="No"/>
    <m/>
    <n v="5792.63"/>
    <n v="27032.25"/>
    <n v="5792.63"/>
    <s v="C"/>
    <s v="SI"/>
    <s v="2 NF"/>
    <m/>
    <m/>
    <m/>
    <m/>
    <m/>
    <m/>
  </r>
  <r>
    <d v="2022-11-09T00:00:00"/>
    <s v="November "/>
    <x v="5"/>
    <x v="0"/>
    <n v="-1.39"/>
    <x v="0"/>
    <n v="132050"/>
    <n v="331"/>
    <s v="State Isolated"/>
    <s v="PEM"/>
    <n v="0.86"/>
    <s v="VJW Basin, Inc."/>
    <s v="N/A"/>
    <s v="IWIP 2019-871-64-MTM-A"/>
    <m/>
    <s v="Porter"/>
    <n v="41.496250000000003"/>
    <n v="-87.080566000000005"/>
    <s v="Development"/>
    <m/>
    <s v="No"/>
    <m/>
    <n v="19807.5"/>
    <n v="92435"/>
    <n v="19807.5"/>
    <s v="C"/>
    <s v="SI"/>
    <s v="2 NF"/>
    <m/>
    <m/>
    <m/>
    <m/>
    <m/>
    <m/>
  </r>
  <r>
    <d v="2022-11-09T00:00:00"/>
    <s v="November "/>
    <x v="5"/>
    <x v="0"/>
    <n v="-418"/>
    <x v="1"/>
    <n v="250800"/>
    <n v="331"/>
    <s v="Federal"/>
    <s v="Per"/>
    <n v="275"/>
    <s v="VJW Basin, Inc."/>
    <s v="LRC-2018-217"/>
    <s v="2019-871-64-MTM-A"/>
    <m/>
    <s v="Porter"/>
    <n v="41.496250000000003"/>
    <n v="-87.080566000000005"/>
    <s v="Development"/>
    <m/>
    <s v="No"/>
    <m/>
    <n v="37620"/>
    <n v="175560"/>
    <n v="37620"/>
    <s v="C"/>
    <m/>
    <m/>
    <m/>
    <m/>
    <m/>
    <m/>
    <m/>
    <m/>
  </r>
  <r>
    <d v="2022-11-09T00:00:00"/>
    <s v="November "/>
    <x v="5"/>
    <x v="5"/>
    <n v="-58"/>
    <x v="1"/>
    <n v="23200"/>
    <n v="342"/>
    <s v="Federal"/>
    <s v="Int"/>
    <n v="56"/>
    <s v="CenterPoint Energy Indiana South"/>
    <s v="N/A"/>
    <s v="2022-795-82-TMS-X"/>
    <m/>
    <s v="Vanderburgh"/>
    <n v="38.012479999999996"/>
    <n v="-87.640253999999999"/>
    <s v="Energy Production"/>
    <m/>
    <s v="No"/>
    <m/>
    <n v="3480"/>
    <n v="16239.999999999998"/>
    <n v="3480"/>
    <s v="L"/>
    <s v="J"/>
    <m/>
    <m/>
    <m/>
    <m/>
    <m/>
    <m/>
    <s v="NWP - Corps did not require mitigation - No Corps 404 No."/>
  </r>
  <r>
    <d v="2022-11-09T00:00:00"/>
    <s v="November "/>
    <x v="5"/>
    <x v="8"/>
    <n v="-210"/>
    <x v="1"/>
    <n v="84000"/>
    <n v="350"/>
    <s v="Federal"/>
    <s v="Int"/>
    <n v="175"/>
    <s v="INDOT"/>
    <s v="LRL-2022-285-djd"/>
    <s v="2022-556-08-JBT-A"/>
    <m/>
    <s v="Carroll"/>
    <n v="40.464647999999997"/>
    <n v="-86.636566000000002"/>
    <s v="Transportation"/>
    <m/>
    <s v="No"/>
    <m/>
    <n v="12600"/>
    <n v="58799.999999999993"/>
    <n v="12600"/>
    <s v="L"/>
    <s v="J"/>
    <m/>
    <m/>
    <m/>
    <m/>
    <m/>
    <m/>
    <m/>
  </r>
  <r>
    <d v="2022-11-09T00:00:00"/>
    <s v="November "/>
    <x v="5"/>
    <x v="8"/>
    <n v="-66"/>
    <x v="1"/>
    <n v="26400"/>
    <n v="350"/>
    <s v="Federal"/>
    <s v="Per"/>
    <n v="101"/>
    <s v="INDOT"/>
    <s v="LRL-2022-285-djd"/>
    <s v="2022-556-08-JBT-A"/>
    <m/>
    <s v="Carroll"/>
    <n v="40.464647999999997"/>
    <n v="-86.636566000000002"/>
    <s v="Transportation"/>
    <m/>
    <s v="No"/>
    <m/>
    <n v="3960"/>
    <n v="18480"/>
    <n v="3960"/>
    <s v="L"/>
    <s v="J"/>
    <m/>
    <m/>
    <m/>
    <m/>
    <m/>
    <m/>
    <m/>
  </r>
  <r>
    <d v="2022-11-09T00:00:00"/>
    <s v="November "/>
    <x v="5"/>
    <x v="8"/>
    <n v="-0.18"/>
    <x v="0"/>
    <n v="14400"/>
    <n v="350"/>
    <s v="Federal"/>
    <s v="PEM"/>
    <n v="7.5999999999999998E-2"/>
    <s v="INDOT"/>
    <s v="LRL-2022-285-djd"/>
    <s v="2022-556-08-JBT-A"/>
    <m/>
    <s v="Carroll"/>
    <n v="40.464647999999997"/>
    <n v="-86.636566000000002"/>
    <s v="Transportation"/>
    <m/>
    <s v="No"/>
    <m/>
    <n v="2160"/>
    <n v="10080"/>
    <n v="2160"/>
    <s v="L"/>
    <s v="J"/>
    <m/>
    <m/>
    <m/>
    <m/>
    <m/>
    <m/>
    <m/>
  </r>
  <r>
    <d v="2022-11-09T00:00:00"/>
    <s v="November "/>
    <x v="5"/>
    <x v="8"/>
    <n v="-0.14000000000000001"/>
    <x v="0"/>
    <n v="11200"/>
    <n v="350"/>
    <s v="Federal"/>
    <s v="PFO"/>
    <n v="0.04"/>
    <s v="INDOT"/>
    <s v="LRL-2022-285-djd"/>
    <s v="2022-556-08-JBT-A"/>
    <m/>
    <s v="Carroll"/>
    <n v="40.464647999999997"/>
    <n v="-86.636566000000002"/>
    <s v="Transportation"/>
    <m/>
    <s v="No"/>
    <m/>
    <n v="1680"/>
    <n v="7839.9999999999991"/>
    <n v="1680"/>
    <s v="L"/>
    <s v="J"/>
    <m/>
    <m/>
    <m/>
    <m/>
    <m/>
    <m/>
    <m/>
  </r>
  <r>
    <d v="2022-11-09T00:00:00"/>
    <s v="November "/>
    <x v="5"/>
    <x v="10"/>
    <n v="-1.431"/>
    <x v="0"/>
    <n v="114480"/>
    <n v="341"/>
    <s v="State Isolated"/>
    <s v="PEM"/>
    <n v="0.95399999999999996"/>
    <s v="Lennar Homes of Indiana "/>
    <s v="N/A"/>
    <s v="IWIP 2022-681-41-JWR-A"/>
    <m/>
    <s v="Johnson"/>
    <n v="39.591644000000002"/>
    <n v="-86.077051999999995"/>
    <s v="Development"/>
    <m/>
    <s v="No"/>
    <m/>
    <n v="17172"/>
    <n v="80136"/>
    <n v="17172"/>
    <s v="L"/>
    <s v="SI"/>
    <s v="2 NF"/>
    <m/>
    <m/>
    <m/>
    <m/>
    <m/>
    <m/>
  </r>
  <r>
    <d v="2022-11-09T00:00:00"/>
    <s v="November "/>
    <x v="5"/>
    <x v="10"/>
    <n v="-0.13400000000000001"/>
    <x v="0"/>
    <n v="10720"/>
    <n v="341"/>
    <s v="State Isolated"/>
    <s v="PFO"/>
    <n v="6.7000000000000004E-2"/>
    <s v="Lennar Homes of Indiana "/>
    <s v="N/A"/>
    <s v="IWIP 2022-681-41-JWR-A"/>
    <m/>
    <s v="Johnson"/>
    <n v="39.591644000000002"/>
    <n v="-86.077051999999995"/>
    <s v="Development"/>
    <m/>
    <s v="No"/>
    <m/>
    <n v="1608"/>
    <n v="7503.9999999999991"/>
    <n v="1608"/>
    <s v="L"/>
    <s v="SI"/>
    <s v="2 FO"/>
    <m/>
    <m/>
    <m/>
    <m/>
    <m/>
    <m/>
  </r>
  <r>
    <d v="2022-11-21T00:00:00"/>
    <s v="November "/>
    <x v="5"/>
    <x v="7"/>
    <n v="-0.54"/>
    <x v="0"/>
    <n v="43200"/>
    <n v="354"/>
    <s v="State Isolated"/>
    <s v="PEM"/>
    <n v="0.35899999999999999"/>
    <s v="Holmans Crossing, LLC"/>
    <s v="N/A"/>
    <s v="IWIP 2022-826-10-JWR-A"/>
    <m/>
    <s v="Clark"/>
    <n v="38.328194000000003"/>
    <n v="-85.718721000000002"/>
    <s v="Development"/>
    <m/>
    <s v="No"/>
    <m/>
    <n v="6480"/>
    <n v="30239.999999999996"/>
    <n v="6480"/>
    <s v="L"/>
    <s v="SI"/>
    <s v="2 NF"/>
    <m/>
    <m/>
    <m/>
    <m/>
    <m/>
    <m/>
  </r>
  <r>
    <d v="2022-11-21T00:00:00"/>
    <s v="November "/>
    <x v="5"/>
    <x v="9"/>
    <n v="-1271"/>
    <x v="1"/>
    <n v="571950"/>
    <n v="339"/>
    <s v="Federal"/>
    <s v="Int"/>
    <n v="1059"/>
    <s v="Lawrence Central High School"/>
    <s v="LRL-2021-444-sjk"/>
    <s v="2022-421-49-JWR-A"/>
    <m/>
    <s v="Marion"/>
    <n v="39.859699999999997"/>
    <n v="-86.039199999999994"/>
    <s v="Development"/>
    <m/>
    <s v="No"/>
    <m/>
    <n v="85792.5"/>
    <n v="400365"/>
    <n v="85792.5"/>
    <s v="L"/>
    <s v="J"/>
    <m/>
    <m/>
    <m/>
    <m/>
    <m/>
    <m/>
    <s v="IDEM - 1059, Corps 1271"/>
  </r>
  <r>
    <d v="2022-11-21T00:00:00"/>
    <s v="November "/>
    <x v="5"/>
    <x v="9"/>
    <n v="-315"/>
    <x v="1"/>
    <n v="141750"/>
    <n v="339"/>
    <s v="Federal"/>
    <s v="Eph"/>
    <n v="263"/>
    <s v="Lawrence Central High School"/>
    <s v="LRL-2021-444-sjk"/>
    <s v="2022-421-49-JWR-A"/>
    <m/>
    <s v="Marion"/>
    <n v="39.859699999999997"/>
    <n v="-86.039199999999994"/>
    <s v="Development"/>
    <m/>
    <s v="No"/>
    <m/>
    <n v="21262.5"/>
    <n v="99225"/>
    <n v="21262.5"/>
    <s v="L"/>
    <s v="J"/>
    <m/>
    <m/>
    <m/>
    <m/>
    <m/>
    <m/>
    <s v="IDEM -263, Corps - 315"/>
  </r>
  <r>
    <d v="2022-11-21T00:00:00"/>
    <s v="November "/>
    <x v="5"/>
    <x v="9"/>
    <n v="-0.2"/>
    <x v="0"/>
    <n v="16000"/>
    <n v="352"/>
    <s v="State Isolated"/>
    <s v="PEM"/>
    <n v="0.2"/>
    <s v="Commercial Links, LLC"/>
    <s v="N/A"/>
    <s v="IWGP 2020-691-29-ALF-A"/>
    <m/>
    <s v="Hamilton"/>
    <n v="40.042999999999999"/>
    <n v="-86.161900000000003"/>
    <s v="Development"/>
    <m/>
    <s v="No"/>
    <m/>
    <n v="2400"/>
    <n v="11200"/>
    <n v="2400"/>
    <s v="L"/>
    <s v="SI"/>
    <s v="1 NF"/>
    <m/>
    <m/>
    <m/>
    <m/>
    <m/>
    <m/>
  </r>
  <r>
    <d v="2022-12-06T00:00:00"/>
    <s v="December"/>
    <x v="5"/>
    <x v="4"/>
    <n v="-80.5"/>
    <x v="1"/>
    <n v="32200"/>
    <n v="344"/>
    <s v="Federal"/>
    <s v="Eph"/>
    <n v="80.5"/>
    <s v="Duke Energy"/>
    <s v="LRL-2019-576-MKD "/>
    <s v="2019-559-84-ALF-A "/>
    <m/>
    <s v="Vigo"/>
    <n v="39.557079999999999"/>
    <n v="-87.438710999999998"/>
    <s v="Energy Production"/>
    <m/>
    <s v="No"/>
    <m/>
    <n v="4830"/>
    <n v="22540"/>
    <n v="4830"/>
    <s v="L"/>
    <s v="J"/>
    <m/>
    <m/>
    <m/>
    <m/>
    <m/>
    <m/>
    <s v="Corps did not require mitigation"/>
  </r>
  <r>
    <d v="2022-12-06T00:00:00"/>
    <s v="December"/>
    <x v="5"/>
    <x v="4"/>
    <n v="-0.53"/>
    <x v="0"/>
    <n v="42400"/>
    <n v="344"/>
    <s v="Federal"/>
    <s v="PEM"/>
    <n v="0.53"/>
    <s v="Duke Energy"/>
    <s v="LRL-2019-576-MKD "/>
    <s v="2019-559-84-ALF-A "/>
    <m/>
    <s v="Vigo"/>
    <n v="39.557079999999999"/>
    <n v="-87.438710999999998"/>
    <s v="Energy Production"/>
    <m/>
    <s v="No"/>
    <m/>
    <n v="6360"/>
    <n v="29679.999999999996"/>
    <n v="6360"/>
    <s v="L"/>
    <s v="J"/>
    <m/>
    <m/>
    <m/>
    <m/>
    <m/>
    <m/>
    <s v="Corps did not require mitigation"/>
  </r>
  <r>
    <d v="2022-12-15T00:00:00"/>
    <s v="December"/>
    <x v="5"/>
    <x v="3"/>
    <n v="-6.9420000000000002"/>
    <x v="0"/>
    <n v="555360"/>
    <n v="365"/>
    <s v="State Isolated"/>
    <s v="PFO"/>
    <n v="3.4710000000000001"/>
    <s v="Auburn Holdings, LLC"/>
    <s v="N/A"/>
    <s v="IWIP 2022-905-17-EJW-A"/>
    <m/>
    <s v="DeKalb"/>
    <n v="41.368189000000001"/>
    <n v="-85.079463000000004"/>
    <s v="Development"/>
    <m/>
    <s v="No"/>
    <m/>
    <n v="83304"/>
    <n v="388752"/>
    <n v="83304"/>
    <s v="D"/>
    <s v="SI"/>
    <s v="2 FO"/>
    <m/>
    <m/>
    <m/>
    <m/>
    <m/>
    <m/>
  </r>
  <r>
    <d v="2022-12-19T00:00:00"/>
    <s v="December"/>
    <x v="5"/>
    <x v="9"/>
    <n v="-1.875"/>
    <x v="0"/>
    <n v="150000"/>
    <n v="359"/>
    <s v="State Isolated"/>
    <s v="PFO"/>
    <n v="0.75"/>
    <s v="D.R. Horton"/>
    <s v="N/A"/>
    <s v="IWIP 2022-852-49-EKB-A"/>
    <m/>
    <s v="Marion"/>
    <n v="39.679664000000002"/>
    <n v="-86.277248"/>
    <s v="Development"/>
    <m/>
    <s v="No"/>
    <m/>
    <n v="22500"/>
    <n v="105000"/>
    <n v="22500"/>
    <s v="L"/>
    <s v="SI"/>
    <s v="3 FO"/>
    <m/>
    <m/>
    <m/>
    <m/>
    <m/>
    <m/>
  </r>
  <r>
    <d v="2022-12-19T00:00:00"/>
    <s v="December"/>
    <x v="5"/>
    <x v="9"/>
    <n v="-158"/>
    <x v="1"/>
    <n v="71100"/>
    <n v="359"/>
    <s v="Federal"/>
    <s v="Eph"/>
    <n v="132"/>
    <s v="D.R. Horton"/>
    <s v="LRL-2021-681-sam"/>
    <s v="2022-852-49-EKB-A"/>
    <m/>
    <s v="Marion"/>
    <n v="39.673189999999998"/>
    <n v="-86.279008000000005"/>
    <s v="Development"/>
    <m/>
    <s v="No"/>
    <m/>
    <n v="10665"/>
    <n v="49770"/>
    <n v="10665"/>
    <s v="L"/>
    <s v="J"/>
    <m/>
    <m/>
    <m/>
    <m/>
    <m/>
    <m/>
    <m/>
  </r>
  <r>
    <d v="2022-12-19T00:00:00"/>
    <s v="December"/>
    <x v="5"/>
    <x v="9"/>
    <n v="-0.31"/>
    <x v="0"/>
    <n v="24800"/>
    <n v="359"/>
    <s v="Federal"/>
    <s v="PEM"/>
    <n v="0.13"/>
    <s v="D.R. Horton"/>
    <s v="LRL-2021-681-sam"/>
    <s v="2022-852-49-EKB-A"/>
    <m/>
    <s v="Marion"/>
    <n v="39.673189999999998"/>
    <n v="-86.279008000000005"/>
    <s v="Development"/>
    <m/>
    <s v="No"/>
    <m/>
    <n v="3720"/>
    <n v="17360"/>
    <n v="3720"/>
    <s v="L"/>
    <s v="J"/>
    <m/>
    <m/>
    <m/>
    <m/>
    <m/>
    <m/>
    <m/>
  </r>
  <r>
    <d v="2022-12-19T00:00:00"/>
    <s v="December"/>
    <x v="5"/>
    <x v="9"/>
    <n v="-0.14399999999999999"/>
    <x v="0"/>
    <n v="11520"/>
    <n v="358"/>
    <s v="Federal"/>
    <s v="PFO"/>
    <n v="3.5999999999999997E-2"/>
    <s v="Hamilton County Highway Department"/>
    <s v="LRL-2022-362-sam"/>
    <s v="2022-437-29-EKB-A"/>
    <m/>
    <s v="Hamilton"/>
    <n v="40.000300000000003"/>
    <n v="-86.019300000000001"/>
    <s v="Transportation"/>
    <m/>
    <s v="No"/>
    <m/>
    <n v="1728"/>
    <n v="8063.9999999999991"/>
    <n v="1728"/>
    <s v="L"/>
    <s v="J"/>
    <m/>
    <m/>
    <m/>
    <m/>
    <m/>
    <m/>
    <m/>
  </r>
  <r>
    <d v="2022-12-19T00:00:00"/>
    <s v="December"/>
    <x v="5"/>
    <x v="9"/>
    <n v="-61"/>
    <x v="1"/>
    <n v="27450"/>
    <n v="358"/>
    <s v="Federal"/>
    <s v="Per"/>
    <n v="51"/>
    <s v="Hamilton County Highway Department"/>
    <s v="LRL-2022-362-sam"/>
    <s v="2022-437-29-EKB-A"/>
    <m/>
    <s v="Hamilton"/>
    <n v="40.000300000000003"/>
    <n v="-86.019300000000001"/>
    <s v="Transportation"/>
    <m/>
    <s v="No"/>
    <m/>
    <n v="4117.5"/>
    <n v="19215"/>
    <n v="4117.5"/>
    <s v="L"/>
    <s v="J"/>
    <m/>
    <m/>
    <m/>
    <m/>
    <m/>
    <m/>
    <m/>
  </r>
  <r>
    <d v="2022-12-27T00:00:00"/>
    <s v="December"/>
    <x v="5"/>
    <x v="4"/>
    <n v="-0.42"/>
    <x v="0"/>
    <n v="33600"/>
    <n v="360"/>
    <s v="Federal"/>
    <s v="PEM"/>
    <n v="0.36"/>
    <s v="City of Lafayette"/>
    <s v="LRL-2000-864-sam"/>
    <s v="2000-201-79-MTM-A"/>
    <m/>
    <s v="Tippecanoe"/>
    <n v="40.441000000000003"/>
    <n v="-86.885599999999997"/>
    <s v="Transportation"/>
    <m/>
    <s v="No"/>
    <m/>
    <n v="5040"/>
    <n v="23520"/>
    <n v="5040"/>
    <s v="L"/>
    <s v="J"/>
    <m/>
    <m/>
    <m/>
    <m/>
    <m/>
    <m/>
    <m/>
  </r>
  <r>
    <d v="2022-12-30T00:00:00"/>
    <s v="December"/>
    <x v="5"/>
    <x v="0"/>
    <n v="-0.62"/>
    <x v="0"/>
    <n v="58900"/>
    <n v="362"/>
    <s v="Federal"/>
    <s v="PEM"/>
    <n v="0.31"/>
    <s v="INDOT"/>
    <s v="LRC-2022-00418"/>
    <s v="2022-1052-64-JBT-X"/>
    <m/>
    <s v="Porter"/>
    <n v="41.616900000000001"/>
    <n v="-87.041520000000006"/>
    <s v="Transportation"/>
    <m/>
    <s v="No"/>
    <m/>
    <n v="8835"/>
    <n v="41230"/>
    <n v="8835"/>
    <s v="C"/>
    <s v="J"/>
    <m/>
    <m/>
    <m/>
    <m/>
    <m/>
    <m/>
    <s v="IDEM required more mitgation than the Corps"/>
  </r>
  <r>
    <d v="2022-12-30T00:00:00"/>
    <s v="December"/>
    <x v="5"/>
    <x v="7"/>
    <n v="-1370"/>
    <x v="1"/>
    <n v="548000"/>
    <n v="364"/>
    <s v="Federal"/>
    <s v="Per"/>
    <n v="1370"/>
    <s v="INDOT"/>
    <s v="LRL-2022-223-scm"/>
    <s v="2022-477-78-SCF-A"/>
    <m/>
    <s v="Switzerland"/>
    <n v="38.792222000000002"/>
    <n v="-84.902221999999995"/>
    <s v="Transportation"/>
    <m/>
    <s v="No"/>
    <m/>
    <n v="82200"/>
    <n v="383600"/>
    <n v="82200"/>
    <s v="L"/>
    <s v="J"/>
    <m/>
    <m/>
    <m/>
    <m/>
    <m/>
    <m/>
    <s v="Corps did not require mitigation"/>
  </r>
  <r>
    <d v="2022-12-30T00:00:00"/>
    <s v="December"/>
    <x v="5"/>
    <x v="8"/>
    <n v="-50"/>
    <x v="1"/>
    <n v="20000"/>
    <n v="355"/>
    <s v="Federal"/>
    <s v="Eph"/>
    <n v="50"/>
    <s v="INDOT"/>
    <s v="LRL-2021-608-djd"/>
    <s v="2022-482-27-SCF-A"/>
    <m/>
    <s v="Grant"/>
    <n v="40.449575000000003"/>
    <n v="-85.546802999999997"/>
    <s v="Transportation"/>
    <m/>
    <s v="No"/>
    <m/>
    <n v="3000"/>
    <n v="14000"/>
    <n v="3000"/>
    <s v="L"/>
    <s v="J"/>
    <m/>
    <m/>
    <m/>
    <m/>
    <m/>
    <m/>
    <m/>
  </r>
  <r>
    <d v="2022-12-30T00:00:00"/>
    <s v="December"/>
    <x v="5"/>
    <x v="9"/>
    <n v="-50"/>
    <x v="1"/>
    <n v="22500"/>
    <n v="363"/>
    <s v="Federal"/>
    <s v="Per"/>
    <n v="50"/>
    <s v="INDOT"/>
    <s v="LRL-2022-749-scm"/>
    <s v="2022-836-55-JBT-A"/>
    <m/>
    <s v="Morgan"/>
    <n v="39.566926000000002"/>
    <n v="-86.255801000000005"/>
    <s v="Transportation"/>
    <m/>
    <s v="No"/>
    <m/>
    <n v="3375"/>
    <n v="15749.999999999998"/>
    <n v="3375"/>
    <s v="L"/>
    <s v="J"/>
    <m/>
    <m/>
    <m/>
    <m/>
    <m/>
    <m/>
    <m/>
  </r>
  <r>
    <d v="2022-12-30T00:00:00"/>
    <s v="December"/>
    <x v="5"/>
    <x v="9"/>
    <n v="-1.46"/>
    <x v="0"/>
    <n v="116800"/>
    <n v="363"/>
    <s v="Federal"/>
    <s v="PEM"/>
    <n v="0.60499999999999998"/>
    <s v="INDOT"/>
    <s v="LRL-2022-749-scm"/>
    <s v="2022-836-55-JBT-A"/>
    <m/>
    <s v="Morgan"/>
    <n v="39.566926000000002"/>
    <n v="-86.255801000000005"/>
    <s v="Transportation"/>
    <m/>
    <s v="No"/>
    <m/>
    <n v="17520"/>
    <n v="81760"/>
    <n v="17520"/>
    <s v="L"/>
    <s v="J"/>
    <m/>
    <m/>
    <m/>
    <m/>
    <m/>
    <m/>
    <m/>
  </r>
  <r>
    <d v="2022-12-30T00:00:00"/>
    <s v="December"/>
    <x v="5"/>
    <x v="9"/>
    <n v="-1.004"/>
    <x v="0"/>
    <n v="80320"/>
    <n v="363"/>
    <s v="Federal"/>
    <s v="PFO"/>
    <n v="0.251"/>
    <s v="INDOT"/>
    <s v="LRL-2022-749-scm"/>
    <s v="2022-836-55-JBT-A"/>
    <m/>
    <s v="Morgan"/>
    <n v="39.566926000000002"/>
    <n v="-86.255801000000005"/>
    <s v="Transportation"/>
    <m/>
    <s v="No"/>
    <m/>
    <n v="12048"/>
    <n v="56224"/>
    <n v="12048"/>
    <s v="L"/>
    <s v="J"/>
    <m/>
    <m/>
    <m/>
    <m/>
    <m/>
    <m/>
    <m/>
  </r>
  <r>
    <d v="2022-12-30T00:00:00"/>
    <s v="December"/>
    <x v="5"/>
    <x v="10"/>
    <n v="-110"/>
    <x v="1"/>
    <n v="44000"/>
    <n v="357"/>
    <s v="Federal"/>
    <s v="Per"/>
    <n v="110"/>
    <s v="INDOT"/>
    <s v="LRL-2022-869-djd"/>
    <s v="2022-965-15-JBT-X"/>
    <m/>
    <s v="Dearborn"/>
    <n v="39.280039000000002"/>
    <n v="-84.874027999999996"/>
    <s v="Transportation"/>
    <m/>
    <s v="No"/>
    <m/>
    <n v="6600"/>
    <n v="30799.999999999996"/>
    <n v="6600"/>
    <s v="L"/>
    <s v="J"/>
    <m/>
    <m/>
    <m/>
    <m/>
    <m/>
    <m/>
    <s v="Corps did not require mitigation"/>
  </r>
  <r>
    <m/>
    <m/>
    <x v="1"/>
    <x v="11"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01-23T00:00:00"/>
    <s v="January"/>
    <x v="6"/>
    <x v="9"/>
    <n v="-330.5"/>
    <x v="1"/>
    <n v="148725"/>
    <n v="356"/>
    <s v="Federal"/>
    <s v="Per"/>
    <n v="330.5"/>
    <s v="City of Noblesville"/>
    <s v="LRL-2020-699-sjk"/>
    <s v="2021-0428-29-JBT-A"/>
    <m/>
    <s v="Hamilton"/>
    <n v="40.040700000000001"/>
    <n v="-86.025099999999995"/>
    <s v="Transportation"/>
    <m/>
    <s v="No"/>
    <m/>
    <n v="22308.75"/>
    <n v="104107.5"/>
    <n v="22308.75"/>
    <s v="L"/>
    <s v="J"/>
    <m/>
    <m/>
    <m/>
    <m/>
    <m/>
    <m/>
    <s v="Corps did not require mitigation"/>
  </r>
  <r>
    <d v="2023-01-30T00:00:00"/>
    <s v="January"/>
    <x v="6"/>
    <x v="0"/>
    <n v="-0.15"/>
    <x v="0"/>
    <n v="14250"/>
    <n v="367"/>
    <s v="State Isolated"/>
    <s v="PFO"/>
    <n v="0.14699999999999999"/>
    <s v="ANR Pipeline Company"/>
    <s v="N/A"/>
    <s v="IWIP 2022-1040-46-MTM-A"/>
    <m/>
    <s v="LaPorte"/>
    <n v="41.653461"/>
    <n v="-86.894983999999994"/>
    <s v="Energy Production"/>
    <m/>
    <s v="No"/>
    <m/>
    <n v="2137.5"/>
    <n v="9975"/>
    <n v="2137.5"/>
    <s v="C"/>
    <s v="SI"/>
    <s v="2 FO"/>
    <m/>
    <m/>
    <m/>
    <m/>
    <m/>
    <m/>
  </r>
  <r>
    <d v="2023-02-02T00:00:00"/>
    <s v="February"/>
    <x v="6"/>
    <x v="9"/>
    <n v="-0.02"/>
    <x v="0"/>
    <n v="1600"/>
    <n v="292"/>
    <s v="State Isolated"/>
    <s v="PEM"/>
    <n v="0.02"/>
    <s v="Strategic Capital Partners, LLC"/>
    <s v="N/A"/>
    <s v="IWGP 2021-327-06-ERL-A"/>
    <m/>
    <s v="Boone"/>
    <n v="39.954666000000003"/>
    <n v="-86.358998999999997"/>
    <s v="Development"/>
    <m/>
    <s v="No"/>
    <m/>
    <n v="240"/>
    <n v="1120"/>
    <n v="240"/>
    <s v="L"/>
    <s v="SI"/>
    <s v="1 NF"/>
    <m/>
    <m/>
    <m/>
    <m/>
    <m/>
    <m/>
  </r>
  <r>
    <d v="2023-02-07T00:00:00"/>
    <s v="February"/>
    <x v="6"/>
    <x v="0"/>
    <n v="-2"/>
    <x v="0"/>
    <n v="190000"/>
    <n v="316"/>
    <s v="Federal"/>
    <s v="PEM"/>
    <n v="2"/>
    <s v="USACE Chicago District"/>
    <s v="N/A"/>
    <s v="2004-354-45-MTM-A"/>
    <m/>
    <s v="Lake"/>
    <n v="-87.417884000000001"/>
    <n v="41.560015999999997"/>
    <s v="Dam"/>
    <m/>
    <s v="No"/>
    <m/>
    <n v="28500"/>
    <n v="133000"/>
    <n v="28500"/>
    <s v="C"/>
    <s v="J"/>
    <m/>
    <m/>
    <m/>
    <m/>
    <m/>
    <m/>
    <s v="401 Modification"/>
  </r>
  <r>
    <d v="2023-02-09T00:00:00"/>
    <s v="February"/>
    <x v="6"/>
    <x v="5"/>
    <n v="-151"/>
    <x v="1"/>
    <n v="60400"/>
    <n v="343"/>
    <s v="Federal"/>
    <s v="Int"/>
    <n v="126"/>
    <s v="Evansville Water and Sewer Utility"/>
    <s v="LRL-2021-00537"/>
    <s v="2022-552-82-TMS-A"/>
    <m/>
    <s v="Vanderburg"/>
    <n v="38.010286000000001"/>
    <n v="-87.548895999999999"/>
    <s v="Energy Production"/>
    <m/>
    <s v="No"/>
    <m/>
    <n v="9060"/>
    <n v="42280"/>
    <n v="9060"/>
    <s v="L"/>
    <s v="J"/>
    <m/>
    <m/>
    <m/>
    <m/>
    <m/>
    <m/>
    <s v="Corps required more mitigation than IDEM"/>
  </r>
  <r>
    <d v="2023-02-09T00:00:00"/>
    <s v="February"/>
    <x v="6"/>
    <x v="5"/>
    <n v="-48"/>
    <x v="1"/>
    <n v="19200"/>
    <n v="343"/>
    <s v="Federal"/>
    <s v="Per"/>
    <n v="40"/>
    <s v="Evansville Water and Sewer Utility"/>
    <s v="LRL-2021-00537"/>
    <s v="2022-552-82-TMS-A"/>
    <m/>
    <s v="Vanderburg"/>
    <n v="38.010286000000001"/>
    <n v="-87.548895999999999"/>
    <s v="Energy Production"/>
    <m/>
    <s v="No"/>
    <m/>
    <n v="2880"/>
    <n v="13440"/>
    <n v="2880"/>
    <s v="L"/>
    <s v="J"/>
    <m/>
    <m/>
    <m/>
    <m/>
    <m/>
    <m/>
    <s v="Corps required more mitigation than IDEM"/>
  </r>
  <r>
    <d v="2023-02-16T00:00:00"/>
    <s v="February"/>
    <x v="6"/>
    <x v="9"/>
    <n v="-5.3999999999999999E-2"/>
    <x v="0"/>
    <n v="4320"/>
    <n v="378"/>
    <s v="State Isolated"/>
    <s v="PFO"/>
    <n v="2.7E-2"/>
    <s v="Argo Family Stoarage"/>
    <s v="N/A"/>
    <s v="IWIP 2022-1108-30-EKB-A"/>
    <m/>
    <s v="Hancock"/>
    <n v="39.831012000000001"/>
    <n v="-85.952631999999994"/>
    <s v="Development"/>
    <m/>
    <s v="No"/>
    <m/>
    <n v="648"/>
    <n v="3024"/>
    <n v="648"/>
    <s v="L"/>
    <s v="SI"/>
    <s v="2 FO"/>
    <m/>
    <m/>
    <m/>
    <m/>
    <m/>
    <m/>
  </r>
  <r>
    <d v="2023-02-16T00:00:00"/>
    <s v="February"/>
    <x v="6"/>
    <x v="9"/>
    <n v="-0.1095"/>
    <x v="0"/>
    <n v="8760"/>
    <n v="378"/>
    <s v="State Isolated"/>
    <s v="PEM"/>
    <n v="7.2999999999999995E-2"/>
    <s v="Argo Family Stoarage"/>
    <s v="N/A"/>
    <s v="IWIP 2022-1108-30-EKB-A"/>
    <m/>
    <s v="Hancock"/>
    <n v="39.831012000000001"/>
    <n v="-85.952631999999994"/>
    <s v="Development"/>
    <m/>
    <s v="No"/>
    <m/>
    <n v="1314"/>
    <n v="6132"/>
    <n v="1314"/>
    <s v="L"/>
    <s v="SI"/>
    <s v="2 NF"/>
    <m/>
    <m/>
    <m/>
    <m/>
    <m/>
    <m/>
  </r>
  <r>
    <d v="2023-02-20T00:00:00"/>
    <s v="February"/>
    <x v="6"/>
    <x v="2"/>
    <n v="-79"/>
    <x v="1"/>
    <n v="31600"/>
    <n v="369"/>
    <s v="Federal"/>
    <s v="Int"/>
    <n v="79"/>
    <s v="INDOT"/>
    <s v="LRL-2021-374-scm"/>
    <s v="2022-120-36-SCF-X"/>
    <m/>
    <s v="Jackson"/>
    <n v="39.008249999999997"/>
    <n v="-86.090530000000001"/>
    <s v="Transportation"/>
    <m/>
    <s v="No"/>
    <m/>
    <n v="4740"/>
    <n v="22120"/>
    <n v="4740"/>
    <s v="L"/>
    <s v="J"/>
    <m/>
    <m/>
    <m/>
    <m/>
    <m/>
    <m/>
    <m/>
  </r>
  <r>
    <d v="2023-02-20T00:00:00"/>
    <s v="February"/>
    <x v="6"/>
    <x v="2"/>
    <n v="-16"/>
    <x v="1"/>
    <n v="6400"/>
    <n v="369"/>
    <s v="Federal"/>
    <s v="Eph"/>
    <n v="16"/>
    <s v="INDOT"/>
    <s v="LRL-2021-374-scm"/>
    <s v="2022-120-36-SCF-X"/>
    <m/>
    <s v="Jackson"/>
    <n v="39.008249999999997"/>
    <n v="-86.090530000000001"/>
    <s v="Transportation"/>
    <m/>
    <s v="No"/>
    <m/>
    <n v="960"/>
    <n v="4480"/>
    <n v="960"/>
    <s v="L"/>
    <s v="J"/>
    <m/>
    <m/>
    <m/>
    <m/>
    <m/>
    <m/>
    <m/>
  </r>
  <r>
    <d v="2023-02-20T00:00:00"/>
    <s v="February"/>
    <x v="6"/>
    <x v="2"/>
    <n v="-266"/>
    <x v="1"/>
    <n v="106400"/>
    <n v="376"/>
    <s v="Federal"/>
    <s v="Eph"/>
    <n v="266"/>
    <s v="INDOT"/>
    <s v="LRL-2022-170-scm"/>
    <s v="2022-942-19-JBT-A"/>
    <m/>
    <s v="Dubois"/>
    <n v="38.285024999999997"/>
    <n v="-86.959277"/>
    <s v="Transportation"/>
    <m/>
    <s v="No"/>
    <m/>
    <n v="15960"/>
    <n v="74480"/>
    <n v="15960"/>
    <s v="L"/>
    <s v="J"/>
    <m/>
    <m/>
    <m/>
    <m/>
    <m/>
    <m/>
    <m/>
  </r>
  <r>
    <d v="2023-02-20T00:00:00"/>
    <s v="February"/>
    <x v="6"/>
    <x v="8"/>
    <n v="-918"/>
    <x v="1"/>
    <n v="367200"/>
    <n v="370"/>
    <s v="Federal"/>
    <s v="Int"/>
    <n v="918"/>
    <s v="INDOT"/>
    <s v="LRL-2022-395-dds"/>
    <s v="2022-766-35-JBT-A"/>
    <m/>
    <s v="Huntington"/>
    <n v="40.919710000000002"/>
    <n v="-85.533929999999998"/>
    <s v="Transportation"/>
    <m/>
    <s v="No"/>
    <m/>
    <n v="55080"/>
    <n v="257039.99999999997"/>
    <n v="55080"/>
    <s v="L"/>
    <s v="J"/>
    <m/>
    <m/>
    <m/>
    <m/>
    <m/>
    <m/>
    <m/>
  </r>
  <r>
    <d v="2023-02-20T00:00:00"/>
    <s v="February"/>
    <x v="6"/>
    <x v="8"/>
    <n v="-199.4"/>
    <x v="1"/>
    <n v="79760"/>
    <n v="370"/>
    <s v="Federal"/>
    <s v="Per"/>
    <n v="250.6"/>
    <s v="INDOT"/>
    <s v="LRL-2022-395-dds"/>
    <s v="2022-766-35-JBT-A"/>
    <m/>
    <s v="Huntington"/>
    <n v="40.919710000000002"/>
    <n v="-85.533929999999998"/>
    <s v="Transportation"/>
    <m/>
    <s v="No"/>
    <m/>
    <n v="11964"/>
    <n v="55832"/>
    <n v="11964"/>
    <s v="L"/>
    <s v="J"/>
    <m/>
    <m/>
    <m/>
    <m/>
    <m/>
    <m/>
    <m/>
  </r>
  <r>
    <d v="2023-02-20T00:00:00"/>
    <s v="February"/>
    <x v="6"/>
    <x v="8"/>
    <n v="-3.55"/>
    <x v="0"/>
    <n v="284000"/>
    <n v="370"/>
    <s v="Federal"/>
    <s v="PFO"/>
    <n v="0.89"/>
    <s v="INDOT"/>
    <s v="LRL-2022-395-dds"/>
    <s v="2022-766-35-JBT-A"/>
    <m/>
    <s v="Huntington"/>
    <n v="40.919710000000002"/>
    <n v="-85.533929999999998"/>
    <s v="Transportation"/>
    <m/>
    <s v="No"/>
    <m/>
    <n v="42600"/>
    <n v="198800"/>
    <n v="42600"/>
    <s v="L"/>
    <s v="J"/>
    <m/>
    <m/>
    <m/>
    <m/>
    <m/>
    <m/>
    <m/>
  </r>
  <r>
    <d v="2023-02-20T00:00:00"/>
    <s v="February"/>
    <x v="6"/>
    <x v="9"/>
    <n v="-0.153"/>
    <x v="0"/>
    <n v="12240"/>
    <n v="368"/>
    <s v="State Isolated"/>
    <s v="PEM"/>
    <n v="0.10199999999999999"/>
    <s v="INDOT"/>
    <s v="N/A"/>
    <s v="IWIP 2022-918-29-SCF-A"/>
    <m/>
    <s v="Hamilton"/>
    <n v="40.118119999999998"/>
    <n v="-86.123689999999996"/>
    <s v="Transportation"/>
    <m/>
    <s v="No"/>
    <m/>
    <n v="1836"/>
    <n v="8568"/>
    <n v="1836"/>
    <s v="L"/>
    <s v="SI"/>
    <s v="2 NF"/>
    <m/>
    <m/>
    <m/>
    <m/>
    <m/>
    <m/>
  </r>
  <r>
    <d v="2023-02-20T00:00:00"/>
    <s v="February"/>
    <x v="6"/>
    <x v="10"/>
    <n v="-320"/>
    <x v="1"/>
    <n v="128000"/>
    <n v="375"/>
    <s v="Federal"/>
    <s v="Int"/>
    <n v="382"/>
    <s v="INDOT"/>
    <s v="LRL-2022-874-scm"/>
    <s v="2022-923-36-JBT-A"/>
    <m/>
    <s v="Jackson"/>
    <n v="38.851390000000002"/>
    <n v="-85.885660000000001"/>
    <s v="Transportation"/>
    <m/>
    <s v="No"/>
    <m/>
    <n v="19200"/>
    <n v="89600"/>
    <n v="19200"/>
    <s v="L"/>
    <s v="J"/>
    <m/>
    <m/>
    <m/>
    <m/>
    <m/>
    <m/>
    <m/>
  </r>
  <r>
    <d v="2023-02-20T00:00:00"/>
    <s v="February"/>
    <x v="6"/>
    <x v="10"/>
    <n v="-0.51"/>
    <x v="0"/>
    <n v="40800"/>
    <n v="375"/>
    <s v="Federal"/>
    <s v="PEM"/>
    <n v="0.21"/>
    <s v="INDOT"/>
    <s v="LRL-2022-874-scm"/>
    <s v="2022-923-36-JBT-A"/>
    <m/>
    <s v="Jackson"/>
    <n v="38.851390000000002"/>
    <n v="-85.885660000000001"/>
    <s v="Transportation"/>
    <m/>
    <s v="No"/>
    <m/>
    <n v="6120"/>
    <n v="28560"/>
    <n v="6120"/>
    <s v="L"/>
    <s v="J"/>
    <m/>
    <m/>
    <m/>
    <m/>
    <m/>
    <m/>
    <m/>
  </r>
  <r>
    <d v="2023-02-20T00:00:00"/>
    <s v="February"/>
    <x v="6"/>
    <x v="10"/>
    <n v="-0.21"/>
    <x v="0"/>
    <n v="16800"/>
    <n v="375"/>
    <s v="Federal"/>
    <s v="PFO"/>
    <n v="5.6000000000000001E-2"/>
    <s v="INDOT"/>
    <s v="LRL-2022-874-scm"/>
    <s v="2022-923-36-JBT-A"/>
    <m/>
    <s v="Jackson"/>
    <n v="38.851390000000002"/>
    <n v="-85.885660000000001"/>
    <s v="Transportation"/>
    <m/>
    <s v="No"/>
    <m/>
    <n v="2520"/>
    <n v="11760"/>
    <n v="2520"/>
    <s v="L"/>
    <s v="J"/>
    <m/>
    <m/>
    <m/>
    <m/>
    <m/>
    <m/>
    <m/>
  </r>
  <r>
    <d v="2023-02-27T00:00:00"/>
    <s v="February"/>
    <x v="6"/>
    <x v="4"/>
    <n v="-0.20300000000000001"/>
    <x v="0"/>
    <n v="16240"/>
    <n v="384"/>
    <s v="State Isolated"/>
    <s v="PEM"/>
    <n v="0.13500000000000001"/>
    <s v="INDOT"/>
    <s v="N/A"/>
    <s v="IWIP 2022-789-79-JBT-A"/>
    <m/>
    <s v="Tippecanoe and Montgomery"/>
    <n v="40.224794000000003"/>
    <n v="-86.904089999999997"/>
    <s v="Transportation"/>
    <m/>
    <s v="No"/>
    <m/>
    <n v="2436"/>
    <n v="11368"/>
    <n v="2436"/>
    <s v="L"/>
    <s v="SI"/>
    <s v="2 NF"/>
    <m/>
    <m/>
    <m/>
    <m/>
    <m/>
    <m/>
  </r>
  <r>
    <d v="2023-02-27T00:00:00"/>
    <s v="February"/>
    <x v="6"/>
    <x v="5"/>
    <n v="-139"/>
    <x v="1"/>
    <n v="55600"/>
    <n v="383"/>
    <s v="Federal"/>
    <s v="Eph"/>
    <n v="139"/>
    <s v="INDOT"/>
    <s v="LRL-2022-39-djd"/>
    <s v="2022-233-87-JBT-A"/>
    <m/>
    <s v="Warrick"/>
    <n v="38.039859999999997"/>
    <n v="-87.192059999999998"/>
    <s v="Transportation"/>
    <m/>
    <s v="No"/>
    <m/>
    <n v="8340"/>
    <n v="38920"/>
    <n v="8340"/>
    <s v="L"/>
    <s v="J"/>
    <m/>
    <m/>
    <m/>
    <m/>
    <m/>
    <m/>
    <s v="USACE did not require mitigation"/>
  </r>
  <r>
    <d v="2023-02-27T00:00:00"/>
    <s v="February"/>
    <x v="6"/>
    <x v="5"/>
    <n v="-41"/>
    <x v="1"/>
    <n v="16400"/>
    <n v="383"/>
    <s v="Federal"/>
    <s v="Int"/>
    <n v="41"/>
    <s v="INDOT"/>
    <s v="LRL-2022-39-djd"/>
    <s v="2022-233-87-JBT-A"/>
    <m/>
    <s v="Warrick"/>
    <n v="38.039859999999997"/>
    <n v="-87.192059999999998"/>
    <s v="Transportation"/>
    <m/>
    <s v="No"/>
    <m/>
    <n v="2460"/>
    <n v="11480"/>
    <n v="2460"/>
    <s v="L"/>
    <s v="J"/>
    <m/>
    <m/>
    <m/>
    <m/>
    <m/>
    <m/>
    <s v="USACE did not require mitigation"/>
  </r>
  <r>
    <d v="2023-02-27T00:00:00"/>
    <s v="February"/>
    <x v="6"/>
    <x v="9"/>
    <n v="-0.20399999999999999"/>
    <x v="0"/>
    <n v="16320"/>
    <n v="379"/>
    <s v="Federal"/>
    <s v="PSS"/>
    <n v="6.8000000000000005E-2"/>
    <s v="Meijer"/>
    <s v="LRL-2023-00072-jde"/>
    <s v="2022-1330-29-EKB-X"/>
    <m/>
    <s v="Hamilton"/>
    <n v="40.045099999999998"/>
    <n v="-86.069100000000006"/>
    <s v="Development"/>
    <m/>
    <s v="No"/>
    <m/>
    <n v="2448"/>
    <n v="11424"/>
    <n v="2448"/>
    <s v="L"/>
    <s v="J"/>
    <m/>
    <m/>
    <m/>
    <m/>
    <m/>
    <m/>
    <m/>
  </r>
  <r>
    <d v="2023-02-27T00:00:00"/>
    <s v="February"/>
    <x v="6"/>
    <x v="10"/>
    <n v="-0.22500000000000001"/>
    <x v="0"/>
    <n v="18000"/>
    <n v="386"/>
    <s v="State Isolated"/>
    <s v="PFO"/>
    <n v="0.09"/>
    <s v="Shear GF1, LLC"/>
    <s v="N/A"/>
    <s v="IWIP 2022-955-30-EKB-A"/>
    <m/>
    <s v="Hancock"/>
    <n v="39.822262000000002"/>
    <n v="-85.790085000000005"/>
    <s v="Development"/>
    <m/>
    <s v="No"/>
    <m/>
    <n v="2700"/>
    <n v="12600"/>
    <n v="2700"/>
    <s v="L"/>
    <s v="SI"/>
    <s v="3 FO"/>
    <m/>
    <m/>
    <m/>
    <m/>
    <m/>
    <m/>
  </r>
  <r>
    <d v="2023-03-13T00:00:00"/>
    <s v="March"/>
    <x v="6"/>
    <x v="10"/>
    <n v="-0.16200000000000001"/>
    <x v="0"/>
    <n v="12960"/>
    <n v="381"/>
    <s v="Federal"/>
    <s v="PEM"/>
    <n v="8.1000000000000003E-2"/>
    <s v="INDOT"/>
    <s v="LRL-2022-815-djd"/>
    <s v="2022-1065-36-JBT-A"/>
    <m/>
    <s v="Jackson"/>
    <n v="38.979213000000001"/>
    <n v="-86.021602000000001"/>
    <s v="Transportation"/>
    <m/>
    <s v="No"/>
    <m/>
    <n v="1944"/>
    <n v="9072"/>
    <n v="1944"/>
    <s v="L"/>
    <s v="J"/>
    <m/>
    <m/>
    <m/>
    <m/>
    <m/>
    <m/>
    <m/>
  </r>
  <r>
    <d v="2023-03-13T00:00:00"/>
    <s v="March"/>
    <x v="6"/>
    <x v="10"/>
    <n v="-780"/>
    <x v="1"/>
    <n v="312000"/>
    <n v="381"/>
    <s v="Federal"/>
    <s v="Eph"/>
    <n v="780"/>
    <s v="INDOT"/>
    <s v="LRL-2022-815-djd"/>
    <s v="2022-1065-36-JBT-A"/>
    <m/>
    <s v="Jackson"/>
    <n v="38.979213000000001"/>
    <n v="-86.021602000000001"/>
    <s v="Transportation"/>
    <m/>
    <s v="No"/>
    <m/>
    <n v="46800"/>
    <n v="218400"/>
    <n v="46800"/>
    <s v="L"/>
    <s v="J"/>
    <m/>
    <m/>
    <m/>
    <m/>
    <m/>
    <m/>
    <m/>
  </r>
  <r>
    <d v="2023-03-13T00:00:00"/>
    <s v="March"/>
    <x v="6"/>
    <x v="10"/>
    <n v="-17"/>
    <x v="1"/>
    <n v="6800"/>
    <n v="381"/>
    <s v="Federal"/>
    <s v="Per"/>
    <n v="17"/>
    <s v="INDOT"/>
    <s v="LRL-2022-815-djd"/>
    <s v="2022-1065-36-JBT-A"/>
    <m/>
    <s v="Jackson"/>
    <n v="38.979213000000001"/>
    <n v="-86.021602000000001"/>
    <s v="Transportation"/>
    <m/>
    <s v="No"/>
    <m/>
    <n v="1020"/>
    <n v="4760"/>
    <n v="1020"/>
    <s v="L"/>
    <s v="J"/>
    <m/>
    <m/>
    <m/>
    <m/>
    <m/>
    <m/>
    <m/>
  </r>
  <r>
    <d v="2023-03-14T00:00:00"/>
    <s v="March"/>
    <x v="6"/>
    <x v="7"/>
    <n v="-0.38"/>
    <x v="0"/>
    <n v="30400"/>
    <n v="372"/>
    <s v="Federal"/>
    <s v="PEM"/>
    <n v="0.19"/>
    <s v="Floyd County"/>
    <s v="N/A"/>
    <s v="2022-691-22-JWR-X"/>
    <m/>
    <s v="Floyd"/>
    <n v="38.316153"/>
    <n v="-85.901615000000007"/>
    <s v="Development"/>
    <m/>
    <s v="No"/>
    <m/>
    <n v="4560"/>
    <n v="21280"/>
    <n v="4560"/>
    <s v="L"/>
    <s v="J"/>
    <m/>
    <m/>
    <m/>
    <m/>
    <m/>
    <m/>
    <m/>
  </r>
  <r>
    <d v="2023-03-23T00:00:00"/>
    <s v="March"/>
    <x v="6"/>
    <x v="0"/>
    <n v="-0.93799999999999994"/>
    <x v="0"/>
    <n v="89110"/>
    <n v="348"/>
    <s v="Federal"/>
    <s v="PEM"/>
    <n v="0.93799999999999994"/>
    <s v="North Porter County Conservation Club"/>
    <s v="LRC-2021-130"/>
    <s v="2022-305-64-MTM-A"/>
    <m/>
    <s v="Porter"/>
    <n v="41.569047126842499"/>
    <n v="87.042424098139605"/>
    <s v="Development"/>
    <m/>
    <s v="No"/>
    <m/>
    <n v="13366.5"/>
    <n v="62376.999999999993"/>
    <n v="13366.5"/>
    <s v="C"/>
    <s v="J"/>
    <m/>
    <m/>
    <m/>
    <m/>
    <m/>
    <m/>
    <s v="Required ILF credit purchased over two (2) payment instrallments - authorized by Corps and IDEM($50,000 paid in 2022, and 39,110 paid in 2023)"/>
  </r>
  <r>
    <d v="2023-03-27T00:00:00"/>
    <s v="March"/>
    <x v="6"/>
    <x v="9"/>
    <n v="-385"/>
    <x v="1"/>
    <n v="173250"/>
    <n v="265"/>
    <s v="Federal"/>
    <s v="Int"/>
    <n v="321"/>
    <s v="Schoolcraft Development Company"/>
    <s v="LRL-2014-608-lcl"/>
    <s v="2020-767-49-ALF-A"/>
    <m/>
    <s v="Marion"/>
    <n v="39.640099999999997"/>
    <n v="-86.130799999999994"/>
    <s v="Development"/>
    <m/>
    <s v="No"/>
    <m/>
    <n v="25987.5"/>
    <n v="121274.99999999999"/>
    <n v="25987.5"/>
    <s v="L"/>
    <s v="J"/>
    <m/>
    <m/>
    <m/>
    <m/>
    <m/>
    <m/>
    <s v="Corps required more ILF stream credit than IDEM - IDEM 321"/>
  </r>
  <r>
    <d v="2023-03-27T00:00:00"/>
    <s v="March"/>
    <x v="6"/>
    <x v="9"/>
    <n v="-0.42"/>
    <x v="0"/>
    <n v="33600"/>
    <n v="265"/>
    <s v="Federal"/>
    <s v="PSS"/>
    <n v="0.14000000000000001"/>
    <s v="Schoolcraft Development Company"/>
    <s v="LRL-2014-608-lcl"/>
    <s v="2020-767-49-ALF-A"/>
    <m/>
    <s v="Marion"/>
    <n v="39.640099999999997"/>
    <n v="-86.130799999999994"/>
    <s v="Development"/>
    <m/>
    <s v="No"/>
    <m/>
    <n v="5040"/>
    <n v="23520"/>
    <n v="5040"/>
    <s v="L"/>
    <s v="J"/>
    <m/>
    <m/>
    <m/>
    <m/>
    <m/>
    <m/>
    <s v="IDEM required more ILF wetland credit than Corps - corps required .34 SS"/>
  </r>
  <r>
    <d v="2023-03-27T00:00:00"/>
    <s v="March"/>
    <x v="6"/>
    <x v="9"/>
    <n v="-0.52"/>
    <x v="0"/>
    <n v="41600"/>
    <n v="265"/>
    <s v="Federal"/>
    <s v="PEM"/>
    <n v="0.14000000000000001"/>
    <s v="Schoolcraft Development Company"/>
    <s v="LRL-2014-608-lcl"/>
    <s v="2020-767-49-ALF-A"/>
    <m/>
    <s v="Marion"/>
    <n v="39.640099999999997"/>
    <n v="-86.130799999999994"/>
    <s v="Development"/>
    <m/>
    <s v="No"/>
    <m/>
    <n v="6240"/>
    <n v="29119.999999999996"/>
    <n v="6240"/>
    <s v="L"/>
    <s v="J"/>
    <m/>
    <m/>
    <m/>
    <m/>
    <m/>
    <m/>
    <s v="Corps didn't require any PEM - ILF required for 0.14 open water impacts? - not listed in table. "/>
  </r>
  <r>
    <d v="2023-03-27T00:00:00"/>
    <s v="March"/>
    <x v="6"/>
    <x v="9"/>
    <n v="-245"/>
    <x v="1"/>
    <n v="110250"/>
    <n v="389"/>
    <s v="Federal"/>
    <s v="Int"/>
    <n v="329"/>
    <s v="Old Town Development"/>
    <s v="LRL-2021-00804-ddc"/>
    <s v="2021-746-29-JBT-A"/>
    <m/>
    <s v="Hamilton"/>
    <n v="40.042230000000004"/>
    <n v="-86.128630000000001"/>
    <s v="Development"/>
    <m/>
    <s v="No"/>
    <m/>
    <n v="16537.5"/>
    <n v="77175"/>
    <n v="16537.5"/>
    <s v="L"/>
    <s v="J"/>
    <m/>
    <m/>
    <m/>
    <m/>
    <m/>
    <m/>
    <s v="Corps did not require mitigation"/>
  </r>
  <r>
    <d v="2023-04-18T00:00:00"/>
    <s v="April"/>
    <x v="6"/>
    <x v="0"/>
    <n v="-1"/>
    <x v="0"/>
    <n v="95000"/>
    <n v="337"/>
    <s v="Federal"/>
    <s v="PEM"/>
    <n v="8.3000000000000004E-2"/>
    <s v="Atlantic Richfield Company"/>
    <s v="LRC-2022-00195"/>
    <s v="2022-904-45-MTM-A"/>
    <m/>
    <s v="Lake"/>
    <n v="41.646259000000001"/>
    <n v="-87.484943000000001"/>
    <s v="Development"/>
    <m/>
    <s v="No"/>
    <m/>
    <n v="14250"/>
    <n v="66500"/>
    <n v="14250"/>
    <s v="C"/>
    <s v="J"/>
    <m/>
    <m/>
    <m/>
    <m/>
    <m/>
    <m/>
    <m/>
  </r>
  <r>
    <d v="2023-04-18T00:00:00"/>
    <s v="April"/>
    <x v="6"/>
    <x v="0"/>
    <n v="-0.48599999999999999"/>
    <x v="0"/>
    <n v="46170"/>
    <n v="402"/>
    <s v="Federal"/>
    <s v="PEM"/>
    <n v="0.27"/>
    <s v="Porter County"/>
    <s v="LRC-2022-00039"/>
    <s v="2022-13-64-MTM-A"/>
    <m/>
    <s v="Porter"/>
    <n v="41.560267000000003"/>
    <n v="-87.104940999999997"/>
    <s v="Development"/>
    <m/>
    <s v="No"/>
    <m/>
    <n v="6925.5"/>
    <n v="32318.999999999996"/>
    <n v="6925.5"/>
    <s v="C"/>
    <s v="J"/>
    <m/>
    <m/>
    <m/>
    <m/>
    <m/>
    <m/>
    <s v="IDEM 0.405 Corps .486"/>
  </r>
  <r>
    <d v="2023-04-18T00:00:00"/>
    <s v="April"/>
    <x v="6"/>
    <x v="0"/>
    <n v="-0.14399999999999999"/>
    <x v="0"/>
    <n v="13680"/>
    <n v="402"/>
    <s v="Federal"/>
    <s v="PSS"/>
    <n v="0.14399999999999999"/>
    <s v="Porter County"/>
    <s v="LRC-2022-00039"/>
    <s v="2022-13-64-MTM-A"/>
    <m/>
    <s v="Porter"/>
    <n v="41.560267000000003"/>
    <n v="-87.104940999999997"/>
    <s v="Development"/>
    <m/>
    <s v="No"/>
    <m/>
    <n v="2052"/>
    <n v="9576"/>
    <n v="2052"/>
    <s v="C"/>
    <s v="J"/>
    <m/>
    <m/>
    <m/>
    <m/>
    <m/>
    <m/>
    <s v="IDEM 0.182 Corps 0.144"/>
  </r>
  <r>
    <d v="2023-04-18T00:00:00"/>
    <s v="April"/>
    <x v="6"/>
    <x v="0"/>
    <n v="-0.22"/>
    <x v="0"/>
    <n v="20900"/>
    <n v="380"/>
    <s v="Federal"/>
    <s v="PEM"/>
    <n v="0.12"/>
    <s v="SP/DSP Portage Owner, LLC"/>
    <s v="LRC-2021-00756"/>
    <s v="2022-1088-64-MTM-A"/>
    <m/>
    <s v="Porter"/>
    <n v="41.598882000000003"/>
    <n v="-87.191326000000004"/>
    <s v="Development"/>
    <m/>
    <s v="No"/>
    <m/>
    <n v="3135"/>
    <n v="14629.999999999998"/>
    <n v="3135"/>
    <s v="C"/>
    <s v="J"/>
    <m/>
    <m/>
    <m/>
    <m/>
    <m/>
    <m/>
    <m/>
  </r>
  <r>
    <d v="2023-04-18T00:00:00"/>
    <s v="April"/>
    <x v="6"/>
    <x v="0"/>
    <n v="-1.33"/>
    <x v="0"/>
    <n v="126350"/>
    <n v="380"/>
    <s v="Federal"/>
    <s v="PFO"/>
    <n v="0.37"/>
    <s v="SP/DSP Portage Owner, LLC"/>
    <s v="LRC-2021-00756"/>
    <s v="2022-1088-64-MTM-A"/>
    <m/>
    <s v="Porter"/>
    <n v="41.598882000000003"/>
    <n v="-87.191326000000004"/>
    <s v="Development"/>
    <m/>
    <s v="No"/>
    <m/>
    <n v="18952.5"/>
    <n v="88445"/>
    <n v="18952.5"/>
    <s v="C"/>
    <s v="J"/>
    <m/>
    <m/>
    <m/>
    <m/>
    <m/>
    <m/>
    <m/>
  </r>
  <r>
    <d v="2023-04-18T00:00:00"/>
    <s v="April"/>
    <x v="6"/>
    <x v="5"/>
    <n v="-494"/>
    <x v="1"/>
    <n v="197600"/>
    <n v="398"/>
    <s v="Federal"/>
    <s v="Int"/>
    <n v="412"/>
    <s v="Evansville-Vanderburgh Airport Authority"/>
    <s v="LRL-2022-547-tmb"/>
    <s v="2022-640-82-TMS"/>
    <m/>
    <s v="Vanderburgh"/>
    <n v="38.045692000000003"/>
    <n v="-87.529272000000006"/>
    <s v="Development"/>
    <m/>
    <s v="No"/>
    <m/>
    <n v="29640"/>
    <n v="138320"/>
    <n v="29640"/>
    <s v="L"/>
    <s v="J"/>
    <m/>
    <m/>
    <m/>
    <m/>
    <m/>
    <m/>
    <s v="Corps required 494, IDEM 412"/>
  </r>
  <r>
    <d v="2023-04-18T00:00:00"/>
    <s v="April"/>
    <x v="6"/>
    <x v="7"/>
    <n v="-288"/>
    <x v="1"/>
    <n v="115200"/>
    <n v="400"/>
    <s v="Federal"/>
    <s v="Eph"/>
    <n v="288"/>
    <s v="Clark County Board of Commissioners"/>
    <s v="LRL-2013-00374"/>
    <s v="2021-189-10-TMS-A"/>
    <m/>
    <s v="Clark"/>
    <n v="38.457000000000001"/>
    <n v="-85.847740000000002"/>
    <s v="Development"/>
    <m/>
    <s v="No"/>
    <m/>
    <n v="17280"/>
    <n v="80640"/>
    <n v="17280"/>
    <s v="L"/>
    <s v="J"/>
    <m/>
    <m/>
    <m/>
    <m/>
    <m/>
    <m/>
    <s v="Purchase 2 of 7 required by 404 and 401"/>
  </r>
  <r>
    <d v="2023-04-18T00:00:00"/>
    <s v="April"/>
    <x v="6"/>
    <x v="7"/>
    <n v="-1.3"/>
    <x v="0"/>
    <n v="104000"/>
    <n v="400"/>
    <s v="Federal"/>
    <s v="PEM"/>
    <n v="1.3"/>
    <s v="Clark County Board of Commissioners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s v="J"/>
    <m/>
    <m/>
    <m/>
    <m/>
    <m/>
    <m/>
    <s v="Purchase 2 of 7 required by 404 and 401"/>
  </r>
  <r>
    <d v="2023-04-18T00:00:00"/>
    <s v="April"/>
    <x v="6"/>
    <x v="9"/>
    <n v="-17"/>
    <x v="1"/>
    <n v="7650"/>
    <n v="387"/>
    <s v="Federal"/>
    <s v="Int"/>
    <n v="14"/>
    <s v="GSR Ground A, LLC"/>
    <s v="LRL-2022-942-DDC"/>
    <s v="2022-1034-49-EKB-X"/>
    <m/>
    <s v="Marion"/>
    <n v="39.757373000000001"/>
    <n v="-86.294821999999996"/>
    <s v="Development"/>
    <m/>
    <s v="No"/>
    <m/>
    <n v="1147.5"/>
    <n v="5355"/>
    <n v="1147.5"/>
    <s v="L"/>
    <s v="J"/>
    <m/>
    <m/>
    <m/>
    <m/>
    <m/>
    <m/>
    <m/>
  </r>
  <r>
    <d v="2023-04-18T00:00:00"/>
    <s v="April"/>
    <x v="6"/>
    <x v="9"/>
    <n v="-0.32400000000000001"/>
    <x v="0"/>
    <n v="25920"/>
    <n v="387"/>
    <s v="Federal"/>
    <s v="PSS"/>
    <n v="0.09"/>
    <s v="GSR Ground A, LLC"/>
    <s v="LRL-2022-942-DDC"/>
    <s v="2022-1034-49-EKB-X"/>
    <m/>
    <s v="Marion"/>
    <n v="39.757373000000001"/>
    <n v="-86.294821999999996"/>
    <s v="Development"/>
    <m/>
    <s v="No"/>
    <m/>
    <n v="3888"/>
    <n v="18144"/>
    <n v="3888"/>
    <s v="L"/>
    <s v="J"/>
    <m/>
    <m/>
    <m/>
    <m/>
    <m/>
    <m/>
    <m/>
  </r>
  <r>
    <d v="2023-04-18T00:00:00"/>
    <s v="April"/>
    <x v="6"/>
    <x v="9"/>
    <n v="-7.6799999999999993E-2"/>
    <x v="0"/>
    <n v="6144"/>
    <n v="387"/>
    <s v="Federal"/>
    <s v="PFO"/>
    <n v="1.6E-2"/>
    <s v="GSR Ground A, LLC"/>
    <s v="LRL-2022-942-DDC"/>
    <s v="2022-1034-49-EKB-X"/>
    <m/>
    <s v="Marion"/>
    <n v="39.757373000000001"/>
    <n v="-86.294821999999996"/>
    <s v="Development"/>
    <m/>
    <s v="No"/>
    <m/>
    <n v="921.59999999999991"/>
    <n v="4300.7999999999993"/>
    <n v="921.59999999999991"/>
    <s v="L"/>
    <s v="J"/>
    <m/>
    <m/>
    <m/>
    <m/>
    <m/>
    <m/>
    <m/>
  </r>
  <r>
    <d v="2023-04-18T00:00:00"/>
    <s v="April"/>
    <x v="6"/>
    <x v="9"/>
    <n v="-3.42"/>
    <x v="0"/>
    <n v="273600"/>
    <s v="391 and 399"/>
    <s v="State Isolated"/>
    <s v="PEM"/>
    <n v="2.13"/>
    <s v="Henke Development Group, LLC"/>
    <s v="N/A"/>
    <s v="IWIP 2023-35-29-SCF-A"/>
    <m/>
    <s v="Hamilton"/>
    <n v="40.078893000000001"/>
    <n v="-86.129283999999998"/>
    <s v="Development"/>
    <m/>
    <s v="No"/>
    <m/>
    <n v="41040"/>
    <n v="191520"/>
    <n v="41040"/>
    <s v="L"/>
    <s v="SI"/>
    <s v="2 NF"/>
    <m/>
    <m/>
    <m/>
    <m/>
    <m/>
    <m/>
  </r>
  <r>
    <d v="2023-04-24T00:00:00"/>
    <s v="April"/>
    <x v="6"/>
    <x v="8"/>
    <n v="-0.7"/>
    <x v="0"/>
    <n v="56000"/>
    <n v="403"/>
    <s v="Federal"/>
    <s v="PFO"/>
    <n v="0.2"/>
    <s v="New Venture Development Corp"/>
    <s v="LRE-2022-00515-102-N22"/>
    <s v="2022-1018-EJW-X"/>
    <m/>
    <s v="Allen"/>
    <n v="41.199486999999998"/>
    <n v="-85.202242999999996"/>
    <s v="Development"/>
    <m/>
    <s v="No"/>
    <m/>
    <n v="8400"/>
    <n v="39200"/>
    <n v="8400"/>
    <s v="D"/>
    <s v="J"/>
    <m/>
    <m/>
    <m/>
    <m/>
    <m/>
    <m/>
    <m/>
  </r>
  <r>
    <d v="2023-04-25T00:00:00"/>
    <s v="April"/>
    <x v="6"/>
    <x v="7"/>
    <n v="-0.72"/>
    <x v="0"/>
    <n v="57600"/>
    <n v="388"/>
    <s v="Federal"/>
    <s v="PEM"/>
    <n v="0.29799999999999999"/>
    <s v="The Flats on 10th, LLC"/>
    <s v="LRL-2022-0823-kjs"/>
    <s v="2022-936-10-JWR-A"/>
    <m/>
    <s v="Clark"/>
    <n v="38.338082999999997"/>
    <n v="-85.712626"/>
    <s v="Development"/>
    <m/>
    <s v="No"/>
    <m/>
    <n v="8640"/>
    <n v="40320"/>
    <n v="8640"/>
    <s v="L"/>
    <s v="J"/>
    <m/>
    <m/>
    <m/>
    <m/>
    <m/>
    <m/>
    <m/>
  </r>
  <r>
    <d v="2023-04-26T00:00:00"/>
    <s v="April"/>
    <x v="6"/>
    <x v="1"/>
    <n v="-1.74"/>
    <x v="0"/>
    <n v="165300"/>
    <n v="396"/>
    <s v="State Isolated"/>
    <s v="PFO"/>
    <n v="0.57999999999999996"/>
    <s v="NIPSCO"/>
    <s v="N/A"/>
    <s v="IWIP 2022-813-37-MTM-A"/>
    <m/>
    <s v="Jasper"/>
    <n v="41.217205"/>
    <n v="-87.005990999999995"/>
    <s v="Energy Production"/>
    <m/>
    <s v="No"/>
    <m/>
    <n v="24795"/>
    <n v="115709.99999999999"/>
    <n v="24795"/>
    <s v="D"/>
    <s v="SI"/>
    <s v="3 FO"/>
    <m/>
    <m/>
    <m/>
    <m/>
    <m/>
    <m/>
  </r>
  <r>
    <d v="2023-04-26T00:00:00"/>
    <s v="April"/>
    <x v="6"/>
    <x v="4"/>
    <n v="-0.6"/>
    <x v="0"/>
    <n v="48000"/>
    <n v="408"/>
    <s v="Federal"/>
    <s v="PEM"/>
    <n v="0.25"/>
    <s v="Duke Energy"/>
    <s v="LRL-2022-0051-jde"/>
    <s v="2023-279-84-ERL-X"/>
    <m/>
    <s v="Vigo"/>
    <n v="39.397624"/>
    <n v="-87.479951"/>
    <s v="Transportation"/>
    <m/>
    <s v="No"/>
    <m/>
    <n v="7200"/>
    <n v="33600"/>
    <n v="7200"/>
    <s v="L"/>
    <s v="J"/>
    <m/>
    <m/>
    <m/>
    <m/>
    <m/>
    <m/>
    <m/>
  </r>
  <r>
    <d v="2023-04-26T00:00:00"/>
    <s v="April"/>
    <x v="6"/>
    <x v="7"/>
    <n v="-113"/>
    <x v="1"/>
    <n v="45200"/>
    <n v="406"/>
    <s v="Federal"/>
    <s v="Int"/>
    <n v="113"/>
    <s v="INDOT"/>
    <s v="LRL-2022-1041-djd"/>
    <s v="2023-91-78-SCF-A"/>
    <m/>
    <s v="Switzerland"/>
    <n v="38.892364999999998"/>
    <n v="-84.811717999999999"/>
    <s v="Transportation"/>
    <m/>
    <s v="No"/>
    <m/>
    <n v="6780"/>
    <n v="31639.999999999996"/>
    <n v="6780"/>
    <s v="L"/>
    <s v="J"/>
    <m/>
    <m/>
    <m/>
    <m/>
    <m/>
    <m/>
    <m/>
  </r>
  <r>
    <d v="2023-04-26T00:00:00"/>
    <s v="April"/>
    <x v="6"/>
    <x v="7"/>
    <n v="-488"/>
    <x v="1"/>
    <n v="195200"/>
    <n v="406"/>
    <s v="Federal"/>
    <s v="Per"/>
    <n v="488"/>
    <s v="INDOT"/>
    <s v="LRL-2022-1041-djd"/>
    <s v="2023-91-78-SCF-A"/>
    <m/>
    <s v="Switzerland"/>
    <n v="38.892364999999998"/>
    <n v="-84.811717999999999"/>
    <s v="Transportation"/>
    <m/>
    <s v="No"/>
    <m/>
    <n v="29280"/>
    <n v="136640"/>
    <n v="29280"/>
    <s v="L"/>
    <s v="J"/>
    <m/>
    <m/>
    <m/>
    <m/>
    <m/>
    <m/>
    <m/>
  </r>
  <r>
    <d v="2023-04-26T00:00:00"/>
    <s v="April"/>
    <x v="6"/>
    <x v="7"/>
    <n v="-6.8000000000000005E-2"/>
    <x v="0"/>
    <n v="5440"/>
    <n v="406"/>
    <s v="Federal"/>
    <s v="PFO"/>
    <n v="1.7000000000000001E-2"/>
    <s v="INDOT"/>
    <s v="LRL-2022-1041-djd"/>
    <s v="2023-91-78-SCF-A"/>
    <m/>
    <s v="Switzerland"/>
    <n v="38.892364999999998"/>
    <n v="-84.811717999999999"/>
    <s v="Transportation"/>
    <m/>
    <s v="No"/>
    <m/>
    <n v="816"/>
    <n v="3807.9999999999995"/>
    <n v="816"/>
    <s v="L"/>
    <s v="J"/>
    <m/>
    <m/>
    <m/>
    <m/>
    <m/>
    <m/>
    <m/>
  </r>
  <r>
    <d v="2023-04-26T00:00:00"/>
    <s v="April"/>
    <x v="6"/>
    <x v="8"/>
    <n v="-0.63"/>
    <x v="0"/>
    <n v="50400"/>
    <n v="345"/>
    <s v="Federal"/>
    <s v="PEM"/>
    <n v="0.26"/>
    <s v="City of Delphi"/>
    <s v="LRL-2022-318-sjk"/>
    <s v="2022-204-8-SCF"/>
    <m/>
    <s v="Carroll"/>
    <n v="40.580204000000002"/>
    <n v="-86.679981999999995"/>
    <s v="Development"/>
    <m/>
    <s v="No"/>
    <m/>
    <n v="7560"/>
    <n v="35280"/>
    <n v="7560"/>
    <s v="L"/>
    <s v="J"/>
    <m/>
    <m/>
    <m/>
    <m/>
    <m/>
    <m/>
    <s v="0.52 IDEM, 0.63 Corps"/>
  </r>
  <r>
    <d v="2023-04-26T00:00:00"/>
    <s v="April"/>
    <x v="6"/>
    <x v="8"/>
    <n v="-0.36"/>
    <x v="0"/>
    <n v="28800"/>
    <n v="345"/>
    <s v="Federal"/>
    <s v="PFO"/>
    <n v="0.09"/>
    <s v="City of Delphi"/>
    <s v="LRL-2022-318-sjk"/>
    <s v="2022-204-8-SCF"/>
    <m/>
    <s v="Carroll"/>
    <n v="40.580204000000002"/>
    <n v="-86.679981999999995"/>
    <s v="Development"/>
    <m/>
    <s v="No"/>
    <m/>
    <n v="4320"/>
    <n v="20160"/>
    <n v="4320"/>
    <s v="L"/>
    <s v="J"/>
    <m/>
    <m/>
    <m/>
    <m/>
    <m/>
    <m/>
    <s v="0.36 IDEM, 0.32 Corps"/>
  </r>
  <r>
    <d v="2023-04-26T00:00:00"/>
    <s v="April"/>
    <x v="6"/>
    <x v="9"/>
    <n v="-0.28749999999999998"/>
    <x v="0"/>
    <n v="23000"/>
    <n v="405"/>
    <s v="State Isolated"/>
    <s v="PFO"/>
    <n v="0.115"/>
    <s v="MSD of Wayne Township"/>
    <s v="N/A"/>
    <s v="IWIP 2023-105-49-EKB-A"/>
    <m/>
    <s v="Marion"/>
    <n v="39.774169999999998"/>
    <n v="-86.273200000000003"/>
    <s v="Development"/>
    <m/>
    <s v="No"/>
    <m/>
    <n v="3450"/>
    <n v="16099.999999999998"/>
    <n v="3450"/>
    <s v="L"/>
    <s v="SI"/>
    <s v="3 FO"/>
    <m/>
    <m/>
    <m/>
    <m/>
    <m/>
    <m/>
  </r>
  <r>
    <d v="2023-04-26T00:00:00"/>
    <s v="April"/>
    <x v="6"/>
    <x v="9"/>
    <n v="-498"/>
    <x v="1"/>
    <n v="224100"/>
    <n v="393"/>
    <s v="Federal"/>
    <s v="Eph"/>
    <n v="415"/>
    <s v="Rise Commercial District"/>
    <s v="LRL-2022-536-sam"/>
    <s v="2022-742-32-ERL-A"/>
    <m/>
    <s v="Hendricks"/>
    <n v="39.739699999999999"/>
    <n v="-86.337599999999995"/>
    <s v="Development"/>
    <m/>
    <s v="No"/>
    <m/>
    <n v="33615"/>
    <n v="156870"/>
    <n v="33615"/>
    <s v="L"/>
    <s v="J"/>
    <m/>
    <m/>
    <m/>
    <m/>
    <m/>
    <m/>
    <s v="Corps required more stream"/>
  </r>
  <r>
    <d v="2023-04-26T00:00:00"/>
    <s v="April"/>
    <x v="6"/>
    <x v="9"/>
    <n v="-7.0000000000000007E-2"/>
    <x v="0"/>
    <n v="5600"/>
    <n v="393"/>
    <s v="Federal"/>
    <s v="PEM"/>
    <n v="0.03"/>
    <s v="Rise Commercial District"/>
    <s v="LRL-2022-536-sam"/>
    <s v="2022-742-32-ERL-A"/>
    <m/>
    <s v="Hendricks"/>
    <n v="39.739699999999999"/>
    <n v="-86.337599999999995"/>
    <s v="Development"/>
    <m/>
    <s v="No"/>
    <m/>
    <n v="840"/>
    <n v="3919.9999999999995"/>
    <n v="840"/>
    <s v="L"/>
    <s v="J"/>
    <m/>
    <m/>
    <m/>
    <m/>
    <m/>
    <m/>
    <s v="Corps required more for PEM credit"/>
  </r>
  <r>
    <d v="2023-04-26T00:00:00"/>
    <s v="April"/>
    <x v="6"/>
    <x v="9"/>
    <n v="-4.8000000000000001E-2"/>
    <x v="0"/>
    <n v="3840"/>
    <n v="393"/>
    <s v="Federal"/>
    <s v="PSS"/>
    <n v="1.6E-2"/>
    <s v="Rise Commercial District"/>
    <s v="LRL-2022-536-sam"/>
    <s v="2022-742-32-ERL-A"/>
    <m/>
    <s v="Hendricks"/>
    <n v="39.739699999999999"/>
    <n v="-86.337599999999995"/>
    <s v="Development"/>
    <m/>
    <s v="No"/>
    <m/>
    <n v="576"/>
    <n v="2688"/>
    <n v="576"/>
    <s v="L"/>
    <s v="J"/>
    <m/>
    <m/>
    <m/>
    <m/>
    <m/>
    <m/>
    <s v="IDEM required more for PSS credit"/>
  </r>
  <r>
    <d v="2023-04-26T00:00:00"/>
    <s v="April"/>
    <x v="6"/>
    <x v="9"/>
    <n v="-0.26"/>
    <x v="0"/>
    <n v="20800"/>
    <n v="393"/>
    <s v="Federal"/>
    <s v="PFO"/>
    <n v="6.5000000000000002E-2"/>
    <s v="Rise Commercial District"/>
    <s v="LRL-2022-536-sam"/>
    <s v="2022-742-32-ERL-A"/>
    <m/>
    <s v="Hendricks"/>
    <n v="39.739699999999999"/>
    <n v="-86.337599999999995"/>
    <s v="Development"/>
    <m/>
    <s v="No"/>
    <m/>
    <n v="3120"/>
    <n v="14559.999999999998"/>
    <n v="3120"/>
    <s v="L"/>
    <s v="J"/>
    <m/>
    <m/>
    <m/>
    <m/>
    <m/>
    <m/>
    <s v="IDEM required more for PFO credit"/>
  </r>
  <r>
    <d v="2023-04-26T00:00:00"/>
    <s v="April"/>
    <x v="6"/>
    <x v="9"/>
    <n v="-22"/>
    <x v="1"/>
    <n v="9900"/>
    <n v="407"/>
    <s v="Federal"/>
    <s v="Eph"/>
    <n v="22"/>
    <s v="INDOT"/>
    <s v="LRL-2022-946-scm"/>
    <s v="2022-1372-55-JBT-X"/>
    <m/>
    <s v="Morgan"/>
    <n v="39.53875"/>
    <n v="-86.383160000000004"/>
    <s v="Transportation"/>
    <m/>
    <s v="No"/>
    <m/>
    <n v="1485"/>
    <n v="6930"/>
    <n v="1485"/>
    <s v="L"/>
    <s v="J"/>
    <m/>
    <m/>
    <m/>
    <m/>
    <m/>
    <m/>
    <m/>
  </r>
  <r>
    <d v="2023-04-27T00:00:00"/>
    <s v="April"/>
    <x v="6"/>
    <x v="6"/>
    <n v="-0.26"/>
    <x v="0"/>
    <n v="31200"/>
    <n v="394"/>
    <s v="Federal"/>
    <s v="PFO"/>
    <n v="0.22"/>
    <s v="NIPSCO"/>
    <s v="LRE-2022-00816-176-N22"/>
    <s v="2022-1148-76-EJW-X"/>
    <m/>
    <s v="Steuben"/>
    <n v="41.656427999999998"/>
    <n v="-85.101192999999995"/>
    <s v="Energy Production"/>
    <m/>
    <s v="No"/>
    <m/>
    <n v="4680"/>
    <n v="21840"/>
    <n v="4680"/>
    <s v="D"/>
    <s v="J"/>
    <m/>
    <m/>
    <m/>
    <m/>
    <m/>
    <m/>
    <m/>
  </r>
  <r>
    <d v="2023-05-15T00:00:00"/>
    <s v="May"/>
    <x v="6"/>
    <x v="1"/>
    <n v="-0.39"/>
    <x v="0"/>
    <n v="97050"/>
    <n v="418"/>
    <s v="Federal"/>
    <s v="PSS"/>
    <n v="0.13"/>
    <s v="NIPSCO"/>
    <s v="LRE-2011-00199-137-S22"/>
    <s v="2022-813-37-MTM-A"/>
    <m/>
    <s v="Jasper"/>
    <n v="41.217205"/>
    <n v="-87.005990999999995"/>
    <s v="Energy Production"/>
    <m/>
    <s v="No"/>
    <m/>
    <n v="14557.5"/>
    <n v="67935"/>
    <n v="14557.5"/>
    <s v="D"/>
    <s v="J"/>
    <m/>
    <m/>
    <m/>
    <m/>
    <m/>
    <m/>
    <m/>
  </r>
  <r>
    <d v="2023-05-23T00:00:00"/>
    <s v="May"/>
    <x v="6"/>
    <x v="9"/>
    <n v="-7"/>
    <x v="1"/>
    <n v="3150"/>
    <n v="413"/>
    <s v="Federal"/>
    <s v="Eph"/>
    <n v="6"/>
    <s v="Epcon Communities"/>
    <s v="LRL-2023-24-sjk"/>
    <s v="2023-130-29-GCW-A"/>
    <m/>
    <s v="Hamilton"/>
    <n v="39.956277"/>
    <n v="-85.874542000000005"/>
    <s v="Development"/>
    <m/>
    <s v="No"/>
    <m/>
    <n v="472.5"/>
    <n v="2205"/>
    <n v="472.5"/>
    <s v="L"/>
    <s v="J"/>
    <m/>
    <m/>
    <m/>
    <m/>
    <m/>
    <m/>
    <m/>
  </r>
  <r>
    <d v="2023-05-23T00:00:00"/>
    <s v="May"/>
    <x v="6"/>
    <x v="9"/>
    <n v="-0.36"/>
    <x v="0"/>
    <n v="28800"/>
    <n v="413"/>
    <s v="Federal"/>
    <s v="PEM"/>
    <n v="0.11"/>
    <s v="Epcon Communities"/>
    <s v="LRL-2023-24-sjk"/>
    <s v="2023-130-29-GCW-A"/>
    <m/>
    <s v="Hamilton"/>
    <n v="39.956277"/>
    <n v="-85.874542000000005"/>
    <s v="Development"/>
    <m/>
    <s v="No"/>
    <m/>
    <n v="4320"/>
    <n v="20160"/>
    <n v="4320"/>
    <s v="L"/>
    <s v="J"/>
    <m/>
    <m/>
    <m/>
    <m/>
    <m/>
    <m/>
    <m/>
  </r>
  <r>
    <d v="2023-05-23T00:00:00"/>
    <s v="May"/>
    <x v="6"/>
    <x v="9"/>
    <n v="-3"/>
    <x v="0"/>
    <n v="240000"/>
    <n v="413"/>
    <s v="Federal"/>
    <s v="PFO"/>
    <n v="0.75"/>
    <s v="Epcon Communities"/>
    <s v="LRL-2023-24-sjk"/>
    <s v="2023-130-29-GCW-A"/>
    <m/>
    <s v="Hamilton"/>
    <n v="39.956277"/>
    <n v="-85.874542000000005"/>
    <s v="Development"/>
    <m/>
    <s v="No"/>
    <m/>
    <n v="36000"/>
    <n v="168000"/>
    <n v="36000"/>
    <s v="L"/>
    <s v="J"/>
    <m/>
    <m/>
    <m/>
    <m/>
    <m/>
    <m/>
    <m/>
  </r>
  <r>
    <d v="2023-06-13T00:00:00"/>
    <s v="June"/>
    <x v="6"/>
    <x v="3"/>
    <n v="-0.216"/>
    <x v="0"/>
    <n v="17280"/>
    <n v="401"/>
    <s v="Federal"/>
    <s v="PFO"/>
    <n v="0.09"/>
    <s v="DeKalb County Board of Commissioners"/>
    <s v="LRE-2005-1170220-N23"/>
    <s v="2023-24-17-EJW-X"/>
    <m/>
    <s v="DeKalb"/>
    <n v="41.323115999999999"/>
    <n v="-85.124328000000006"/>
    <s v="Transportation"/>
    <m/>
    <s v="No"/>
    <m/>
    <n v="2592"/>
    <n v="12096"/>
    <n v="2592"/>
    <s v="D"/>
    <s v="J"/>
    <m/>
    <m/>
    <m/>
    <m/>
    <m/>
    <m/>
    <m/>
  </r>
  <r>
    <d v="2023-06-13T00:00:00"/>
    <s v="June"/>
    <x v="6"/>
    <x v="9"/>
    <n v="-1.575"/>
    <x v="0"/>
    <n v="126000"/>
    <n v="404"/>
    <s v="State Isolated"/>
    <s v="PFO"/>
    <n v="0.63"/>
    <s v="Hoosier Valley Development, LLC"/>
    <s v="N/A"/>
    <s v="IWIP 2022-986-32-ERL-A"/>
    <m/>
    <s v="Hendricks"/>
    <n v="39.820008000000001"/>
    <n v="-86.371840000000006"/>
    <s v="Development"/>
    <m/>
    <s v="No"/>
    <m/>
    <n v="18900"/>
    <n v="88200"/>
    <n v="18900"/>
    <s v="L"/>
    <s v="SI"/>
    <s v="3 FO"/>
    <m/>
    <m/>
    <m/>
    <m/>
    <m/>
    <m/>
  </r>
  <r>
    <d v="2023-06-14T00:00:00"/>
    <s v="June"/>
    <x v="6"/>
    <x v="1"/>
    <n v="-0.121"/>
    <x v="0"/>
    <n v="11495"/>
    <n v="420"/>
    <s v="Federal"/>
    <s v="PEM"/>
    <n v="0.121"/>
    <s v="Graythorne Development"/>
    <s v="LRC-2019-190"/>
    <s v="2021-92-45-MTM-A"/>
    <m/>
    <s v="Lake"/>
    <n v="41.315891999999998"/>
    <n v="-87.387343000000001"/>
    <s v="Development"/>
    <m/>
    <s v="No"/>
    <m/>
    <n v="1724.25"/>
    <n v="8046.4999999999991"/>
    <n v="1724.25"/>
    <s v="C"/>
    <s v="J"/>
    <m/>
    <m/>
    <m/>
    <m/>
    <m/>
    <m/>
    <m/>
  </r>
  <r>
    <d v="2023-06-14T00:00:00"/>
    <s v="June"/>
    <x v="6"/>
    <x v="3"/>
    <n v="-12.5"/>
    <x v="1"/>
    <n v="5625"/>
    <n v="416"/>
    <s v="Federal"/>
    <s v="Int"/>
    <n v="500"/>
    <s v="INDOT"/>
    <s v="LRE-2022-00697-176-N22"/>
    <s v="2022-954-76-JBT-A"/>
    <m/>
    <s v="Steuben"/>
    <n v="41.558332999999998"/>
    <n v="-84.859443999999996"/>
    <s v="Transportation"/>
    <m/>
    <s v="No"/>
    <m/>
    <n v="843.75"/>
    <n v="3937.4999999999995"/>
    <n v="843.75"/>
    <s v="D"/>
    <s v="J"/>
    <m/>
    <m/>
    <m/>
    <m/>
    <m/>
    <m/>
    <m/>
  </r>
  <r>
    <d v="2023-06-14T00:00:00"/>
    <s v="June"/>
    <x v="6"/>
    <x v="3"/>
    <n v="-111"/>
    <x v="1"/>
    <n v="49950"/>
    <n v="416"/>
    <s v="Federal"/>
    <s v="Per"/>
    <n v="200"/>
    <s v="INDOT"/>
    <s v="LRE-2022-00697-176-N22"/>
    <s v="2022-954-76-JBT-A"/>
    <m/>
    <s v="Steuben"/>
    <n v="41.558332999999998"/>
    <n v="-84.859443999999996"/>
    <s v="Transportation"/>
    <m/>
    <s v="No"/>
    <m/>
    <n v="7492.5"/>
    <n v="34965"/>
    <n v="7492.5"/>
    <s v="D"/>
    <s v="J"/>
    <m/>
    <m/>
    <m/>
    <m/>
    <m/>
    <m/>
    <m/>
  </r>
  <r>
    <d v="2023-06-14T00:00:00"/>
    <s v="June"/>
    <x v="6"/>
    <x v="3"/>
    <n v="-2.5"/>
    <x v="0"/>
    <n v="200000"/>
    <n v="414"/>
    <s v="State Isolated"/>
    <s v="PFO"/>
    <n v="1"/>
    <s v="INDOT"/>
    <s v="N/A"/>
    <s v="IWIP 2022-736-2-SCF-A"/>
    <m/>
    <s v="Allen"/>
    <n v="41.084394000000003"/>
    <n v="-84.995245999999995"/>
    <s v="Transportation"/>
    <m/>
    <s v="No"/>
    <m/>
    <n v="30000"/>
    <n v="140000"/>
    <n v="30000"/>
    <s v="D"/>
    <s v="SI"/>
    <s v="2 FO"/>
    <m/>
    <m/>
    <m/>
    <m/>
    <m/>
    <m/>
  </r>
  <r>
    <d v="2023-06-14T00:00:00"/>
    <s v="June"/>
    <x v="6"/>
    <x v="4"/>
    <n v="-305"/>
    <x v="1"/>
    <n v="122000"/>
    <n v="417"/>
    <s v="Federal"/>
    <s v="Int"/>
    <n v="305"/>
    <s v="INDOT"/>
    <s v="LRL-2022-701-djd"/>
    <s v="2023-153-55-SCF-A"/>
    <m/>
    <s v="Morgan"/>
    <n v="39.578830000000004"/>
    <n v="-86.504829999999998"/>
    <s v="Transportation"/>
    <m/>
    <s v="No"/>
    <m/>
    <n v="18300"/>
    <n v="85400"/>
    <n v="18300"/>
    <s v="L"/>
    <s v="J"/>
    <m/>
    <m/>
    <m/>
    <m/>
    <m/>
    <m/>
    <m/>
  </r>
  <r>
    <d v="2023-06-14T00:00:00"/>
    <s v="June"/>
    <x v="6"/>
    <x v="4"/>
    <n v="-98"/>
    <x v="1"/>
    <n v="39200"/>
    <n v="417"/>
    <s v="Federal"/>
    <s v="Per"/>
    <n v="98"/>
    <s v="INDOT"/>
    <s v="LRL-2022-701-djd"/>
    <s v="2023-153-55-SCF-A"/>
    <m/>
    <s v="Morgan"/>
    <n v="39.578830000000004"/>
    <n v="-86.504829999999998"/>
    <s v="Transportation"/>
    <m/>
    <s v="No"/>
    <m/>
    <n v="5880"/>
    <n v="27440"/>
    <n v="5880"/>
    <s v="L"/>
    <s v="J"/>
    <m/>
    <m/>
    <m/>
    <m/>
    <m/>
    <m/>
    <m/>
  </r>
  <r>
    <d v="2023-06-14T00:00:00"/>
    <s v="June"/>
    <x v="6"/>
    <x v="4"/>
    <n v="-4.0000000000000001E-3"/>
    <x v="0"/>
    <n v="320"/>
    <n v="417"/>
    <s v="Federal"/>
    <s v="PEM"/>
    <n v="2E-3"/>
    <s v="INDOT"/>
    <s v="LRL-2022-701-djd"/>
    <s v="2023-153-55-SCF-A"/>
    <m/>
    <s v="Morgan"/>
    <n v="39.578830000000004"/>
    <n v="-86.504829999999998"/>
    <s v="Transportation"/>
    <m/>
    <s v="No"/>
    <m/>
    <n v="48"/>
    <n v="224"/>
    <n v="48"/>
    <s v="L"/>
    <s v="J"/>
    <m/>
    <m/>
    <m/>
    <m/>
    <m/>
    <m/>
    <m/>
  </r>
  <r>
    <d v="2023-06-14T00:00:00"/>
    <s v="June"/>
    <x v="6"/>
    <x v="4"/>
    <n v="-2.4E-2"/>
    <x v="0"/>
    <n v="1920"/>
    <n v="417"/>
    <s v="State Isolated"/>
    <s v="PEM"/>
    <n v="1.6E-2"/>
    <s v="INDOT"/>
    <s v="N/A"/>
    <s v="IWIP 2023-153-55-SCF-A"/>
    <m/>
    <s v="Morgan"/>
    <n v="39.578830000000004"/>
    <n v="-86.504829999999998"/>
    <s v="Transportation"/>
    <m/>
    <s v="No"/>
    <m/>
    <n v="288"/>
    <n v="1344"/>
    <n v="288"/>
    <s v="L"/>
    <s v="SI"/>
    <s v="2 NF"/>
    <m/>
    <m/>
    <m/>
    <m/>
    <m/>
    <m/>
  </r>
  <r>
    <d v="2023-06-15T00:00:00"/>
    <s v="June"/>
    <x v="6"/>
    <x v="10"/>
    <n v="-2.42"/>
    <x v="0"/>
    <n v="193600"/>
    <n v="421"/>
    <s v="Federal"/>
    <s v="PEM"/>
    <n v="1.01"/>
    <s v="INDOT"/>
    <s v="LRL-2014-621-sam"/>
    <s v="2022-858-40-SCF-A"/>
    <m/>
    <s v="Jennings"/>
    <n v="39.021799999999999"/>
    <n v="-85.620199999999997"/>
    <s v="Transportation"/>
    <m/>
    <s v="No"/>
    <m/>
    <n v="29040"/>
    <n v="135520"/>
    <n v="29040"/>
    <s v="L"/>
    <s v="J"/>
    <m/>
    <m/>
    <m/>
    <m/>
    <m/>
    <m/>
    <m/>
  </r>
  <r>
    <d v="2023-06-15T00:00:00"/>
    <s v="June"/>
    <x v="6"/>
    <x v="10"/>
    <n v="-0.57999999999999996"/>
    <x v="0"/>
    <n v="46400"/>
    <n v="421"/>
    <s v="Federal"/>
    <s v="PFO"/>
    <n v="0.16"/>
    <s v="INDOT"/>
    <s v="LRL-2014-621-sam"/>
    <s v="2022-858-40-SCF-A"/>
    <m/>
    <s v="Jennings"/>
    <n v="39.021799999999999"/>
    <n v="-85.620199999999997"/>
    <s v="Transportation"/>
    <m/>
    <s v="No"/>
    <m/>
    <n v="6960"/>
    <n v="32479.999999999996"/>
    <n v="6960"/>
    <s v="L"/>
    <s v="J"/>
    <m/>
    <m/>
    <m/>
    <m/>
    <m/>
    <m/>
    <m/>
  </r>
  <r>
    <d v="2023-06-16T00:00:00"/>
    <s v="June"/>
    <x v="6"/>
    <x v="9"/>
    <n v="-114"/>
    <x v="1"/>
    <n v="51300"/>
    <n v="412"/>
    <s v="Federal"/>
    <s v="Int"/>
    <n v="114"/>
    <s v="Town of Plainfield"/>
    <s v="LRL-2021-01015-DDC"/>
    <s v="2021-990-32-ERL-A"/>
    <m/>
    <s v="Hendricks"/>
    <n v="39.771281999999999"/>
    <n v="-86.463390000000004"/>
    <s v="Transportation"/>
    <m/>
    <s v="No"/>
    <m/>
    <n v="7695"/>
    <n v="35910"/>
    <n v="7695"/>
    <s v="L"/>
    <s v="J"/>
    <m/>
    <m/>
    <m/>
    <m/>
    <m/>
    <m/>
    <m/>
  </r>
  <r>
    <d v="2023-06-27T00:00:00"/>
    <s v="June"/>
    <x v="6"/>
    <x v="1"/>
    <n v="-2.9000000000000001E-2"/>
    <x v="0"/>
    <n v="2755"/>
    <n v="423"/>
    <s v="Federal"/>
    <s v="PEM"/>
    <n v="2.9000000000000001E-2"/>
    <s v="Graythorne Development"/>
    <s v="LRC-2019-190"/>
    <s v="2021-92-45-MTM-A"/>
    <m/>
    <s v="Lake"/>
    <n v="41.315891999999998"/>
    <n v="-87.387343000000001"/>
    <s v="Development"/>
    <m/>
    <s v="No"/>
    <m/>
    <n v="413.25"/>
    <n v="1928.4999999999998"/>
    <n v="413.25"/>
    <s v="C"/>
    <s v="J"/>
    <m/>
    <m/>
    <m/>
    <m/>
    <m/>
    <m/>
    <m/>
  </r>
  <r>
    <d v="2023-07-17T00:00:00"/>
    <s v="July"/>
    <x v="6"/>
    <x v="4"/>
    <n v="-0.158"/>
    <x v="0"/>
    <n v="12640"/>
    <n v="419"/>
    <s v="State Isolated"/>
    <s v="PEM"/>
    <n v="0.105"/>
    <s v="INDOT"/>
    <s v="N/A"/>
    <s v="IWIP 2023-160-06-JBT-A"/>
    <m/>
    <s v="Boone"/>
    <n v="40.158392999999997"/>
    <n v="-86.539592999999996"/>
    <s v="Transportation"/>
    <m/>
    <s v="No"/>
    <m/>
    <n v="1896"/>
    <n v="8848"/>
    <n v="1896"/>
    <s v="L"/>
    <s v="SI"/>
    <s v="2 NF"/>
    <m/>
    <m/>
    <m/>
    <m/>
    <m/>
    <m/>
  </r>
  <r>
    <d v="2023-07-17T00:00:00"/>
    <s v="July"/>
    <x v="6"/>
    <x v="4"/>
    <n v="-0.12"/>
    <x v="0"/>
    <n v="9600"/>
    <n v="353"/>
    <s v="Federal"/>
    <s v="PEM"/>
    <n v="5.3999999999999999E-2"/>
    <s v="T.J. Cole"/>
    <s v="LRL-2022-361-sam"/>
    <s v="2022-777-32-ERL-A"/>
    <m/>
    <s v="Hendricks"/>
    <n v="39.832208000000001"/>
    <n v="-86.664096999999998"/>
    <s v="Development"/>
    <m/>
    <s v="No"/>
    <m/>
    <n v="1440"/>
    <n v="6720"/>
    <n v="1440"/>
    <s v="L"/>
    <s v="J"/>
    <m/>
    <m/>
    <m/>
    <m/>
    <m/>
    <m/>
    <m/>
  </r>
  <r>
    <d v="2023-07-17T00:00:00"/>
    <s v="July"/>
    <x v="6"/>
    <x v="4"/>
    <n v="-1.02"/>
    <x v="0"/>
    <n v="81600"/>
    <n v="353"/>
    <s v="Federal"/>
    <s v="PFO"/>
    <n v="0.255"/>
    <s v="T.J. Cole"/>
    <s v="LRL-2022-361-sam"/>
    <s v="2022-777-32-ERL-A"/>
    <m/>
    <s v="Hendricks"/>
    <n v="39.832208000000001"/>
    <n v="-86.664096999999998"/>
    <s v="Development"/>
    <m/>
    <s v="No"/>
    <m/>
    <n v="12240"/>
    <n v="57120"/>
    <n v="12240"/>
    <s v="L"/>
    <s v="J"/>
    <m/>
    <m/>
    <m/>
    <m/>
    <m/>
    <m/>
    <m/>
  </r>
  <r>
    <d v="2023-07-25T00:00:00"/>
    <s v="July"/>
    <x v="6"/>
    <x v="9"/>
    <n v="-2.15"/>
    <x v="0"/>
    <n v="172000"/>
    <n v="422"/>
    <s v="State Isolated"/>
    <s v="PFO"/>
    <n v="0.86"/>
    <s v="Pedcor Community Development Corporation"/>
    <s v="N/A"/>
    <s v="IWIP 2023-367-29-GCW-A"/>
    <m/>
    <s v="Hamilton"/>
    <n v="39.951985999999998"/>
    <n v="-86.152573000000004"/>
    <s v="Development"/>
    <m/>
    <s v="No"/>
    <m/>
    <n v="25800"/>
    <n v="120399.99999999999"/>
    <n v="25800"/>
    <s v="L"/>
    <s v="SI"/>
    <s v="3 FO"/>
    <m/>
    <m/>
    <m/>
    <m/>
    <m/>
    <m/>
  </r>
  <r>
    <d v="2023-08-08T00:00:00"/>
    <s v="August"/>
    <x v="6"/>
    <x v="8"/>
    <n v="-0.4"/>
    <x v="0"/>
    <n v="32000"/>
    <n v="409"/>
    <s v="State Isolated"/>
    <s v="PFO"/>
    <n v="0.16"/>
    <s v="Wildcat Resources, LLC"/>
    <s v="N/A"/>
    <s v="IWIP 2022-1000-12-ERL-A"/>
    <m/>
    <s v="Clinton"/>
    <n v="40.271099999999997"/>
    <n v="-86.492800000000003"/>
    <s v="Development"/>
    <m/>
    <s v="No"/>
    <m/>
    <n v="4800"/>
    <n v="22400"/>
    <n v="4800"/>
    <s v="L"/>
    <s v="SI"/>
    <s v="3 FO"/>
    <m/>
    <m/>
    <m/>
    <m/>
    <m/>
    <m/>
  </r>
  <r>
    <d v="2023-08-15T00:00:00"/>
    <s v="August"/>
    <x v="6"/>
    <x v="7"/>
    <n v="-0.4"/>
    <x v="0"/>
    <n v="32000"/>
    <n v="426"/>
    <s v="Federal"/>
    <s v="PEM"/>
    <n v="0.34200000000000003"/>
    <s v="Blue Lick Development LLC"/>
    <s v="LRL-2022-00133"/>
    <s v="2023-396-10-ERL-A"/>
    <m/>
    <s v="Clark"/>
    <n v="38.423999999999999"/>
    <n v="-85.671000000000006"/>
    <s v="Development"/>
    <m/>
    <s v="No"/>
    <m/>
    <n v="4800"/>
    <n v="22400"/>
    <n v="4800"/>
    <s v="L"/>
    <s v="J"/>
    <m/>
    <m/>
    <m/>
    <m/>
    <m/>
    <m/>
    <m/>
  </r>
  <r>
    <d v="2023-08-15T00:00:00"/>
    <s v="August"/>
    <x v="6"/>
    <x v="9"/>
    <n v="-0.6"/>
    <x v="0"/>
    <n v="48000"/>
    <n v="431"/>
    <s v="State Isolated"/>
    <s v="PEM"/>
    <n v="0.4"/>
    <s v="Strategic Capital Partners, LLC"/>
    <s v="N/A"/>
    <s v="IWIP 2023-76-49-EKB-A"/>
    <m/>
    <s v="Marion"/>
    <n v="39.665360999999997"/>
    <n v="-86.302817000000005"/>
    <s v="Development"/>
    <m/>
    <s v="No"/>
    <m/>
    <n v="7200"/>
    <n v="33600"/>
    <n v="7200"/>
    <s v="L"/>
    <s v="SI"/>
    <s v="2 NF"/>
    <m/>
    <m/>
    <m/>
    <m/>
    <m/>
    <m/>
  </r>
  <r>
    <d v="2023-08-21T00:00:00"/>
    <s v="August"/>
    <x v="6"/>
    <x v="7"/>
    <n v="-0.2"/>
    <x v="0"/>
    <n v="16000"/>
    <n v="425"/>
    <s v="Federal"/>
    <s v="PSS"/>
    <n v="0.51100000000000001"/>
    <s v="Clark County Board of Commissioners"/>
    <s v="LRL-1994-01330-A"/>
    <s v="2023-422-10-JWR-A"/>
    <m/>
    <s v="Clark"/>
    <n v="38.458959999999998"/>
    <n v="-85.843382000000005"/>
    <s v="Development"/>
    <m/>
    <s v="No"/>
    <m/>
    <n v="2400"/>
    <n v="11200"/>
    <n v="2400"/>
    <s v="L"/>
    <s v="J"/>
    <m/>
    <m/>
    <m/>
    <m/>
    <m/>
    <m/>
    <s v="Phase I of 2 purchase requirements"/>
  </r>
  <r>
    <d v="2023-08-21T00:00:00"/>
    <s v="August"/>
    <x v="6"/>
    <x v="7"/>
    <n v="-5.7"/>
    <x v="0"/>
    <n v="456000"/>
    <n v="425"/>
    <s v="Federal"/>
    <s v="PFO"/>
    <n v="1.4259999999999999"/>
    <s v="Clark County Board of Commissioners"/>
    <s v="LRL-1994-01330-A"/>
    <s v="2023-422-10-JWR-A"/>
    <m/>
    <s v="Clark"/>
    <n v="38.458959999999998"/>
    <n v="-85.843382000000005"/>
    <s v="Development"/>
    <m/>
    <s v="No"/>
    <m/>
    <n v="68400"/>
    <n v="319200"/>
    <n v="68400"/>
    <s v="L"/>
    <s v="J"/>
    <m/>
    <m/>
    <m/>
    <m/>
    <m/>
    <m/>
    <s v="Phase I of 2 purchase requirements"/>
  </r>
  <r>
    <d v="2023-08-25T00:00:00"/>
    <s v="August"/>
    <x v="6"/>
    <x v="3"/>
    <n v="-76"/>
    <x v="1"/>
    <n v="34200"/>
    <n v="424"/>
    <s v="Federal"/>
    <s v="Int"/>
    <n v="76"/>
    <s v="Allen County Highway Department"/>
    <s v="LRE-2022-00332-102"/>
    <s v="2021-963-2-WLR-X"/>
    <m/>
    <s v="Allen"/>
    <n v="41.200370999999997"/>
    <n v="-85.068593000000007"/>
    <s v="Transportation"/>
    <m/>
    <s v="No"/>
    <m/>
    <n v="5130"/>
    <n v="23940"/>
    <n v="5130"/>
    <s v="D"/>
    <s v="J"/>
    <m/>
    <m/>
    <m/>
    <m/>
    <m/>
    <m/>
    <m/>
  </r>
  <r>
    <d v="2023-08-25T00:00:00"/>
    <s v="August"/>
    <x v="6"/>
    <x v="3"/>
    <n v="-0.28000000000000003"/>
    <x v="0"/>
    <n v="22400.000000000004"/>
    <n v="424"/>
    <s v="Federal"/>
    <s v="PEM"/>
    <n v="0.14000000000000001"/>
    <s v="Allen County Highway Department"/>
    <s v="LRE-2022-00332-102"/>
    <s v="2021-963-2-WLR-X"/>
    <m/>
    <s v="Allen"/>
    <n v="41.200370999999997"/>
    <n v="-85.068593000000007"/>
    <s v="Transportation"/>
    <m/>
    <s v="No"/>
    <m/>
    <n v="3360.0000000000005"/>
    <n v="15680.000000000002"/>
    <n v="3360.0000000000005"/>
    <s v="D"/>
    <s v="J"/>
    <m/>
    <m/>
    <m/>
    <m/>
    <m/>
    <m/>
    <m/>
  </r>
  <r>
    <d v="2023-08-25T00:00:00"/>
    <s v="August"/>
    <x v="6"/>
    <x v="3"/>
    <n v="-0.32"/>
    <x v="0"/>
    <n v="25600"/>
    <n v="424"/>
    <s v="Federal"/>
    <s v="PFO"/>
    <n v="0.08"/>
    <s v="Allen County Highway Department"/>
    <s v="LRE-2022-00332-102"/>
    <s v="2021-963-2-WLR-X"/>
    <m/>
    <s v="Allen"/>
    <n v="41.200370999999997"/>
    <n v="-85.068593000000007"/>
    <s v="Transportation"/>
    <m/>
    <s v="No"/>
    <m/>
    <n v="3840"/>
    <n v="17920"/>
    <n v="3840"/>
    <s v="D"/>
    <s v="J"/>
    <m/>
    <m/>
    <m/>
    <m/>
    <m/>
    <m/>
    <m/>
  </r>
  <r>
    <d v="2023-08-28T00:00:00"/>
    <s v="August"/>
    <x v="6"/>
    <x v="8"/>
    <n v="-88"/>
    <x v="1"/>
    <n v="35200"/>
    <n v="428"/>
    <s v="Federal"/>
    <s v="Per"/>
    <n v="88"/>
    <s v="INDOT"/>
    <s v="LRL-2023-303-djd"/>
    <s v="2023-327-90-MPY-A"/>
    <m/>
    <s v="Wells"/>
    <n v="40.654705999999997"/>
    <n v="-85.191113000000001"/>
    <s v="Transportation"/>
    <m/>
    <s v="No"/>
    <m/>
    <n v="5280"/>
    <n v="24640"/>
    <n v="5280"/>
    <s v="L"/>
    <s v="J"/>
    <m/>
    <m/>
    <m/>
    <m/>
    <m/>
    <m/>
    <m/>
  </r>
  <r>
    <d v="2023-09-06T00:00:00"/>
    <s v="September"/>
    <x v="6"/>
    <x v="10"/>
    <n v="-1.48"/>
    <x v="0"/>
    <n v="118400"/>
    <n v="437"/>
    <s v="Federal"/>
    <s v="PEM"/>
    <n v="1.23"/>
    <s v="CGS Services, Incorporated"/>
    <s v="LRL-2022-1015-sam"/>
    <s v="2023-226-73-ERL-A"/>
    <m/>
    <s v="Shelby"/>
    <n v="39.681652999999997"/>
    <n v="-85.719256999999999"/>
    <s v="Development"/>
    <m/>
    <s v="No"/>
    <m/>
    <n v="17760"/>
    <n v="82880"/>
    <n v="17760"/>
    <s v="L"/>
    <s v="J"/>
    <m/>
    <m/>
    <m/>
    <m/>
    <m/>
    <m/>
    <m/>
  </r>
  <r>
    <d v="2023-10-24T00:00:00"/>
    <s v="October"/>
    <x v="6"/>
    <x v="9"/>
    <n v="-522"/>
    <x v="1"/>
    <n v="234900"/>
    <n v="453"/>
    <s v="Federal"/>
    <s v="Int"/>
    <n v="870"/>
    <s v="Harris &amp; Ford LLC"/>
    <s v="LRL-2021-00027-sjk"/>
    <s v="2021-183-49-ALF-A"/>
    <m/>
    <s v="Marion"/>
    <n v="39.854599999999998"/>
    <n v="-86.001599999999996"/>
    <s v="Development"/>
    <m/>
    <s v="No"/>
    <m/>
    <n v="35235"/>
    <n v="164430"/>
    <n v="35235"/>
    <s v="L"/>
    <s v="J"/>
    <m/>
    <m/>
    <m/>
    <m/>
    <m/>
    <m/>
    <m/>
  </r>
  <r>
    <d v="2023-10-25T00:00:00"/>
    <s v="October"/>
    <x v="6"/>
    <x v="6"/>
    <n v="-49.5"/>
    <x v="1"/>
    <n v="29700"/>
    <n v="429"/>
    <s v="Federal"/>
    <s v="Per"/>
    <n v="49.5"/>
    <s v="INDOT"/>
    <s v="LRE-2023-00201-176-N23"/>
    <s v="2023-559-76-JBT-A"/>
    <m/>
    <s v="Steuben"/>
    <n v="41.664169000000001"/>
    <n v="-85.030517000000003"/>
    <s v="Transportation"/>
    <m/>
    <s v="No"/>
    <m/>
    <n v="4455"/>
    <n v="20790"/>
    <n v="4455"/>
    <s v="D"/>
    <s v="J"/>
    <m/>
    <m/>
    <m/>
    <m/>
    <m/>
    <m/>
    <m/>
  </r>
  <r>
    <d v="2023-10-25T00:00:00"/>
    <s v="October"/>
    <x v="6"/>
    <x v="6"/>
    <n v="-2.8000000000000001E-2"/>
    <x v="0"/>
    <n v="3360"/>
    <n v="429"/>
    <s v="Federal"/>
    <s v="PEM"/>
    <n v="1.4E-2"/>
    <s v="INDOT"/>
    <s v="LRE-2023-00201-176-N23"/>
    <s v="2023-559-76-JBT-A"/>
    <m/>
    <s v="Steuben"/>
    <n v="41.664169000000001"/>
    <n v="-85.030517000000003"/>
    <s v="Transportation"/>
    <m/>
    <s v="No"/>
    <m/>
    <n v="504"/>
    <n v="2352"/>
    <n v="504"/>
    <s v="D"/>
    <s v="J"/>
    <m/>
    <m/>
    <m/>
    <m/>
    <m/>
    <m/>
    <m/>
  </r>
  <r>
    <d v="2023-10-25T00:00:00"/>
    <s v="October"/>
    <x v="6"/>
    <x v="10"/>
    <n v="-0.16400000000000001"/>
    <x v="0"/>
    <n v="13120"/>
    <n v="430"/>
    <s v="State Isolated"/>
    <s v="PEM"/>
    <n v="8.2000000000000003E-2"/>
    <s v="INDOT"/>
    <s v="N/A"/>
    <s v="IWIP 2023-380-41-JBT-A"/>
    <m/>
    <s v="Johnson"/>
    <n v="39.463856"/>
    <n v="-86.053636999999995"/>
    <s v="Transportation"/>
    <m/>
    <s v="No"/>
    <m/>
    <n v="1968"/>
    <n v="9184"/>
    <n v="1968"/>
    <s v="L"/>
    <s v="SI"/>
    <s v="2 NF"/>
    <m/>
    <m/>
    <m/>
    <m/>
    <m/>
    <s v="INDOT DES No. 1800082"/>
  </r>
  <r>
    <d v="2023-11-01T00:00:00"/>
    <s v="November"/>
    <x v="6"/>
    <x v="0"/>
    <n v="-1.22"/>
    <x v="0"/>
    <n v="115900"/>
    <n v="374"/>
    <s v="Federal"/>
    <s v="PFO"/>
    <n v="0.45"/>
    <s v="Viking Built Homes, LLC"/>
    <s v="LRC-2017-00132"/>
    <s v="2021-622-64-MTM-A"/>
    <m/>
    <s v="Porter"/>
    <n v="41.605400000000003"/>
    <n v="-87.028000000000006"/>
    <s v="Development"/>
    <m/>
    <s v="No"/>
    <m/>
    <n v="17385"/>
    <n v="81130"/>
    <n v="17385"/>
    <s v="C"/>
    <s v="J"/>
    <m/>
    <m/>
    <m/>
    <m/>
    <m/>
    <m/>
    <m/>
  </r>
  <r>
    <d v="2023-11-01T00:00:00"/>
    <s v="November"/>
    <x v="6"/>
    <x v="3"/>
    <n v="-52"/>
    <x v="1"/>
    <n v="23400"/>
    <n v="433"/>
    <s v="Federal"/>
    <s v="Int"/>
    <n v="52"/>
    <s v="INDOT"/>
    <s v="LRE-2023-00289-157-N23"/>
    <s v="2023-563-57-JWR-X"/>
    <m/>
    <s v="Noble"/>
    <n v="41.366273999999997"/>
    <n v="-85.221453999999994"/>
    <s v="Transportation"/>
    <m/>
    <s v="No"/>
    <m/>
    <n v="3510"/>
    <n v="16379.999999999998"/>
    <n v="3510"/>
    <s v="D"/>
    <s v="J"/>
    <m/>
    <m/>
    <m/>
    <m/>
    <m/>
    <m/>
    <s v="INDOT DES 2002226"/>
  </r>
  <r>
    <d v="2023-11-01T00:00:00"/>
    <s v="November"/>
    <x v="6"/>
    <x v="5"/>
    <n v="-0.38"/>
    <x v="0"/>
    <n v="30400"/>
    <n v="371"/>
    <s v="Federal"/>
    <s v="PEM"/>
    <n v="0.38"/>
    <s v="INDOT"/>
    <s v="LRL-2008-00889-goc"/>
    <s v="2008-404-87-JWR-A "/>
    <m/>
    <s v="Warrick"/>
    <n v="38.194000000000003"/>
    <n v="-87.295000000000002"/>
    <s v="Transportation"/>
    <m/>
    <s v="No"/>
    <m/>
    <n v="4560"/>
    <n v="21280"/>
    <n v="4560"/>
    <s v="L"/>
    <s v="J"/>
    <m/>
    <m/>
    <m/>
    <m/>
    <m/>
    <m/>
    <m/>
  </r>
  <r>
    <d v="2023-11-01T00:00:00"/>
    <s v="November"/>
    <x v="6"/>
    <x v="8"/>
    <n v="-67"/>
    <x v="1"/>
    <n v="26800"/>
    <n v="432"/>
    <s v="Federal"/>
    <s v="Int"/>
    <n v="371"/>
    <s v="INDOT"/>
    <s v="LRL-2023-115-dds"/>
    <s v="2023-315-52-JBT-A"/>
    <m/>
    <s v="Miami"/>
    <n v="40.804890999999998"/>
    <n v="-86.023870000000002"/>
    <s v="Transportation"/>
    <m/>
    <s v="No"/>
    <m/>
    <n v="4020"/>
    <n v="18760"/>
    <n v="4020"/>
    <s v="L"/>
    <s v="J"/>
    <m/>
    <m/>
    <m/>
    <m/>
    <m/>
    <m/>
    <s v="INDOT DES 1900079"/>
  </r>
  <r>
    <d v="2023-11-01T00:00:00"/>
    <s v="November"/>
    <x v="6"/>
    <x v="8"/>
    <n v="-0.1"/>
    <x v="0"/>
    <n v="8000"/>
    <n v="432"/>
    <s v="Federal"/>
    <s v="PFO"/>
    <n v="2.5000000000000001E-2"/>
    <s v="INDOT"/>
    <s v="LRL-2023-115-dds"/>
    <s v="2023-315-52-JBT-A"/>
    <m/>
    <s v="Miami"/>
    <n v="40.804890999999998"/>
    <n v="-86.023870000000002"/>
    <s v="Transportation"/>
    <m/>
    <s v="No"/>
    <m/>
    <n v="1200"/>
    <n v="5600"/>
    <n v="1200"/>
    <s v="L"/>
    <s v="J"/>
    <m/>
    <m/>
    <m/>
    <m/>
    <m/>
    <m/>
    <s v="INDOT DES 1900079"/>
  </r>
  <r>
    <d v="2023-11-07T00:00:00"/>
    <s v="November"/>
    <x v="6"/>
    <x v="9"/>
    <n v="-0.13500000000000001"/>
    <x v="0"/>
    <n v="10800"/>
    <n v="427"/>
    <s v="State Isolated"/>
    <s v="PFO"/>
    <n v="5.3999999999999999E-2"/>
    <s v="Secure Holdings, LLC"/>
    <s v="N/A"/>
    <s v="IWIP 2023-551-29-WLR-A"/>
    <m/>
    <s v="Hamilton"/>
    <n v="40.04"/>
    <n v="-86.07"/>
    <s v="Development"/>
    <m/>
    <s v="No"/>
    <m/>
    <n v="1620"/>
    <n v="7559.9999999999991"/>
    <n v="1620"/>
    <s v="L"/>
    <s v="SI"/>
    <s v="3 FO"/>
    <m/>
    <m/>
    <m/>
    <m/>
    <m/>
    <m/>
  </r>
  <r>
    <d v="2023-11-07T00:00:00"/>
    <s v="November"/>
    <x v="6"/>
    <x v="9"/>
    <n v="-0.45600000000000002"/>
    <x v="0"/>
    <n v="36000"/>
    <n v="434"/>
    <s v="State Isolated"/>
    <s v="PFO"/>
    <n v="0.18"/>
    <s v="Pulte Homes of Indiana"/>
    <s v="N/A"/>
    <s v="IWIP 2023-576-32-MPY-A"/>
    <m/>
    <s v="Hendricks"/>
    <n v="39.87256"/>
    <n v="-86.383250000000004"/>
    <s v="Development"/>
    <m/>
    <s v="No"/>
    <m/>
    <n v="5400"/>
    <n v="25200"/>
    <n v="5400"/>
    <s v="L"/>
    <s v="SI"/>
    <s v="3 FO"/>
    <m/>
    <m/>
    <m/>
    <m/>
    <m/>
    <m/>
  </r>
  <r>
    <d v="2023-11-08T00:00:00"/>
    <s v="November"/>
    <x v="6"/>
    <x v="0"/>
    <n v="-0.39800000000000002"/>
    <x v="0"/>
    <n v="37810"/>
    <n v="382"/>
    <s v="Federal"/>
    <s v="PEM"/>
    <n v="0.33200000000000002"/>
    <s v="City of Hobart - US 30"/>
    <s v="LRC-2021-1116"/>
    <s v="2021-529-45-MTM-A"/>
    <m/>
    <s v="Lake"/>
    <n v="41.470463000000002"/>
    <n v="-87.297078999999997"/>
    <s v="Transportation"/>
    <m/>
    <s v="No"/>
    <m/>
    <n v="5671.5"/>
    <n v="26467"/>
    <n v="5671.5"/>
    <s v="C"/>
    <s v="J"/>
    <m/>
    <m/>
    <m/>
    <m/>
    <m/>
    <m/>
    <m/>
  </r>
  <r>
    <d v="2023-11-08T00:00:00"/>
    <s v="November"/>
    <x v="6"/>
    <x v="2"/>
    <n v="-2E-3"/>
    <x v="0"/>
    <n v="160"/>
    <n v="444"/>
    <s v="Federal"/>
    <s v="PEM"/>
    <n v="2E-3"/>
    <s v="Monroe County Highway Department"/>
    <s v="LRL-2022-139-sjk"/>
    <s v="2022-131-53-TMS-X"/>
    <m/>
    <s v="Monroe"/>
    <n v="39.122239999999998"/>
    <n v="-86.544452000000007"/>
    <s v="Transportation"/>
    <m/>
    <s v="No"/>
    <m/>
    <n v="24"/>
    <n v="112"/>
    <n v="24"/>
    <s v="L"/>
    <s v="J"/>
    <m/>
    <m/>
    <m/>
    <m/>
    <m/>
    <m/>
    <m/>
  </r>
  <r>
    <d v="2023-11-08T00:00:00"/>
    <s v="November"/>
    <x v="6"/>
    <x v="2"/>
    <n v="-6.3E-2"/>
    <x v="0"/>
    <n v="5040"/>
    <n v="444"/>
    <s v="Federal"/>
    <s v="PSS"/>
    <n v="0.02"/>
    <s v="Monroe County Highway Department"/>
    <s v="LRL-2022-139-sjk"/>
    <s v="2022-131-53-TMS-X"/>
    <m/>
    <s v="Monroe"/>
    <n v="39.122239999999998"/>
    <n v="-86.544452000000007"/>
    <s v="Transportation"/>
    <m/>
    <s v="No"/>
    <m/>
    <n v="756"/>
    <n v="3528"/>
    <n v="756"/>
    <s v="L"/>
    <s v="J"/>
    <m/>
    <m/>
    <m/>
    <m/>
    <m/>
    <m/>
    <m/>
  </r>
  <r>
    <d v="2023-11-08T00:00:00"/>
    <s v="November"/>
    <x v="6"/>
    <x v="3"/>
    <n v="-108"/>
    <x v="1"/>
    <n v="48600"/>
    <n v="439"/>
    <s v="Federal"/>
    <s v="Per"/>
    <n v="379"/>
    <s v="INDOT"/>
    <s v="LRE-2023-00345-157-N23"/>
    <s v="2023-681-57-JWR-X"/>
    <m/>
    <s v="Noble"/>
    <n v="41.372635000000002"/>
    <n v="-85.221468000000002"/>
    <s v="Transportation"/>
    <m/>
    <s v="No"/>
    <m/>
    <n v="7290"/>
    <n v="34020"/>
    <n v="7290"/>
    <s v="D"/>
    <s v="J"/>
    <m/>
    <m/>
    <m/>
    <m/>
    <m/>
    <m/>
    <s v="INDOT DES 2002217"/>
  </r>
  <r>
    <d v="2023-11-08T00:00:00"/>
    <s v="November"/>
    <x v="6"/>
    <x v="4"/>
    <n v="-222"/>
    <x v="1"/>
    <n v="88800"/>
    <n v="411"/>
    <s v="Federal"/>
    <s v="Eph"/>
    <n v="222"/>
    <s v="INDOT"/>
    <s v="LRL-2023-66-djd"/>
    <s v="2023-107-79-WLR-A"/>
    <m/>
    <s v="Tippecanoe"/>
    <n v="40.445473999999997"/>
    <n v="-87.024084999999999"/>
    <s v="Transportation"/>
    <m/>
    <s v="No"/>
    <m/>
    <n v="13320"/>
    <n v="62159.999999999993"/>
    <n v="13320"/>
    <s v="L"/>
    <s v="J"/>
    <m/>
    <m/>
    <m/>
    <m/>
    <m/>
    <m/>
    <m/>
  </r>
  <r>
    <d v="2023-11-08T00:00:00"/>
    <s v="November"/>
    <x v="6"/>
    <x v="4"/>
    <n v="-270"/>
    <x v="1"/>
    <n v="108000"/>
    <n v="411"/>
    <s v="Federal"/>
    <s v="Int"/>
    <n v="270"/>
    <s v="INDOT"/>
    <s v="LRL-2023-66-djd"/>
    <s v="2023-107-79-WLR-A"/>
    <m/>
    <s v="Tippecanoe"/>
    <n v="40.445473999999997"/>
    <n v="-87.024084999999999"/>
    <s v="Transportation"/>
    <m/>
    <s v="No"/>
    <m/>
    <n v="16200"/>
    <n v="75600"/>
    <n v="16200"/>
    <s v="L"/>
    <s v="J"/>
    <m/>
    <m/>
    <m/>
    <m/>
    <m/>
    <m/>
    <m/>
  </r>
  <r>
    <d v="2023-11-08T00:00:00"/>
    <s v="November"/>
    <x v="6"/>
    <x v="4"/>
    <n v="-120"/>
    <x v="1"/>
    <n v="48000"/>
    <n v="411"/>
    <s v="Federal"/>
    <s v="Per"/>
    <n v="120"/>
    <s v="INDOT"/>
    <s v="LRL-2023-66-djd"/>
    <s v="2023-107-79-WLR-A"/>
    <m/>
    <s v="Tippecanoe"/>
    <n v="40.445473999999997"/>
    <n v="-87.024084999999999"/>
    <s v="Transportation"/>
    <m/>
    <s v="No"/>
    <m/>
    <n v="7200"/>
    <n v="33600"/>
    <n v="7200"/>
    <s v="L"/>
    <s v="J"/>
    <m/>
    <m/>
    <m/>
    <m/>
    <m/>
    <m/>
    <m/>
  </r>
  <r>
    <d v="2023-11-08T00:00:00"/>
    <s v="November"/>
    <x v="6"/>
    <x v="5"/>
    <n v="-0.95"/>
    <x v="0"/>
    <n v="76000"/>
    <n v="443"/>
    <s v="Federal"/>
    <s v="PEM"/>
    <n v="0.39"/>
    <s v="Duke Energy"/>
    <s v="LRL-2022-00905"/>
    <s v="2023-444-26-WLR-A"/>
    <m/>
    <s v="Gibson"/>
    <n v="38.334499999999998"/>
    <n v="-87.787700000000001"/>
    <s v="Energy Production"/>
    <m/>
    <s v="No"/>
    <m/>
    <n v="11400"/>
    <n v="53200"/>
    <n v="11400"/>
    <s v="L"/>
    <s v="J"/>
    <m/>
    <m/>
    <m/>
    <m/>
    <m/>
    <m/>
    <m/>
  </r>
  <r>
    <d v="2023-11-08T00:00:00"/>
    <s v="November"/>
    <x v="6"/>
    <x v="8"/>
    <n v="-83"/>
    <x v="1"/>
    <n v="33200"/>
    <n v="438"/>
    <s v="Federal"/>
    <s v="Per"/>
    <n v="348"/>
    <s v="INDOT"/>
    <s v="LRE-2023-00342-102-N23"/>
    <s v="2023-663-2-JWR-X"/>
    <m/>
    <s v="Allen"/>
    <n v="41.013164000000003"/>
    <n v="-85.255988000000002"/>
    <s v="Transportation"/>
    <m/>
    <s v="No"/>
    <m/>
    <n v="4980"/>
    <n v="23240"/>
    <n v="4980"/>
    <s v="D"/>
    <s v="J"/>
    <m/>
    <m/>
    <m/>
    <m/>
    <m/>
    <m/>
    <s v="INDOT DES 2002214"/>
  </r>
  <r>
    <d v="2023-11-08T00:00:00"/>
    <s v="November"/>
    <x v="6"/>
    <x v="9"/>
    <n v="-0.14000000000000001"/>
    <x v="0"/>
    <n v="11200"/>
    <n v="410"/>
    <s v="Federal"/>
    <s v="PEM"/>
    <n v="7.0000000000000007E-2"/>
    <s v="Indianapolis Department of Public Works"/>
    <s v="N/A"/>
    <s v="2023-170-49-GCW-X"/>
    <m/>
    <s v="Marion"/>
    <n v="39.759799999999998"/>
    <n v="-86.173699999999997"/>
    <s v="Transportation"/>
    <m/>
    <s v="No"/>
    <m/>
    <n v="1680"/>
    <n v="7839.9999999999991"/>
    <n v="1680"/>
    <s v="L"/>
    <s v="J"/>
    <m/>
    <m/>
    <m/>
    <m/>
    <m/>
    <m/>
    <m/>
  </r>
  <r>
    <d v="2023-11-08T00:00:00"/>
    <s v="November"/>
    <x v="6"/>
    <x v="9"/>
    <n v="-0.96"/>
    <x v="0"/>
    <n v="76800"/>
    <n v="436"/>
    <s v="State Isolated"/>
    <s v="PFO"/>
    <n v="0.64"/>
    <s v="Citimark Realty Partners, LLC"/>
    <s v="N/A"/>
    <s v="IWIP 2023-554-06-ERL-A"/>
    <m/>
    <s v="Boone"/>
    <n v="39.991"/>
    <n v="-86.388000000000005"/>
    <s v="Development"/>
    <m/>
    <s v="No"/>
    <m/>
    <n v="11520"/>
    <n v="53760"/>
    <n v="11520"/>
    <s v="L"/>
    <s v="SI"/>
    <s v="3 FO"/>
    <m/>
    <m/>
    <m/>
    <m/>
    <m/>
    <m/>
  </r>
  <r>
    <d v="2023-11-08T00:00:00"/>
    <s v="November"/>
    <x v="6"/>
    <x v="9"/>
    <n v="-257"/>
    <x v="1"/>
    <n v="115650"/>
    <n v="446"/>
    <s v="Federal"/>
    <s v="Int"/>
    <n v="413"/>
    <s v="INDOT"/>
    <s v="LRL-2022-953-sam"/>
    <s v="2022-1064-32-ERL-A"/>
    <m/>
    <s v="Hendricks"/>
    <n v="39.741576000000002"/>
    <n v="-86.380613999999994"/>
    <s v="Transportation"/>
    <m/>
    <s v="No"/>
    <m/>
    <n v="17347.5"/>
    <n v="80955"/>
    <n v="17347.5"/>
    <s v="L"/>
    <s v="J"/>
    <m/>
    <m/>
    <m/>
    <m/>
    <m/>
    <m/>
    <m/>
  </r>
  <r>
    <d v="2023-11-08T00:00:00"/>
    <s v="November"/>
    <x v="6"/>
    <x v="9"/>
    <n v="-6.5000000000000002E-2"/>
    <x v="0"/>
    <n v="5200"/>
    <n v="446"/>
    <s v="Federal"/>
    <s v="PSS"/>
    <n v="1.7999999999999999E-2"/>
    <s v="INDOT"/>
    <s v="LRL-2022-953-sam"/>
    <s v="2022-1064-32-ERL-A"/>
    <m/>
    <s v="Hendricks"/>
    <n v="39.741576000000002"/>
    <n v="-86.380613999999994"/>
    <s v="Transportation"/>
    <m/>
    <s v="No"/>
    <m/>
    <n v="780"/>
    <n v="3639.9999999999995"/>
    <n v="780"/>
    <s v="L"/>
    <s v="J"/>
    <m/>
    <m/>
    <m/>
    <m/>
    <m/>
    <m/>
    <m/>
  </r>
  <r>
    <d v="2023-11-08T00:00:00"/>
    <s v="November"/>
    <x v="6"/>
    <x v="9"/>
    <n v="-5.7999999999999996E-3"/>
    <x v="0"/>
    <n v="464"/>
    <n v="446"/>
    <s v="Federal"/>
    <s v="PFO"/>
    <n v="1.1999999999999999E-3"/>
    <s v="INDOT"/>
    <s v="LRL-2022-953-sam"/>
    <s v="2022-1064-32-ERL-A"/>
    <m/>
    <s v="Hendricks"/>
    <n v="39.741576000000002"/>
    <n v="-86.380613999999994"/>
    <s v="Transportation"/>
    <m/>
    <s v="No"/>
    <m/>
    <n v="69.599999999999994"/>
    <n v="324.79999999999995"/>
    <n v="69.599999999999994"/>
    <s v="L"/>
    <s v="J"/>
    <m/>
    <m/>
    <m/>
    <m/>
    <m/>
    <m/>
    <m/>
  </r>
  <r>
    <d v="2023-11-08T00:00:00"/>
    <s v="November"/>
    <x v="6"/>
    <x v="10"/>
    <n v="-0.14699999999999999"/>
    <x v="0"/>
    <n v="11760"/>
    <n v="435"/>
    <s v="Federal"/>
    <s v="PEM"/>
    <n v="0.14699999999999999"/>
    <s v="INDOT"/>
    <s v="LRL-2015-76-sam"/>
    <s v="2015-032-15-JWR-A"/>
    <m/>
    <s v="Dearborn"/>
    <n v="39.293591999999997"/>
    <n v="-84.878966000000005"/>
    <s v="Transportation"/>
    <m/>
    <s v="No"/>
    <m/>
    <n v="1764"/>
    <n v="8232"/>
    <n v="1764"/>
    <s v="L"/>
    <s v="J"/>
    <m/>
    <m/>
    <m/>
    <m/>
    <m/>
    <m/>
    <s v="For failed mitigation"/>
  </r>
  <r>
    <d v="2023-11-09T00:00:00"/>
    <s v="November"/>
    <x v="6"/>
    <x v="0"/>
    <n v="-46.8"/>
    <x v="1"/>
    <n v="28080"/>
    <n v="445"/>
    <s v="Federal"/>
    <s v="Int"/>
    <n v="39"/>
    <s v="Town of Chesterton"/>
    <s v="LRC-2021-107"/>
    <s v="2023-69-64-MTM-X"/>
    <m/>
    <s v="Porter"/>
    <n v="41.593614000000002"/>
    <n v="-87.053072999999998"/>
    <s v="Transportation"/>
    <m/>
    <s v="No"/>
    <m/>
    <n v="4212"/>
    <n v="19656"/>
    <n v="4212"/>
    <s v="C"/>
    <s v="J"/>
    <m/>
    <m/>
    <m/>
    <m/>
    <m/>
    <m/>
    <m/>
  </r>
  <r>
    <d v="2023-11-09T00:00:00"/>
    <s v="November"/>
    <x v="6"/>
    <x v="0"/>
    <n v="-6"/>
    <x v="1"/>
    <n v="3600"/>
    <n v="445"/>
    <s v="Federal"/>
    <s v="Per"/>
    <n v="5"/>
    <s v="Town of Chesterton"/>
    <s v="LRC-2021-107"/>
    <s v="2023-69-64-MTM-X"/>
    <m/>
    <s v="Porter"/>
    <n v="41.593614000000002"/>
    <n v="-87.053072999999998"/>
    <s v="Transportation"/>
    <m/>
    <s v="No"/>
    <m/>
    <n v="540"/>
    <n v="2520"/>
    <n v="540"/>
    <s v="C"/>
    <s v="J"/>
    <m/>
    <m/>
    <m/>
    <m/>
    <m/>
    <m/>
    <m/>
  </r>
  <r>
    <d v="2023-11-09T00:00:00"/>
    <s v="November"/>
    <x v="6"/>
    <x v="0"/>
    <n v="-6.5280000000000005E-2"/>
    <x v="0"/>
    <n v="6202"/>
    <n v="445"/>
    <s v="Federal"/>
    <s v="PEM"/>
    <n v="2.7199999999999998E-2"/>
    <s v="Town of Chesterton"/>
    <s v="LRC-2021-107"/>
    <s v="2023-69-64-MTM-X"/>
    <m/>
    <s v="Porter"/>
    <n v="41.593614000000002"/>
    <n v="-87.053072999999998"/>
    <s v="Transportation"/>
    <m/>
    <s v="No"/>
    <m/>
    <n v="930.3"/>
    <n v="4341.3999999999996"/>
    <n v="930.3"/>
    <s v="C"/>
    <s v="J"/>
    <m/>
    <m/>
    <m/>
    <m/>
    <m/>
    <m/>
    <m/>
  </r>
  <r>
    <d v="2023-11-09T00:00:00"/>
    <s v="November"/>
    <x v="6"/>
    <x v="0"/>
    <n v="-0.39410000000000001"/>
    <x v="0"/>
    <n v="37440"/>
    <n v="445"/>
    <s v="Federal"/>
    <s v="PFO"/>
    <n v="0.39410000000000001"/>
    <s v="Town of Chesterton"/>
    <s v="LRC-2021-107"/>
    <s v="2023-69-64-MTM-X"/>
    <m/>
    <s v="Porter"/>
    <n v="41.593614000000002"/>
    <n v="-87.053072999999998"/>
    <s v="Transportation"/>
    <m/>
    <s v="No"/>
    <m/>
    <n v="5616"/>
    <n v="26208"/>
    <n v="5616"/>
    <s v="C"/>
    <s v="J"/>
    <m/>
    <m/>
    <m/>
    <m/>
    <m/>
    <m/>
    <m/>
  </r>
  <r>
    <d v="2023-11-13T00:00:00"/>
    <s v="November"/>
    <x v="6"/>
    <x v="0"/>
    <n v="-0.77"/>
    <x v="0"/>
    <n v="73150"/>
    <n v="366"/>
    <s v="State Isolated"/>
    <s v="PFO"/>
    <n v="0.38500000000000001"/>
    <s v="SPIN Munster"/>
    <s v="N/A"/>
    <s v="IWIP-2022-725-45-MTM-A"/>
    <m/>
    <s v="Lake"/>
    <n v="41.549857000000003"/>
    <n v="-87.520040100000003"/>
    <s v="Development"/>
    <m/>
    <s v="No"/>
    <m/>
    <n v="10972.5"/>
    <n v="51205"/>
    <n v="10972.5"/>
    <s v="C"/>
    <s v="SI"/>
    <s v="2 F"/>
    <m/>
    <m/>
    <m/>
    <m/>
    <m/>
    <m/>
  </r>
  <r>
    <d v="2023-11-13T00:00:00"/>
    <s v="November"/>
    <x v="6"/>
    <x v="0"/>
    <n v="-2.0710000000000002"/>
    <x v="0"/>
    <n v="196745"/>
    <n v="366"/>
    <s v="State Isolated"/>
    <s v="PEM"/>
    <n v="1.381"/>
    <s v="SPIN Munster"/>
    <s v="N/A"/>
    <s v="IWIP-2022-725-45-MTM-A"/>
    <m/>
    <s v="Lake"/>
    <n v="41.549857000000003"/>
    <n v="-87.520040100000003"/>
    <s v="Development"/>
    <m/>
    <s v="No"/>
    <m/>
    <n v="29511.75"/>
    <n v="137721.5"/>
    <n v="29511.75"/>
    <s v="C"/>
    <s v="SI"/>
    <s v="2 NF"/>
    <m/>
    <m/>
    <m/>
    <m/>
    <m/>
    <m/>
  </r>
  <r>
    <d v="2023-11-30T00:00:00"/>
    <s v="November"/>
    <x v="6"/>
    <x v="3"/>
    <n v="-1.4339999999999999"/>
    <x v="0"/>
    <n v="114720"/>
    <n v="440"/>
    <s v="Federal"/>
    <s v="PFO"/>
    <n v="0.47799999999999998"/>
    <s v="M.A. Mortenson Company"/>
    <s v="LRE-2023-00194-102-N23"/>
    <s v="2023-350-2-EJW-A"/>
    <m/>
    <s v="Allen"/>
    <n v="41.168756999999999"/>
    <n v="-85.095179999999999"/>
    <s v="Transportation"/>
    <m/>
    <s v="No"/>
    <m/>
    <n v="17208"/>
    <n v="80304"/>
    <n v="17208"/>
    <s v="D"/>
    <s v="J"/>
    <m/>
    <m/>
    <m/>
    <m/>
    <m/>
    <m/>
    <s v="Service Corridor"/>
  </r>
  <r>
    <d v="2023-11-30T00:00:00"/>
    <s v="November"/>
    <x v="6"/>
    <x v="3"/>
    <n v="-6.0000000000000001E-3"/>
    <x v="0"/>
    <n v="480"/>
    <n v="440"/>
    <s v="Federal"/>
    <s v="PEM"/>
    <n v="3.0000000000000001E-3"/>
    <s v="M.A. Mortenson Company"/>
    <s v="LRE-2023-00194-102-N23"/>
    <s v="2023-350-2-EJW-A"/>
    <m/>
    <s v="Allen"/>
    <n v="41.168756999999999"/>
    <n v="-85.095179999999999"/>
    <s v="Transportation"/>
    <m/>
    <s v="No"/>
    <m/>
    <n v="72"/>
    <n v="336"/>
    <n v="72"/>
    <s v="D"/>
    <s v="J"/>
    <m/>
    <m/>
    <m/>
    <m/>
    <m/>
    <m/>
    <s v="Service Corridor"/>
  </r>
  <r>
    <d v="2023-11-30T00:00:00"/>
    <s v="November"/>
    <x v="6"/>
    <x v="7"/>
    <n v="-76"/>
    <x v="1"/>
    <n v="30400"/>
    <n v="454"/>
    <s v="Federal"/>
    <s v="Eph"/>
    <n v="127"/>
    <s v="Clark County Board of Commissioners"/>
    <s v="LRL-1994-1330-gjd"/>
    <s v="2023-422-10-JWR-A"/>
    <m/>
    <s v="Clark"/>
    <n v="38.46"/>
    <n v="-85.831199999999995"/>
    <s v="Development"/>
    <m/>
    <s v="No"/>
    <m/>
    <n v="4560"/>
    <n v="21280"/>
    <n v="4560"/>
    <s v="L"/>
    <s v="J"/>
    <m/>
    <m/>
    <m/>
    <m/>
    <m/>
    <m/>
    <m/>
  </r>
  <r>
    <d v="2023-11-30T00:00:00"/>
    <s v="November"/>
    <x v="6"/>
    <x v="7"/>
    <n v="-1.67"/>
    <x v="0"/>
    <n v="133600"/>
    <n v="454"/>
    <s v="Federal"/>
    <s v="PSS"/>
    <n v="0.623"/>
    <s v="Clark County Board of Commissioners"/>
    <s v="LRL-1994-1330-gjd"/>
    <s v="2023-422-10-JWR-A"/>
    <m/>
    <s v="Clark"/>
    <n v="38.46"/>
    <n v="-85.831199999999995"/>
    <s v="Development"/>
    <m/>
    <s v="No"/>
    <m/>
    <n v="20040"/>
    <n v="93520"/>
    <n v="20040"/>
    <s v="L"/>
    <s v="J"/>
    <m/>
    <m/>
    <m/>
    <m/>
    <m/>
    <m/>
    <m/>
  </r>
  <r>
    <d v="2023-11-30T00:00:00"/>
    <s v="November"/>
    <x v="6"/>
    <x v="7"/>
    <n v="-1.63"/>
    <x v="0"/>
    <n v="130400"/>
    <n v="454"/>
    <s v="Federal"/>
    <s v="PEM"/>
    <n v="0.77300000000000002"/>
    <s v="Clark County Board of Commissioners"/>
    <s v="LRL-1994-1330-gjd"/>
    <s v="2023-422-10-JWR-A"/>
    <m/>
    <s v="Clark"/>
    <n v="38.46"/>
    <n v="-85.831199999999995"/>
    <s v="Development"/>
    <m/>
    <s v="No"/>
    <m/>
    <n v="19560"/>
    <n v="91280"/>
    <n v="19560"/>
    <s v="L"/>
    <s v="J"/>
    <m/>
    <m/>
    <m/>
    <m/>
    <m/>
    <m/>
    <m/>
  </r>
  <r>
    <d v="2023-11-30T00:00:00"/>
    <s v="November"/>
    <x v="6"/>
    <x v="10"/>
    <n v="-0.248"/>
    <x v="0"/>
    <n v="19840"/>
    <n v="456"/>
    <s v="State Isolated"/>
    <s v="PFO"/>
    <n v="0.124"/>
    <s v="Shelby County Higthway Department"/>
    <s v="N/A"/>
    <s v="IWIP 2023-303-73-WLR-A"/>
    <m/>
    <s v="Shelby"/>
    <n v="39.652476"/>
    <n v="-85.942843999999994"/>
    <s v="Transportation"/>
    <m/>
    <s v="No"/>
    <m/>
    <n v="2976"/>
    <n v="13888"/>
    <n v="2976"/>
    <s v="L"/>
    <s v="SI"/>
    <s v="2 FO"/>
    <m/>
    <m/>
    <m/>
    <m/>
    <m/>
    <m/>
  </r>
  <r>
    <d v="2023-12-04T00:00:00"/>
    <s v="December"/>
    <x v="6"/>
    <x v="1"/>
    <n v="-456.6"/>
    <x v="1"/>
    <n v="273960"/>
    <n v="449"/>
    <s v="Federal"/>
    <s v="Per"/>
    <n v="456.6"/>
    <s v="INDOT"/>
    <s v="LRC-2022-818"/>
    <s v="2022-1359-64-JBT-X"/>
    <m/>
    <s v="Porter"/>
    <n v="41.439463000000003"/>
    <n v="-86.962601000000006"/>
    <s v="Transportation"/>
    <m/>
    <s v="No"/>
    <m/>
    <n v="41094"/>
    <n v="191772"/>
    <n v="41094"/>
    <s v="C"/>
    <s v="J"/>
    <m/>
    <m/>
    <m/>
    <m/>
    <m/>
    <m/>
    <s v="1703005 Was sold as Calumet-Dunes - needs to be corrected in INRF and determine either refund or credit with INDOT"/>
  </r>
  <r>
    <d v="2023-12-04T00:00:00"/>
    <s v="December"/>
    <x v="6"/>
    <x v="1"/>
    <n v="-0.312"/>
    <x v="0"/>
    <n v="29640"/>
    <n v="449"/>
    <s v="Federal"/>
    <s v="PEM"/>
    <n v="0.13"/>
    <s v="INDOT"/>
    <s v="LRC-2022-818"/>
    <s v="2022-1359-64-JBT-X"/>
    <m/>
    <s v="Porter"/>
    <n v="41.439463000000003"/>
    <n v="-86.962601000000006"/>
    <s v="Transportation"/>
    <m/>
    <s v="No"/>
    <m/>
    <n v="4446"/>
    <n v="20748"/>
    <n v="4446"/>
    <s v="C"/>
    <s v="J"/>
    <m/>
    <m/>
    <m/>
    <m/>
    <m/>
    <m/>
    <s v="1703005 Same credit price as Calumet-Dunes, so just need to fix in INRF record as with above"/>
  </r>
  <r>
    <d v="2023-12-04T00:00:00"/>
    <s v="December"/>
    <x v="6"/>
    <x v="8"/>
    <n v="-129"/>
    <x v="1"/>
    <n v="51600"/>
    <n v="448"/>
    <s v="Federal"/>
    <s v="Int"/>
    <n v="129"/>
    <s v="INDOT"/>
    <s v="LRL-2022-936"/>
    <s v="2022-1007-35-JBT-X"/>
    <m/>
    <s v="Huntington"/>
    <n v="40.741500000000002"/>
    <n v="-85.565899999999999"/>
    <s v="Transportation"/>
    <m/>
    <s v="No"/>
    <m/>
    <n v="7740"/>
    <n v="36120"/>
    <n v="7740"/>
    <s v="L"/>
    <s v="J"/>
    <m/>
    <m/>
    <m/>
    <m/>
    <m/>
    <m/>
    <s v="1900242 and 1900241"/>
  </r>
  <r>
    <d v="2023-12-04T00:00:00"/>
    <s v="December"/>
    <x v="6"/>
    <x v="9"/>
    <n v="-0.74"/>
    <x v="0"/>
    <n v="59200"/>
    <n v="459"/>
    <s v="State Isolated"/>
    <s v="PEM"/>
    <n v="0.49"/>
    <s v="Bastian Solutions LLC"/>
    <s v="N/A"/>
    <s v="IWIP 2023-781-29-GCW-A"/>
    <m/>
    <s v="Hamilton"/>
    <n v="39.997776999999999"/>
    <n v="-85.956790999999996"/>
    <s v="Development"/>
    <m/>
    <s v="No"/>
    <m/>
    <n v="8880"/>
    <n v="41440"/>
    <n v="8880"/>
    <s v="L"/>
    <s v="I"/>
    <s v="2 NF"/>
    <m/>
    <m/>
    <m/>
    <m/>
    <m/>
    <m/>
  </r>
  <r>
    <d v="2023-12-15T00:00:00"/>
    <s v="December"/>
    <x v="6"/>
    <x v="0"/>
    <n v="-88"/>
    <x v="1"/>
    <n v="52800"/>
    <n v="450"/>
    <s v="Federal"/>
    <s v="Per"/>
    <n v="88"/>
    <s v="INDOT"/>
    <s v="LRC-2023-0054"/>
    <s v="2023-111-45-GCW-X"/>
    <m/>
    <s v="Lake"/>
    <n v="41.499713"/>
    <n v="-87.258708999999996"/>
    <s v="Transportation"/>
    <m/>
    <s v="No"/>
    <m/>
    <n v="7920"/>
    <n v="36960"/>
    <n v="7920"/>
    <s v="C"/>
    <s v="J"/>
    <m/>
    <m/>
    <m/>
    <m/>
    <m/>
    <m/>
    <n v="1703043"/>
  </r>
  <r>
    <d v="2023-12-15T00:00:00"/>
    <s v="December"/>
    <x v="6"/>
    <x v="0"/>
    <n v="-0.16600000000000001"/>
    <x v="0"/>
    <n v="15770"/>
    <n v="450"/>
    <s v="Federal"/>
    <s v="PEM"/>
    <n v="8.2799999999999999E-2"/>
    <s v="INDOT"/>
    <s v="LRC-2023-0054"/>
    <s v="2023-111-45-GCW-X"/>
    <m/>
    <s v="Lake"/>
    <n v="41.499713"/>
    <n v="-87.258708999999996"/>
    <s v="Transportation"/>
    <m/>
    <s v="No"/>
    <m/>
    <n v="2365.5"/>
    <n v="11039"/>
    <n v="2365.5"/>
    <s v="C"/>
    <s v="J"/>
    <m/>
    <m/>
    <m/>
    <m/>
    <m/>
    <m/>
    <n v="1703043"/>
  </r>
  <r>
    <d v="2023-12-15T00:00:00"/>
    <s v="December"/>
    <x v="6"/>
    <x v="6"/>
    <n v="-313"/>
    <x v="1"/>
    <n v="187800"/>
    <n v="461"/>
    <s v="Federal"/>
    <s v="Int"/>
    <n v="261"/>
    <s v="INDOT"/>
    <s v="LRE-2022-00522-157-N23"/>
    <s v="2023-684-57-JWR-A"/>
    <m/>
    <s v="Noble"/>
    <n v="41.425072999999998"/>
    <n v="-85.268182999999993"/>
    <s v="Transportation"/>
    <m/>
    <s v="No"/>
    <m/>
    <n v="28170"/>
    <n v="131460"/>
    <n v="28170"/>
    <s v="D"/>
    <s v="J"/>
    <m/>
    <m/>
    <m/>
    <m/>
    <m/>
    <m/>
    <s v="DES No. 1900138"/>
  </r>
  <r>
    <d v="2023-12-15T00:00:00"/>
    <s v="December"/>
    <x v="6"/>
    <x v="6"/>
    <n v="-0.7"/>
    <x v="0"/>
    <n v="84000"/>
    <n v="461"/>
    <s v="Federal"/>
    <s v="PEM"/>
    <n v="0.28999999999999998"/>
    <s v="INDOT"/>
    <s v="LRE-2022-00522-157-N23"/>
    <s v="2023-684-57-JWR-A"/>
    <m/>
    <s v="Noble"/>
    <n v="41.425072999999998"/>
    <n v="-85.268182999999993"/>
    <s v="Transportation"/>
    <m/>
    <s v="No"/>
    <m/>
    <n v="12600"/>
    <n v="58799.999999999993"/>
    <n v="12600"/>
    <s v="D"/>
    <s v="J"/>
    <m/>
    <m/>
    <m/>
    <m/>
    <m/>
    <m/>
    <s v="DES No. 1900138"/>
  </r>
  <r>
    <d v="2023-12-15T00:00:00"/>
    <s v="December"/>
    <x v="6"/>
    <x v="7"/>
    <n v="-104"/>
    <x v="1"/>
    <n v="41600"/>
    <n v="455"/>
    <s v="Federal"/>
    <s v="Eph"/>
    <n v="890"/>
    <s v="INDOT"/>
    <s v="LRL-2023-200-dds"/>
    <s v="2023-190-15-JBT-A"/>
    <m/>
    <s v="Dearborn, Ripley, Crawford"/>
    <n v="39.107306000000001"/>
    <n v="-85.047321999999994"/>
    <s v="Transportation"/>
    <m/>
    <s v="No"/>
    <m/>
    <n v="6240"/>
    <n v="29119.999999999996"/>
    <n v="6240"/>
    <s v="L"/>
    <s v="J"/>
    <m/>
    <m/>
    <m/>
    <m/>
    <m/>
    <m/>
    <s v="Linear project with several points. DES No. 2000516"/>
  </r>
  <r>
    <d v="2023-12-15T00:00:00"/>
    <s v="December"/>
    <x v="6"/>
    <x v="8"/>
    <n v="-0.04"/>
    <x v="0"/>
    <n v="3200"/>
    <n v="451"/>
    <s v="Federal"/>
    <s v="PFO"/>
    <n v="0.01"/>
    <s v="INDOT"/>
    <s v="LRL-2022-118"/>
    <s v="2021-168-27-JBT-A"/>
    <m/>
    <s v="Grant "/>
    <n v="40.614331"/>
    <n v="-85.693918999999994"/>
    <s v="Transportation"/>
    <m/>
    <s v="No"/>
    <m/>
    <n v="480"/>
    <n v="2240"/>
    <n v="480"/>
    <s v="L"/>
    <s v="J"/>
    <m/>
    <m/>
    <m/>
    <m/>
    <m/>
    <m/>
    <s v="DES 2001581"/>
  </r>
  <r>
    <d v="2023-12-15T00:00:00"/>
    <s v="December"/>
    <x v="6"/>
    <x v="8"/>
    <n v="-178"/>
    <x v="1"/>
    <n v="71200"/>
    <n v="451"/>
    <s v="Federal"/>
    <s v="Int"/>
    <n v="175"/>
    <s v="INDOT"/>
    <s v="LRL-2022-118"/>
    <s v="2021-168-27-JBT-A"/>
    <m/>
    <s v="Grant "/>
    <n v="40.614331"/>
    <n v="-85.693918999999994"/>
    <s v="Transportation"/>
    <m/>
    <s v="No"/>
    <m/>
    <n v="10680"/>
    <n v="49840"/>
    <n v="10680"/>
    <s v="L"/>
    <s v="J"/>
    <m/>
    <m/>
    <m/>
    <m/>
    <m/>
    <m/>
    <s v="DES 2001581"/>
  </r>
  <r>
    <d v="2023-12-15T00:00:00"/>
    <s v="December"/>
    <x v="6"/>
    <x v="10"/>
    <n v="-4"/>
    <x v="1"/>
    <n v="1600"/>
    <n v="447"/>
    <s v="Federal"/>
    <s v="Eph"/>
    <n v="4"/>
    <s v="INDOT"/>
    <s v="LRL-2022-898-scm"/>
    <s v="2022-1112-15-JBT-A"/>
    <m/>
    <s v="Dearborn"/>
    <s v="39.277158,"/>
    <n v="-84.903295"/>
    <s v="Transportation"/>
    <m/>
    <s v="No"/>
    <m/>
    <n v="240"/>
    <n v="1120"/>
    <n v="240"/>
    <s v="L"/>
    <s v="J"/>
    <m/>
    <m/>
    <m/>
    <m/>
    <m/>
    <m/>
    <n v="1600539"/>
  </r>
  <r>
    <d v="2023-12-15T00:00:00"/>
    <s v="December"/>
    <x v="6"/>
    <x v="10"/>
    <n v="-314"/>
    <x v="1"/>
    <n v="125600"/>
    <n v="447"/>
    <s v="Federal"/>
    <s v="Per"/>
    <n v="314"/>
    <s v="INDOT"/>
    <s v="LRL-2022-898-scm"/>
    <s v="2022-1112-15-JBT-A"/>
    <m/>
    <s v="Dearborn"/>
    <s v="39.277158,"/>
    <n v="-84.903295"/>
    <s v="Transportation"/>
    <m/>
    <s v="No"/>
    <m/>
    <n v="18840"/>
    <n v="87920"/>
    <n v="18840"/>
    <s v="L"/>
    <s v="J"/>
    <m/>
    <m/>
    <m/>
    <m/>
    <m/>
    <m/>
    <n v="1600539"/>
  </r>
  <r>
    <d v="2023-12-21T00:00:00"/>
    <s v="December"/>
    <x v="6"/>
    <x v="8"/>
    <n v="-5.5999999999999999E-3"/>
    <x v="0"/>
    <n v="448"/>
    <n v="441"/>
    <s v="Federal"/>
    <s v="PEM"/>
    <n v="2.8E-3"/>
    <s v="Kiewit Power Constructors Co."/>
    <s v="LRL-2023-00195-jde"/>
    <s v="2023-203-27-EJW-A"/>
    <m/>
    <s v="Grant"/>
    <n v="40.574525999999999"/>
    <n v="-85.655218000000005"/>
    <s v="Transportation"/>
    <m/>
    <s v="No"/>
    <m/>
    <n v="67.2"/>
    <n v="313.59999999999997"/>
    <n v="67.2"/>
    <s v="L"/>
    <s v="J"/>
    <m/>
    <m/>
    <m/>
    <m/>
    <m/>
    <m/>
    <s v="Lat/Long start location of linear project"/>
  </r>
  <r>
    <d v="2023-12-21T00:00:00"/>
    <s v="December"/>
    <x v="6"/>
    <x v="8"/>
    <n v="-2.3999999999999998E-3"/>
    <x v="0"/>
    <n v="192"/>
    <n v="441"/>
    <s v="Federal"/>
    <s v="PSS"/>
    <n v="8.0000000000000004E-4"/>
    <s v="Kiewit Power Constructors Co."/>
    <s v="LRL-2023-00195-jde"/>
    <s v="2023-203-27-EJW-A"/>
    <m/>
    <s v="Grant"/>
    <n v="40.574525999999999"/>
    <n v="-85.655218000000005"/>
    <s v="Transportation"/>
    <m/>
    <s v="No"/>
    <m/>
    <n v="28.799999999999997"/>
    <n v="134.39999999999998"/>
    <n v="28.799999999999997"/>
    <s v="L"/>
    <s v="J"/>
    <m/>
    <m/>
    <m/>
    <m/>
    <m/>
    <m/>
    <s v="Lat/Long start location of linear project"/>
  </r>
  <r>
    <d v="2023-12-21T00:00:00"/>
    <s v="December"/>
    <x v="6"/>
    <x v="8"/>
    <n v="-1.26"/>
    <x v="0"/>
    <n v="100800"/>
    <n v="441"/>
    <s v="Federal"/>
    <s v="PFO"/>
    <n v="0.42"/>
    <s v="Kiewit Power Constructors Co."/>
    <s v="LRL-2023-00195-jde"/>
    <s v="2023-203-27-EJW-A"/>
    <m/>
    <s v="Grant"/>
    <n v="40.574525999999999"/>
    <n v="-85.655218000000005"/>
    <s v="Transportation"/>
    <m/>
    <s v="No"/>
    <m/>
    <n v="15120"/>
    <n v="70560"/>
    <n v="15120"/>
    <s v="L"/>
    <s v="J"/>
    <m/>
    <m/>
    <m/>
    <m/>
    <m/>
    <m/>
    <s v="Lat/Long start location of linear project"/>
  </r>
  <r>
    <d v="2023-12-22T00:00:00"/>
    <s v="December"/>
    <x v="6"/>
    <x v="5"/>
    <n v="-180"/>
    <x v="1"/>
    <n v="72000"/>
    <n v="457"/>
    <s v="Federal"/>
    <s v="Eph"/>
    <n v="471"/>
    <s v="Vanderburgh County"/>
    <s v="LRL-2022-1077-tmb"/>
    <s v="2022-1362-82-JWR"/>
    <m/>
    <s v="Vanderburgh"/>
    <n v="38.042512000000002"/>
    <n v="-87.509769000000006"/>
    <s v="Transportation"/>
    <m/>
    <s v="No"/>
    <m/>
    <n v="10800"/>
    <n v="50400"/>
    <n v="10800"/>
    <s v="L"/>
    <s v="J"/>
    <m/>
    <m/>
    <m/>
    <m/>
    <m/>
    <m/>
    <m/>
  </r>
  <r>
    <d v="2023-12-22T00:00:00"/>
    <s v="December"/>
    <x v="6"/>
    <x v="5"/>
    <n v="-154"/>
    <x v="1"/>
    <n v="61600"/>
    <n v="457"/>
    <s v="Federal"/>
    <s v="Int"/>
    <n v="593"/>
    <s v="Vanderburgh County"/>
    <s v="LRL-2022-1077-tmb"/>
    <s v="2022-1362-82-JWR"/>
    <m/>
    <s v="Vanderburgh"/>
    <n v="38.042512000000002"/>
    <n v="-87.509769000000006"/>
    <s v="Transportation"/>
    <m/>
    <s v="No"/>
    <m/>
    <n v="9240"/>
    <n v="43120"/>
    <n v="9240"/>
    <s v="L"/>
    <s v="J"/>
    <m/>
    <m/>
    <m/>
    <m/>
    <m/>
    <m/>
    <m/>
  </r>
  <r>
    <d v="2023-12-22T00:00:00"/>
    <s v="December"/>
    <x v="6"/>
    <x v="5"/>
    <n v="-257.5"/>
    <x v="1"/>
    <n v="103000"/>
    <n v="458"/>
    <s v="Federal"/>
    <s v="Eph"/>
    <n v="896.5"/>
    <s v="Vanderburgh County"/>
    <s v="LRL-2023-00275-dsp "/>
    <s v="2023-445-82-WLR-A"/>
    <m/>
    <s v="Vanderburgh"/>
    <n v="38.085591999999998"/>
    <n v="-87.505643000000006"/>
    <s v="Transportation"/>
    <m/>
    <s v="No"/>
    <m/>
    <n v="15450"/>
    <n v="72100"/>
    <n v="15450"/>
    <s v="L"/>
    <s v="J"/>
    <m/>
    <m/>
    <m/>
    <m/>
    <m/>
    <m/>
    <m/>
  </r>
  <r>
    <d v="2023-12-22T00:00:00"/>
    <s v="December"/>
    <x v="6"/>
    <x v="5"/>
    <n v="-258"/>
    <x v="1"/>
    <n v="103200"/>
    <n v="458"/>
    <s v="Federal"/>
    <s v="Int"/>
    <n v="335"/>
    <s v="Vanderburgh County"/>
    <s v="LRL-2023-00275-dsp "/>
    <s v="2023-445-82-WLR-A"/>
    <m/>
    <s v="Vanderburgh"/>
    <n v="38.085591999999998"/>
    <n v="-87.505643000000006"/>
    <s v="Transportation"/>
    <m/>
    <s v="No"/>
    <m/>
    <n v="15480"/>
    <n v="72240"/>
    <n v="15480"/>
    <s v="L"/>
    <s v="J"/>
    <m/>
    <m/>
    <m/>
    <m/>
    <m/>
    <m/>
    <m/>
  </r>
  <r>
    <d v="2023-12-22T00:00:00"/>
    <s v="December"/>
    <x v="6"/>
    <x v="5"/>
    <n v="-0.16900000000000001"/>
    <x v="0"/>
    <n v="13520"/>
    <n v="458"/>
    <s v="Federal"/>
    <s v="PEM"/>
    <n v="8.4500000000000006E-2"/>
    <s v="Vanderburgh County"/>
    <s v="LRL-2023-00275-dsp "/>
    <s v="2023-445-82-WLR-A"/>
    <m/>
    <s v="Vanderburgh"/>
    <n v="38.085591999999998"/>
    <n v="-87.505643000000006"/>
    <s v="Transportation"/>
    <m/>
    <s v="No"/>
    <m/>
    <n v="2028"/>
    <n v="9464"/>
    <n v="2028"/>
    <s v="L"/>
    <s v="J"/>
    <m/>
    <m/>
    <m/>
    <m/>
    <m/>
    <m/>
    <m/>
  </r>
  <r>
    <d v="2023-12-22T00:00:00"/>
    <s v="December"/>
    <x v="6"/>
    <x v="7"/>
    <n v="-68"/>
    <x v="1"/>
    <n v="27200"/>
    <n v="467"/>
    <s v="Federal"/>
    <s v="Eph"/>
    <n v="68"/>
    <s v="Clark County Board of Commissioners"/>
    <s v="LRL-2013-00374"/>
    <s v="2021-189-10-TMS-A"/>
    <m/>
    <s v="Clark"/>
    <n v="38.457000000000001"/>
    <n v="-85.847740000000002"/>
    <s v="Development"/>
    <m/>
    <s v="No"/>
    <m/>
    <n v="4080"/>
    <n v="19040"/>
    <n v="4080"/>
    <s v="L"/>
    <s v="SI"/>
    <m/>
    <m/>
    <m/>
    <m/>
    <m/>
    <m/>
    <s v="3 of 7"/>
  </r>
  <r>
    <d v="2023-12-22T00:00:00"/>
    <s v="December"/>
    <x v="6"/>
    <x v="7"/>
    <n v="-220"/>
    <x v="1"/>
    <n v="88000"/>
    <n v="467"/>
    <s v="Federal"/>
    <s v="Int"/>
    <n v="220"/>
    <s v="Clark County Board of Commissioners"/>
    <s v="LRL-2013-00374"/>
    <s v="2021-189-10-TMS-A"/>
    <m/>
    <s v="Clark"/>
    <n v="38.457000000000001"/>
    <n v="-85.847740000000002"/>
    <s v="Development"/>
    <m/>
    <s v="No"/>
    <m/>
    <n v="13200"/>
    <n v="61599.999999999993"/>
    <n v="13200"/>
    <s v="L"/>
    <s v="SI"/>
    <m/>
    <m/>
    <m/>
    <m/>
    <m/>
    <m/>
    <s v="3 of 7"/>
  </r>
  <r>
    <d v="2023-12-22T00:00:00"/>
    <s v="December"/>
    <x v="6"/>
    <x v="7"/>
    <n v="-1.2"/>
    <x v="0"/>
    <n v="96000"/>
    <n v="467"/>
    <s v="Federal"/>
    <s v="PEM"/>
    <n v="1.2"/>
    <s v="Clark County Board of Commissioners"/>
    <s v="LRL-2013-00374"/>
    <s v="2021-189-10-TMS-A"/>
    <m/>
    <s v="Clark"/>
    <n v="38.457000000000001"/>
    <n v="-85.847740000000002"/>
    <s v="Development"/>
    <m/>
    <s v="No"/>
    <m/>
    <n v="14400"/>
    <n v="67200"/>
    <n v="14400"/>
    <s v="L"/>
    <s v="SI"/>
    <m/>
    <m/>
    <m/>
    <m/>
    <m/>
    <m/>
    <s v="3 of 7"/>
  </r>
  <r>
    <d v="2023-12-22T00:00:00"/>
    <s v="December"/>
    <x v="6"/>
    <x v="7"/>
    <n v="-0.1"/>
    <x v="0"/>
    <n v="8000"/>
    <n v="467"/>
    <s v="Federal"/>
    <s v="PFO"/>
    <n v="0.1"/>
    <s v="Clark County Board of Commissioners"/>
    <s v="LRL-2013-00374"/>
    <s v="2021-189-10-TMS-A"/>
    <m/>
    <s v="Clark"/>
    <n v="38.457000000000001"/>
    <n v="-85.847740000000002"/>
    <s v="Development"/>
    <m/>
    <s v="No"/>
    <m/>
    <n v="1200"/>
    <n v="5600"/>
    <n v="1200"/>
    <s v="L"/>
    <s v="SI"/>
    <m/>
    <m/>
    <m/>
    <m/>
    <m/>
    <m/>
    <s v="3 of 7"/>
  </r>
  <r>
    <d v="2023-12-22T00:00:00"/>
    <s v="December"/>
    <x v="6"/>
    <x v="8"/>
    <n v="-37"/>
    <x v="1"/>
    <n v="14800"/>
    <n v="462"/>
    <s v="Federal"/>
    <s v="Int"/>
    <n v="37"/>
    <s v="INDOT"/>
    <s v="LRL-2023-00493-DDC "/>
    <s v="2023-613-85-JWR-X "/>
    <m/>
    <s v="Wabash"/>
    <n v="40.803916000000001"/>
    <n v="-85.903412000000003"/>
    <s v="Transportation"/>
    <m/>
    <s v="No"/>
    <m/>
    <n v="2220"/>
    <n v="10360"/>
    <n v="2220"/>
    <s v="L"/>
    <s v="J"/>
    <m/>
    <m/>
    <m/>
    <m/>
    <m/>
    <m/>
    <n v="1900080"/>
  </r>
  <r>
    <d v="2023-12-22T00:00:00"/>
    <s v="December"/>
    <x v="6"/>
    <x v="9"/>
    <n v="-0.02"/>
    <x v="0"/>
    <n v="160"/>
    <n v="452"/>
    <s v="State Isolated"/>
    <s v="PEM"/>
    <n v="1E-3"/>
    <s v="INDOT"/>
    <s v="N/A"/>
    <s v="IWIP 2023-460-35-JBT-A"/>
    <m/>
    <s v="Hendricks"/>
    <n v="39.7577"/>
    <n v="-86.457887999999997"/>
    <s v="Transportation"/>
    <m/>
    <s v="No"/>
    <m/>
    <n v="24"/>
    <n v="112"/>
    <n v="24"/>
    <s v="L"/>
    <s v="I"/>
    <m/>
    <m/>
    <m/>
    <m/>
    <m/>
    <m/>
    <n v="1900357"/>
  </r>
  <r>
    <m/>
    <m/>
    <x v="1"/>
    <x v="11"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4-01-12T00:00:00"/>
    <s v="January"/>
    <x v="7"/>
    <x v="0"/>
    <n v="-1.38"/>
    <x v="0"/>
    <n v="131100"/>
    <n v="460"/>
    <s v="Federal"/>
    <s v="PEM"/>
    <n v="0.9"/>
    <s v="Mississippi Parkway Partners"/>
    <s v="LRC-2022-00250"/>
    <s v="2022-662-45-MTM-A"/>
    <m/>
    <s v="Lake"/>
    <n v="41.375649000000003"/>
    <n v="-87.312011999999996"/>
    <s v="Development"/>
    <m/>
    <s v="No"/>
    <m/>
    <n v="19665"/>
    <n v="91770"/>
    <n v="19665"/>
    <s v="C"/>
    <s v="J"/>
    <m/>
    <m/>
    <m/>
    <m/>
    <m/>
    <m/>
    <m/>
  </r>
  <r>
    <d v="2024-01-12T00:00:00"/>
    <s v="January"/>
    <x v="7"/>
    <x v="0"/>
    <n v="-0.65"/>
    <x v="0"/>
    <n v="61750"/>
    <n v="465"/>
    <s v="State Isolated"/>
    <s v="PEM"/>
    <n v="0.65"/>
    <s v="Gary Material Supply"/>
    <s v="N/A"/>
    <s v="IWIP 2022-32-45-MTM-A"/>
    <m/>
    <s v="Lake"/>
    <n v="41.592683000000001"/>
    <n v="-87.425911999999997"/>
    <s v="Development"/>
    <m/>
    <s v="No"/>
    <m/>
    <n v="9262.5"/>
    <n v="43225"/>
    <n v="9262.5"/>
    <s v="C"/>
    <s v="SI"/>
    <s v="3 NF"/>
    <m/>
    <m/>
    <m/>
    <m/>
    <m/>
    <m/>
  </r>
  <r>
    <d v="2024-01-12T00:00:00"/>
    <s v="January"/>
    <x v="7"/>
    <x v="8"/>
    <n v="-0.5"/>
    <x v="0"/>
    <n v="40000"/>
    <n v="466"/>
    <s v="Federal"/>
    <s v="PFO"/>
    <n v="0.5"/>
    <s v="Taylor University"/>
    <s v="LRL-2013-00869-sjk"/>
    <s v="2013-506-27-HAP-V"/>
    <m/>
    <s v="Grant"/>
    <n v="40.452800000000003"/>
    <n v="-85.499099999999999"/>
    <s v="Development"/>
    <m/>
    <s v="No"/>
    <m/>
    <n v="6000"/>
    <n v="28000"/>
    <n v="6000"/>
    <s v="L"/>
    <s v="J"/>
    <m/>
    <m/>
    <m/>
    <m/>
    <m/>
    <m/>
    <m/>
  </r>
  <r>
    <d v="2024-01-12T00:00:00"/>
    <s v="January"/>
    <x v="7"/>
    <x v="9"/>
    <n v="-1.7250000000000001"/>
    <x v="0"/>
    <n v="138000"/>
    <n v="468"/>
    <s v="State Isolated"/>
    <s v="PFO"/>
    <n v="1.7250000000000001"/>
    <s v="Chill Land, LLC"/>
    <s v="N/A"/>
    <s v="IWIP 2023-280-6-ERL-A"/>
    <m/>
    <s v="Boone"/>
    <n v="39.947789"/>
    <n v="-86.384957"/>
    <s v="Development"/>
    <m/>
    <s v="No"/>
    <m/>
    <n v="20700"/>
    <n v="96600"/>
    <n v="20700"/>
    <s v="L"/>
    <s v="SI"/>
    <s v="3 FO"/>
    <m/>
    <m/>
    <m/>
    <m/>
    <m/>
    <m/>
  </r>
  <r>
    <d v="2024-01-26T00:00:00"/>
    <s v="January"/>
    <x v="7"/>
    <x v="9"/>
    <n v="-153.5"/>
    <x v="1"/>
    <n v="69075"/>
    <n v="469"/>
    <s v="Federal"/>
    <s v="Per"/>
    <n v="155"/>
    <s v="Epcon Communities"/>
    <s v="LRL-2016-00893-jde"/>
    <s v="2023-509-6-MRP-A"/>
    <m/>
    <s v="Boone"/>
    <n v="39.947549000000002"/>
    <n v="-86.294589000000002"/>
    <s v="Development"/>
    <m/>
    <s v="No"/>
    <m/>
    <n v="10361.25"/>
    <n v="48352.5"/>
    <n v="10361.25"/>
    <s v="L"/>
    <s v="J"/>
    <m/>
    <m/>
    <m/>
    <m/>
    <m/>
    <m/>
    <m/>
  </r>
  <r>
    <d v="2024-01-31T00:00:00"/>
    <s v="January"/>
    <x v="7"/>
    <x v="1"/>
    <n v="123"/>
    <x v="1"/>
    <n v="-61500"/>
    <n v="302"/>
    <s v="Federal"/>
    <s v="Per"/>
    <n v="123"/>
    <s v="INDOT"/>
    <s v="LRE-2008-01048-156-R21"/>
    <s v="2021-712-56-JBT-A"/>
    <m/>
    <s v="Newton"/>
    <n v="40.865900000000003"/>
    <n v="-87.281000000000006"/>
    <s v="Transportation"/>
    <s v="Credit Refund to INDOT 1/31/2023"/>
    <s v="n/a"/>
    <d v="2023-01-31T00:00:00"/>
    <n v="-9225"/>
    <n v="-43050"/>
    <n v="-9225"/>
    <s v="D"/>
    <s v="J"/>
    <m/>
    <m/>
    <s v="Credit Refund to INDOT"/>
    <m/>
    <m/>
    <m/>
    <s v="Corps verified no mitigation required. *Refund 1/31/24"/>
  </r>
  <r>
    <d v="2024-01-31T00:00:00"/>
    <s v="January"/>
    <x v="7"/>
    <x v="1"/>
    <n v="1.7999999999999999E-2"/>
    <x v="0"/>
    <n v="-1710"/>
    <n v="302"/>
    <s v="Federal"/>
    <s v="PEM"/>
    <n v="8.9999999999999993E-3"/>
    <s v="INDOT"/>
    <s v="LRE-2008-01048-156-R21"/>
    <s v="2021-712-56-JBT-A"/>
    <m/>
    <s v="Newton"/>
    <n v="40.865900000000003"/>
    <n v="-87.281000000000006"/>
    <s v="Transportation"/>
    <s v="Credit Refund to INDOT 1/31/2023"/>
    <s v="n/a"/>
    <d v="2023-01-31T00:00:00"/>
    <n v="-256.5"/>
    <n v="-1197"/>
    <n v="-256.5"/>
    <s v="D"/>
    <s v="J"/>
    <m/>
    <m/>
    <s v="Credit Refund to INDOT"/>
    <m/>
    <m/>
    <m/>
    <s v="Corps verified no mitigation required. *Refund 1/31/24"/>
  </r>
  <r>
    <d v="2024-02-05T00:00:00"/>
    <s v="February"/>
    <x v="7"/>
    <x v="9"/>
    <n v="-1.36"/>
    <x v="0"/>
    <n v="108800"/>
    <n v="477"/>
    <s v="State Isolated"/>
    <s v="PEM"/>
    <n v="0.68"/>
    <s v="BHI Senior Living"/>
    <s v="N/A"/>
    <s v="IWIP 2023-800-6-MPY-A"/>
    <m/>
    <s v="Boone"/>
    <n v="39.930031"/>
    <n v="-86.247806999999995"/>
    <s v="Development"/>
    <m/>
    <s v="No"/>
    <m/>
    <n v="16320"/>
    <n v="76160"/>
    <n v="16320"/>
    <s v="L"/>
    <s v="SI"/>
    <s v="3 FO"/>
    <m/>
    <m/>
    <m/>
    <m/>
    <m/>
    <m/>
  </r>
  <r>
    <d v="2024-02-05T00:00:00"/>
    <s v="February"/>
    <x v="7"/>
    <x v="9"/>
    <n v="-0.67"/>
    <x v="0"/>
    <n v="53600"/>
    <n v="477"/>
    <s v="State Isolated"/>
    <s v="PFO"/>
    <n v="0.27"/>
    <s v="BHI Senior Living"/>
    <s v="N/A"/>
    <s v="IWIP 2023-800-6-MPY-A"/>
    <m/>
    <s v="Boone"/>
    <n v="39.930031"/>
    <n v="-86.247806999999995"/>
    <s v="Development"/>
    <m/>
    <s v="No"/>
    <m/>
    <n v="8040"/>
    <n v="37520"/>
    <n v="8040"/>
    <s v="L"/>
    <s v="SI"/>
    <s v="3 FO"/>
    <m/>
    <m/>
    <m/>
    <m/>
    <m/>
    <m/>
  </r>
  <r>
    <d v="2024-02-07T00:00:00"/>
    <s v="February"/>
    <x v="7"/>
    <x v="8"/>
    <n v="-47"/>
    <x v="1"/>
    <n v="18800"/>
    <n v="471"/>
    <s v="Federal"/>
    <s v="Int"/>
    <n v="47"/>
    <s v="INDOT"/>
    <s v="LRL-2023-915-djd"/>
    <s v="2023-1098-90-GCW-X"/>
    <m/>
    <s v="Wells"/>
    <n v="40.822166000000003"/>
    <n v="-85.311150999999995"/>
    <s v="Transportation"/>
    <m/>
    <s v="No"/>
    <m/>
    <n v="2820"/>
    <n v="13160"/>
    <n v="2820"/>
    <s v="L"/>
    <s v="J"/>
    <m/>
    <m/>
    <m/>
    <m/>
    <m/>
    <m/>
    <m/>
  </r>
  <r>
    <d v="2024-02-07T00:00:00"/>
    <s v="February"/>
    <x v="7"/>
    <x v="8"/>
    <n v="-0.64"/>
    <x v="0"/>
    <n v="51200"/>
    <n v="471"/>
    <s v="Federal"/>
    <s v="PFO"/>
    <n v="0.16"/>
    <s v="INDOT"/>
    <s v="LRL-2023-915-djd"/>
    <s v="2023-1098-90-GCW-X"/>
    <m/>
    <s v="Wells"/>
    <n v="40.822166000000003"/>
    <n v="-85.311150999999995"/>
    <s v="Transportation"/>
    <m/>
    <s v="No"/>
    <m/>
    <n v="7680"/>
    <n v="35840"/>
    <n v="7680"/>
    <s v="L"/>
    <s v="J"/>
    <m/>
    <m/>
    <m/>
    <m/>
    <m/>
    <m/>
    <m/>
  </r>
  <r>
    <d v="2024-02-16T00:00:00"/>
    <s v="February"/>
    <x v="7"/>
    <x v="8"/>
    <n v="-1.5"/>
    <x v="0"/>
    <n v="120000"/>
    <n v="463"/>
    <s v="State Isolated"/>
    <s v="PEM"/>
    <n v="1.5"/>
    <s v="Van Rooy Properties"/>
    <s v="N/A"/>
    <s v="IWIP 2023-644-79-MPY-A"/>
    <m/>
    <s v="Tippecanoe"/>
    <n v="40.411695999999999"/>
    <n v="-86.825644999999994"/>
    <s v="Development"/>
    <m/>
    <s v="No"/>
    <m/>
    <n v="18000"/>
    <n v="84000"/>
    <n v="18000"/>
    <s v="L"/>
    <s v="SI"/>
    <m/>
    <m/>
    <m/>
    <m/>
    <m/>
    <m/>
    <m/>
  </r>
  <r>
    <d v="2024-02-20T00:00:00"/>
    <s v="February"/>
    <x v="7"/>
    <x v="9"/>
    <n v="-8.4250000000000007"/>
    <x v="0"/>
    <n v="674000"/>
    <n v="482"/>
    <s v="State Isolated"/>
    <s v="PFO"/>
    <n v="3.37"/>
    <s v="Gershman Partners"/>
    <s v="N/A"/>
    <s v="IWIP 2023-430-49-WLR-A"/>
    <m/>
    <s v="Marion"/>
    <n v="39.641040699999998"/>
    <n v="-86.066323299999993"/>
    <s v="Development"/>
    <m/>
    <s v="No"/>
    <m/>
    <n v="101100"/>
    <n v="471799.99999999994"/>
    <n v="101100"/>
    <s v="L"/>
    <s v="SI"/>
    <s v="3 FO"/>
    <m/>
    <m/>
    <m/>
    <m/>
    <m/>
    <m/>
  </r>
  <r>
    <d v="2024-02-20T00:00:00"/>
    <s v="February"/>
    <x v="7"/>
    <x v="10"/>
    <n v="-12"/>
    <x v="1"/>
    <n v="4800"/>
    <n v="472"/>
    <s v="Federal"/>
    <s v="Int"/>
    <n v="10"/>
    <s v="Heritage Estates, LLC"/>
    <s v="LRL:2023-00969-sea"/>
    <s v="2023-865-40-JLB-A"/>
    <m/>
    <s v="Jennings"/>
    <n v="38.997250000000001"/>
    <n v="-85.650336999999993"/>
    <s v="Development"/>
    <m/>
    <s v="No"/>
    <m/>
    <n v="720"/>
    <n v="3360"/>
    <n v="720"/>
    <s v="L"/>
    <s v="J"/>
    <m/>
    <m/>
    <m/>
    <m/>
    <m/>
    <m/>
    <m/>
  </r>
  <r>
    <d v="2024-02-20T00:00:00"/>
    <s v="February"/>
    <x v="7"/>
    <x v="10"/>
    <n v="-1.2"/>
    <x v="0"/>
    <n v="96000"/>
    <n v="472"/>
    <s v="Federal"/>
    <s v="PSS"/>
    <n v="0.48"/>
    <s v="Heritage Estates, LLC"/>
    <s v="LRL:2023-00969-sea"/>
    <s v="2023-865-40-JLB-A"/>
    <m/>
    <s v="Jennings"/>
    <n v="38.997250000000001"/>
    <n v="-85.650336999999993"/>
    <s v="Development"/>
    <m/>
    <s v="No"/>
    <m/>
    <n v="14400"/>
    <n v="67200"/>
    <n v="14400"/>
    <s v="L"/>
    <s v="J"/>
    <m/>
    <m/>
    <m/>
    <m/>
    <m/>
    <m/>
    <m/>
  </r>
  <r>
    <d v="2024-02-23T00:00:00"/>
    <s v="February"/>
    <x v="7"/>
    <x v="9"/>
    <n v="-3.9350000000000001"/>
    <x v="0"/>
    <n v="314800"/>
    <n v="475"/>
    <s v="Federal"/>
    <s v="PFO"/>
    <n v="0.67800000000000005"/>
    <s v="City of Noblesville"/>
    <s v="LRL-2021-01807-DDC"/>
    <s v="2022-784-29-EKB-A"/>
    <m/>
    <s v="Hamilton"/>
    <n v="40.028688000000002"/>
    <n v="-86.009584000000004"/>
    <s v="Energy"/>
    <m/>
    <s v="No"/>
    <m/>
    <n v="47220"/>
    <n v="220360"/>
    <n v="47220"/>
    <s v="L"/>
    <s v="J"/>
    <m/>
    <m/>
    <m/>
    <m/>
    <m/>
    <m/>
    <m/>
  </r>
  <r>
    <d v="2024-03-07T00:00:00"/>
    <s v="March"/>
    <x v="7"/>
    <x v="4"/>
    <n v="-43"/>
    <x v="1"/>
    <n v="17200"/>
    <n v="473"/>
    <s v="Federal"/>
    <s v="Int"/>
    <n v="383"/>
    <s v="INDOT"/>
    <s v="LRL-2022-1036-scm"/>
    <s v="2022-1376-83-JBT-X"/>
    <m/>
    <s v="Vermillion "/>
    <n v="40.117241999999997"/>
    <n v="-87.452340000000007"/>
    <s v="Transportation"/>
    <m/>
    <s v="No"/>
    <m/>
    <n v="2580"/>
    <n v="12040"/>
    <n v="2580"/>
    <s v="L"/>
    <s v="J"/>
    <m/>
    <m/>
    <m/>
    <m/>
    <m/>
    <m/>
    <s v="DES NO: 1800187"/>
  </r>
  <r>
    <d v="2024-03-07T00:00:00"/>
    <s v="March"/>
    <x v="7"/>
    <x v="6"/>
    <n v="-4.3339999999999996"/>
    <x v="0"/>
    <n v="520080"/>
    <n v="487"/>
    <s v="State Isolated"/>
    <s v="PEM"/>
    <n v="3.044"/>
    <s v="Universal Guaranty Company"/>
    <s v="N/A"/>
    <s v="IWIP 2023-1175-20-SCF-A"/>
    <m/>
    <s v="Elkhart"/>
    <n v="41.662261999999998"/>
    <n v="-86.022976999999997"/>
    <s v="Development"/>
    <m/>
    <s v="No"/>
    <m/>
    <n v="78012"/>
    <n v="364056"/>
    <n v="78012"/>
    <s v="D"/>
    <s v="SI"/>
    <s v="2 NF"/>
    <m/>
    <m/>
    <m/>
    <m/>
    <m/>
    <m/>
  </r>
  <r>
    <d v="2024-03-07T00:00:00"/>
    <s v="March"/>
    <x v="7"/>
    <x v="6"/>
    <n v="-0.79500000000000004"/>
    <x v="0"/>
    <n v="95400"/>
    <n v="487"/>
    <s v="State Isolated"/>
    <s v="PFO"/>
    <n v="0.53"/>
    <s v="Universal Guaranty Company"/>
    <s v="N/A"/>
    <s v="IWIP 2023-1175-20-SCF-A"/>
    <m/>
    <s v="Elkhart"/>
    <n v="41.662261999999998"/>
    <n v="-86.022976999999997"/>
    <s v="Development"/>
    <m/>
    <s v="No"/>
    <m/>
    <n v="14310"/>
    <n v="66780"/>
    <n v="14310"/>
    <s v="D"/>
    <s v="SI"/>
    <s v="2 FO"/>
    <m/>
    <m/>
    <m/>
    <m/>
    <m/>
    <m/>
  </r>
  <r>
    <d v="2024-03-11T00:00:00"/>
    <s v="March"/>
    <x v="7"/>
    <x v="9"/>
    <n v="-89"/>
    <x v="1"/>
    <n v="40050"/>
    <n v="484"/>
    <s v="Federal"/>
    <s v="Per"/>
    <n v="74"/>
    <s v="City of Carmel"/>
    <s v="LRL-2012-00375-ajk"/>
    <s v="2013-017-29-HAP-A"/>
    <m/>
    <s v="Hamilton"/>
    <n v="39.961959999999998"/>
    <n v="-86.100110000000001"/>
    <s v="Development"/>
    <m/>
    <s v="No"/>
    <m/>
    <n v="6007.5"/>
    <n v="28035"/>
    <n v="6007.5"/>
    <s v="L"/>
    <s v="J"/>
    <m/>
    <m/>
    <m/>
    <m/>
    <m/>
    <m/>
    <s v="Failed Mitigation at Brookshire Golf Course"/>
  </r>
  <r>
    <d v="2024-03-12T00:00:00"/>
    <s v="March"/>
    <x v="7"/>
    <x v="0"/>
    <n v="-39"/>
    <x v="1"/>
    <n v="23400"/>
    <n v="474"/>
    <s v="Federal"/>
    <s v="Int"/>
    <n v="450"/>
    <s v="INDOT"/>
    <s v="LRC-2023-00478"/>
    <s v="2023-990-45-GCW-A"/>
    <m/>
    <s v="Lake"/>
    <n v="41.583077000000003"/>
    <n v="-87.240280999999996"/>
    <s v=" Transportation"/>
    <m/>
    <s v="No"/>
    <m/>
    <n v="3510"/>
    <n v="16379.999999999998"/>
    <n v="3510"/>
    <s v="C"/>
    <s v="J"/>
    <m/>
    <m/>
    <m/>
    <m/>
    <m/>
    <m/>
    <s v="DES NO. 1800257"/>
  </r>
  <r>
    <d v="2024-03-12T00:00:00"/>
    <s v="March"/>
    <x v="7"/>
    <x v="0"/>
    <n v="-0.27960000000000002"/>
    <x v="0"/>
    <n v="26562"/>
    <n v="474"/>
    <s v="Federal"/>
    <s v="PEM"/>
    <n v="0.11650000000000001"/>
    <s v="INDOT"/>
    <s v="LRC-2023-00478"/>
    <s v="2023-990-45-GCW-A"/>
    <m/>
    <s v="Lake"/>
    <n v="41.583077000000003"/>
    <n v="-87.240280999999996"/>
    <s v="Transportation"/>
    <m/>
    <s v="No"/>
    <m/>
    <n v="3984.2999999999997"/>
    <n v="18593.399999999998"/>
    <n v="3984.2999999999997"/>
    <s v="C"/>
    <s v="J"/>
    <m/>
    <m/>
    <m/>
    <m/>
    <m/>
    <m/>
    <s v="DES NO. 1800257"/>
  </r>
  <r>
    <d v="2024-03-12T00:00:00"/>
    <s v="March"/>
    <x v="7"/>
    <x v="8"/>
    <n v="-44"/>
    <x v="1"/>
    <n v="4800"/>
    <n v="483"/>
    <s v="Federal"/>
    <s v="Per"/>
    <n v="10"/>
    <s v="INDOT"/>
    <s v="LRL-2024-39-DJD"/>
    <s v="2024-15-90-GCW-X "/>
    <m/>
    <s v="Wells"/>
    <n v="40.821666999999998"/>
    <n v="-85.309443999999999"/>
    <s v="Transportation"/>
    <m/>
    <s v="No"/>
    <m/>
    <n v="720"/>
    <n v="3360"/>
    <n v="720"/>
    <s v="L"/>
    <s v="J"/>
    <m/>
    <m/>
    <m/>
    <m/>
    <m/>
    <m/>
    <s v="DES NO 2002246"/>
  </r>
  <r>
    <d v="2024-03-12T00:00:00"/>
    <s v="March"/>
    <x v="7"/>
    <x v="8"/>
    <n v="-0.11"/>
    <x v="0"/>
    <n v="7200"/>
    <n v="483"/>
    <s v="Federal"/>
    <s v="PEM"/>
    <n v="3.7999999999999999E-2"/>
    <s v="INDOT"/>
    <s v="LRL-2024-39-DJD"/>
    <s v="2024-15-90-GCW-X "/>
    <m/>
    <s v="Wells"/>
    <n v="40.821666999999998"/>
    <n v="-85.309443999999999"/>
    <s v="Transportation"/>
    <m/>
    <s v="No"/>
    <m/>
    <n v="1080"/>
    <n v="5040"/>
    <n v="1080"/>
    <s v="L"/>
    <s v="J"/>
    <m/>
    <m/>
    <m/>
    <m/>
    <m/>
    <m/>
    <s v="DES NO 2002246"/>
  </r>
  <r>
    <d v="2024-03-12T00:00:00"/>
    <s v="March"/>
    <x v="7"/>
    <x v="8"/>
    <n v="-0.32"/>
    <x v="0"/>
    <n v="25600"/>
    <n v="483"/>
    <s v="Federal"/>
    <s v="PFO"/>
    <n v="8.8999999999999996E-2"/>
    <s v="INDOT"/>
    <s v="LRL-2024-39-DJD"/>
    <s v="2024-15-90-GCW-X "/>
    <m/>
    <s v="Wells"/>
    <n v="40.821666999999998"/>
    <n v="-85.309443999999999"/>
    <s v="Transportation"/>
    <m/>
    <s v="No"/>
    <m/>
    <n v="3840"/>
    <n v="17920"/>
    <n v="3840"/>
    <s v="L"/>
    <s v="J"/>
    <m/>
    <m/>
    <m/>
    <m/>
    <m/>
    <m/>
    <s v="DES NO 2002246"/>
  </r>
  <r>
    <d v="2024-03-14T00:00:00"/>
    <s v="March"/>
    <x v="7"/>
    <x v="6"/>
    <n v="-107"/>
    <x v="1"/>
    <n v="64200"/>
    <n v="486"/>
    <s v="Federal"/>
    <s v="Per"/>
    <n v="107"/>
    <s v="INDOT"/>
    <s v="LRE-2023-00677-144-N23"/>
    <s v="2023-1095-44-GCW-X"/>
    <m/>
    <s v="LaGrange"/>
    <n v="41.554699999999997"/>
    <n v="-85.366699999999994"/>
    <s v="Transportation"/>
    <m/>
    <s v="No"/>
    <m/>
    <n v="9630"/>
    <n v="44940"/>
    <n v="9630"/>
    <s v="D"/>
    <s v="J"/>
    <m/>
    <m/>
    <m/>
    <m/>
    <m/>
    <m/>
    <s v="DES NO 2002233"/>
  </r>
  <r>
    <d v="2024-03-14T00:00:00"/>
    <s v="March"/>
    <x v="7"/>
    <x v="6"/>
    <n v="-0.184"/>
    <x v="0"/>
    <n v="22080"/>
    <n v="486"/>
    <s v="Federal"/>
    <s v="PEM"/>
    <n v="9.1999999999999998E-2"/>
    <s v="INDOT"/>
    <s v="LRE-2023-00677-144-N23"/>
    <s v="2023-1095-44-GCW-X"/>
    <m/>
    <s v="LaGrange"/>
    <n v="41.554699999999997"/>
    <n v="-85.366699999999994"/>
    <s v="Transportation"/>
    <m/>
    <s v="No"/>
    <m/>
    <n v="3312"/>
    <n v="15455.999999999998"/>
    <n v="3312"/>
    <s v="D"/>
    <s v="J"/>
    <m/>
    <m/>
    <m/>
    <m/>
    <m/>
    <m/>
    <s v="DES NO 2002233"/>
  </r>
  <r>
    <d v="2024-03-14T00:00:00"/>
    <s v="March"/>
    <x v="7"/>
    <x v="6"/>
    <n v="-0.16200000000000001"/>
    <x v="0"/>
    <n v="19440"/>
    <n v="486"/>
    <s v="Federal"/>
    <s v="PSS"/>
    <n v="5.3999999999999999E-2"/>
    <s v="INDOT"/>
    <s v="LRE-2023-00677-144-N23"/>
    <s v="2023-1095-44-GCW-X"/>
    <m/>
    <s v="LaGrange"/>
    <n v="41.554699999999997"/>
    <n v="-85.366699999999994"/>
    <s v="Transportation"/>
    <m/>
    <s v="No"/>
    <m/>
    <n v="2916"/>
    <n v="13608"/>
    <n v="2916"/>
    <s v="D"/>
    <s v="J"/>
    <m/>
    <m/>
    <m/>
    <m/>
    <m/>
    <m/>
    <s v="DES NO 2002233"/>
  </r>
  <r>
    <d v="2024-03-14T00:00:00"/>
    <s v="March"/>
    <x v="7"/>
    <x v="6"/>
    <n v="-0.14799999999999999"/>
    <x v="0"/>
    <n v="17760"/>
    <n v="486"/>
    <s v="Federal"/>
    <s v="PFO"/>
    <n v="3.6999999999999998E-2"/>
    <s v="INDOT"/>
    <s v="LRE-2023-00677-144-N23"/>
    <s v="2023-1095-44-GCW-X"/>
    <m/>
    <s v="LaGrange"/>
    <n v="41.554699999999997"/>
    <n v="-85.366699999999994"/>
    <s v="Transportation"/>
    <m/>
    <s v="No"/>
    <m/>
    <n v="2664"/>
    <n v="12432"/>
    <n v="2664"/>
    <s v="D"/>
    <s v="J"/>
    <m/>
    <m/>
    <m/>
    <m/>
    <m/>
    <m/>
    <s v="DES NO 2002233"/>
  </r>
  <r>
    <d v="2024-03-18T00:00:00"/>
    <s v="March"/>
    <x v="7"/>
    <x v="9"/>
    <n v="-85"/>
    <x v="1"/>
    <n v="38250"/>
    <n v="492"/>
    <s v="Federal"/>
    <s v="Per"/>
    <n v="71"/>
    <s v="Town of Brownsburg"/>
    <s v="LRL-2023-00432-sjk"/>
    <s v="2023-642-32-MPY-A"/>
    <m/>
    <s v="Hendricks"/>
    <n v="39.822271000000001"/>
    <n v="-86.352035000000001"/>
    <s v="Transportation"/>
    <m/>
    <s v="No"/>
    <m/>
    <n v="5737.5"/>
    <n v="26775"/>
    <n v="5737.5"/>
    <s v="L"/>
    <s v="J"/>
    <m/>
    <m/>
    <m/>
    <m/>
    <m/>
    <m/>
    <m/>
  </r>
  <r>
    <d v="2024-03-20T00:00:00"/>
    <s v="March"/>
    <x v="7"/>
    <x v="6"/>
    <n v="-0.42"/>
    <x v="0"/>
    <n v="50400"/>
    <n v="480"/>
    <s v="Federal"/>
    <s v="PEM"/>
    <n v="0.21"/>
    <s v="IDNR-DFW"/>
    <s v="LRE-2001-1440560-C23"/>
    <s v="2023-399-44-EJW-A"/>
    <m/>
    <s v="LaGrange"/>
    <n v="41.695641000000002"/>
    <n v="-85.322911000000005"/>
    <s v="Development"/>
    <m/>
    <s v="No"/>
    <m/>
    <n v="7560"/>
    <n v="35280"/>
    <n v="7560"/>
    <s v="D"/>
    <s v="J"/>
    <m/>
    <m/>
    <m/>
    <m/>
    <m/>
    <m/>
    <m/>
  </r>
  <r>
    <d v="2024-03-20T00:00:00"/>
    <s v="March"/>
    <x v="7"/>
    <x v="6"/>
    <n v="-0.16"/>
    <x v="0"/>
    <n v="19200"/>
    <n v="480"/>
    <s v="Federal"/>
    <s v="PFO"/>
    <n v="0.04"/>
    <s v="IDNR-DFW"/>
    <s v="LRE-2001-1440560-C23"/>
    <s v="2023-399-44-EJW-A"/>
    <m/>
    <s v="LaGrange"/>
    <n v="41.695641000000002"/>
    <n v="-85.322911000000005"/>
    <s v="Development"/>
    <m/>
    <s v="No"/>
    <m/>
    <n v="2880"/>
    <n v="13440"/>
    <n v="2880"/>
    <s v="D"/>
    <s v="J"/>
    <m/>
    <m/>
    <m/>
    <m/>
    <m/>
    <m/>
    <m/>
  </r>
  <r>
    <d v="2024-03-21T00:00:00"/>
    <s v="March"/>
    <x v="7"/>
    <x v="10"/>
    <n v="-1.425"/>
    <x v="0"/>
    <n v="114000"/>
    <n v="481"/>
    <s v="State Isolated"/>
    <s v="PEM"/>
    <n v="0.95"/>
    <s v="Forestar"/>
    <s v="N/A"/>
    <s v="IWIP-2022-637-41"/>
    <m/>
    <s v="Johnson"/>
    <n v="39.155188000000003"/>
    <n v="-86.041409999999999"/>
    <s v="Development"/>
    <m/>
    <s v="No"/>
    <m/>
    <n v="17100"/>
    <n v="79800"/>
    <n v="17100"/>
    <s v="L"/>
    <s v="SI "/>
    <s v="2 NF"/>
    <m/>
    <m/>
    <m/>
    <m/>
    <m/>
    <m/>
  </r>
  <r>
    <d v="2024-03-25T00:00:00"/>
    <s v="March"/>
    <x v="7"/>
    <x v="5"/>
    <n v="-0.02"/>
    <x v="0"/>
    <n v="1600"/>
    <n v="494"/>
    <s v="Federal"/>
    <s v="PEM"/>
    <n v="0.02"/>
    <s v="Posey County Board of Commissioners"/>
    <s v="LRL-2020-1106-A"/>
    <s v="2022-989-65-TMS-X"/>
    <m/>
    <s v="Posey"/>
    <n v="37.946016"/>
    <n v="-87.925535999999994"/>
    <s v="Transportation"/>
    <m/>
    <s v="No"/>
    <m/>
    <n v="240"/>
    <n v="1120"/>
    <n v="240"/>
    <s v="L"/>
    <s v="J"/>
    <m/>
    <m/>
    <m/>
    <m/>
    <m/>
    <m/>
    <m/>
  </r>
  <r>
    <d v="2024-03-25T00:00:00"/>
    <s v="March"/>
    <x v="7"/>
    <x v="5"/>
    <n v="-68"/>
    <x v="1"/>
    <n v="27200"/>
    <n v="494"/>
    <s v="Federal"/>
    <s v="Eph"/>
    <n v="68"/>
    <s v="Posey County Board of Commissioners"/>
    <s v="LRL-2020-1106-A"/>
    <s v="2022-989-65-TMS-X"/>
    <m/>
    <s v="Posey"/>
    <n v="37.946016"/>
    <n v="-87.925535999999994"/>
    <s v="Transportation"/>
    <m/>
    <s v="No"/>
    <m/>
    <n v="4080"/>
    <n v="19040"/>
    <n v="4080"/>
    <s v="L"/>
    <s v="J"/>
    <m/>
    <m/>
    <m/>
    <m/>
    <m/>
    <m/>
    <m/>
  </r>
  <r>
    <d v="2024-03-25T00:00:00"/>
    <s v="March"/>
    <x v="7"/>
    <x v="5"/>
    <n v="-55"/>
    <x v="1"/>
    <n v="22000"/>
    <n v="494"/>
    <s v="Federal"/>
    <s v="Int"/>
    <n v="122"/>
    <s v="Posey County Board of Commissioners"/>
    <s v="LRL-2020-1106-A"/>
    <s v="2022-989-65-TMS-X"/>
    <m/>
    <s v="Posey"/>
    <n v="37.946016"/>
    <n v="-87.925535999999994"/>
    <s v="Transportation"/>
    <m/>
    <s v="No"/>
    <m/>
    <n v="3300"/>
    <n v="15399.999999999998"/>
    <n v="3300"/>
    <s v="L"/>
    <s v="J"/>
    <m/>
    <m/>
    <m/>
    <m/>
    <m/>
    <m/>
    <m/>
  </r>
  <r>
    <d v="2024-03-26T00:00:00"/>
    <s v="March"/>
    <x v="7"/>
    <x v="6"/>
    <n v="-99"/>
    <x v="1"/>
    <n v="59400"/>
    <n v="490"/>
    <s v="Federal"/>
    <s v="Int"/>
    <n v="155"/>
    <s v="INDOT"/>
    <s v="LRE-2023-00634-157-N23"/>
    <s v="2023-1017-57-GCW-A"/>
    <m/>
    <s v="Noble"/>
    <n v="41.395462000000002"/>
    <n v="-85.342841000000007"/>
    <s v="Transportation"/>
    <m/>
    <s v="No"/>
    <m/>
    <n v="8910"/>
    <n v="41580"/>
    <n v="8910"/>
    <s v="D"/>
    <s v="J"/>
    <m/>
    <m/>
    <m/>
    <m/>
    <m/>
    <m/>
    <s v="INDOT DES NO 2002234"/>
  </r>
  <r>
    <d v="2024-03-26T00:00:00"/>
    <s v="March"/>
    <x v="7"/>
    <x v="6"/>
    <n v="-0.27"/>
    <x v="0"/>
    <n v="32400"/>
    <n v="490"/>
    <s v="Federal"/>
    <s v="PEM"/>
    <n v="0.13400000000000001"/>
    <s v="INDOT"/>
    <s v="LRE-2023-00634-157-N23"/>
    <s v="2023-1017-57-GCW-A"/>
    <m/>
    <s v="Noble"/>
    <n v="41.395462000000002"/>
    <n v="-85.342841000000007"/>
    <s v="Transportation"/>
    <m/>
    <s v="No"/>
    <m/>
    <n v="4860"/>
    <n v="22680"/>
    <n v="4860"/>
    <s v="D"/>
    <s v="J"/>
    <m/>
    <m/>
    <m/>
    <m/>
    <m/>
    <m/>
    <m/>
  </r>
  <r>
    <d v="2024-04-05T00:00:00"/>
    <s v="April"/>
    <x v="7"/>
    <x v="7"/>
    <n v="-560"/>
    <x v="1"/>
    <n v="224000"/>
    <n v="470"/>
    <s v="Federal"/>
    <s v="Int"/>
    <n v="467"/>
    <s v="Theineman Group"/>
    <s v="LRL-2023-00651-amw"/>
    <s v="2023-720-22-ERL-A"/>
    <m/>
    <s v="Floyd"/>
    <n v="38.315209000000003"/>
    <n v="-85.901707999999999"/>
    <s v="Development"/>
    <m/>
    <s v="No"/>
    <m/>
    <n v="33600"/>
    <n v="156800"/>
    <n v="33600"/>
    <s v="L"/>
    <s v="J"/>
    <m/>
    <m/>
    <m/>
    <m/>
    <m/>
    <m/>
    <m/>
  </r>
  <r>
    <d v="2024-04-12T00:00:00"/>
    <s v="April"/>
    <x v="7"/>
    <x v="8"/>
    <n v="-0.3"/>
    <x v="0"/>
    <n v="24000"/>
    <n v="488"/>
    <s v="Federal"/>
    <s v="PEM"/>
    <n v="0.3"/>
    <s v="INDOT"/>
    <s v="LRL-2006-140-djd"/>
    <s v="2006-44-50-EME-A"/>
    <m/>
    <s v="Fulton"/>
    <n v="41.171959999999999"/>
    <n v="-86.313370000000006"/>
    <s v="Transportation"/>
    <m/>
    <s v="No"/>
    <m/>
    <n v="3600"/>
    <n v="16800"/>
    <n v="3600"/>
    <s v="L"/>
    <s v="J"/>
    <m/>
    <m/>
    <m/>
    <m/>
    <m/>
    <m/>
    <s v="DES NO 9800120 for failed mitigation"/>
  </r>
  <r>
    <d v="2024-04-12T00:00:00"/>
    <s v="April"/>
    <x v="7"/>
    <x v="5"/>
    <n v="-326"/>
    <x v="1"/>
    <n v="130400"/>
    <n v="493"/>
    <s v="Federal"/>
    <s v="Per"/>
    <n v="496"/>
    <s v="INDOT"/>
    <s v="LRL-2023-947-djd"/>
    <s v="2023-1106-87-GCW-A"/>
    <m/>
    <s v="Warrick"/>
    <n v="38.198149999999998"/>
    <n v="-87.292640000000006"/>
    <s v="Transportation"/>
    <m/>
    <s v="No"/>
    <m/>
    <n v="19560"/>
    <n v="91280"/>
    <n v="19560"/>
    <s v="L"/>
    <s v="J"/>
    <m/>
    <m/>
    <m/>
    <m/>
    <m/>
    <m/>
    <s v="INDOT DES No  2002063"/>
  </r>
  <r>
    <d v="2024-04-30T00:00:00"/>
    <s v="April"/>
    <x v="7"/>
    <x v="9"/>
    <n v="-1.1499999999999999"/>
    <x v="0"/>
    <n v="92000"/>
    <n v="496"/>
    <s v="Federal"/>
    <s v="PEM"/>
    <n v="0.48"/>
    <s v="Indianapolis Airport Authority"/>
    <s v="LRL-2023-00743-jde"/>
    <s v="2024-47-32-MPY-A"/>
    <m/>
    <s v="Hendricks"/>
    <n v="39.739019999999996"/>
    <n v="-86.474185000000006"/>
    <s v="Development"/>
    <m/>
    <s v="No"/>
    <m/>
    <n v="13800"/>
    <n v="64399.999999999993"/>
    <n v="13800"/>
    <s v="L"/>
    <s v="J"/>
    <m/>
    <m/>
    <m/>
    <m/>
    <m/>
    <m/>
    <m/>
  </r>
  <r>
    <d v="2024-05-08T00:00:00"/>
    <s v="May"/>
    <x v="7"/>
    <x v="9"/>
    <n v="-0.64"/>
    <x v="0"/>
    <n v="51200"/>
    <n v="505"/>
    <s v="Federal"/>
    <s v="PFO"/>
    <n v="0.16"/>
    <s v="Pace Property Holding, LLC"/>
    <s v="LRL-2023-00978-sjk"/>
    <s v="2023-1163-32-MPY-X"/>
    <m/>
    <s v="Hendricks"/>
    <n v="39.722900000000003"/>
    <n v="-86.330699999999993"/>
    <s v="Development"/>
    <m/>
    <s v="No"/>
    <m/>
    <n v="7680"/>
    <n v="35840"/>
    <n v="7680"/>
    <s v="L"/>
    <s v="J"/>
    <m/>
    <m/>
    <m/>
    <m/>
    <m/>
    <m/>
    <m/>
  </r>
  <r>
    <d v="2024-05-08T00:00:00"/>
    <s v="May"/>
    <x v="7"/>
    <x v="9"/>
    <n v="-74"/>
    <x v="1"/>
    <n v="33300"/>
    <n v="505"/>
    <s v="Federal"/>
    <s v="Int"/>
    <n v="61.6"/>
    <s v="Pace Property Holding, LLC"/>
    <s v="LRL-2023-00978-sjk"/>
    <s v="2023-1163-32-MPY-X"/>
    <m/>
    <s v="Hendricks"/>
    <n v="39.722900000000003"/>
    <n v="-86.330699999999993"/>
    <s v="Development"/>
    <m/>
    <s v="No"/>
    <m/>
    <n v="4995"/>
    <n v="23310"/>
    <n v="4995"/>
    <s v="L"/>
    <s v="J"/>
    <m/>
    <m/>
    <m/>
    <m/>
    <m/>
    <m/>
    <m/>
  </r>
  <r>
    <d v="2024-05-21T00:00:00"/>
    <s v="May"/>
    <x v="7"/>
    <x v="4"/>
    <n v="-1.6"/>
    <x v="0"/>
    <n v="128000"/>
    <n v="479"/>
    <s v="Federal"/>
    <s v="PFO"/>
    <n v="0.4"/>
    <s v="Western Indiana Comm"/>
    <s v="LRL-2019-638"/>
    <s v="2022-590-23-ERL"/>
    <m/>
    <s v="Fountain"/>
    <n v="40.146002000000003"/>
    <n v="-87.402583000000007"/>
    <s v="Transportation"/>
    <m/>
    <s v="No"/>
    <m/>
    <n v="19200"/>
    <n v="89600"/>
    <n v="19200"/>
    <s v="L"/>
    <s v="J"/>
    <m/>
    <m/>
    <m/>
    <m/>
    <m/>
    <m/>
    <m/>
  </r>
  <r>
    <d v="2024-05-21T00:00:00"/>
    <s v="May"/>
    <x v="7"/>
    <x v="8"/>
    <n v="-322"/>
    <x v="1"/>
    <n v="128800"/>
    <n v="476"/>
    <s v="Federal"/>
    <s v="Int"/>
    <n v="1475"/>
    <s v="IU Health"/>
    <s v="LRE-2022-00180-102-N23"/>
    <s v="2023-969-2-EJW-A"/>
    <m/>
    <s v="Allen"/>
    <n v="40.995683999999997"/>
    <n v="-85.271597999999997"/>
    <s v="Transportation"/>
    <m/>
    <s v="No"/>
    <m/>
    <n v="19320"/>
    <n v="90160"/>
    <n v="19320"/>
    <s v="L"/>
    <s v="J"/>
    <m/>
    <m/>
    <m/>
    <m/>
    <m/>
    <m/>
    <m/>
  </r>
  <r>
    <d v="2024-05-21T00:00:00"/>
    <s v="May"/>
    <x v="7"/>
    <x v="10"/>
    <n v="-1.4999999999999999E-2"/>
    <x v="0"/>
    <n v="1200"/>
    <n v="499"/>
    <s v="State Isolated"/>
    <s v="PEM"/>
    <n v="0.01"/>
    <s v="INDOT "/>
    <s v="N/A"/>
    <s v="IWIP 2024-123-30-GCW-A"/>
    <m/>
    <s v="Hancock"/>
    <n v="39.825046999999998"/>
    <n v="-85.712712999999994"/>
    <s v="Transportation"/>
    <m/>
    <s v="No"/>
    <m/>
    <n v="180"/>
    <n v="840"/>
    <n v="180"/>
    <s v="L"/>
    <s v="SI"/>
    <s v="2 NF"/>
    <m/>
    <m/>
    <m/>
    <m/>
    <m/>
    <m/>
  </r>
  <r>
    <d v="2024-05-21T00:00:00"/>
    <s v="May"/>
    <x v="7"/>
    <x v="8"/>
    <n v="-33"/>
    <x v="1"/>
    <n v="13200"/>
    <n v="500"/>
    <s v="Federal"/>
    <s v="Int"/>
    <n v="33"/>
    <s v="INDOT"/>
    <s v="N/A"/>
    <s v="2024-232-90-GCW-X"/>
    <m/>
    <s v="Wells"/>
    <n v="40.713340000000002"/>
    <n v="-85.115110000000001"/>
    <s v="Transportation"/>
    <m/>
    <s v="No"/>
    <m/>
    <n v="1980"/>
    <n v="9240"/>
    <n v="1980"/>
    <s v="L"/>
    <s v="J"/>
    <m/>
    <m/>
    <m/>
    <m/>
    <m/>
    <m/>
    <m/>
  </r>
  <r>
    <d v="2024-05-22T00:00:00"/>
    <s v="May"/>
    <x v="7"/>
    <x v="3"/>
    <n v="-3.51"/>
    <x v="0"/>
    <n v="280800"/>
    <n v="506"/>
    <s v="State Isolated"/>
    <s v="PFO"/>
    <n v="1.7549999999999999"/>
    <s v="Auburn Retial, LLC"/>
    <s v="N/A"/>
    <s v="IWIP 2024-130-17-EJW-A"/>
    <m/>
    <s v="DeKalb"/>
    <n v="41.370596999999997"/>
    <n v="-85.078412999999998"/>
    <s v="Development"/>
    <m/>
    <s v="No"/>
    <m/>
    <n v="42120"/>
    <n v="196560"/>
    <n v="42120"/>
    <s v="L"/>
    <s v="SI"/>
    <s v="2 FO"/>
    <m/>
    <m/>
    <m/>
    <m/>
    <m/>
    <m/>
  </r>
  <r>
    <d v="2024-05-28T00:00:00"/>
    <s v="May"/>
    <x v="7"/>
    <x v="9"/>
    <n v="-3.55"/>
    <x v="0"/>
    <n v="284000"/>
    <n v="491"/>
    <s v="State Isolated"/>
    <s v="PFO"/>
    <n v="1.42"/>
    <s v="Indianapolis (86th St.) WW, LLC"/>
    <m/>
    <s v="IWIP 2023-564-49-GCW-A"/>
    <m/>
    <s v="Marion"/>
    <n v="39.911498000000002"/>
    <n v="-86.258311000000006"/>
    <s v="Development"/>
    <m/>
    <s v="No"/>
    <m/>
    <n v="42600"/>
    <n v="198800"/>
    <n v="42600"/>
    <s v="L"/>
    <s v="SI"/>
    <s v="3 FO"/>
    <m/>
    <m/>
    <m/>
    <m/>
    <m/>
    <m/>
  </r>
  <r>
    <d v="2024-05-29T00:00:00"/>
    <s v="May"/>
    <x v="7"/>
    <x v="6"/>
    <n v="-1.1499999999999999"/>
    <x v="0"/>
    <n v="138000"/>
    <n v="502"/>
    <s v="Federal"/>
    <s v="PFO"/>
    <n v="0.47"/>
    <s v="Elkhart County Highway Department"/>
    <s v="LRE-2024-0053-120-SCG"/>
    <s v="2024-54-20-SCF-A"/>
    <m/>
    <s v="Elkhart"/>
    <n v="41.514781999999997"/>
    <n v="-85.847611000000001"/>
    <s v="Transportation"/>
    <m/>
    <s v="No"/>
    <m/>
    <n v="20700"/>
    <n v="96600"/>
    <n v="20700"/>
    <s v="D"/>
    <s v="J"/>
    <m/>
    <m/>
    <m/>
    <m/>
    <m/>
    <m/>
    <s v="INDOT DES No. 1900465"/>
  </r>
  <r>
    <d v="2024-05-29T00:00:00"/>
    <s v="May"/>
    <x v="7"/>
    <x v="6"/>
    <n v="-89"/>
    <x v="1"/>
    <n v="53400"/>
    <n v="502"/>
    <s v="Federal"/>
    <s v="Per"/>
    <n v="184"/>
    <s v="Elkhart County Highway Department"/>
    <s v="LRE-2024-0053-120-SCG"/>
    <s v="2024-54-20-SCF-A"/>
    <m/>
    <s v="Elkhart"/>
    <n v="41.514781999999997"/>
    <n v="-85.847611000000001"/>
    <s v="Transportation"/>
    <m/>
    <s v="No"/>
    <m/>
    <n v="8010"/>
    <n v="37380"/>
    <n v="8010"/>
    <s v="D"/>
    <s v="J"/>
    <m/>
    <m/>
    <m/>
    <m/>
    <m/>
    <m/>
    <s v="INDOT DES No. 1900465"/>
  </r>
  <r>
    <d v="2024-05-29T00:00:00"/>
    <s v="May"/>
    <x v="7"/>
    <x v="8"/>
    <n v="-153"/>
    <x v="1"/>
    <n v="61200"/>
    <n v="504"/>
    <s v="Federal"/>
    <s v="Per"/>
    <n v="196"/>
    <s v="INDOT"/>
    <s v="LRL-2023-00985-DDC"/>
    <s v="2023-1167-90-GCW-A"/>
    <m/>
    <s v="Wells"/>
    <n v="40.805700000000002"/>
    <n v="-85.227630000000005"/>
    <s v="Transportation"/>
    <m/>
    <s v="No"/>
    <m/>
    <n v="9180"/>
    <n v="42840"/>
    <n v="9180"/>
    <s v="L"/>
    <s v="J"/>
    <m/>
    <m/>
    <m/>
    <m/>
    <m/>
    <m/>
    <s v="INDOT DES No. 2002248"/>
  </r>
  <r>
    <d v="2024-05-29T00:00:00"/>
    <s v="May"/>
    <x v="7"/>
    <x v="8"/>
    <n v="-0.02"/>
    <x v="0"/>
    <n v="1600"/>
    <n v="504"/>
    <s v="Federal"/>
    <s v="PEM"/>
    <n v="0.01"/>
    <s v="INDOT"/>
    <s v="LRL-2023-00985-DDC"/>
    <s v="2023-1167-90-GCW-A"/>
    <m/>
    <s v="Wells"/>
    <n v="40.805700000000002"/>
    <n v="-85.227630000000005"/>
    <s v="Transportation"/>
    <m/>
    <s v="No"/>
    <m/>
    <n v="240"/>
    <n v="1120"/>
    <n v="240"/>
    <s v="L"/>
    <s v="J"/>
    <m/>
    <m/>
    <m/>
    <m/>
    <m/>
    <m/>
    <s v="INDOT DES No. 2002248"/>
  </r>
  <r>
    <d v="2024-05-29T00:00:00"/>
    <s v="May"/>
    <x v="7"/>
    <x v="8"/>
    <n v="-0.15"/>
    <x v="0"/>
    <n v="12000"/>
    <n v="507"/>
    <s v="State Isolated"/>
    <s v="PFO"/>
    <n v="0.05"/>
    <s v="JWA Co. LTC"/>
    <s v="N/A"/>
    <s v="IWIP 2024-144-34-MPY-A"/>
    <m/>
    <s v="Howard"/>
    <n v="40.512196000000003"/>
    <n v="-86.105057000000002"/>
    <s v="Development"/>
    <m/>
    <s v="No"/>
    <m/>
    <n v="1800"/>
    <n v="8400"/>
    <n v="1800"/>
    <s v="L"/>
    <s v="SI"/>
    <s v="3 FO"/>
    <m/>
    <m/>
    <m/>
    <m/>
    <m/>
    <m/>
  </r>
  <r>
    <d v="2024-05-29T00:00:00"/>
    <s v="May"/>
    <x v="7"/>
    <x v="1"/>
    <n v="-496"/>
    <x v="1"/>
    <n v="248000"/>
    <n v="508"/>
    <s v="Federal"/>
    <s v="Per"/>
    <n v="496"/>
    <s v="IDOA"/>
    <s v="LRE-2023-00679-171-N24"/>
    <s v="2024-301-71-MPY-X"/>
    <s v="FW-32655-0"/>
    <s v="St. Joseph"/>
    <n v="41.544612000000001"/>
    <n v="-86.371112999999994"/>
    <s v="Development"/>
    <m/>
    <s v="No"/>
    <m/>
    <n v="37200"/>
    <n v="173600"/>
    <n v="37200"/>
    <s v="D"/>
    <s v="J"/>
    <m/>
    <m/>
    <m/>
    <m/>
    <m/>
    <m/>
    <s v="Potatoe Creek SP Lodge"/>
  </r>
  <r>
    <d v="2024-06-05T00:00:00"/>
    <s v="June"/>
    <x v="7"/>
    <x v="2"/>
    <n v="-724"/>
    <x v="1"/>
    <n v="289600"/>
    <n v="503"/>
    <s v="Federal"/>
    <s v="Eph"/>
    <n v="2267"/>
    <s v="Origis Energy"/>
    <s v="LRL-2020-611-tmb"/>
    <s v="2023-453-42-JWR-A"/>
    <m/>
    <s v="Knox"/>
    <n v="38.701824999999999"/>
    <n v="-87.294898000000003"/>
    <s v="Energy Production"/>
    <m/>
    <s v="No"/>
    <m/>
    <n v="43440"/>
    <n v="202720"/>
    <n v="43440"/>
    <s v="L"/>
    <s v="J"/>
    <m/>
    <m/>
    <m/>
    <m/>
    <m/>
    <m/>
    <m/>
  </r>
  <r>
    <d v="2024-06-05T00:00:00"/>
    <s v="June"/>
    <x v="7"/>
    <x v="1"/>
    <n v="-4.3999999999999997E-2"/>
    <x v="0"/>
    <n v="4180"/>
    <n v="501"/>
    <s v="State Isolated"/>
    <s v="PEM"/>
    <n v="2.9000000000000001E-2"/>
    <s v="INDOT"/>
    <s v="N/A"/>
    <s v="IWIP 2024-121-45-GCW-A"/>
    <m/>
    <s v="Lake"/>
    <n v="41.344695999999999"/>
    <n v="-87.469825"/>
    <s v="Transportation"/>
    <m/>
    <s v="No"/>
    <m/>
    <n v="627"/>
    <n v="2926"/>
    <n v="627"/>
    <s v="C"/>
    <s v="SI"/>
    <s v="2 NF"/>
    <m/>
    <m/>
    <m/>
    <m/>
    <m/>
    <s v="INDOT DES No. 2003098"/>
  </r>
  <r>
    <d v="2024-06-24T00:00:00"/>
    <s v="June"/>
    <x v="7"/>
    <x v="9"/>
    <n v="-0.73"/>
    <x v="0"/>
    <n v="58400"/>
    <n v="512"/>
    <s v="State Isolated"/>
    <s v="PFO"/>
    <n v="0.28999999999999998"/>
    <s v="Laskey Properties"/>
    <s v="N/A"/>
    <s v="IWIP-2022-435-29"/>
    <m/>
    <s v="Hamilton"/>
    <n v="39.939"/>
    <n v="-86.022199999999998"/>
    <s v="Development"/>
    <m/>
    <s v="No"/>
    <m/>
    <n v="8760"/>
    <n v="40880"/>
    <n v="8760"/>
    <s v="L"/>
    <s v="SI"/>
    <s v="3 FO"/>
    <m/>
    <m/>
    <m/>
    <m/>
    <m/>
    <m/>
  </r>
  <r>
    <d v="2024-06-24T00:00:00"/>
    <s v="June"/>
    <x v="7"/>
    <x v="10"/>
    <n v="-0.67"/>
    <x v="0"/>
    <n v="53600"/>
    <n v="509"/>
    <s v="Federal"/>
    <s v="PSS"/>
    <n v="0.222"/>
    <s v="Arbor Homes"/>
    <s v="LRL-2022-00973-sjk"/>
    <s v="2024-233-3-JLB-A"/>
    <m/>
    <s v="Bartholomew"/>
    <n v="39.232697999999999"/>
    <n v="-85.947812999999996"/>
    <s v="Development"/>
    <m/>
    <s v="No"/>
    <m/>
    <n v="8040"/>
    <n v="37520"/>
    <n v="8040"/>
    <s v="L"/>
    <s v="J"/>
    <m/>
    <m/>
    <m/>
    <m/>
    <m/>
    <m/>
    <m/>
  </r>
  <r>
    <d v="2024-07-17T00:00:00"/>
    <s v="July"/>
    <x v="7"/>
    <x v="0"/>
    <n v="-0.62"/>
    <x v="0"/>
    <n v="58900"/>
    <n v="513"/>
    <s v="Federal"/>
    <s v="PEM"/>
    <n v="0.34"/>
    <s v="NIPSCO"/>
    <s v="LRC-2024-0076"/>
    <s v="2024-155-45-MTM-A"/>
    <m/>
    <s v="Lake"/>
    <n v="41.384211999999998"/>
    <n v="-87.317547000000005"/>
    <s v="Energy Production"/>
    <m/>
    <s v="No"/>
    <m/>
    <n v="8835"/>
    <n v="41230"/>
    <n v="8835"/>
    <s v="C"/>
    <s v="J"/>
    <m/>
    <m/>
    <m/>
    <m/>
    <m/>
    <m/>
    <m/>
  </r>
  <r>
    <d v="2024-07-17T00:00:00"/>
    <s v="July"/>
    <x v="7"/>
    <x v="0"/>
    <n v="-1.08"/>
    <x v="0"/>
    <n v="102600"/>
    <n v="515"/>
    <s v="State Isolated"/>
    <s v="PFO"/>
    <n v="0.36"/>
    <s v="Love's Travel Stop"/>
    <s v="N/A"/>
    <s v="IWIP 2024-357-46-MTM-A"/>
    <m/>
    <s v="LaPorte"/>
    <n v="41.655430000000003"/>
    <n v="-86.898989999999998"/>
    <s v="Development"/>
    <m/>
    <s v="No"/>
    <m/>
    <n v="15390"/>
    <n v="71820"/>
    <n v="15390"/>
    <s v="C"/>
    <s v="SI"/>
    <s v="3 FO"/>
    <m/>
    <m/>
    <m/>
    <m/>
    <m/>
    <m/>
  </r>
  <r>
    <d v="2024-08-07T00:00:00"/>
    <s v="August"/>
    <x v="7"/>
    <x v="4"/>
    <n v="-163"/>
    <x v="1"/>
    <n v="65200"/>
    <n v="511"/>
    <s v="Federal"/>
    <s v="Eph"/>
    <n v="800"/>
    <s v="Tippecanoe County Highway Department"/>
    <s v="LRL-2020-175-sjk"/>
    <s v="2020-218-79-ERL-A"/>
    <m/>
    <s v="Tippecanoe"/>
    <n v="40.487935"/>
    <n v="-86.874933999999996"/>
    <s v="Transportation"/>
    <m/>
    <s v="No"/>
    <m/>
    <n v="9780"/>
    <n v="45640"/>
    <n v="9780"/>
    <s v="L"/>
    <s v="J"/>
    <m/>
    <m/>
    <m/>
    <m/>
    <m/>
    <m/>
    <s v="INDOT DES No. 1401279"/>
  </r>
  <r>
    <d v="2024-08-07T00:00:00"/>
    <s v="August"/>
    <x v="7"/>
    <x v="10"/>
    <n v="-605"/>
    <x v="1"/>
    <n v="2600"/>
    <n v="514"/>
    <s v="Federal"/>
    <s v="Eph"/>
    <n v="1270"/>
    <s v="INDOT"/>
    <s v="LRL-2022-77"/>
    <s v="2023-1024-89-GCW-A"/>
    <m/>
    <s v="Wayne"/>
    <n v="39.853189999999998"/>
    <n v="-85.172342999999998"/>
    <s v="Transportation"/>
    <m/>
    <s v="No"/>
    <m/>
    <n v="390"/>
    <n v="1819.9999999999998"/>
    <n v="390"/>
    <s v="L"/>
    <s v="J"/>
    <m/>
    <m/>
    <m/>
    <m/>
    <m/>
    <m/>
    <s v="INDOT DES No. 2002424"/>
  </r>
  <r>
    <d v="2024-08-07T00:00:00"/>
    <s v="August"/>
    <x v="7"/>
    <x v="10"/>
    <n v="-1057"/>
    <x v="1"/>
    <n v="422800"/>
    <n v="514"/>
    <s v="Federal"/>
    <s v="Int"/>
    <n v="4027"/>
    <s v="INDOT"/>
    <s v="LRL-2022-77"/>
    <s v="2023-1024-89-GCW-A"/>
    <m/>
    <s v="Wayne"/>
    <n v="39.853189999999998"/>
    <n v="-85.172342999999998"/>
    <s v="Transportation"/>
    <m/>
    <s v="No"/>
    <m/>
    <n v="63420"/>
    <n v="295960"/>
    <n v="63420"/>
    <s v="L"/>
    <s v="J"/>
    <m/>
    <m/>
    <m/>
    <m/>
    <m/>
    <m/>
    <s v="DES No. 2002424"/>
  </r>
  <r>
    <d v="2024-08-07T00:00:00"/>
    <s v="August"/>
    <x v="7"/>
    <x v="10"/>
    <n v="-1654"/>
    <x v="1"/>
    <n v="661600"/>
    <n v="514"/>
    <s v="Federal"/>
    <s v="Per"/>
    <n v="1654"/>
    <s v="INDOT"/>
    <s v="LRL-2022-77"/>
    <s v="2023-1024-89-GCW-A"/>
    <m/>
    <s v="Wayne"/>
    <n v="39.853189999999998"/>
    <n v="-85.172342999999998"/>
    <s v="Transportation"/>
    <m/>
    <s v="No"/>
    <m/>
    <n v="99240"/>
    <n v="463119.99999999994"/>
    <n v="99240"/>
    <s v="L"/>
    <s v="J"/>
    <m/>
    <m/>
    <m/>
    <m/>
    <m/>
    <m/>
    <s v="DES No. 2002424"/>
  </r>
  <r>
    <d v="2024-08-07T00:00:00"/>
    <s v="August"/>
    <x v="7"/>
    <x v="10"/>
    <n v="-3.4"/>
    <x v="0"/>
    <n v="272000"/>
    <n v="514"/>
    <s v="Federal"/>
    <s v="PEM"/>
    <n v="1.698"/>
    <s v="INDOT"/>
    <s v="LRL-2022-77"/>
    <s v="2023-1024-89-GCW-A"/>
    <m/>
    <s v="Wayne"/>
    <n v="39.853189999999998"/>
    <n v="-85.172342999999998"/>
    <s v="Transportation"/>
    <m/>
    <s v="No"/>
    <m/>
    <n v="40800"/>
    <n v="190400"/>
    <n v="40800"/>
    <s v="L"/>
    <s v="J"/>
    <m/>
    <m/>
    <m/>
    <m/>
    <m/>
    <m/>
    <s v="DES No. 2002424"/>
  </r>
  <r>
    <d v="2024-08-07T00:00:00"/>
    <s v="August"/>
    <x v="7"/>
    <x v="10"/>
    <n v="-0.76"/>
    <x v="0"/>
    <n v="60800"/>
    <n v="514"/>
    <s v="Federal"/>
    <s v="PSS"/>
    <n v="0.253"/>
    <s v="INDOT"/>
    <s v="LRL-2022-77"/>
    <s v="2023-1024-89-GCW-A"/>
    <m/>
    <s v="Wayne"/>
    <n v="39.853189999999998"/>
    <n v="-85.172342999999998"/>
    <s v="Transportation"/>
    <m/>
    <s v="No"/>
    <m/>
    <n v="9120"/>
    <n v="42560"/>
    <n v="9120"/>
    <s v="L"/>
    <s v="J"/>
    <m/>
    <m/>
    <m/>
    <m/>
    <m/>
    <m/>
    <s v="DES No. 2002424"/>
  </r>
  <r>
    <d v="2024-08-07T00:00:00"/>
    <s v="August"/>
    <x v="7"/>
    <x v="10"/>
    <n v="-4.42"/>
    <x v="0"/>
    <n v="353600"/>
    <n v="514"/>
    <s v="Federal"/>
    <s v="PFO"/>
    <n v="1.1040000000000001"/>
    <s v="INDOT"/>
    <s v="LRL-2022-77"/>
    <s v="2023-1024-89-GCW-A"/>
    <m/>
    <s v="Wayne"/>
    <n v="39.853189999999998"/>
    <n v="-85.172342999999998"/>
    <s v="Transportation"/>
    <m/>
    <s v="No"/>
    <m/>
    <n v="53040"/>
    <n v="247519.99999999997"/>
    <n v="53040"/>
    <s v="L"/>
    <s v="J"/>
    <m/>
    <m/>
    <m/>
    <m/>
    <m/>
    <m/>
    <s v="DES No. 2002424"/>
  </r>
  <r>
    <d v="2024-08-07T00:00:00"/>
    <s v="August"/>
    <x v="7"/>
    <x v="10"/>
    <n v="-0.97"/>
    <x v="0"/>
    <n v="77600"/>
    <n v="514"/>
    <s v="State Isolated"/>
    <s v="PEM"/>
    <n v="0.64800000000000002"/>
    <s v="INDOT"/>
    <s v="N/A"/>
    <s v="IWIP 2023-1024-89-GCW-A"/>
    <m/>
    <s v="Wayne"/>
    <n v="39.853189999999998"/>
    <n v="-85.172342999999998"/>
    <s v="Transportation"/>
    <m/>
    <s v="No"/>
    <m/>
    <n v="11640"/>
    <n v="54320"/>
    <n v="11640"/>
    <s v="L"/>
    <s v="SI"/>
    <s v="2 NF"/>
    <m/>
    <m/>
    <m/>
    <m/>
    <m/>
    <s v="INDOT DES No. 2002424 Revive I-70"/>
  </r>
  <r>
    <d v="2024-08-07T00:00:00"/>
    <s v="August"/>
    <x v="7"/>
    <x v="3"/>
    <n v="-37.5"/>
    <x v="1"/>
    <n v="16875"/>
    <n v="521"/>
    <s v="Federal"/>
    <s v="Int"/>
    <n v="37.5"/>
    <s v="INDOT"/>
    <s v="N/A"/>
    <s v="2024-413-2-GCW-X"/>
    <m/>
    <s v="Allen"/>
    <n v="41.12491"/>
    <n v="-85.154899999999998"/>
    <s v="Energy Production"/>
    <m/>
    <s v="No"/>
    <m/>
    <n v="2531.25"/>
    <n v="11812.5"/>
    <n v="2531.25"/>
    <s v="D"/>
    <s v="J"/>
    <m/>
    <m/>
    <m/>
    <m/>
    <m/>
    <m/>
    <m/>
  </r>
  <r>
    <d v="2024-08-07T00:00:00"/>
    <s v="August"/>
    <x v="7"/>
    <x v="3"/>
    <n v="-43"/>
    <x v="1"/>
    <n v="19350"/>
    <n v="521"/>
    <s v="Federal"/>
    <s v="Eph"/>
    <n v="43"/>
    <s v="INDOT"/>
    <s v="N/A"/>
    <s v="2024-413-2-GCW-X"/>
    <m/>
    <s v="Allen"/>
    <n v="41.12491"/>
    <n v="-85.154899999999998"/>
    <s v="Energy Production"/>
    <m/>
    <s v="No"/>
    <m/>
    <n v="2902.5"/>
    <n v="13545"/>
    <n v="2902.5"/>
    <s v="D"/>
    <s v="J"/>
    <m/>
    <m/>
    <m/>
    <m/>
    <m/>
    <m/>
    <m/>
  </r>
  <r>
    <d v="2024-08-07T00:00:00"/>
    <s v="August"/>
    <x v="7"/>
    <x v="1"/>
    <n v="-0.41"/>
    <x v="0"/>
    <n v="38950"/>
    <n v="524"/>
    <s v="Federal"/>
    <s v="PEM"/>
    <n v="0.27"/>
    <s v="ANR Pipeline Company"/>
    <s v="N/A"/>
    <s v="2020-229-45-MTM-A"/>
    <m/>
    <s v="Lake"/>
    <n v="41.433889999999998"/>
    <n v="-87.490600000000001"/>
    <s v="Energy Production"/>
    <m/>
    <s v="No"/>
    <m/>
    <n v="5842.5"/>
    <n v="27265"/>
    <n v="5842.5"/>
    <s v="C"/>
    <s v="J"/>
    <m/>
    <m/>
    <m/>
    <m/>
    <m/>
    <m/>
    <s v="Mitigation for additional wetland impacts (See also 2020-228-45-MTM-A and invoice/credit sale letter 0314 5/2022)"/>
  </r>
  <r>
    <d v="2024-08-13T00:00:00"/>
    <s v="August"/>
    <x v="7"/>
    <x v="9"/>
    <n v="-7.875"/>
    <x v="0"/>
    <n v="630000"/>
    <n v="525"/>
    <s v="State Isolated"/>
    <s v="PFO"/>
    <n v="3.15"/>
    <s v="Hendricks Regional Health"/>
    <s v="N/A"/>
    <s v="IWIP 2024-168-32-MPY-A"/>
    <m/>
    <s v="Hendricks"/>
    <n v="39.844289000000003"/>
    <n v="-86.359190999999996"/>
    <s v="Development"/>
    <m/>
    <s v="No"/>
    <m/>
    <n v="94500"/>
    <n v="441000"/>
    <n v="94500"/>
    <s v="L"/>
    <s v="SI"/>
    <s v="3 FO "/>
    <m/>
    <m/>
    <m/>
    <m/>
    <m/>
    <m/>
  </r>
  <r>
    <d v="2024-08-13T00:00:00"/>
    <s v="August"/>
    <x v="7"/>
    <x v="8"/>
    <n v="-0.65"/>
    <x v="0"/>
    <n v="52000"/>
    <n v="516"/>
    <s v="Federal"/>
    <s v="PEM"/>
    <n v="0.29699999999999999"/>
    <s v="Prairie Creek Wind, LLC"/>
    <s v="LRL-2022-00508-sjk"/>
    <s v="2024-26-5-EJW-A"/>
    <m/>
    <s v="Blackford"/>
    <n v="40.557099999999998"/>
    <n v="-85.375500000000002"/>
    <s v="Energy Production"/>
    <m/>
    <s v="No"/>
    <m/>
    <n v="7800"/>
    <n v="36400"/>
    <n v="7800"/>
    <s v="L"/>
    <s v="J"/>
    <m/>
    <m/>
    <m/>
    <m/>
    <m/>
    <m/>
    <m/>
  </r>
  <r>
    <d v="2024-08-13T00:00:00"/>
    <s v="August"/>
    <x v="7"/>
    <x v="8"/>
    <n v="-60.77"/>
    <x v="1"/>
    <n v="24308"/>
    <n v="516"/>
    <s v="Federal"/>
    <s v="Per"/>
    <n v="0.29699999999999999"/>
    <s v="Prairie Creek Wind, LLC"/>
    <s v="LRL-2022-00508-sjk"/>
    <s v="2024-26-5-EJW-A"/>
    <m/>
    <s v="Blackford"/>
    <n v="40.557099999999998"/>
    <n v="-85.375500000000002"/>
    <s v="Energy Production"/>
    <m/>
    <s v="No"/>
    <m/>
    <n v="3646.2"/>
    <n v="17015.599999999999"/>
    <n v="3646.2"/>
    <s v="L"/>
    <s v="J"/>
    <m/>
    <m/>
    <m/>
    <m/>
    <m/>
    <m/>
    <m/>
  </r>
  <r>
    <d v="2024-08-14T00:00:00"/>
    <s v="August"/>
    <x v="7"/>
    <x v="0"/>
    <n v="-0.51749999999999996"/>
    <x v="0"/>
    <n v="49163"/>
    <n v="485"/>
    <s v="Federal"/>
    <s v="PEM"/>
    <n v="0.34499999999999997"/>
    <s v="Porter County Commissioner"/>
    <s v="LRC-2022-00523"/>
    <s v="2023-435-64-MTM-A"/>
    <m/>
    <s v="Porter"/>
    <n v="41.688896999999997"/>
    <n v="-86.950789"/>
    <s v="Transportation"/>
    <m/>
    <s v="No"/>
    <m/>
    <n v="7374.45"/>
    <n v="34414.1"/>
    <n v="7374.45"/>
    <s v="C"/>
    <s v="J"/>
    <m/>
    <m/>
    <m/>
    <m/>
    <m/>
    <m/>
    <s v="DES NO 1500419"/>
  </r>
  <r>
    <d v="2024-08-23T00:00:00"/>
    <s v="August"/>
    <x v="7"/>
    <x v="8"/>
    <n v="-0.5"/>
    <x v="0"/>
    <n v="40000"/>
    <n v="520"/>
    <s v="Federal"/>
    <s v="PEM"/>
    <n v="0.21"/>
    <s v="AEP"/>
    <s v="LRL-2024-00436-cte"/>
    <s v="2024-528-68-LDC-X"/>
    <m/>
    <s v="Randolph"/>
    <n v="40.186599999999999"/>
    <n v="-84.863169999999997"/>
    <s v="Energy Production"/>
    <m/>
    <s v="No"/>
    <m/>
    <n v="6000"/>
    <n v="28000"/>
    <n v="6000"/>
    <s v="L"/>
    <s v="J"/>
    <m/>
    <m/>
    <m/>
    <m/>
    <m/>
    <m/>
    <m/>
  </r>
  <r>
    <d v="2024-08-23T00:00:00"/>
    <s v="August"/>
    <x v="7"/>
    <x v="6"/>
    <n v="-80"/>
    <x v="1"/>
    <n v="48000"/>
    <n v="522"/>
    <s v="Federal"/>
    <s v="Int"/>
    <n v="80"/>
    <s v="INDOT"/>
    <s v="N/A"/>
    <s v="2024-352-71-GCW-X"/>
    <m/>
    <s v="St. Joseph"/>
    <n v="41.624862999999998"/>
    <n v="-86.174055999999993"/>
    <s v="Transportation"/>
    <m/>
    <s v="No"/>
    <m/>
    <n v="7200"/>
    <n v="33600"/>
    <n v="7200"/>
    <s v="D"/>
    <s v="J"/>
    <m/>
    <m/>
    <m/>
    <m/>
    <m/>
    <m/>
    <s v="INDOT DES NO 2100761"/>
  </r>
  <r>
    <d v="2024-08-23T00:00:00"/>
    <s v="August"/>
    <x v="7"/>
    <x v="9"/>
    <n v="-5.47"/>
    <x v="0"/>
    <n v="437600"/>
    <n v="392"/>
    <s v="State Isolated"/>
    <s v="PFO"/>
    <n v="2.1880000000000002"/>
    <s v="Thursday Pools, LLC"/>
    <s v="N/A"/>
    <s v="IWIP 2023-5-30-EKB-A"/>
    <m/>
    <s v="Hancock"/>
    <n v="39.934790999999997"/>
    <n v="-85.833048000000005"/>
    <s v="Development"/>
    <m/>
    <s v="No"/>
    <m/>
    <n v="65640"/>
    <n v="306320"/>
    <n v="65640"/>
    <s v="L"/>
    <s v="SI"/>
    <s v="3 FO"/>
    <m/>
    <m/>
    <m/>
    <m/>
    <m/>
    <m/>
  </r>
  <r>
    <d v="2024-09-03T00:00:00"/>
    <s v="September"/>
    <x v="7"/>
    <x v="9"/>
    <n v="-3"/>
    <x v="0"/>
    <n v="240000"/>
    <n v="390"/>
    <s v="State Isolated"/>
    <s v="PFO"/>
    <n v="1.2"/>
    <s v="Thompson Thrift"/>
    <s v="N/A"/>
    <s v="IWIP 2022-1199-29-EKB-A"/>
    <m/>
    <s v="Hamilton"/>
    <n v="39.947699999999998"/>
    <n v="-86.003900000000002"/>
    <s v="Development"/>
    <m/>
    <s v="No"/>
    <m/>
    <n v="36000"/>
    <n v="168000"/>
    <n v="36000"/>
    <s v="L"/>
    <s v="I"/>
    <s v="3 FO"/>
    <m/>
    <m/>
    <m/>
    <m/>
    <m/>
    <m/>
  </r>
  <r>
    <d v="2024-09-03T00:00:00"/>
    <s v="September"/>
    <x v="7"/>
    <x v="9"/>
    <n v="-2"/>
    <x v="0"/>
    <n v="160000"/>
    <n v="390"/>
    <s v="State Isolated"/>
    <s v="PFO"/>
    <n v="1"/>
    <s v="Thompson Thrift"/>
    <s v="N/A"/>
    <s v="IWIP 2022-1199-29-EKB-A"/>
    <m/>
    <s v="Hamilton"/>
    <n v="39.947699999999998"/>
    <n v="-86.003900000000002"/>
    <s v="Development"/>
    <m/>
    <s v="No"/>
    <m/>
    <n v="24000"/>
    <n v="112000"/>
    <n v="24000"/>
    <s v="L"/>
    <s v="I"/>
    <s v="2 FO"/>
    <m/>
    <m/>
    <m/>
    <m/>
    <m/>
    <m/>
  </r>
  <r>
    <d v="2024-09-03T00:00:00"/>
    <s v="September"/>
    <x v="7"/>
    <x v="9"/>
    <n v="-1.2"/>
    <x v="0"/>
    <n v="96000"/>
    <n v="390"/>
    <s v="State Isolated"/>
    <s v="PEM"/>
    <n v="0.8"/>
    <s v="Thompson Thrift"/>
    <s v="N/A"/>
    <s v="IWIP 2022-1199-29-EKB-A"/>
    <m/>
    <s v="Hamilton"/>
    <n v="39.947699999999998"/>
    <n v="-86.003900000000002"/>
    <s v="Development"/>
    <m/>
    <s v="No"/>
    <m/>
    <n v="14400"/>
    <n v="67200"/>
    <n v="14400"/>
    <s v="L"/>
    <s v="I"/>
    <s v="2 NF"/>
    <m/>
    <m/>
    <m/>
    <m/>
    <m/>
    <m/>
  </r>
  <r>
    <d v="2024-09-04T00:00:00"/>
    <s v="September"/>
    <x v="7"/>
    <x v="9"/>
    <n v="-252"/>
    <x v="1"/>
    <n v="113400"/>
    <n v="523"/>
    <s v="Federal"/>
    <s v="Per"/>
    <n v="204"/>
    <s v="Lennar Homes of Indiana, LLC"/>
    <s v="LRL-2017-00334-sjk"/>
    <s v="2024-100-29-GCW-A"/>
    <m/>
    <s v="Hamilton"/>
    <n v="40.073878999999998"/>
    <n v="-86.064888999999994"/>
    <s v="Development"/>
    <m/>
    <s v="No"/>
    <m/>
    <n v="17010"/>
    <n v="79380"/>
    <n v="17010"/>
    <s v="L"/>
    <s v="J"/>
    <m/>
    <m/>
    <m/>
    <m/>
    <m/>
    <m/>
    <m/>
  </r>
  <r>
    <d v="2024-09-04T00:00:00"/>
    <s v="September"/>
    <x v="7"/>
    <x v="9"/>
    <n v="-713"/>
    <x v="1"/>
    <n v="320850"/>
    <n v="523"/>
    <s v="Federal"/>
    <s v="Int"/>
    <n v="594"/>
    <s v="Lennar Homes of Indiana, LLC"/>
    <s v="LRL-2017-00334-sjk"/>
    <s v="2024-100-29-GCW-A"/>
    <m/>
    <s v="Hamilton"/>
    <n v="40.073878999999998"/>
    <n v="-86.064888999999994"/>
    <s v="Development"/>
    <m/>
    <s v="No"/>
    <m/>
    <n v="48127.5"/>
    <n v="224595"/>
    <n v="48127.5"/>
    <s v="L"/>
    <s v="J"/>
    <m/>
    <m/>
    <m/>
    <m/>
    <m/>
    <m/>
    <m/>
  </r>
  <r>
    <d v="2024-09-04T00:00:00"/>
    <s v="September"/>
    <x v="7"/>
    <x v="9"/>
    <n v="-0.44400000000000001"/>
    <x v="0"/>
    <n v="35520"/>
    <n v="523"/>
    <s v="Federal"/>
    <s v="PFO"/>
    <n v="0.111"/>
    <s v="Lennar Homes of Indiana, LLC"/>
    <s v="LRL-2017-00334-sjk"/>
    <s v="2024-100-29-GCW-A"/>
    <m/>
    <s v="Hamilton"/>
    <n v="40.073878999999998"/>
    <n v="-86.064888999999994"/>
    <s v="Development"/>
    <m/>
    <s v="No"/>
    <m/>
    <n v="5328"/>
    <n v="24864"/>
    <n v="5328"/>
    <s v="L"/>
    <s v="J"/>
    <m/>
    <m/>
    <m/>
    <m/>
    <m/>
    <m/>
    <m/>
  </r>
  <r>
    <d v="2024-09-04T00:00:00"/>
    <s v="September"/>
    <x v="7"/>
    <x v="9"/>
    <n v="-0.02"/>
    <x v="0"/>
    <n v="1600"/>
    <n v="523"/>
    <s v="State Isolated"/>
    <s v="PFO"/>
    <n v="6.0000000000000001E-3"/>
    <s v="Lennar Homes of Indiana, LLC"/>
    <s v="LRL-2017-00334-sjk"/>
    <s v="IWIP 2024-100-29-GCW-A"/>
    <m/>
    <s v="Hamilton"/>
    <n v="40.073878999999998"/>
    <n v="-86.064888999999994"/>
    <s v="Development"/>
    <m/>
    <s v="No"/>
    <m/>
    <n v="240"/>
    <n v="1120"/>
    <n v="240"/>
    <s v="L"/>
    <s v="SI"/>
    <m/>
    <m/>
    <m/>
    <m/>
    <m/>
    <m/>
    <m/>
  </r>
  <r>
    <d v="2024-09-04T00:00:00"/>
    <s v="September"/>
    <x v="7"/>
    <x v="9"/>
    <n v="-0.5"/>
    <x v="0"/>
    <n v="40000"/>
    <n v="528"/>
    <s v="State Isolated"/>
    <s v="PFO"/>
    <n v="0.2"/>
    <s v="Drees Homes"/>
    <s v="N/A"/>
    <s v="IWIP 2024-376-32-MPY-A"/>
    <m/>
    <s v="Hendricks"/>
    <n v="39.790702000000003"/>
    <n v="-86.394506000000007"/>
    <s v="Development"/>
    <m/>
    <s v="No"/>
    <m/>
    <n v="6000"/>
    <n v="28000"/>
    <n v="6000"/>
    <s v="L"/>
    <s v="SI"/>
    <s v="3 FO"/>
    <m/>
    <m/>
    <m/>
    <m/>
    <m/>
    <m/>
  </r>
  <r>
    <d v="2024-09-04T00:00:00"/>
    <s v="September"/>
    <x v="7"/>
    <x v="8"/>
    <n v="-3.39"/>
    <x v="0"/>
    <n v="271200"/>
    <n v="531"/>
    <s v="Federal"/>
    <s v="PSS"/>
    <n v="1.1299999999999999"/>
    <s v="Blackford County Surveyor's Office"/>
    <s v="LRL-2022-793-sam"/>
    <s v="2023-388-5-EJW-A"/>
    <m/>
    <s v="Blackford"/>
    <n v="40.453695000000003"/>
    <n v="-85.391816000000006"/>
    <s v="Development"/>
    <m/>
    <s v="No"/>
    <m/>
    <n v="40680"/>
    <n v="189840"/>
    <n v="40680"/>
    <s v="L"/>
    <s v="J"/>
    <m/>
    <m/>
    <m/>
    <m/>
    <m/>
    <m/>
    <m/>
  </r>
  <r>
    <d v="2024-09-12T00:00:00"/>
    <s v="September"/>
    <x v="7"/>
    <x v="1"/>
    <n v="-260.39999999999998"/>
    <x v="1"/>
    <n v="130200"/>
    <n v="529"/>
    <s v="Federal"/>
    <s v="Eph"/>
    <n v="217"/>
    <s v="Venture One Acquisitions, LLC"/>
    <s v="LRC-2023-00602"/>
    <s v="2024-90-45-MTM-A"/>
    <m/>
    <s v="Lake"/>
    <n v="41.285615"/>
    <n v="-87.308537999999999"/>
    <s v="Development"/>
    <m/>
    <s v="No"/>
    <m/>
    <n v="19530"/>
    <n v="91140"/>
    <n v="19530"/>
    <s v="C"/>
    <s v="J"/>
    <m/>
    <m/>
    <m/>
    <m/>
    <m/>
    <m/>
    <m/>
  </r>
  <r>
    <d v="2024-09-18T00:00:00"/>
    <s v="September"/>
    <x v="7"/>
    <x v="9"/>
    <n v="-1.53"/>
    <x v="0"/>
    <n v="122400"/>
    <n v="517"/>
    <s v="State Isolated"/>
    <s v="PFO"/>
    <n v="0.61"/>
    <s v="Archview Properties"/>
    <s v="N/A"/>
    <s v="IWIP 2024-294-30-EJW-A"/>
    <m/>
    <s v="Hancock"/>
    <n v="39.868284000000003"/>
    <n v="-85.919186999999994"/>
    <s v="Development"/>
    <m/>
    <s v="No"/>
    <m/>
    <n v="18360"/>
    <n v="85680"/>
    <n v="18360"/>
    <s v="L"/>
    <s v="SI"/>
    <s v="2 FO"/>
    <m/>
    <m/>
    <m/>
    <m/>
    <m/>
    <m/>
  </r>
  <r>
    <d v="2024-09-26T00:00:00"/>
    <s v="September"/>
    <x v="7"/>
    <x v="8"/>
    <n v="-0.5"/>
    <x v="0"/>
    <n v="40000"/>
    <n v="532"/>
    <s v="Federal"/>
    <s v="PFO"/>
    <n v="0.5"/>
    <s v="David Feltman"/>
    <s v="LRE-2019-821-143-R24"/>
    <s v="2024-353-43-MPY-A"/>
    <m/>
    <s v="Kosciusko"/>
    <n v="41.295074"/>
    <n v="-85.741298"/>
    <s v="Development"/>
    <m/>
    <s v="No"/>
    <m/>
    <n v="6000"/>
    <n v="28000"/>
    <n v="6000"/>
    <s v="D"/>
    <s v="J"/>
    <m/>
    <m/>
    <m/>
    <m/>
    <m/>
    <m/>
    <m/>
  </r>
  <r>
    <d v="2024-10-04T00:00:00"/>
    <s v="October"/>
    <x v="7"/>
    <x v="8"/>
    <n v="-13.5"/>
    <x v="1"/>
    <n v="5400"/>
    <n v="373"/>
    <s v="Federal"/>
    <s v="Per"/>
    <n v="13.5"/>
    <s v="INDOT"/>
    <s v="N/A"/>
    <s v="2023-15-2-WLR-X"/>
    <m/>
    <s v="Allen"/>
    <n v="41.013989000000002"/>
    <n v="-85.322722999999996"/>
    <s v="Agriculture"/>
    <m/>
    <s v="No"/>
    <m/>
    <n v="810"/>
    <n v="3779.9999999999995"/>
    <n v="810"/>
    <s v="D"/>
    <s v="J"/>
    <m/>
    <m/>
    <m/>
    <m/>
    <m/>
    <m/>
    <s v="1800058, 1800059, 1900070, 2000548"/>
  </r>
  <r>
    <d v="2024-10-04T00:00:00"/>
    <s v="October"/>
    <x v="7"/>
    <x v="8"/>
    <n v="-86"/>
    <x v="1"/>
    <n v="34400"/>
    <n v="373"/>
    <s v="Federal"/>
    <s v="Int"/>
    <n v="86"/>
    <s v="INDOT"/>
    <s v="N/A"/>
    <s v="2023-15-2-WLR-X"/>
    <m/>
    <s v="Allen"/>
    <n v="41.013989000000002"/>
    <n v="-85.322722999999996"/>
    <s v="Transportation"/>
    <m/>
    <s v="No"/>
    <m/>
    <n v="5160"/>
    <n v="24080"/>
    <n v="5160"/>
    <s v="D"/>
    <s v="J"/>
    <m/>
    <m/>
    <m/>
    <m/>
    <m/>
    <m/>
    <s v="1800058, 1800059, 1900070, 2000548"/>
  </r>
  <r>
    <d v="2024-10-10T00:00:00"/>
    <s v="October"/>
    <x v="7"/>
    <x v="9"/>
    <n v="-3.8"/>
    <x v="0"/>
    <n v="304000"/>
    <n v="527"/>
    <s v="State Isolated"/>
    <s v="PFO"/>
    <n v="1.52"/>
    <s v="Apex Realty Group"/>
    <s v="N/A"/>
    <s v="IWIP 2023-406-49-GCW-A"/>
    <m/>
    <s v="Marion"/>
    <n v="39.894140999999998"/>
    <n v="-86.210183000000001"/>
    <s v="Development"/>
    <m/>
    <s v="No"/>
    <m/>
    <n v="45600"/>
    <n v="212800"/>
    <n v="45600"/>
    <s v="L"/>
    <s v="J"/>
    <s v="3 FO"/>
    <m/>
    <m/>
    <m/>
    <m/>
    <m/>
    <m/>
  </r>
  <r>
    <d v="2024-10-10T00:00:00"/>
    <s v="October"/>
    <x v="7"/>
    <x v="8"/>
    <n v="-26"/>
    <x v="1"/>
    <n v="10400"/>
    <n v="534"/>
    <s v="Federal"/>
    <s v="Int"/>
    <n v="26"/>
    <s v="INDOT"/>
    <s v="LRE-2024-00305-102-N24"/>
    <s v="2024-399-2-GCW-X"/>
    <m/>
    <s v="Allen"/>
    <n v="40.952199999999998"/>
    <n v="-85.258099999999999"/>
    <s v="Transportation"/>
    <m/>
    <s v="No"/>
    <m/>
    <n v="1560"/>
    <n v="7279.9999999999991"/>
    <n v="1560"/>
    <s v="D"/>
    <s v="J"/>
    <m/>
    <m/>
    <m/>
    <m/>
    <m/>
    <m/>
    <s v="INDOT DES No. 2002209"/>
  </r>
  <r>
    <d v="2024-10-10T00:00:00"/>
    <s v="October"/>
    <x v="7"/>
    <x v="8"/>
    <n v="-2.4E-2"/>
    <x v="0"/>
    <n v="1920"/>
    <n v="534"/>
    <s v="Federal"/>
    <s v="PEM"/>
    <n v="1.2E-2"/>
    <s v="INDOT"/>
    <s v="LRE-2024-00305-102-N25"/>
    <s v="2024-399-2-GCW-X"/>
    <m/>
    <s v="Allen"/>
    <n v="40.952199999999998"/>
    <n v="-85.258099999999999"/>
    <s v="Transportation"/>
    <m/>
    <s v="No"/>
    <m/>
    <n v="288"/>
    <n v="1344"/>
    <n v="288"/>
    <s v="D"/>
    <s v="J"/>
    <m/>
    <m/>
    <m/>
    <m/>
    <m/>
    <m/>
    <s v="INDOT DES No. 2002209"/>
  </r>
  <r>
    <d v="2024-10-10T00:00:00"/>
    <s v="October"/>
    <x v="7"/>
    <x v="0"/>
    <n v="-102"/>
    <x v="1"/>
    <n v="61200"/>
    <n v="535"/>
    <s v="Federal"/>
    <s v="Per"/>
    <n v="102"/>
    <s v="INDOT"/>
    <s v="LRC-2023-00564"/>
    <s v="2023-991-45-GCW-A"/>
    <m/>
    <s v="Lake"/>
    <n v="41.571116000000004"/>
    <n v="-87.239908999999997"/>
    <s v="Transportation"/>
    <m/>
    <s v="No"/>
    <m/>
    <n v="9180"/>
    <n v="42840"/>
    <n v="9180"/>
    <s v="C"/>
    <s v="J"/>
    <m/>
    <m/>
    <m/>
    <m/>
    <m/>
    <m/>
    <s v="INDOT DES No 1900012 US 6 Bridge Project over Muck Pocket"/>
  </r>
  <r>
    <d v="2024-10-10T00:00:00"/>
    <s v="October"/>
    <x v="7"/>
    <x v="0"/>
    <n v="-0.51"/>
    <x v="0"/>
    <n v="48450"/>
    <n v="535"/>
    <s v="Federal"/>
    <s v="PEM"/>
    <n v="0.2"/>
    <s v="INDOT"/>
    <s v="LRC-2023-00564"/>
    <s v="2023-991-45-GCW-A"/>
    <m/>
    <s v="Lake"/>
    <n v="41.571116000000004"/>
    <n v="-87.239908999999997"/>
    <s v="Transportation"/>
    <m/>
    <s v="No"/>
    <m/>
    <n v="7267.5"/>
    <n v="33915"/>
    <n v="7267.5"/>
    <s v="C"/>
    <s v="J"/>
    <m/>
    <m/>
    <m/>
    <m/>
    <m/>
    <m/>
    <s v="INDOT DES No 1900012 US 6 Bridge Project over Muck Pocket"/>
  </r>
  <r>
    <d v="2024-10-10T00:00:00"/>
    <s v="October"/>
    <x v="7"/>
    <x v="0"/>
    <n v="-0.43"/>
    <x v="0"/>
    <n v="40850"/>
    <n v="535"/>
    <s v="Federal"/>
    <s v="PSS"/>
    <n v="0.14399999999999999"/>
    <s v="INDOT"/>
    <s v="LRC-2023-00564"/>
    <s v="2023-991-45-GCW-A"/>
    <m/>
    <s v="Lake"/>
    <n v="41.571116000000004"/>
    <n v="-87.239908999999997"/>
    <s v="Transportation"/>
    <m/>
    <s v="No"/>
    <m/>
    <n v="6127.5"/>
    <n v="28595"/>
    <n v="6127.5"/>
    <s v="C"/>
    <s v="J"/>
    <m/>
    <m/>
    <m/>
    <m/>
    <m/>
    <m/>
    <s v="INDOT DES No 1900012 US 6 Bridge Project over Muck Pocket"/>
  </r>
  <r>
    <d v="2024-10-10T00:00:00"/>
    <s v="October"/>
    <x v="7"/>
    <x v="2"/>
    <n v="-37.799999999999997"/>
    <x v="1"/>
    <n v="15120"/>
    <n v="536"/>
    <s v="Federal"/>
    <s v="Eph"/>
    <n v="96"/>
    <s v="INDOT"/>
    <s v="LRL-2023-104-dds"/>
    <s v="2023-314-47-JBT-A"/>
    <m/>
    <s v="Lawrence"/>
    <n v="38.903703700000001"/>
    <n v="-86.398320999999996"/>
    <s v="Transportation"/>
    <m/>
    <s v="No"/>
    <m/>
    <n v="2268"/>
    <n v="10584"/>
    <n v="2268"/>
    <s v="L"/>
    <s v="J"/>
    <m/>
    <m/>
    <m/>
    <m/>
    <m/>
    <m/>
    <s v="INDOT DES No 1900296 SR 58 Slide Correction"/>
  </r>
  <r>
    <d v="2024-10-10T00:00:00"/>
    <s v="October"/>
    <x v="7"/>
    <x v="2"/>
    <n v="-744.1"/>
    <x v="1"/>
    <n v="297640"/>
    <n v="536"/>
    <s v="Federal"/>
    <s v="Int"/>
    <n v="744.1"/>
    <s v="INDOT"/>
    <s v="LRL-2023-104-dds"/>
    <s v="2023-314-47-JBT-A"/>
    <m/>
    <s v="Lawrence"/>
    <n v="38.903703700000001"/>
    <n v="-86.398320999999996"/>
    <s v="Transportation"/>
    <m/>
    <s v="No"/>
    <m/>
    <n v="44646"/>
    <n v="208348"/>
    <n v="44646"/>
    <s v="L"/>
    <s v="J"/>
    <m/>
    <m/>
    <m/>
    <m/>
    <m/>
    <m/>
    <s v="INDOT DES No 1900296 SR 58 Slide Correction"/>
  </r>
  <r>
    <d v="2024-10-31T00:00:00"/>
    <s v="October"/>
    <x v="7"/>
    <x v="0"/>
    <n v="-0.23"/>
    <x v="0"/>
    <n v="21850"/>
    <n v="464"/>
    <s v="Federal"/>
    <s v="PEM"/>
    <n v="0.23"/>
    <s v="City of Crown Point"/>
    <s v="LRC-2022-00477"/>
    <s v="2022-760-45-MTM-A"/>
    <m/>
    <s v="Lake"/>
    <n v="41.410240999999999"/>
    <n v="-87.349329999999995"/>
    <s v="Development"/>
    <m/>
    <s v="No"/>
    <m/>
    <n v="3277.5"/>
    <n v="15294.999999999998"/>
    <n v="3277.5"/>
    <s v="C"/>
    <s v="J"/>
    <m/>
    <m/>
    <m/>
    <m/>
    <m/>
    <m/>
    <m/>
  </r>
  <r>
    <d v="2024-10-31T00:00:00"/>
    <s v="October"/>
    <x v="7"/>
    <x v="9"/>
    <n v="-3.5999999999999997E-2"/>
    <x v="0"/>
    <n v="2880"/>
    <n v="537"/>
    <s v="Federal"/>
    <s v="PEM"/>
    <n v="1.7000000000000001E-2"/>
    <s v="INDOT"/>
    <s v="LRL-2023-683"/>
    <s v="2024-561-49-GCW"/>
    <m/>
    <s v="Wayne"/>
    <n v="39.726388999999998"/>
    <n v="-86.134444000000002"/>
    <s v="Transportation"/>
    <m/>
    <s v="No"/>
    <m/>
    <n v="432"/>
    <n v="2015.9999999999998"/>
    <n v="432"/>
    <s v="L"/>
    <s v="J"/>
    <m/>
    <m/>
    <m/>
    <m/>
    <m/>
    <m/>
    <s v="INDOT DES No. 1400073 I-65 Safety and Efficiency"/>
  </r>
  <r>
    <d v="2024-10-31T00:00:00"/>
    <s v="October"/>
    <x v="7"/>
    <x v="9"/>
    <n v="-4.2000000000000003E-2"/>
    <x v="0"/>
    <n v="3360"/>
    <n v="537"/>
    <s v="Federal"/>
    <s v="PEM"/>
    <n v="1.4E-2"/>
    <s v="INDOT"/>
    <s v="LRL-2023-683"/>
    <s v="2024-561-49-GCW"/>
    <m/>
    <s v="Wayne"/>
    <n v="39.726388999999998"/>
    <n v="-86.134444000000002"/>
    <s v="Transportation"/>
    <m/>
    <s v="No"/>
    <m/>
    <n v="504"/>
    <n v="2352"/>
    <n v="504"/>
    <s v="L"/>
    <s v="J"/>
    <m/>
    <m/>
    <m/>
    <m/>
    <m/>
    <m/>
    <s v="INDOT DES No. 1400073 I-65 Safety and Efficiency"/>
  </r>
  <r>
    <d v="2024-10-31T00:00:00"/>
    <s v="October"/>
    <x v="7"/>
    <x v="9"/>
    <n v="-786"/>
    <x v="1"/>
    <n v="353700"/>
    <n v="537"/>
    <s v="Federal"/>
    <s v="Per"/>
    <n v="1113.9000000000001"/>
    <s v="INDOT"/>
    <s v="LRL-2023-683"/>
    <s v="2024-561-49-GCW"/>
    <m/>
    <s v="Wayne"/>
    <n v="39.726388999999998"/>
    <n v="-86.134444000000002"/>
    <s v="Transportation"/>
    <m/>
    <s v="No"/>
    <m/>
    <n v="53055"/>
    <n v="247589.99999999997"/>
    <n v="53055"/>
    <s v="L"/>
    <s v="J"/>
    <m/>
    <m/>
    <m/>
    <m/>
    <m/>
    <m/>
    <s v="INDOT DES No. 1400073 I-65 Safety and Efficiency"/>
  </r>
  <r>
    <d v="2024-11-07T00:00:00"/>
    <s v="November"/>
    <x v="7"/>
    <x v="9"/>
    <n v="-211"/>
    <x v="1"/>
    <n v="94950"/>
    <n v="489"/>
    <s v="Federal"/>
    <s v="Eph"/>
    <n v="408"/>
    <s v="City of Indianapolis DPW"/>
    <s v="LRL-2023-0150-jde"/>
    <s v="2023-507-49-GCW-A"/>
    <m/>
    <s v="Marion"/>
    <n v="39.764231000000002"/>
    <n v="-86.289077000000006"/>
    <s v="Transportation"/>
    <m/>
    <s v="No"/>
    <m/>
    <n v="14242.5"/>
    <n v="66465"/>
    <n v="14242.5"/>
    <s v="L"/>
    <s v="J"/>
    <m/>
    <m/>
    <m/>
    <m/>
    <m/>
    <m/>
    <m/>
  </r>
  <r>
    <d v="2024-11-14T00:00:00"/>
    <s v="November"/>
    <x v="7"/>
    <x v="10"/>
    <n v="-0.26"/>
    <x v="0"/>
    <n v="20800"/>
    <n v="519"/>
    <s v="State Isolated"/>
    <s v="PEM"/>
    <n v="0.26"/>
    <s v="Duke Energy"/>
    <s v="N/A"/>
    <s v="IWIP 2024-114-3-JLB-A"/>
    <m/>
    <s v="Bartholomew"/>
    <n v="39.134900000000002"/>
    <n v="-85.949100000000001"/>
    <s v="Energy Production"/>
    <m/>
    <s v="No"/>
    <m/>
    <n v="3120"/>
    <n v="14559.999999999998"/>
    <n v="3120"/>
    <s v="L"/>
    <s v="SI"/>
    <s v="3 FO, 3NF"/>
    <m/>
    <m/>
    <m/>
    <m/>
    <m/>
    <m/>
  </r>
  <r>
    <d v="2024-11-14T00:00:00"/>
    <s v="November"/>
    <x v="7"/>
    <x v="10"/>
    <n v="-2.84"/>
    <x v="0"/>
    <n v="227200"/>
    <n v="519"/>
    <s v="State Isolated"/>
    <s v="PFO"/>
    <n v="2.84"/>
    <s v="Duke Energy"/>
    <s v="N/A"/>
    <s v="IWIP 2024-114-3-JLB-A"/>
    <m/>
    <s v="Bartholomew"/>
    <n v="39.134900000000002"/>
    <n v="-85.949100000000001"/>
    <s v="Energy Production"/>
    <m/>
    <s v="No"/>
    <m/>
    <n v="34080"/>
    <n v="159040"/>
    <n v="34080"/>
    <s v="L"/>
    <s v="SI"/>
    <s v="3 FO, 3NF"/>
    <m/>
    <m/>
    <m/>
    <m/>
    <m/>
    <m/>
  </r>
  <r>
    <d v="2024-11-15T00:00:00"/>
    <s v="November"/>
    <x v="7"/>
    <x v="7"/>
    <n v="-31"/>
    <x v="1"/>
    <n v="12400"/>
    <n v="539"/>
    <s v="Federal"/>
    <s v="Eph"/>
    <n v="118"/>
    <s v="INDOT"/>
    <s v="LRL-2021-85-djd"/>
    <s v="2022-448-72-JBT-A"/>
    <m/>
    <s v="Scott/Clark"/>
    <n v="38.71"/>
    <n v="-85.796199999999999"/>
    <s v="Transportation"/>
    <m/>
    <s v="No"/>
    <m/>
    <n v="1860"/>
    <n v="8680"/>
    <n v="1860"/>
    <s v="L"/>
    <s v="J"/>
    <m/>
    <m/>
    <m/>
    <m/>
    <m/>
    <m/>
    <s v=" INDOT DES No. 1700135 - includes several SA's - I-65 project"/>
  </r>
  <r>
    <d v="2024-11-15T00:00:00"/>
    <s v="November"/>
    <x v="7"/>
    <x v="7"/>
    <n v="-30"/>
    <x v="1"/>
    <n v="12000"/>
    <n v="539"/>
    <s v="Federal"/>
    <s v="Int"/>
    <n v="710"/>
    <s v="INDOT"/>
    <s v="LRL-2021-85-djd"/>
    <s v="2022-448-72-JBT-A"/>
    <m/>
    <s v="Scott/Clark"/>
    <n v="38.71"/>
    <n v="-85.796199999999999"/>
    <s v="Transportation"/>
    <m/>
    <s v="No"/>
    <m/>
    <n v="1800"/>
    <n v="8400"/>
    <n v="1800"/>
    <s v="L"/>
    <s v="J"/>
    <m/>
    <m/>
    <m/>
    <m/>
    <m/>
    <m/>
    <s v=" INDOT DES No. 1700135 - includes several SA's - I-65 project"/>
  </r>
  <r>
    <d v="2024-11-15T00:00:00"/>
    <s v="November"/>
    <x v="7"/>
    <x v="7"/>
    <n v="-171.9"/>
    <x v="1"/>
    <n v="68760"/>
    <n v="539"/>
    <s v="Federal"/>
    <s v="Per"/>
    <n v="625.9"/>
    <s v="INDOT"/>
    <s v="LRL-2021-85-djd"/>
    <s v="2022-448-72-JBT-A"/>
    <m/>
    <s v="Scott/Clark"/>
    <n v="38.71"/>
    <n v="-85.796199999999999"/>
    <s v="Transportation"/>
    <m/>
    <s v="No"/>
    <m/>
    <n v="10314"/>
    <n v="48132"/>
    <n v="10314"/>
    <s v="L"/>
    <s v="J"/>
    <m/>
    <m/>
    <m/>
    <m/>
    <m/>
    <m/>
    <s v=" INDOT DES No. 1700135 - includes several SA's - I-65 project"/>
  </r>
  <r>
    <d v="2024-11-15T00:00:00"/>
    <s v="November"/>
    <x v="7"/>
    <x v="7"/>
    <n v="-6.0000000000000001E-3"/>
    <x v="0"/>
    <n v="480"/>
    <n v="539"/>
    <s v="Federal"/>
    <s v="PEM"/>
    <n v="3.0000000000000001E-3"/>
    <s v="INDOT"/>
    <s v="LRL-2021-85-djd"/>
    <s v="2022-448-72-JBT-A"/>
    <m/>
    <s v="Scott/Clark"/>
    <n v="38.71"/>
    <n v="-85.796199999999999"/>
    <s v="Transportation"/>
    <m/>
    <s v="No"/>
    <m/>
    <n v="72"/>
    <n v="336"/>
    <n v="72"/>
    <s v="L"/>
    <s v="J"/>
    <m/>
    <m/>
    <m/>
    <m/>
    <m/>
    <m/>
    <s v=" INDOT DES No. 1700135 - includes several SA's - I-65 project"/>
  </r>
  <r>
    <d v="2024-11-15T00:00:00"/>
    <s v="November"/>
    <x v="7"/>
    <x v="7"/>
    <n v="-6.7599999999999993E-2"/>
    <x v="0"/>
    <n v="5408"/>
    <n v="539"/>
    <s v="Federal"/>
    <s v="PFO"/>
    <n v="1.6E-2"/>
    <s v="INDOT"/>
    <s v="LRL-2021-85-djd"/>
    <s v="2022-448-72-JBT-A"/>
    <m/>
    <s v="Scott/Clark"/>
    <n v="38.71"/>
    <n v="-85.796199999999999"/>
    <s v="Transportation"/>
    <m/>
    <s v="No"/>
    <m/>
    <n v="811.19999999999993"/>
    <n v="3785.6"/>
    <n v="811.19999999999993"/>
    <s v="L"/>
    <s v="J"/>
    <m/>
    <m/>
    <m/>
    <m/>
    <m/>
    <m/>
    <s v=" INDOT DES No. 1700135 - includes several SA's - I-65 project"/>
  </r>
  <r>
    <d v="2024-11-15T00:00:00"/>
    <s v="November"/>
    <x v="7"/>
    <x v="10"/>
    <n v="-125"/>
    <x v="1"/>
    <n v="50000"/>
    <n v="539"/>
    <s v="Federal"/>
    <s v="Eph"/>
    <n v="895"/>
    <s v="INDOT"/>
    <s v="LRL-2021-85-djd"/>
    <s v="2022-448-72-JBT-A"/>
    <m/>
    <s v="Scott/Clark"/>
    <n v="38.71"/>
    <n v="-85.796199999999999"/>
    <s v="Transportation"/>
    <m/>
    <s v="No"/>
    <m/>
    <n v="7500"/>
    <n v="35000"/>
    <n v="7500"/>
    <s v="L"/>
    <s v="J"/>
    <m/>
    <m/>
    <m/>
    <m/>
    <m/>
    <m/>
    <s v=" INDOT DES No. 1700135 - includes several SA's - I-65 project"/>
  </r>
  <r>
    <d v="2024-11-15T00:00:00"/>
    <s v="November"/>
    <x v="7"/>
    <x v="10"/>
    <n v="-52"/>
    <x v="1"/>
    <n v="20800"/>
    <n v="539"/>
    <s v="Federal"/>
    <s v="Int"/>
    <n v="847"/>
    <s v="INDOT"/>
    <s v="LRL-2021-85-djd"/>
    <s v="2022-448-72-JBT-A"/>
    <m/>
    <s v="Scott/Clark"/>
    <n v="38.71"/>
    <n v="-85.796199999999999"/>
    <s v="Transportation"/>
    <m/>
    <s v="No"/>
    <m/>
    <n v="3120"/>
    <n v="14559.999999999998"/>
    <n v="3120"/>
    <s v="L"/>
    <s v="J"/>
    <m/>
    <m/>
    <m/>
    <m/>
    <m/>
    <m/>
    <s v=" INDOT DES No. 1700135 - includes several SA's - I-65 project"/>
  </r>
  <r>
    <d v="2024-11-15T00:00:00"/>
    <s v="November"/>
    <x v="7"/>
    <x v="10"/>
    <n v="-80"/>
    <x v="1"/>
    <n v="32000"/>
    <n v="539"/>
    <s v="Federal"/>
    <s v="Per"/>
    <n v="278.89999999999998"/>
    <s v="INDOT"/>
    <s v="LRL-2021-85-djd"/>
    <s v="2022-448-72-JBT-A"/>
    <m/>
    <s v="Scott/Clark"/>
    <n v="38.71"/>
    <n v="-85.796199999999999"/>
    <s v="Transportation"/>
    <m/>
    <s v="No"/>
    <m/>
    <n v="4800"/>
    <n v="22400"/>
    <n v="4800"/>
    <s v="L"/>
    <s v="J"/>
    <m/>
    <m/>
    <m/>
    <m/>
    <m/>
    <m/>
    <s v=" INDOT DES No. 1700135 - includes several SA's - I-65 project"/>
  </r>
  <r>
    <d v="2024-11-15T00:00:00"/>
    <s v="November"/>
    <x v="7"/>
    <x v="10"/>
    <n v="-0.17460000000000001"/>
    <x v="0"/>
    <n v="13968"/>
    <n v="539"/>
    <s v="Federal"/>
    <s v="PEM"/>
    <n v="8.7300000000000003E-2"/>
    <s v="INDOT"/>
    <s v="LRL-2021-85-djd"/>
    <s v="2022-448-72-JBT-A"/>
    <m/>
    <s v="Scott/Clark"/>
    <n v="38.71"/>
    <n v="-85.796199999999999"/>
    <s v="Transportation"/>
    <m/>
    <s v="No"/>
    <m/>
    <n v="2095.1999999999998"/>
    <n v="9777.5999999999985"/>
    <n v="2095.1999999999998"/>
    <s v="L"/>
    <s v="J"/>
    <m/>
    <m/>
    <m/>
    <m/>
    <m/>
    <m/>
    <s v=" INDOT DES No. 1700135 - includes several SA's - I-65 project"/>
  </r>
  <r>
    <d v="2024-11-15T00:00:00"/>
    <s v="November"/>
    <x v="7"/>
    <x v="10"/>
    <n v="-8.6999999999999994E-3"/>
    <x v="0"/>
    <n v="696"/>
    <n v="539"/>
    <s v="Federal"/>
    <s v="PSS"/>
    <n v="2.8999999999999998E-3"/>
    <s v="INDOT"/>
    <s v="LRL-2021-85-djd"/>
    <s v="2022-448-72-JBT-A"/>
    <m/>
    <s v="Scott/Clark"/>
    <n v="38.71"/>
    <n v="-85.796199999999999"/>
    <s v="Transportation"/>
    <m/>
    <s v="No"/>
    <m/>
    <n v="104.39999999999999"/>
    <n v="487.2"/>
    <n v="104.39999999999999"/>
    <s v="L"/>
    <s v="J"/>
    <m/>
    <m/>
    <m/>
    <m/>
    <m/>
    <m/>
    <s v=" INDOT DES No. 1700135 - includes several SA's - I-65 project"/>
  </r>
  <r>
    <d v="2024-11-15T00:00:00"/>
    <s v="November"/>
    <x v="7"/>
    <x v="10"/>
    <n v="-1.7000000000000001E-2"/>
    <x v="0"/>
    <n v="1360"/>
    <n v="539"/>
    <s v="State Isolated"/>
    <s v="PEM"/>
    <n v="1.15E-2"/>
    <s v="INDOT"/>
    <s v="N/A"/>
    <s v="IWIP 2022-448-72-JBT-A"/>
    <m/>
    <s v="Scott/Clark"/>
    <n v="38.71"/>
    <n v="-85.796199999999999"/>
    <s v="Transportation"/>
    <m/>
    <s v="No"/>
    <m/>
    <n v="204"/>
    <n v="951.99999999999989"/>
    <n v="204"/>
    <s v="L"/>
    <s v="SI"/>
    <s v="2NF"/>
    <m/>
    <m/>
    <m/>
    <m/>
    <m/>
    <s v=" INDOT DES No. 1700135 - includes several SA's - I-65 project"/>
  </r>
  <r>
    <d v="2024-11-19T00:00:00"/>
    <s v="November"/>
    <x v="7"/>
    <x v="8"/>
    <n v="-0.16"/>
    <x v="0"/>
    <n v="12800"/>
    <n v="541"/>
    <s v="State Isolated"/>
    <s v="PFO"/>
    <n v="0.08"/>
    <s v="AMS 2024 - BTS - Kokomo, IN LLC"/>
    <s v="N/A"/>
    <s v="IWIP 2024-718-34-ENH"/>
    <m/>
    <s v="Howard"/>
    <n v="40.499622000000002"/>
    <n v="-86.099383000000003"/>
    <s v="Development"/>
    <m/>
    <s v="No"/>
    <m/>
    <n v="1920"/>
    <n v="8960"/>
    <n v="1920"/>
    <s v="L"/>
    <s v="SI"/>
    <s v="2 FO"/>
    <m/>
    <m/>
    <m/>
    <m/>
    <m/>
    <m/>
  </r>
  <r>
    <d v="2024-11-22T00:00:00"/>
    <s v="November"/>
    <x v="7"/>
    <x v="9"/>
    <n v="-0.45"/>
    <x v="0"/>
    <n v="36000"/>
    <n v="542"/>
    <s v="Federal"/>
    <s v="PEM"/>
    <n v="0.3"/>
    <s v="Pulte Homes of Indiana, LLC"/>
    <s v="LRL-2014-1033-JLT"/>
    <s v="2016-132-32-SKG-A"/>
    <m/>
    <s v="Hendricks"/>
    <n v="39.698504999999997"/>
    <n v="-86.434465000000003"/>
    <s v="Development"/>
    <m/>
    <s v="No"/>
    <m/>
    <n v="5400"/>
    <n v="25200"/>
    <n v="5400"/>
    <s v="L"/>
    <s v="J"/>
    <m/>
    <m/>
    <m/>
    <m/>
    <m/>
    <m/>
    <s v="401 Modification from previous 401 WQC"/>
  </r>
  <r>
    <d v="2024-12-09T00:00:00"/>
    <s v="December"/>
    <x v="7"/>
    <x v="10"/>
    <n v="-218.5"/>
    <x v="1"/>
    <n v="87400"/>
    <n v="533"/>
    <s v="Federal"/>
    <s v="Per"/>
    <n v="374"/>
    <s v="INDOT"/>
    <s v="LRL-2023-00986"/>
    <s v="2024-485-70-GCW-A"/>
    <m/>
    <s v="Rush"/>
    <n v="39.786160000000002"/>
    <n v="-85.524439999999998"/>
    <s v="Transportation"/>
    <m/>
    <s v="No"/>
    <m/>
    <n v="13110"/>
    <n v="61179.999999999993"/>
    <n v="13110"/>
    <s v="L"/>
    <s v="J"/>
    <m/>
    <m/>
    <m/>
    <m/>
    <m/>
    <m/>
    <s v="INDOT DES No. 2002071 SR 140 over Big Blue River Bridge Replacement"/>
  </r>
  <r>
    <d v="2024-12-09T00:00:00"/>
    <s v="December"/>
    <x v="7"/>
    <x v="0"/>
    <n v="-268"/>
    <x v="1"/>
    <n v="160800"/>
    <n v="538"/>
    <s v="Federal"/>
    <s v="Per"/>
    <n v="268"/>
    <s v="INDOT"/>
    <s v="LRC-2022-00816"/>
    <s v="2023-1133-64-MMR-A"/>
    <m/>
    <s v="Porter"/>
    <n v="41.612318999999999"/>
    <n v="-87.173468999999997"/>
    <s v="Transportation"/>
    <m/>
    <s v="No"/>
    <m/>
    <n v="24120"/>
    <n v="112560"/>
    <n v="24120"/>
    <s v="C"/>
    <s v="J"/>
    <m/>
    <m/>
    <m/>
    <m/>
    <m/>
    <m/>
    <s v="INDOT DES No 2002079 SR 249 over East Arm Little Calumet River in Porter County"/>
  </r>
  <r>
    <d v="2024-12-18T00:00:00"/>
    <s v="December"/>
    <x v="7"/>
    <x v="0"/>
    <n v="-1.3"/>
    <x v="0"/>
    <n v="123500"/>
    <n v="540"/>
    <s v="State Isolated"/>
    <s v="PFO"/>
    <n v="0.65"/>
    <s v="Summer Street Partners, LLC"/>
    <s v="N/A"/>
    <s v="IWIP 2024-518-45-MTM-WQC"/>
    <m/>
    <s v="Lake"/>
    <n v="41.606717000000003"/>
    <n v="-87.490061100000005"/>
    <s v="Development"/>
    <m/>
    <s v="No"/>
    <m/>
    <n v="18525"/>
    <n v="86450"/>
    <n v="18525"/>
    <s v="C"/>
    <s v="SI"/>
    <s v="2 FO"/>
    <m/>
    <m/>
    <m/>
    <m/>
    <m/>
    <m/>
  </r>
  <r>
    <d v="2024-12-18T00:00:00"/>
    <s v="December"/>
    <x v="7"/>
    <x v="0"/>
    <n v="-0.7"/>
    <x v="0"/>
    <n v="66500"/>
    <n v="540"/>
    <s v="State Isolated"/>
    <s v="PSS"/>
    <n v="0.7"/>
    <s v="Summer Street Partners, LLC"/>
    <s v="N/A"/>
    <s v="IWIP 2024-518-45-MTM-WQC"/>
    <m/>
    <s v="Lake"/>
    <n v="41.606717000000003"/>
    <n v="-87.490061100000005"/>
    <s v="Development"/>
    <m/>
    <s v="No"/>
    <m/>
    <n v="9975"/>
    <n v="46550"/>
    <n v="9975"/>
    <s v="C"/>
    <s v="SI"/>
    <s v="1 NF"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d v="2025-01-02T00:00:00"/>
    <s v="January"/>
    <x v="8"/>
    <x v="3"/>
    <n v="-1.4"/>
    <x v="0"/>
    <n v="112000"/>
    <n v="526"/>
    <s v="Federal"/>
    <s v="PFO"/>
    <n v="0.48"/>
    <s v="Fort Wayne Parks and Recreation"/>
    <s v="LRE-2015-01011-102-N23"/>
    <s v="2023-22-2-EJW-A"/>
    <m/>
    <s v="Allen"/>
    <n v="41.083458"/>
    <n v="-85.143118000000001"/>
    <s v="Development"/>
    <m/>
    <s v="No"/>
    <m/>
    <n v="16800"/>
    <n v="78400"/>
    <n v="16800"/>
    <s v="D"/>
    <s v="J"/>
    <m/>
    <m/>
    <m/>
    <m/>
    <m/>
    <m/>
    <s v="Riverfront Project"/>
  </r>
  <r>
    <d v="2025-01-02T00:00:00"/>
    <s v="January"/>
    <x v="8"/>
    <x v="3"/>
    <n v="-1000"/>
    <x v="1"/>
    <n v="450000"/>
    <n v="526"/>
    <s v="Federal"/>
    <s v="Per"/>
    <n v="1000"/>
    <s v="Fort Wayne Parks and Recreation"/>
    <s v="LRE-2015-01011-102-N23"/>
    <s v="2023-22-2-EJW-A"/>
    <m/>
    <s v="Allen"/>
    <n v="41.083458"/>
    <n v="-85.143118000000001"/>
    <s v="Development"/>
    <m/>
    <s v="No"/>
    <m/>
    <n v="67500"/>
    <n v="315000"/>
    <n v="67500"/>
    <s v="D"/>
    <s v="J"/>
    <m/>
    <m/>
    <m/>
    <m/>
    <m/>
    <m/>
    <s v="Riverfront Project"/>
  </r>
  <r>
    <d v="2025-01-02T00:00:00"/>
    <s v="January"/>
    <x v="8"/>
    <x v="7"/>
    <n v="-65"/>
    <x v="1"/>
    <n v="26000"/>
    <n v="546"/>
    <s v="Federal"/>
    <s v="Int"/>
    <n v="65"/>
    <s v="Duke Energy"/>
    <s v="LRL-2023-00398"/>
    <s v="2024-853-10-JLB-WQC"/>
    <m/>
    <s v="Clark"/>
    <n v="38.596882999999998"/>
    <n v="-85.561622999999997"/>
    <s v="Energy Production"/>
    <m/>
    <s v="No"/>
    <m/>
    <n v="3900"/>
    <n v="18200"/>
    <n v="3900"/>
    <s v="L"/>
    <s v="J"/>
    <m/>
    <m/>
    <m/>
    <m/>
    <m/>
    <m/>
    <s v="Bank didn't have all the crdits needed to purchase, they purchased remainder +20% for temporal loss, 65 credits, through ILF"/>
  </r>
  <r>
    <d v="2025-01-03T00:00:00"/>
    <s v="January"/>
    <x v="8"/>
    <x v="9"/>
    <n v="-0.6"/>
    <x v="0"/>
    <n v="48000"/>
    <n v="557"/>
    <s v="Federal"/>
    <s v="PSS"/>
    <n v="0.2"/>
    <s v="Republic Development LLC"/>
    <s v="LRL-2021-1063-SJK"/>
    <s v="2024-508-32-MPY-A"/>
    <m/>
    <s v="Hendricks"/>
    <n v="39.769466000000001"/>
    <n v="-86.425691999999998"/>
    <s v="Development"/>
    <m/>
    <s v="No"/>
    <m/>
    <n v="7200"/>
    <n v="33600"/>
    <n v="7200"/>
    <s v="L"/>
    <s v="J"/>
    <m/>
    <m/>
    <m/>
    <m/>
    <m/>
    <m/>
    <m/>
  </r>
  <r>
    <d v="2025-01-03T00:00:00"/>
    <s v="January"/>
    <x v="8"/>
    <x v="9"/>
    <n v="-917"/>
    <x v="1"/>
    <n v="343800"/>
    <n v="557"/>
    <s v="Federal"/>
    <s v="Int"/>
    <n v="764"/>
    <s v="Republic Development LLC"/>
    <s v="LRL-2021-1063-SJK"/>
    <s v="2024-508-32-MPY-A"/>
    <m/>
    <s v="Hendricks"/>
    <n v="39.769466000000001"/>
    <n v="-86.425691999999998"/>
    <s v="Development"/>
    <m/>
    <s v="No"/>
    <m/>
    <n v="51570"/>
    <n v="240659.99999999997"/>
    <n v="51570"/>
    <s v="L"/>
    <s v="J"/>
    <m/>
    <m/>
    <m/>
    <m/>
    <m/>
    <m/>
    <m/>
  </r>
  <r>
    <d v="2025-01-03T00:00:00"/>
    <s v="January"/>
    <x v="8"/>
    <x v="9"/>
    <n v="-42"/>
    <x v="1"/>
    <n v="15750"/>
    <n v="557"/>
    <s v="Federal"/>
    <s v="Per"/>
    <n v="35"/>
    <s v="Republic Development LLC"/>
    <s v="LRL-2021-1063-SJK"/>
    <s v="2024-508-32-MPY-A"/>
    <m/>
    <s v="Hendricks"/>
    <n v="39.769466000000001"/>
    <n v="-86.425691999999998"/>
    <s v="Development"/>
    <m/>
    <s v="No"/>
    <m/>
    <n v="2362.5"/>
    <n v="11025"/>
    <n v="2362.5"/>
    <s v="L"/>
    <s v="J"/>
    <m/>
    <m/>
    <m/>
    <m/>
    <m/>
    <m/>
    <m/>
  </r>
  <r>
    <d v="2025-01-03T00:00:00"/>
    <s v="January"/>
    <x v="8"/>
    <x v="9"/>
    <n v="-2.4300000000000002"/>
    <x v="0"/>
    <n v="194400"/>
    <n v="557"/>
    <s v="State Isolated"/>
    <s v="PFO"/>
    <n v="1.405"/>
    <s v="Republic Development LLC"/>
    <s v="LRL-2021-1063-SJK"/>
    <s v="2024-508-32-MPY-A"/>
    <m/>
    <s v="Hendricks"/>
    <n v="39.769466000000001"/>
    <n v="-86.425691999999998"/>
    <s v="Development"/>
    <m/>
    <s v="No"/>
    <m/>
    <n v="29160"/>
    <n v="136080"/>
    <n v="29160"/>
    <s v="L"/>
    <s v="SI"/>
    <s v="2 NF"/>
    <m/>
    <m/>
    <m/>
    <m/>
    <m/>
    <m/>
  </r>
  <r>
    <d v="2025-01-08T00:00:00"/>
    <s v="January"/>
    <x v="8"/>
    <x v="7"/>
    <n v="-288"/>
    <x v="1"/>
    <n v="115200"/>
    <n v="545"/>
    <s v="Federal"/>
    <s v="Int"/>
    <n v="288"/>
    <s v="Clark Floyd Landfill, LLC"/>
    <s v="LRL-2013-00374"/>
    <s v="2021-189-10-TMS-A"/>
    <m/>
    <s v="Clark"/>
    <n v="38.457000000000001"/>
    <n v="-85.847740000000002"/>
    <s v="Development"/>
    <m/>
    <s v="No"/>
    <m/>
    <n v="17280"/>
    <n v="80640"/>
    <n v="17280"/>
    <s v="L"/>
    <s v="J"/>
    <m/>
    <m/>
    <m/>
    <m/>
    <m/>
    <m/>
    <s v="Payment 4 of 7"/>
  </r>
  <r>
    <d v="2025-01-08T00:00:00"/>
    <s v="January"/>
    <x v="8"/>
    <x v="7"/>
    <n v="-1.3"/>
    <x v="0"/>
    <n v="104000"/>
    <n v="545"/>
    <s v="Federal"/>
    <s v="PFO"/>
    <n v="1.3"/>
    <s v="Clark Floyd Landfill, LLC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s v="J"/>
    <m/>
    <m/>
    <m/>
    <m/>
    <m/>
    <m/>
    <s v="Payment 4 of 7"/>
  </r>
  <r>
    <d v="2025-01-09T00:00:00"/>
    <s v="January"/>
    <x v="8"/>
    <x v="9"/>
    <n v="-0.22"/>
    <x v="0"/>
    <n v="17600"/>
    <n v="495"/>
    <s v="Federal"/>
    <s v="PEM"/>
    <n v="0.4"/>
    <s v="City of Indianapolis, DPW"/>
    <s v="LRL-2023-00628-jde"/>
    <s v="2023-1032-49-SCF-A"/>
    <m/>
    <s v="Marion"/>
    <n v="39.916629999999998"/>
    <n v="-86.150426999999993"/>
    <s v="Development"/>
    <m/>
    <s v="No"/>
    <m/>
    <n v="2640"/>
    <n v="12320"/>
    <n v="2640"/>
    <s v="L"/>
    <s v="J"/>
    <m/>
    <m/>
    <m/>
    <m/>
    <m/>
    <m/>
    <m/>
  </r>
  <r>
    <d v="2025-01-14T00:00:00"/>
    <s v="January"/>
    <x v="8"/>
    <x v="9"/>
    <n v="-418"/>
    <x v="1"/>
    <n v="188100"/>
    <n v="549"/>
    <s v="Federal"/>
    <s v="Int"/>
    <n v="418"/>
    <s v="City of Fishers"/>
    <s v="LRL-2023-00882-sjk"/>
    <s v="2024-871-29-ENH-WQC"/>
    <m/>
    <s v="Hamilton"/>
    <n v="39.964627999999998"/>
    <n v="-85.965615"/>
    <s v="Transportation"/>
    <m/>
    <s v="No"/>
    <m/>
    <n v="28215"/>
    <n v="131670"/>
    <n v="28215"/>
    <s v="L"/>
    <s v="J"/>
    <m/>
    <m/>
    <m/>
    <m/>
    <m/>
    <m/>
    <m/>
  </r>
  <r>
    <d v="2025-01-15T00:00:00"/>
    <s v="January"/>
    <x v="8"/>
    <x v="9"/>
    <n v="-12"/>
    <x v="1"/>
    <n v="5400"/>
    <n v="552"/>
    <s v="Federal"/>
    <s v="Int"/>
    <n v="10"/>
    <s v="Pulte Homes of Indiana, LLC"/>
    <s v="LRL-2024-00289-jde"/>
    <s v="2024-655-29-ENH-WQC"/>
    <m/>
    <s v="Hamilton"/>
    <n v="39.998823000000002"/>
    <n v="-86.093216999999996"/>
    <s v="Development"/>
    <m/>
    <s v="No"/>
    <m/>
    <n v="810"/>
    <n v="3779.9999999999995"/>
    <n v="810"/>
    <s v="L"/>
    <s v="J"/>
    <m/>
    <m/>
    <m/>
    <m/>
    <m/>
    <m/>
    <m/>
  </r>
  <r>
    <d v="2025-01-15T00:00:00"/>
    <s v="January"/>
    <x v="8"/>
    <x v="9"/>
    <n v="-0.86"/>
    <x v="0"/>
    <n v="68800"/>
    <n v="552"/>
    <s v="Federal"/>
    <s v="PSS"/>
    <n v="0.24"/>
    <s v="Pulte Homes of Indiana, LLC"/>
    <s v="LRL-2024-00289-jde"/>
    <s v="2024-655-29-ENH-WQC"/>
    <m/>
    <s v="Hamilton"/>
    <n v="39.998823000000002"/>
    <n v="-86.093216999999996"/>
    <s v="Development"/>
    <m/>
    <s v="No"/>
    <m/>
    <n v="10320"/>
    <n v="48160"/>
    <n v="10320"/>
    <s v="L"/>
    <s v="J"/>
    <m/>
    <m/>
    <m/>
    <m/>
    <m/>
    <m/>
    <m/>
  </r>
  <r>
    <d v="2025-01-28T00:00:00"/>
    <s v="January"/>
    <x v="8"/>
    <x v="9"/>
    <n v="-1037"/>
    <x v="1"/>
    <n v="388800"/>
    <n v="554"/>
    <s v="Federal"/>
    <s v="Int"/>
    <n v="864"/>
    <s v="QuickTrip Corporation"/>
    <s v="LRL-2024-431-SJK"/>
    <s v="2024-735-32-MPY-WQC"/>
    <m/>
    <s v="Hendricks"/>
    <n v="39.830840999999999"/>
    <n v="-86.354308000000003"/>
    <s v="Development"/>
    <m/>
    <s v="No"/>
    <m/>
    <n v="58320"/>
    <n v="272160"/>
    <n v="58320"/>
    <s v="L"/>
    <s v="J"/>
    <m/>
    <m/>
    <m/>
    <m/>
    <m/>
    <m/>
    <m/>
  </r>
  <r>
    <d v="2025-01-28T00:00:00"/>
    <s v="January"/>
    <x v="8"/>
    <x v="10"/>
    <n v="-0.64400000000000002"/>
    <x v="0"/>
    <n v="44000"/>
    <s v="553C"/>
    <s v="State Isolated"/>
    <s v="PFO"/>
    <n v="0.27500000000000002"/>
    <s v="Lennar Homes of Indiana, Inc."/>
    <s v="N/A"/>
    <s v="2024-846-49-LDC-IWIP"/>
    <m/>
    <s v="Marion"/>
    <n v="39.692799999999998"/>
    <n v="-86.021000000000001"/>
    <s v="Development"/>
    <m/>
    <s v="No"/>
    <m/>
    <n v="6600"/>
    <n v="30799.999999999996"/>
    <n v="6600"/>
    <s v="L"/>
    <s v="SI"/>
    <s v="2 FO"/>
    <m/>
    <m/>
    <m/>
    <m/>
    <m/>
    <m/>
  </r>
  <r>
    <d v="2025-01-30T00:00:00"/>
    <s v="January"/>
    <x v="8"/>
    <x v="9"/>
    <n v="-19.2"/>
    <x v="1"/>
    <n v="8640"/>
    <n v="555"/>
    <s v="Federal"/>
    <s v="Int"/>
    <n v="16"/>
    <s v="Westfield-Washington Schools"/>
    <s v="LRL-2024-00038-sjk"/>
    <s v="2024-903-29-ENH-NWP"/>
    <m/>
    <s v="Hamilton"/>
    <n v="40.042164999999997"/>
    <n v="-86.201814999999996"/>
    <s v="Transportation"/>
    <m/>
    <s v="No"/>
    <m/>
    <n v="1296"/>
    <n v="6048"/>
    <n v="1296"/>
    <s v="L"/>
    <s v="J"/>
    <m/>
    <m/>
    <m/>
    <m/>
    <m/>
    <m/>
    <m/>
  </r>
  <r>
    <d v="2025-01-30T00:00:00"/>
    <s v="January"/>
    <x v="8"/>
    <x v="9"/>
    <n v="-0.44400000000000001"/>
    <x v="0"/>
    <n v="35520"/>
    <n v="555"/>
    <s v="Federal"/>
    <s v="PEM"/>
    <n v="0.185"/>
    <s v="Westfield-Washington Schools"/>
    <s v="LRL-2024-00038-sjk"/>
    <s v="2024-903-29-ENH-NWP"/>
    <m/>
    <s v="Hamilton"/>
    <n v="40.042164999999997"/>
    <n v="-86.201814999999996"/>
    <s v="Transportation"/>
    <m/>
    <s v="No"/>
    <m/>
    <n v="5328"/>
    <n v="24864"/>
    <n v="5328"/>
    <s v="L"/>
    <s v="J"/>
    <m/>
    <m/>
    <m/>
    <m/>
    <m/>
    <m/>
    <m/>
  </r>
  <r>
    <d v="2025-01-30T00:00:00"/>
    <s v="January"/>
    <x v="8"/>
    <x v="9"/>
    <n v="-0.191"/>
    <x v="0"/>
    <n v="15280"/>
    <n v="555"/>
    <s v="Federal"/>
    <s v="PSS"/>
    <n v="5.2999999999999999E-2"/>
    <s v="Westfield-Washington Schools"/>
    <s v="LRL-2024-00038-sjk"/>
    <s v="2024-903-29-ENH-NWP"/>
    <m/>
    <s v="Hamilton"/>
    <n v="40.042164999999997"/>
    <n v="-86.201814999999996"/>
    <s v="Transportation"/>
    <m/>
    <s v="No"/>
    <m/>
    <n v="2292"/>
    <n v="10696"/>
    <n v="2292"/>
    <s v="L"/>
    <s v="J"/>
    <m/>
    <m/>
    <m/>
    <m/>
    <m/>
    <m/>
    <m/>
  </r>
  <r>
    <d v="2025-01-30T00:00:00"/>
    <s v="January"/>
    <x v="8"/>
    <x v="9"/>
    <n v="-35"/>
    <x v="1"/>
    <n v="15750"/>
    <n v="559"/>
    <s v="Federal"/>
    <s v="Int"/>
    <n v="8.0000000000000002E-3"/>
    <s v="INDOT"/>
    <s v="LRL-2024-813"/>
    <s v="2024-916-49-GCW-NWP"/>
    <m/>
    <s v="Marion"/>
    <n v="39.764301000000003"/>
    <n v="-86.302840000000003"/>
    <s v="Transportation"/>
    <m/>
    <s v="No"/>
    <m/>
    <n v="2362.5"/>
    <n v="11025"/>
    <n v="2362.5"/>
    <s v="L"/>
    <s v="J"/>
    <m/>
    <m/>
    <m/>
    <m/>
    <m/>
    <m/>
    <s v="INDOT DES No 1800035"/>
  </r>
  <r>
    <d v="2025-01-30T00:00:00"/>
    <s v="January"/>
    <x v="8"/>
    <x v="9"/>
    <n v="-125"/>
    <x v="1"/>
    <n v="56250"/>
    <n v="559"/>
    <s v="Federal"/>
    <s v="Per"/>
    <n v="8.0000000000000002E-3"/>
    <s v="INDOT"/>
    <s v="LRL-2024-813"/>
    <s v="2024-916-49-GCW-NWP"/>
    <m/>
    <s v="Marion"/>
    <n v="39.764301000000003"/>
    <n v="-86.302840000000003"/>
    <s v="Transportation"/>
    <m/>
    <s v="No"/>
    <m/>
    <n v="8437.5"/>
    <n v="39375"/>
    <n v="8437.5"/>
    <s v="L"/>
    <s v="J"/>
    <m/>
    <m/>
    <m/>
    <m/>
    <m/>
    <m/>
    <s v="INDOT DES No 1800035"/>
  </r>
  <r>
    <d v="2025-01-30T00:00:00"/>
    <s v="January"/>
    <x v="8"/>
    <x v="0"/>
    <n v="-120.7"/>
    <x v="1"/>
    <n v="72420"/>
    <n v="560"/>
    <s v="Federal"/>
    <s v="Eph"/>
    <n v="100.6"/>
    <s v="INDOT"/>
    <s v="LRC-2023-00216"/>
    <s v="2023-1044-64-GCW-X"/>
    <m/>
    <s v="Porter"/>
    <n v="41.535998999999997"/>
    <n v="-87.033878000000001"/>
    <s v="Transportation"/>
    <m/>
    <s v="No"/>
    <m/>
    <n v="10863"/>
    <n v="50694"/>
    <n v="10863"/>
    <s v="C"/>
    <s v="J"/>
    <m/>
    <m/>
    <m/>
    <m/>
    <m/>
    <m/>
    <s v="INDOT DES No 2001935"/>
  </r>
  <r>
    <d v="2025-02-06T00:00:00"/>
    <s v="February"/>
    <x v="8"/>
    <x v="10"/>
    <n v="-0.23"/>
    <x v="0"/>
    <n v="18400"/>
    <n v="544"/>
    <s v="State Isolated"/>
    <s v="PEM"/>
    <n v="0.152"/>
    <s v="INDOT"/>
    <s v="N/A"/>
    <s v="2024-664-89-GCW-SRGP"/>
    <m/>
    <s v="Wayne"/>
    <n v="39.860909999999997"/>
    <n v="-85.024882000000005"/>
    <s v="Development"/>
    <m/>
    <s v="No"/>
    <m/>
    <n v="2760"/>
    <n v="12880"/>
    <n v="2760"/>
    <s v="L"/>
    <s v="SI"/>
    <s v="2 NF"/>
    <m/>
    <m/>
    <m/>
    <m/>
    <m/>
    <s v="INDOT DES No. 2000500  I-70 Centerville Rest Area"/>
  </r>
  <r>
    <d v="2025-02-06T00:00:00"/>
    <s v="February"/>
    <x v="8"/>
    <x v="10"/>
    <n v="-2028"/>
    <x v="1"/>
    <n v="811200"/>
    <n v="544"/>
    <s v="Federal"/>
    <s v="Eph"/>
    <n v="1950"/>
    <s v="INDOT"/>
    <s v="LRL-2023-942"/>
    <s v="2024-664-89-GCW-WQC"/>
    <m/>
    <s v="Wayne"/>
    <n v="39.860909999999997"/>
    <n v="-85.024882000000005"/>
    <s v="Development"/>
    <m/>
    <s v="No"/>
    <m/>
    <n v="121680"/>
    <n v="567840"/>
    <n v="121680"/>
    <s v="L"/>
    <s v="J"/>
    <m/>
    <m/>
    <m/>
    <m/>
    <m/>
    <m/>
    <s v="INDOT DES No. 2000500  I-70 Centerville Rest Area"/>
  </r>
  <r>
    <d v="2025-02-11T00:00:00"/>
    <s v="February"/>
    <x v="8"/>
    <x v="9"/>
    <n v="-0.26"/>
    <x v="0"/>
    <n v="20800"/>
    <n v="563"/>
    <s v="State Isolated"/>
    <s v="PFO"/>
    <n v="0.13"/>
    <s v="JR Promotions, LLC"/>
    <s v="N/A"/>
    <s v="2024-938-48-EJW-SRGP"/>
    <m/>
    <s v="Madison"/>
    <n v="40.033898999999998"/>
    <n v="-85.737774000000002"/>
    <s v="Development"/>
    <m/>
    <s v="No"/>
    <m/>
    <n v="3120"/>
    <n v="14559.999999999998"/>
    <n v="3120"/>
    <s v="L"/>
    <s v="SI"/>
    <s v="2 FO"/>
    <m/>
    <m/>
    <m/>
    <m/>
    <m/>
    <m/>
  </r>
  <r>
    <d v="2025-02-11T00:00:00"/>
    <s v="February"/>
    <x v="8"/>
    <x v="9"/>
    <n v="-0.04"/>
    <x v="0"/>
    <n v="3200"/>
    <n v="551"/>
    <s v="State Isolated"/>
    <s v="PFO"/>
    <n v="0.02"/>
    <s v="Henke Development Group"/>
    <s v="N/A"/>
    <s v="2018-728-6-JMK-A-IWIP"/>
    <m/>
    <s v="Boone"/>
    <n v="39.977179999999997"/>
    <n v="-86.258809999999997"/>
    <s v="Development"/>
    <m/>
    <s v="No"/>
    <m/>
    <n v="480"/>
    <n v="2240"/>
    <n v="480"/>
    <s v="L"/>
    <s v="SI"/>
    <s v="2 FO"/>
    <m/>
    <m/>
    <m/>
    <m/>
    <m/>
    <s v="Mitigation for additional impacts to aquatic resources."/>
  </r>
  <r>
    <d v="2025-02-21T00:00:00"/>
    <s v="February"/>
    <x v="8"/>
    <x v="9"/>
    <n v="-680"/>
    <x v="1"/>
    <n v="306000"/>
    <n v="550"/>
    <s v="Federal"/>
    <s v="Per"/>
    <n v="758"/>
    <s v="INDOT"/>
    <s v="LRL-2020-1021-dds"/>
    <s v="2024-768-29-GCW-WQC"/>
    <m/>
    <s v="Hamilton"/>
    <n v="40.160269999999997"/>
    <n v="-86.127977000000001"/>
    <s v="Transportation"/>
    <m/>
    <s v="No"/>
    <m/>
    <n v="45900"/>
    <n v="214200"/>
    <n v="45900"/>
    <s v="L"/>
    <s v="J"/>
    <m/>
    <m/>
    <m/>
    <m/>
    <m/>
    <m/>
    <s v="INDOT DES No. 1900096"/>
  </r>
  <r>
    <d v="2025-02-21T00:00:00"/>
    <s v="February"/>
    <x v="8"/>
    <x v="9"/>
    <n v="-0.1"/>
    <x v="0"/>
    <n v="8000"/>
    <n v="550"/>
    <s v="State Isolated"/>
    <s v="PEM"/>
    <n v="0.06"/>
    <s v="INDOT"/>
    <s v="N/A"/>
    <s v="2024-768-29-GCW-SRGP"/>
    <m/>
    <s v="Hamilton"/>
    <n v="40.160269999999997"/>
    <n v="-86.127977000000001"/>
    <s v="Transportation"/>
    <m/>
    <s v="No"/>
    <m/>
    <n v="1200"/>
    <n v="5600"/>
    <n v="1200"/>
    <s v="L"/>
    <s v="SI"/>
    <s v="2 NF"/>
    <m/>
    <m/>
    <m/>
    <m/>
    <m/>
    <s v="INDOT DES No. 1900096"/>
  </r>
  <r>
    <d v="2025-02-21T00:00:00"/>
    <s v="February"/>
    <x v="8"/>
    <x v="0"/>
    <n v="-0.77"/>
    <x v="0"/>
    <n v="73150"/>
    <n v="442"/>
    <s v="Federal"/>
    <s v="PEM"/>
    <n v="0.4"/>
    <s v="CIT Trucks, LLC"/>
    <s v="LRC-2021-00738"/>
    <s v="2023-143-64-MTM-A"/>
    <m/>
    <s v="Porter"/>
    <n v="41.604331000000002"/>
    <n v="-87.117729999999995"/>
    <s v="Development"/>
    <m/>
    <s v="No"/>
    <m/>
    <n v="10972.5"/>
    <n v="51205"/>
    <n v="10972.5"/>
    <s v="C"/>
    <s v="J"/>
    <m/>
    <m/>
    <m/>
    <m/>
    <m/>
    <m/>
    <m/>
  </r>
  <r>
    <d v="2025-02-24T00:00:00"/>
    <s v="February"/>
    <x v="8"/>
    <x v="0"/>
    <n v="-2.21"/>
    <x v="0"/>
    <n v="209950"/>
    <n v="567"/>
    <s v="Federal"/>
    <s v="PEM"/>
    <n v="1.0029999999999999"/>
    <s v="Town of Schererville"/>
    <s v="LRC-2022-00228"/>
    <s v="2024-533-45-MTM-WQC"/>
    <m/>
    <s v="Lake"/>
    <n v="41.501389000000003"/>
    <n v="-87.461388999999997"/>
    <s v="Transportation"/>
    <m/>
    <s v="No"/>
    <m/>
    <n v="31492.5"/>
    <n v="146965"/>
    <n v="31492.5"/>
    <s v="C"/>
    <s v="J"/>
    <m/>
    <m/>
    <m/>
    <m/>
    <m/>
    <m/>
    <m/>
  </r>
  <r>
    <d v="2025-02-24T00:00:00"/>
    <s v="February"/>
    <x v="8"/>
    <x v="0"/>
    <n v="-0.26"/>
    <x v="0"/>
    <n v="24700"/>
    <n v="567"/>
    <s v="Federal"/>
    <s v="PSS"/>
    <n v="7.1999999999999995E-2"/>
    <s v="Town of Schererville"/>
    <s v="LRC-2022-00228"/>
    <s v="2024-533-45-MTM-WQC"/>
    <m/>
    <s v="Lake"/>
    <n v="41.501389000000003"/>
    <n v="-87.461388999999997"/>
    <s v="Transportation"/>
    <m/>
    <s v="No"/>
    <m/>
    <n v="3705"/>
    <n v="17290"/>
    <n v="3705"/>
    <s v="C"/>
    <s v="J"/>
    <m/>
    <m/>
    <m/>
    <m/>
    <m/>
    <m/>
    <m/>
  </r>
  <r>
    <d v="2025-02-24T00:00:00"/>
    <s v="February"/>
    <x v="8"/>
    <x v="0"/>
    <n v="-43.4"/>
    <x v="1"/>
    <n v="26040"/>
    <n v="567"/>
    <s v="Federal"/>
    <s v="Per"/>
    <n v="43.4"/>
    <s v="Town of Schererville"/>
    <s v="LRC-2022-00228"/>
    <s v="2024-533-45-MTM-WQC"/>
    <m/>
    <s v="Lake"/>
    <n v="41.501389000000003"/>
    <n v="-87.461388999999997"/>
    <s v="Transportation"/>
    <m/>
    <s v="No"/>
    <m/>
    <n v="3906"/>
    <n v="18228"/>
    <n v="3906"/>
    <s v="C"/>
    <s v="J"/>
    <m/>
    <m/>
    <m/>
    <m/>
    <m/>
    <m/>
    <m/>
  </r>
  <r>
    <d v="2025-02-28T00:00:00"/>
    <s v="February"/>
    <x v="8"/>
    <x v="3"/>
    <n v="-45"/>
    <x v="1"/>
    <n v="20250"/>
    <n v="564"/>
    <s v="Federal"/>
    <s v="Int"/>
    <n v="45"/>
    <s v="INDOT"/>
    <s v="LRE-2023-00120-102"/>
    <s v="2024-366-2-GCW-A"/>
    <m/>
    <s v="Allen"/>
    <n v="41.091819000000001"/>
    <n v="-84.994384999999994"/>
    <s v="Transportation"/>
    <m/>
    <s v="No"/>
    <m/>
    <n v="3037.5"/>
    <n v="14175"/>
    <n v="3037.5"/>
    <s v="D"/>
    <s v="J"/>
    <m/>
    <m/>
    <m/>
    <m/>
    <m/>
    <m/>
    <s v="INDOT DES No 2001843"/>
  </r>
  <r>
    <d v="2025-02-28T00:00:00"/>
    <s v="February"/>
    <x v="8"/>
    <x v="8"/>
    <n v="-194"/>
    <x v="1"/>
    <n v="77600"/>
    <n v="566"/>
    <s v="Federal"/>
    <s v="Int"/>
    <n v="194"/>
    <s v="INDOT"/>
    <s v="LRL-2004-1112-sam"/>
    <s v="2009-063-35-EMP-A"/>
    <m/>
    <s v="Howard"/>
    <n v="40.505721999999999"/>
    <n v="-86.087444000000005"/>
    <s v="Transportation"/>
    <m/>
    <s v="No"/>
    <m/>
    <n v="11640"/>
    <n v="54320"/>
    <n v="11640"/>
    <s v="L"/>
    <s v="J"/>
    <m/>
    <m/>
    <m/>
    <m/>
    <m/>
    <m/>
    <s v="INDOT DES No 2400092"/>
  </r>
  <r>
    <d v="2025-03-12T00:00:00"/>
    <s v="March"/>
    <x v="8"/>
    <x v="0"/>
    <n v="-1.1000000000000001"/>
    <x v="0"/>
    <n v="104500"/>
    <n v="569"/>
    <s v="State Isolated"/>
    <s v="PFO"/>
    <n v="0.54400000000000004"/>
    <s v="Michigan City"/>
    <s v="N/A"/>
    <s v="2024-420-45-MTM-IWIP"/>
    <m/>
    <s v="LaPorte"/>
    <n v="41.691755999999998"/>
    <n v="-86.833124999999995"/>
    <s v="Agriculture"/>
    <m/>
    <s v="No"/>
    <m/>
    <n v="15675"/>
    <n v="73150"/>
    <n v="15675"/>
    <s v="C"/>
    <s v="SI"/>
    <s v="2 FO"/>
    <m/>
    <m/>
    <m/>
    <m/>
    <m/>
    <m/>
  </r>
  <r>
    <d v="2025-03-14T00:00:00"/>
    <s v="March"/>
    <x v="8"/>
    <x v="0"/>
    <n v="-1.73384"/>
    <x v="0"/>
    <n v="164715"/>
    <n v="543"/>
    <s v="State Isolated"/>
    <s v="PFO"/>
    <n v="1"/>
    <s v="IDEM"/>
    <s v="N/A"/>
    <s v="2017-166-45-MTM-V"/>
    <m/>
    <s v="Lake"/>
    <n v="41.431736000000001"/>
    <n v="-87.352220000000003"/>
    <s v="Development"/>
    <m/>
    <s v="No"/>
    <m/>
    <n v="24707.25"/>
    <n v="115300.49999999999"/>
    <n v="24707.25"/>
    <s v="C"/>
    <s v="SI"/>
    <s v="2 FO"/>
    <m/>
    <m/>
    <m/>
    <m/>
    <m/>
    <s v="Case No. 2017-24876-Q - IDEM purchasing with funds paid by violator "/>
  </r>
  <r>
    <d v="2025-03-18T00:00:00"/>
    <s v="March"/>
    <x v="8"/>
    <x v="5"/>
    <n v="-3.17"/>
    <x v="0"/>
    <n v="253600"/>
    <n v="570"/>
    <s v="State Isolated"/>
    <s v="PEM"/>
    <n v="2.11"/>
    <s v="INDOT"/>
    <s v="N/A"/>
    <s v="2024-364-65-GCW-IWIP"/>
    <m/>
    <s v="Posey"/>
    <n v="37.941989999999997"/>
    <n v="-87.791889999999995"/>
    <s v="Transportation"/>
    <m/>
    <s v="No"/>
    <m/>
    <n v="38040"/>
    <n v="177520"/>
    <n v="38040"/>
    <s v="L"/>
    <s v="SI"/>
    <s v="2 NF"/>
    <m/>
    <m/>
    <m/>
    <m/>
    <m/>
    <s v="INDOT DES No 2002343"/>
  </r>
  <r>
    <d v="2025-03-27T00:00:00"/>
    <s v="March"/>
    <x v="8"/>
    <x v="9"/>
    <n v="-1.02"/>
    <x v="0"/>
    <n v="230400"/>
    <n v="579"/>
    <s v="Federal"/>
    <s v="PEM"/>
    <n v="1.1499999999999999"/>
    <s v="Platinum Properties Management Company, LLC"/>
    <s v="LRL-2021-087-SJK"/>
    <s v="2024-638-6-MPY-WQC"/>
    <m/>
    <s v="Boone"/>
    <n v="40.009480000000003"/>
    <n v="-86.252889999999994"/>
    <s v="Development"/>
    <m/>
    <s v="No"/>
    <m/>
    <n v="34560"/>
    <n v="161280"/>
    <n v="34560"/>
    <s v="L"/>
    <s v="J"/>
    <m/>
    <m/>
    <m/>
    <m/>
    <m/>
    <m/>
    <m/>
  </r>
  <r>
    <d v="2025-03-27T00:00:00"/>
    <s v="March"/>
    <x v="8"/>
    <x v="9"/>
    <n v="-0.57999999999999996"/>
    <x v="0"/>
    <n v="230400"/>
    <n v="579"/>
    <s v="Federal"/>
    <s v="PFO"/>
    <n v="1.77"/>
    <s v="Platinum Properties Management Company, LLC"/>
    <s v="LRL-2021-087-SJK"/>
    <s v="2024-638-6-MPY-WQC"/>
    <m/>
    <s v="Boone"/>
    <n v="40.009480000000003"/>
    <n v="-86.252889999999994"/>
    <s v="Development"/>
    <m/>
    <s v="No"/>
    <m/>
    <n v="34560"/>
    <n v="161280"/>
    <n v="34560"/>
    <s v="L"/>
    <s v="J"/>
    <m/>
    <m/>
    <m/>
    <m/>
    <m/>
    <m/>
    <m/>
  </r>
  <r>
    <d v="2025-03-27T00:00:00"/>
    <s v="March"/>
    <x v="8"/>
    <x v="9"/>
    <n v="-1121"/>
    <x v="1"/>
    <n v="420300"/>
    <n v="579"/>
    <s v="Federal"/>
    <s v="Int"/>
    <n v="934"/>
    <s v="Platinum Properties Management Company, LLC"/>
    <s v="LRL-2021-087-SJK"/>
    <s v="2024-638-6-MPY-WQC"/>
    <m/>
    <s v="Boone"/>
    <n v="40.009480000000003"/>
    <n v="-86.252889999999994"/>
    <s v="Development"/>
    <m/>
    <s v="No"/>
    <m/>
    <n v="63045"/>
    <n v="294210"/>
    <n v="63045"/>
    <s v="L"/>
    <s v="J"/>
    <m/>
    <m/>
    <m/>
    <m/>
    <m/>
    <m/>
    <m/>
  </r>
  <r>
    <d v="2025-03-27T00:00:00"/>
    <s v="March"/>
    <x v="8"/>
    <x v="9"/>
    <n v="-0.03"/>
    <x v="0"/>
    <n v="2400"/>
    <n v="579"/>
    <s v="State Isolated"/>
    <s v="PFO"/>
    <n v="0.02"/>
    <s v="Platinum Properties Management Company, LLC"/>
    <s v="N/A"/>
    <s v="2024-636-6-MPY-SRGP"/>
    <m/>
    <s v="Boone"/>
    <n v="40.009480000000003"/>
    <n v="-86.252889999999994"/>
    <s v="Development"/>
    <m/>
    <s v="No"/>
    <m/>
    <n v="360"/>
    <n v="1680"/>
    <n v="360"/>
    <s v="L"/>
    <s v="SI"/>
    <s v="2 FO"/>
    <m/>
    <m/>
    <m/>
    <m/>
    <m/>
    <s v="Union Woodlands (Caito Farms) Development"/>
  </r>
  <r>
    <d v="2025-03-28T00:00:00"/>
    <s v="March"/>
    <x v="8"/>
    <x v="2"/>
    <n v="-330"/>
    <x v="1"/>
    <n v="132000"/>
    <n v="577"/>
    <s v="Federal"/>
    <s v="Int"/>
    <n v="1607"/>
    <s v="INDOT"/>
    <s v="LRL-2023-00902-DDC"/>
    <s v="2024-795-26-GCW-WQC"/>
    <m/>
    <s v="Gibson"/>
    <n v="38.330280000000002"/>
    <n v="-87.436239999999998"/>
    <s v="Transportation"/>
    <m/>
    <s v="No"/>
    <m/>
    <n v="19800"/>
    <n v="92400"/>
    <n v="19800"/>
    <s v="L"/>
    <s v="J"/>
    <m/>
    <m/>
    <m/>
    <m/>
    <m/>
    <m/>
    <s v="INDOT DES No 2100263"/>
  </r>
  <r>
    <d v="2025-03-28T00:00:00"/>
    <s v="March"/>
    <x v="8"/>
    <x v="10"/>
    <n v="-3.319"/>
    <x v="0"/>
    <n v="265520"/>
    <n v="547"/>
    <s v="State Isolated"/>
    <s v="PEM"/>
    <n v="2.2130000000000001"/>
    <s v="INDOT"/>
    <s v="N/A"/>
    <s v="IWIP-2022-182-30-JBT"/>
    <m/>
    <s v="Hancock"/>
    <n v="39.820002000000002"/>
    <n v="-85.846967000000006"/>
    <s v="Transportation"/>
    <m/>
    <s v="No"/>
    <m/>
    <n v="39828"/>
    <n v="185864"/>
    <n v="39828"/>
    <s v="L"/>
    <s v="SI"/>
    <s v="2 NF"/>
    <m/>
    <m/>
    <m/>
    <m/>
    <m/>
    <s v=" DES 1702919 I 70 Widening "/>
  </r>
  <r>
    <d v="2025-03-31T00:00:00"/>
    <s v="March"/>
    <x v="8"/>
    <x v="9"/>
    <n v="-1.63"/>
    <x v="0"/>
    <n v="130399.99999999999"/>
    <n v="581"/>
    <s v="Federal"/>
    <s v="PEM"/>
    <n v="1.81"/>
    <s v="D.R. Horton"/>
    <s v="LRL-2021-00707-DDC"/>
    <s v="2022-283-49-EKB-A"/>
    <m/>
    <s v="Marion"/>
    <n v="39.636488999999997"/>
    <n v="-86.292974000000001"/>
    <s v="Development"/>
    <m/>
    <s v="No"/>
    <m/>
    <n v="19559.999999999996"/>
    <n v="91279.999999999985"/>
    <n v="19559.999999999996"/>
    <s v="L"/>
    <s v="J"/>
    <m/>
    <m/>
    <m/>
    <m/>
    <m/>
    <m/>
    <m/>
  </r>
  <r>
    <d v="2025-03-31T00:00:00"/>
    <s v="March"/>
    <x v="8"/>
    <x v="9"/>
    <n v="-600"/>
    <x v="1"/>
    <n v="270000"/>
    <n v="581"/>
    <s v="Federal"/>
    <s v="Int"/>
    <n v="159"/>
    <s v="D.R. Horton"/>
    <s v="LRL-2021-00707-DDC"/>
    <s v="2022-283-49-EKB-A"/>
    <m/>
    <s v="Marion"/>
    <n v="39.636488999999997"/>
    <n v="-86.292974000000001"/>
    <s v="Development"/>
    <m/>
    <s v="No"/>
    <m/>
    <n v="40500"/>
    <n v="189000"/>
    <n v="40500"/>
    <s v="L"/>
    <s v="J"/>
    <m/>
    <m/>
    <m/>
    <m/>
    <m/>
    <m/>
    <m/>
  </r>
  <r>
    <d v="2025-03-31T00:00:00"/>
    <s v="March"/>
    <x v="8"/>
    <x v="9"/>
    <n v="-1.8"/>
    <x v="0"/>
    <n v="144000"/>
    <n v="580"/>
    <s v="Federal"/>
    <s v="PFO"/>
    <n v="0.67"/>
    <s v="INDOT"/>
    <s v="LRL-2008-765"/>
    <s v="2009-667-55-JPS-A"/>
    <m/>
    <s v="Morgan"/>
    <n v="39.433816"/>
    <n v="-86.449562999999998"/>
    <s v="Transportation"/>
    <m/>
    <s v="No"/>
    <m/>
    <n v="21600"/>
    <n v="100800"/>
    <n v="21600"/>
    <s v="L"/>
    <s v="J"/>
    <m/>
    <m/>
    <m/>
    <m/>
    <m/>
    <m/>
    <s v="INDOT failed mitigation DES No 0600731"/>
  </r>
  <r>
    <d v="2025-04-08T00:00:00"/>
    <s v="April"/>
    <x v="8"/>
    <x v="9"/>
    <n v="-307"/>
    <x v="1"/>
    <n v="138150"/>
    <n v="575"/>
    <s v="Federal"/>
    <s v="Eph"/>
    <n v="255.55"/>
    <s v="Lennar Homes of Indiana, Inc."/>
    <s v="LRL-2021-746-sjk"/>
    <s v="2022-597-32-ERL-A"/>
    <m/>
    <s v="Hendricks"/>
    <n v="39.770499999999998"/>
    <n v="-86.462599999999995"/>
    <s v="Development"/>
    <m/>
    <s v="No"/>
    <m/>
    <n v="20722.5"/>
    <n v="96705"/>
    <n v="20722.5"/>
    <s v="L"/>
    <s v="J"/>
    <m/>
    <m/>
    <m/>
    <m/>
    <m/>
    <m/>
    <m/>
  </r>
  <r>
    <d v="2025-04-08T00:00:00"/>
    <s v="April"/>
    <x v="8"/>
    <x v="9"/>
    <n v="-579"/>
    <x v="1"/>
    <n v="260550"/>
    <n v="575"/>
    <s v="Federal"/>
    <s v="Int"/>
    <n v="603.65"/>
    <s v="Lennar Homes of Indiana, Inc."/>
    <s v="LRL-2021-746-sjk"/>
    <s v="2022-597-32-ERL-A"/>
    <m/>
    <s v="Hendricks"/>
    <n v="39.770499999999998"/>
    <n v="-86.462599999999995"/>
    <s v="Development"/>
    <m/>
    <s v="No"/>
    <m/>
    <n v="39082.5"/>
    <n v="182385"/>
    <n v="39082.5"/>
    <s v="L"/>
    <s v="J"/>
    <m/>
    <m/>
    <m/>
    <m/>
    <m/>
    <m/>
    <m/>
  </r>
  <r>
    <d v="2025-04-08T00:00:00"/>
    <s v="April"/>
    <x v="8"/>
    <x v="9"/>
    <n v="-124"/>
    <x v="1"/>
    <n v="55800"/>
    <n v="575"/>
    <s v="Federal"/>
    <s v="Per"/>
    <n v="103.65"/>
    <s v="Lennar Homes of Indiana, Inc."/>
    <s v="LRL-2021-746-sjk"/>
    <s v="2022-597-32-ERL-A"/>
    <m/>
    <s v="Hendricks"/>
    <n v="39.770499999999998"/>
    <n v="-86.462599999999995"/>
    <s v="Development"/>
    <m/>
    <s v="No"/>
    <m/>
    <n v="8370"/>
    <n v="39060"/>
    <n v="8370"/>
    <s v="L"/>
    <s v="J"/>
    <m/>
    <m/>
    <m/>
    <m/>
    <m/>
    <m/>
    <m/>
  </r>
  <r>
    <d v="2025-04-09T00:00:00"/>
    <s v="April"/>
    <x v="8"/>
    <x v="0"/>
    <n v="-0.10199999999999999"/>
    <x v="0"/>
    <n v="9690"/>
    <n v="572"/>
    <s v="Federal"/>
    <s v="PEM"/>
    <n v="0.63"/>
    <s v="NIPSCO"/>
    <s v="LRC-2024-00551"/>
    <s v="2024-604-45-TLC-WQC"/>
    <m/>
    <s v="Lake"/>
    <n v="41.559417000000003"/>
    <n v="-87.430871999999994"/>
    <s v="Energy Production"/>
    <m/>
    <s v="No"/>
    <m/>
    <n v="1453.5"/>
    <n v="6783"/>
    <n v="1453.5"/>
    <s v="C"/>
    <s v="J"/>
    <m/>
    <m/>
    <m/>
    <m/>
    <m/>
    <m/>
    <m/>
  </r>
  <r>
    <d v="2025-04-09T00:00:00"/>
    <s v="April"/>
    <x v="8"/>
    <x v="8"/>
    <n v="-1.6240000000000001"/>
    <x v="0"/>
    <n v="129920"/>
    <n v="582"/>
    <s v="Federal"/>
    <s v="PFO"/>
    <n v="0.54100000000000004"/>
    <s v="AEP"/>
    <s v="LRL-2025-00056"/>
    <s v="2024-893-2-EJW-WQC"/>
    <m/>
    <s v="Allen"/>
    <n v="41.205719999999999"/>
    <n v="-85.231769999999997"/>
    <s v="Development"/>
    <m/>
    <s v="No"/>
    <m/>
    <n v="19488"/>
    <n v="90944"/>
    <n v="19488"/>
    <s v="L"/>
    <s v="J"/>
    <m/>
    <m/>
    <m/>
    <m/>
    <m/>
    <m/>
    <m/>
  </r>
  <r>
    <d v="2025-05-01T00:00:00"/>
    <s v="May"/>
    <x v="8"/>
    <x v="8"/>
    <n v="-0.02"/>
    <x v="0"/>
    <n v="1600"/>
    <s v="585C"/>
    <s v="Federal"/>
    <s v="PEM"/>
    <n v="0.01"/>
    <s v="Peru Municipal Airport"/>
    <s v="LRL-2023-00245-jde"/>
    <s v="2024-642-52-MMR-NWP"/>
    <m/>
    <s v="Miami"/>
    <n v="40.784700000000001"/>
    <n v="-86.148200000000003"/>
    <s v="Development"/>
    <m/>
    <s v="No"/>
    <m/>
    <n v="240"/>
    <n v="1120"/>
    <n v="240"/>
    <s v="L"/>
    <s v="J"/>
    <m/>
    <m/>
    <m/>
    <m/>
    <m/>
    <m/>
    <m/>
  </r>
  <r>
    <d v="2025-05-01T00:00:00"/>
    <s v="May"/>
    <x v="8"/>
    <x v="8"/>
    <n v="-0.69"/>
    <x v="0"/>
    <n v="55200"/>
    <s v="585C"/>
    <s v="Federal"/>
    <s v="PSS"/>
    <n v="0.23"/>
    <s v="Peru Municipal Airport"/>
    <s v="LRL-2023-00245-jde"/>
    <s v="2024-642-52-MMR-NWP"/>
    <m/>
    <s v="Miami"/>
    <n v="40.784700000000001"/>
    <n v="-86.148200000000003"/>
    <s v="Development"/>
    <m/>
    <s v="No"/>
    <m/>
    <n v="8280"/>
    <n v="38640"/>
    <n v="8280"/>
    <s v="L"/>
    <s v="J"/>
    <m/>
    <m/>
    <m/>
    <m/>
    <m/>
    <m/>
    <m/>
  </r>
  <r>
    <d v="2025-05-01T00:00:00"/>
    <s v="May"/>
    <x v="8"/>
    <x v="3"/>
    <n v="-8.0000000000000002E-3"/>
    <x v="0"/>
    <n v="640"/>
    <n v="578"/>
    <s v="Federal"/>
    <s v="PFO"/>
    <n v="4.0000000000000001E-3"/>
    <s v="INDOT"/>
    <s v="LRE-2023-00120-102"/>
    <s v="2024-366-2-GCW-A"/>
    <m/>
    <s v="Allen"/>
    <n v="41.091819000000001"/>
    <n v="-84.994384999999994"/>
    <s v="Transportation"/>
    <m/>
    <s v="No"/>
    <m/>
    <n v="96"/>
    <n v="448"/>
    <n v="96"/>
    <s v="D"/>
    <s v="J"/>
    <m/>
    <m/>
    <m/>
    <m/>
    <m/>
    <m/>
    <m/>
  </r>
  <r>
    <d v="2025-05-01T00:00:00"/>
    <s v="May"/>
    <x v="8"/>
    <x v="10"/>
    <n v="-1.45"/>
    <x v="0"/>
    <n v="116000"/>
    <n v="548"/>
    <s v="State Isolated"/>
    <s v="PFO"/>
    <n v="0.57799999999999996"/>
    <s v="INDOT"/>
    <s v="N/A"/>
    <s v="IWIP 2024-444-3-GCW-A"/>
    <m/>
    <s v="Bartholomew"/>
    <n v="39.259694000000003"/>
    <n v="-85.952674999999999"/>
    <s v="Transportation"/>
    <m/>
    <s v="No"/>
    <m/>
    <n v="17400"/>
    <n v="81200"/>
    <n v="17400"/>
    <s v="L"/>
    <s v="SI"/>
    <s v="3 FO"/>
    <m/>
    <s v="INDOT DES No. 2000505"/>
    <m/>
    <m/>
    <m/>
    <m/>
  </r>
  <r>
    <d v="2025-05-01T00:00:00"/>
    <s v="May"/>
    <x v="8"/>
    <x v="5"/>
    <n v="-0.62"/>
    <x v="0"/>
    <n v="49600"/>
    <n v="583"/>
    <s v="Federal"/>
    <s v="PEM"/>
    <n v="0.312"/>
    <s v="INDOT"/>
    <s v="LRL-2023-447-djd"/>
    <s v="2023-983-82-GCW-A"/>
    <m/>
    <s v="Warrick, Vanderburgh, and Gibson"/>
    <n v="38.060971000000002"/>
    <n v="-87.475572999999997"/>
    <s v="Transportation"/>
    <m/>
    <s v="No"/>
    <m/>
    <n v="7440"/>
    <n v="34720"/>
    <n v="7440"/>
    <s v="L"/>
    <s v="J"/>
    <m/>
    <m/>
    <s v="INDOT DES No 2000889"/>
    <m/>
    <m/>
    <m/>
    <m/>
  </r>
  <r>
    <d v="2025-05-01T00:00:00"/>
    <s v="May"/>
    <x v="8"/>
    <x v="5"/>
    <n v="-0.83"/>
    <x v="0"/>
    <n v="66400"/>
    <n v="583"/>
    <s v="Federal"/>
    <s v="PFO"/>
    <n v="0.27800000000000002"/>
    <s v="INDOT"/>
    <s v="LRL-2023-447-djd"/>
    <s v="2023-983-82-GCW-A"/>
    <m/>
    <s v="Warrick, Vanderburgh, and Gibson"/>
    <n v="38.060971000000002"/>
    <n v="-87.475572999999997"/>
    <s v="Transportation"/>
    <m/>
    <s v="No"/>
    <m/>
    <n v="9960"/>
    <n v="46480"/>
    <n v="9960"/>
    <s v="L"/>
    <s v="J"/>
    <m/>
    <m/>
    <s v="INDOT DES No 2000889"/>
    <m/>
    <m/>
    <m/>
    <m/>
  </r>
  <r>
    <d v="2025-05-01T00:00:00"/>
    <s v="May"/>
    <x v="8"/>
    <x v="5"/>
    <n v="-15"/>
    <x v="1"/>
    <n v="6000"/>
    <n v="583"/>
    <s v="Federal"/>
    <s v="Eph"/>
    <n v="15"/>
    <s v="INDOT"/>
    <s v="LRL-2023-447-djd"/>
    <s v="2023-983-82-GCW-A"/>
    <m/>
    <s v="Warrick, Vanderburgh, and Gibson"/>
    <n v="38.060971000000002"/>
    <n v="-87.475572999999997"/>
    <s v="Transportation"/>
    <m/>
    <s v="No"/>
    <m/>
    <n v="900"/>
    <n v="4200"/>
    <n v="900"/>
    <s v="L"/>
    <s v="J"/>
    <m/>
    <m/>
    <s v="INDOT DES No 2000889"/>
    <m/>
    <m/>
    <m/>
    <m/>
  </r>
  <r>
    <d v="2025-05-01T00:00:00"/>
    <s v="May"/>
    <x v="8"/>
    <x v="5"/>
    <n v="-104"/>
    <x v="1"/>
    <n v="41600"/>
    <n v="583"/>
    <s v="Federal"/>
    <s v="Int"/>
    <n v="2492.75"/>
    <s v="INDOT"/>
    <s v="LRL-2023-447-djd"/>
    <s v="2023-983-82-GCW-A"/>
    <m/>
    <s v="Warrick, Vanderburgh, and Gibson"/>
    <n v="38.060971000000002"/>
    <n v="-87.475572999999997"/>
    <s v="Transportation"/>
    <m/>
    <s v="No"/>
    <m/>
    <n v="6240"/>
    <n v="29119.999999999996"/>
    <n v="6240"/>
    <s v="L"/>
    <s v="J"/>
    <m/>
    <m/>
    <s v="INDOT DES No 2000889"/>
    <m/>
    <m/>
    <m/>
    <m/>
  </r>
  <r>
    <d v="2025-05-01T00:00:00"/>
    <s v="May"/>
    <x v="8"/>
    <x v="0"/>
    <n v="-0.76"/>
    <x v="0"/>
    <n v="72200"/>
    <n v="589"/>
    <s v="Federal"/>
    <s v="PEM"/>
    <n v="0.38"/>
    <s v="INDOT"/>
    <s v="LRC-2022-00748"/>
    <s v="2024-581-45-GCW-WQC"/>
    <m/>
    <s v="Lake"/>
    <n v="41.380749999999999"/>
    <n v="-87.306579999999997"/>
    <s v="Transportation"/>
    <m/>
    <s v="No"/>
    <m/>
    <n v="10830"/>
    <n v="50540"/>
    <n v="10830"/>
    <s v="C"/>
    <s v="J"/>
    <m/>
    <m/>
    <m/>
    <m/>
    <m/>
    <m/>
    <m/>
  </r>
  <r>
    <d v="2025-05-02T00:00:00"/>
    <s v="May"/>
    <x v="8"/>
    <x v="8"/>
    <n v="-43"/>
    <x v="1"/>
    <n v="17200"/>
    <n v="584"/>
    <s v="Federal"/>
    <s v="Int"/>
    <n v="43"/>
    <s v="INDOT"/>
    <s v="N/A"/>
    <s v="2025-181-71-GCW-NWP"/>
    <m/>
    <s v="Tippecanoe"/>
    <n v="40.322270000000003"/>
    <n v="-86.750370000000004"/>
    <s v="Transportation"/>
    <m/>
    <s v="No"/>
    <m/>
    <n v="2580"/>
    <n v="12040"/>
    <n v="2580"/>
    <s v="L"/>
    <s v="J"/>
    <m/>
    <m/>
    <s v="INDOT DES No 2001932"/>
    <m/>
    <m/>
    <m/>
    <m/>
  </r>
  <r>
    <d v="2025-05-02T00:00:00"/>
    <s v="May"/>
    <x v="8"/>
    <x v="0"/>
    <n v="-0.26600000000000001"/>
    <x v="0"/>
    <n v="25270"/>
    <n v="586"/>
    <s v="Federal"/>
    <s v="PEM"/>
    <n v="0.11"/>
    <s v="INDOT"/>
    <s v="LRC-2024-00644"/>
    <s v="2024-928-45-GCW-NWP"/>
    <m/>
    <s v="Lake"/>
    <n v="41.587384"/>
    <n v="-87.306416999999996"/>
    <s v="Transportation"/>
    <m/>
    <s v="No"/>
    <m/>
    <n v="3790.5"/>
    <n v="17689"/>
    <n v="3790.5"/>
    <s v="C"/>
    <s v="J"/>
    <m/>
    <m/>
    <s v="INDOT DES No 2100129"/>
    <m/>
    <m/>
    <m/>
    <m/>
  </r>
  <r>
    <d v="2025-05-02T00:00:00"/>
    <s v="May"/>
    <x v="8"/>
    <x v="0"/>
    <n v="-0.39600000000000002"/>
    <x v="0"/>
    <n v="37620"/>
    <n v="586"/>
    <s v="Federal"/>
    <s v="PSS"/>
    <n v="0.11"/>
    <s v="INDOT"/>
    <s v="LRC-2024-00644"/>
    <s v="2024-928-45-GCW-NWP"/>
    <m/>
    <s v="Lake"/>
    <n v="41.587384"/>
    <n v="-87.306416999999996"/>
    <s v="Transportation"/>
    <m/>
    <s v="No"/>
    <m/>
    <n v="5643"/>
    <n v="26334"/>
    <n v="5643"/>
    <s v="C"/>
    <s v="J"/>
    <m/>
    <m/>
    <s v="INDOT DES No 2100129"/>
    <m/>
    <m/>
    <m/>
    <m/>
  </r>
  <r>
    <d v="2025-05-02T00:00:00"/>
    <s v="May"/>
    <x v="8"/>
    <x v="5"/>
    <n v="-643"/>
    <x v="1"/>
    <n v="257200"/>
    <n v="556"/>
    <s v="Federal"/>
    <s v="Int"/>
    <n v="854"/>
    <s v="Warrick County Highway Dept"/>
    <s v="LRL-2022-623"/>
    <s v="2022-905-87-TMS-A"/>
    <m/>
    <s v="Warrick"/>
    <n v="38.005415999999997"/>
    <n v="-87.395927999999998"/>
    <s v="Transportation"/>
    <m/>
    <s v="No"/>
    <m/>
    <n v="38580"/>
    <n v="180040"/>
    <n v="38580"/>
    <s v="L"/>
    <s v="J"/>
    <m/>
    <m/>
    <m/>
    <m/>
    <m/>
    <m/>
    <m/>
  </r>
  <r>
    <d v="2025-05-02T00:00:00"/>
    <s v="May"/>
    <x v="8"/>
    <x v="8"/>
    <n v="-0.10349999999999999"/>
    <x v="0"/>
    <n v="8280"/>
    <n v="565"/>
    <s v="State Isolated"/>
    <s v="PEM"/>
    <n v="6.9000000000000006E-2"/>
    <s v="White County Commissioners"/>
    <s v="N/A"/>
    <s v="2024-934-91-MPY-SRGP"/>
    <m/>
    <s v="White"/>
    <n v="40.750427000000002"/>
    <n v="-86.776831999999999"/>
    <s v="Development"/>
    <m/>
    <s v="No"/>
    <m/>
    <n v="1242"/>
    <n v="5796"/>
    <n v="1242"/>
    <s v="L"/>
    <s v="SI"/>
    <s v="2 NF"/>
    <m/>
    <m/>
    <m/>
    <m/>
    <m/>
    <m/>
  </r>
  <r>
    <d v="2025-05-05T00:00:00"/>
    <s v="May"/>
    <x v="8"/>
    <x v="4"/>
    <n v="-0.6"/>
    <x v="0"/>
    <n v="48000"/>
    <s v="596C"/>
    <s v="Federal"/>
    <s v="PEM"/>
    <n v="0.25040000000000001"/>
    <s v="ENTEK Lithium Separators LLC"/>
    <s v="LRL-2023-00388"/>
    <s v="2024-660-84-MMR-WQC"/>
    <m/>
    <s v="Vigo"/>
    <n v="39.351748999999998"/>
    <n v="-87.411080999999996"/>
    <s v="Development"/>
    <m/>
    <s v="No"/>
    <m/>
    <n v="7200"/>
    <n v="33600"/>
    <n v="7200"/>
    <s v="L"/>
    <s v="J"/>
    <m/>
    <m/>
    <m/>
    <m/>
    <m/>
    <m/>
    <m/>
  </r>
  <r>
    <d v="2025-05-05T00:00:00"/>
    <s v="May"/>
    <x v="8"/>
    <x v="4"/>
    <n v="-82"/>
    <x v="1"/>
    <n v="32800"/>
    <s v="596C"/>
    <s v="Federal"/>
    <s v="Int"/>
    <n v="82"/>
    <s v="ENTEK Lithium Separators LLC"/>
    <s v="LRL-2023-00388"/>
    <s v="2024-660-84-MMR-WQC"/>
    <m/>
    <s v="Vigo"/>
    <n v="39.351748999999998"/>
    <n v="-87.411080999999996"/>
    <s v="Development"/>
    <m/>
    <s v="No"/>
    <m/>
    <n v="4920"/>
    <n v="22960"/>
    <n v="4920"/>
    <s v="L"/>
    <s v="J"/>
    <m/>
    <m/>
    <m/>
    <m/>
    <m/>
    <m/>
    <m/>
  </r>
  <r>
    <d v="2025-05-05T00:00:00"/>
    <s v="May"/>
    <x v="8"/>
    <x v="8"/>
    <n v="-2.242"/>
    <x v="0"/>
    <n v="179360"/>
    <n v="600"/>
    <s v="State Isolated"/>
    <s v="PFO"/>
    <n v="1.121"/>
    <s v="Matt Lancia Signature Homes"/>
    <s v="N/A"/>
    <s v="2025-132-2-EJW-IWIP"/>
    <m/>
    <s v="Allen"/>
    <n v="41.189610000000002"/>
    <n v="-85.163579999999996"/>
    <s v="Development"/>
    <m/>
    <s v="No"/>
    <m/>
    <n v="26904"/>
    <n v="125551.99999999999"/>
    <n v="26904"/>
    <s v="D"/>
    <s v="SI"/>
    <s v="2 FO"/>
    <m/>
    <m/>
    <m/>
    <m/>
    <m/>
    <m/>
  </r>
  <r>
    <d v="2025-05-07T00:00:00"/>
    <s v="May"/>
    <x v="8"/>
    <x v="9"/>
    <n v="-4.2999999999999997E-2"/>
    <x v="0"/>
    <n v="3440"/>
    <n v="591"/>
    <s v="Federal"/>
    <s v="PEM"/>
    <n v="1.7999999999999999E-2"/>
    <s v="Lennar Homes"/>
    <s v="LRL-2023-00665-DDC"/>
    <s v="2025-163-41-TLG-NWP"/>
    <m/>
    <s v="Johnson"/>
    <n v="39.568100000000001"/>
    <n v="-86.147800000000004"/>
    <s v="Development"/>
    <m/>
    <s v="No"/>
    <m/>
    <n v="516"/>
    <n v="2408"/>
    <n v="516"/>
    <s v="L"/>
    <s v="J"/>
    <m/>
    <m/>
    <m/>
    <m/>
    <m/>
    <m/>
    <m/>
  </r>
  <r>
    <d v="2025-05-07T00:00:00"/>
    <s v="May"/>
    <x v="8"/>
    <x v="9"/>
    <n v="-0.309"/>
    <x v="0"/>
    <n v="24720"/>
    <n v="591"/>
    <s v="Federal"/>
    <s v="PSS"/>
    <n v="0.10299999999999999"/>
    <s v="Lennar Homes"/>
    <s v="LRL-2023-00665-DDC"/>
    <s v="2025-163-41-TLG-NWP"/>
    <m/>
    <s v="Johnson"/>
    <n v="39.568100000000001"/>
    <n v="-86.147800000000004"/>
    <s v="Development"/>
    <m/>
    <s v="No"/>
    <m/>
    <n v="3708"/>
    <n v="17304"/>
    <n v="3708"/>
    <s v="L"/>
    <s v="J"/>
    <m/>
    <m/>
    <m/>
    <m/>
    <m/>
    <m/>
    <m/>
  </r>
  <r>
    <d v="2025-05-07T00:00:00"/>
    <s v="May"/>
    <x v="8"/>
    <x v="9"/>
    <n v="-10"/>
    <x v="1"/>
    <n v="4500"/>
    <n v="591"/>
    <s v="Federal"/>
    <s v="Int"/>
    <n v="10"/>
    <s v="Lennar Homes"/>
    <s v="LRL-2023-00665-DDC"/>
    <s v="2025-163-41-TLG-NWP"/>
    <m/>
    <s v="Johnson"/>
    <n v="39.568100000000001"/>
    <n v="-86.147800000000004"/>
    <s v="Development"/>
    <m/>
    <s v="No"/>
    <m/>
    <n v="675"/>
    <n v="3150"/>
    <n v="675"/>
    <s v="L"/>
    <s v="J"/>
    <m/>
    <m/>
    <m/>
    <m/>
    <m/>
    <m/>
    <m/>
  </r>
  <r>
    <d v="2025-05-07T00:00:00"/>
    <s v="May"/>
    <x v="8"/>
    <x v="9"/>
    <n v="-115"/>
    <x v="1"/>
    <n v="51750"/>
    <n v="576"/>
    <s v="Federal"/>
    <s v="Per"/>
    <n v="263.3"/>
    <s v="City of Indianapolis, DPW"/>
    <s v="LRL-2020-1045-sjk"/>
    <s v="2021-150-49-ALF-A"/>
    <m/>
    <s v="Marion"/>
    <n v="39.658900000000003"/>
    <n v="-86.082499999999996"/>
    <s v="Transportation"/>
    <m/>
    <s v="No"/>
    <m/>
    <n v="7762.5"/>
    <n v="36225"/>
    <n v="7762.5"/>
    <s v="L"/>
    <s v="J"/>
    <m/>
    <m/>
    <m/>
    <m/>
    <m/>
    <m/>
    <m/>
  </r>
  <r>
    <d v="2025-05-07T00:00:00"/>
    <s v="May"/>
    <x v="8"/>
    <x v="9"/>
    <n v="-0.42699999999999999"/>
    <x v="0"/>
    <n v="34160"/>
    <n v="576"/>
    <s v="Federal"/>
    <s v="PEM"/>
    <n v="0.17899999999999999"/>
    <s v="City of Indianapolis, DPW"/>
    <s v="LRL-2020-1045-sjk"/>
    <s v="2021-150-49-ALF-A"/>
    <m/>
    <s v="Marion"/>
    <n v="39.658900000000003"/>
    <n v="-86.082499999999996"/>
    <s v="Transportation"/>
    <m/>
    <s v="No"/>
    <m/>
    <n v="5124"/>
    <n v="23912"/>
    <n v="5124"/>
    <s v="L"/>
    <s v="J"/>
    <m/>
    <m/>
    <m/>
    <m/>
    <m/>
    <m/>
    <m/>
  </r>
  <r>
    <d v="2025-05-07T00:00:00"/>
    <s v="May"/>
    <x v="8"/>
    <x v="9"/>
    <n v="-3.3000000000000002E-2"/>
    <x v="0"/>
    <n v="2640"/>
    <n v="576"/>
    <s v="State Isolated"/>
    <s v="PEM"/>
    <n v="3.3000000000000002E-2"/>
    <s v="City of Indianapolis, DPW"/>
    <s v="N/A"/>
    <s v="IWGP 2021-150-49-ALF-A"/>
    <m/>
    <s v="Marion"/>
    <n v="39.658900000000003"/>
    <n v="-86.082499999999996"/>
    <s v="Transportation"/>
    <m/>
    <s v="No"/>
    <m/>
    <n v="396"/>
    <n v="1847.9999999999998"/>
    <n v="396"/>
    <s v="L"/>
    <s v="SI"/>
    <s v="1 NF"/>
    <m/>
    <m/>
    <m/>
    <m/>
    <m/>
    <m/>
  </r>
  <r>
    <d v="2025-05-07T00:00:00"/>
    <s v="May"/>
    <x v="8"/>
    <x v="4"/>
    <n v="-0.3"/>
    <x v="0"/>
    <n v="24000"/>
    <n v="595"/>
    <s v="State Isolated"/>
    <s v="PEM"/>
    <n v="0.2"/>
    <s v="Eli Lilly &amp; Co."/>
    <s v="N/A"/>
    <s v="2025-343-6-MPY-SRGP"/>
    <m/>
    <s v="Boone"/>
    <n v="40.043190000000003"/>
    <n v="-86.515140000000002"/>
    <s v="Development"/>
    <m/>
    <s v="No"/>
    <m/>
    <n v="3600"/>
    <n v="16800"/>
    <n v="3600"/>
    <s v="L"/>
    <s v="SI"/>
    <s v="2 NF"/>
    <m/>
    <m/>
    <m/>
    <m/>
    <m/>
    <m/>
  </r>
  <r>
    <d v="2025-05-13T00:00:00"/>
    <s v="May"/>
    <x v="8"/>
    <x v="8"/>
    <n v="-1588"/>
    <x v="1"/>
    <n v="635200"/>
    <n v="574"/>
    <s v="Federal"/>
    <s v="Per"/>
    <n v="1588"/>
    <s v="Liberty Landfill"/>
    <s v="LRL-2021-1014-sjk"/>
    <s v="2022-93-91-JWR-A"/>
    <s v="FW-31397-0"/>
    <s v="White"/>
    <n v="40.894809000000002"/>
    <n v="-86.699406999999994"/>
    <s v="Development"/>
    <m/>
    <s v="No"/>
    <m/>
    <n v="95280"/>
    <n v="444640"/>
    <n v="95280"/>
    <s v="L"/>
    <s v="J"/>
    <m/>
    <m/>
    <m/>
    <m/>
    <m/>
    <m/>
    <s v="Modified amounts IDEM revised to match Corps amounts as IDEM couldn't modify the amounts to reflect changed mitigation.  Verified w both Corps and IDEM.  "/>
  </r>
  <r>
    <d v="2025-05-13T00:00:00"/>
    <s v="May"/>
    <x v="8"/>
    <x v="8"/>
    <n v="-1.25"/>
    <x v="0"/>
    <n v="100000"/>
    <n v="574"/>
    <s v="Federal"/>
    <s v="PEM"/>
    <n v="0.52"/>
    <s v="Liberty Landfill"/>
    <s v="LRL-2021-1014-sjk"/>
    <s v="2022-93-91-JWR-A"/>
    <s v="FW-31397-0"/>
    <s v="White"/>
    <n v="40.894809000000002"/>
    <n v="-86.699406999999994"/>
    <s v="Development"/>
    <m/>
    <s v="No"/>
    <m/>
    <n v="15000"/>
    <n v="70000"/>
    <n v="15000"/>
    <s v="L"/>
    <s v="J"/>
    <m/>
    <m/>
    <m/>
    <m/>
    <m/>
    <m/>
    <s v="Modified amounts IDEM revised to match Corps amounts as IDEM couldn't modify the amounts to reflect changed mitigation.  Verified w both Corps and IDEM.  "/>
  </r>
  <r>
    <d v="2025-05-13T00:00:00"/>
    <s v="May"/>
    <x v="8"/>
    <x v="3"/>
    <n v="-1.2"/>
    <x v="0"/>
    <n v="96000"/>
    <n v="573"/>
    <s v="Federal"/>
    <s v="PFO"/>
    <n v="0.29699999999999999"/>
    <s v="Silverado Cook Properties, LLC"/>
    <s v="LRE-2017-00314-102-N23"/>
    <s v="2022-1258-2-EJW-A"/>
    <m/>
    <s v="Allen"/>
    <n v="41.146241000000003"/>
    <n v="-85.166835000000006"/>
    <s v="Development"/>
    <m/>
    <s v="No"/>
    <m/>
    <n v="14400"/>
    <n v="67200"/>
    <n v="14400"/>
    <s v="D"/>
    <s v="J"/>
    <m/>
    <m/>
    <m/>
    <m/>
    <m/>
    <m/>
    <m/>
  </r>
  <r>
    <d v="2025-05-14T00:00:00"/>
    <s v="May"/>
    <x v="8"/>
    <x v="3"/>
    <n v="-0.37"/>
    <x v="0"/>
    <n v="29600"/>
    <n v="590"/>
    <s v="State Isolated"/>
    <s v="PEM"/>
    <n v="0.25"/>
    <s v="INDOT"/>
    <s v="LRE-2023-00173-102-J23"/>
    <s v="2024-1022-2-GCW-IWIP"/>
    <m/>
    <s v="Allen"/>
    <n v="41.125228"/>
    <n v="-85.211544000000004"/>
    <s v="Transportation"/>
    <m/>
    <s v="No"/>
    <m/>
    <n v="4440"/>
    <n v="20720"/>
    <n v="4440"/>
    <s v="D"/>
    <s v="SI"/>
    <s v="2 NF"/>
    <m/>
    <m/>
    <m/>
    <m/>
    <m/>
    <s v="INDOT DES No 1901890"/>
  </r>
  <r>
    <d v="2025-05-14T00:00:00"/>
    <s v="May"/>
    <x v="8"/>
    <x v="3"/>
    <n v="-0.06"/>
    <x v="0"/>
    <n v="4800"/>
    <n v="590"/>
    <s v="Federal"/>
    <s v="PEM"/>
    <n v="0.03"/>
    <s v="INDOT"/>
    <s v="LRE-2023-00173-102-J23"/>
    <s v="2024-1022-2-GCW-WQC"/>
    <m/>
    <s v="Allen"/>
    <n v="41.125228"/>
    <n v="-85.211544000000004"/>
    <s v="Transportation"/>
    <m/>
    <s v="No"/>
    <m/>
    <n v="720"/>
    <n v="3360"/>
    <n v="720"/>
    <s v="D"/>
    <s v="J"/>
    <m/>
    <m/>
    <m/>
    <m/>
    <m/>
    <m/>
    <s v="INDOT DES No 1901890"/>
  </r>
  <r>
    <d v="2025-05-14T00:00:00"/>
    <s v="May"/>
    <x v="8"/>
    <x v="3"/>
    <n v="-42"/>
    <x v="1"/>
    <n v="18900"/>
    <n v="590"/>
    <s v="Federal"/>
    <s v="Int"/>
    <n v="42"/>
    <s v="INDOT"/>
    <s v="LRE-2023-00173-102-J23"/>
    <s v="2024-1022-2-GCW-WQC"/>
    <m/>
    <s v="Allen"/>
    <n v="41.125228"/>
    <n v="-85.211544000000004"/>
    <s v="Transportation"/>
    <m/>
    <s v="No"/>
    <m/>
    <n v="2835"/>
    <n v="13230"/>
    <n v="2835"/>
    <s v="D"/>
    <s v="J"/>
    <m/>
    <m/>
    <m/>
    <m/>
    <m/>
    <m/>
    <s v="INDOT DES No 1901890"/>
  </r>
  <r>
    <d v="2025-05-14T00:00:00"/>
    <s v="May"/>
    <x v="8"/>
    <x v="8"/>
    <n v="-1"/>
    <x v="0"/>
    <n v="80000"/>
    <n v="590"/>
    <s v="State Isolated"/>
    <s v="PFO"/>
    <n v="0.5"/>
    <s v="INDOT"/>
    <s v="LRE-2023-00173-102-J23"/>
    <s v="2024-1022-2-GCW-IWIP"/>
    <m/>
    <s v="Allen"/>
    <n v="41.125309999999999"/>
    <n v="-85.226330000000004"/>
    <s v="Transportation"/>
    <m/>
    <s v="No"/>
    <m/>
    <n v="12000"/>
    <n v="56000"/>
    <n v="12000"/>
    <s v="L"/>
    <s v="SI"/>
    <s v="2 FO"/>
    <m/>
    <m/>
    <m/>
    <m/>
    <m/>
    <s v="INDOT DES No 1901890"/>
  </r>
  <r>
    <d v="2025-05-14T00:00:00"/>
    <s v="May"/>
    <x v="8"/>
    <x v="8"/>
    <n v="-0.63"/>
    <x v="0"/>
    <n v="50400"/>
    <n v="590"/>
    <s v="State Isolated"/>
    <s v="PEM"/>
    <n v="0.42"/>
    <s v="INDOT"/>
    <s v="LRE-2023-00173-102-J23"/>
    <s v="2024-1022-2-GCW-IWIP"/>
    <m/>
    <s v="Allen"/>
    <n v="41.125309999999999"/>
    <n v="-85.226330000000004"/>
    <s v="Transportation"/>
    <m/>
    <s v="No"/>
    <m/>
    <n v="7560"/>
    <n v="35280"/>
    <n v="7560"/>
    <s v="L"/>
    <s v="SI"/>
    <s v="2 NF"/>
    <m/>
    <m/>
    <m/>
    <m/>
    <m/>
    <s v="INDOT DES No 1901890"/>
  </r>
  <r>
    <d v="2025-05-14T00:00:00"/>
    <s v="May"/>
    <x v="8"/>
    <x v="8"/>
    <n v="-0.09"/>
    <x v="0"/>
    <n v="7200"/>
    <n v="590"/>
    <s v="Federal"/>
    <s v="PEM"/>
    <n v="4.4999999999999998E-2"/>
    <s v="INDOT"/>
    <s v="LRE-2023-00173-102-J23"/>
    <s v="2024-1022-2-GCW-WQC"/>
    <m/>
    <s v="Allen"/>
    <n v="41.125309999999999"/>
    <n v="-85.226330000000004"/>
    <s v="Transportation"/>
    <m/>
    <s v="No"/>
    <m/>
    <n v="1080"/>
    <n v="5040"/>
    <n v="1080"/>
    <s v="L"/>
    <s v="J"/>
    <m/>
    <m/>
    <m/>
    <m/>
    <m/>
    <m/>
    <s v="INDOT DES No 1901890"/>
  </r>
  <r>
    <d v="2025-05-14T00:00:00"/>
    <s v="May"/>
    <x v="8"/>
    <x v="8"/>
    <n v="-562"/>
    <x v="1"/>
    <n v="224800"/>
    <n v="590"/>
    <s v="Federal"/>
    <s v="Int"/>
    <n v="562"/>
    <s v="INDOT"/>
    <s v="LRE-2023-00173-102-J23"/>
    <s v="2024-1022-2-GCW-WQC"/>
    <m/>
    <s v="Allen"/>
    <n v="41.125309999999999"/>
    <n v="-85.226330000000004"/>
    <s v="Transportation"/>
    <m/>
    <s v="No"/>
    <m/>
    <n v="33720"/>
    <n v="157360"/>
    <n v="33720"/>
    <s v="L"/>
    <s v="J"/>
    <m/>
    <m/>
    <m/>
    <m/>
    <m/>
    <m/>
    <s v="INDOT DES No 1901890"/>
  </r>
  <r>
    <d v="2025-05-14T00:00:00"/>
    <s v="May"/>
    <x v="8"/>
    <x v="8"/>
    <n v="-221"/>
    <x v="1"/>
    <n v="88400"/>
    <n v="590"/>
    <s v="Federal"/>
    <s v="Per"/>
    <n v="221"/>
    <s v="INDOT"/>
    <s v="LRE-2023-00173-102-J23"/>
    <s v="2024-1022-2-GCW-WQC"/>
    <m/>
    <s v="Allen"/>
    <n v="41.125309999999999"/>
    <n v="-85.226330000000004"/>
    <s v="Transportation"/>
    <m/>
    <s v="No"/>
    <m/>
    <n v="13260"/>
    <n v="61879.999999999993"/>
    <n v="13260"/>
    <s v="L"/>
    <s v="J"/>
    <m/>
    <m/>
    <m/>
    <m/>
    <m/>
    <m/>
    <s v="INDOT DES No 1901890"/>
  </r>
  <r>
    <d v="2025-05-14T00:00:00"/>
    <s v="May"/>
    <x v="8"/>
    <x v="5"/>
    <n v="-123"/>
    <x v="1"/>
    <n v="49200"/>
    <n v="597"/>
    <s v="Federal"/>
    <s v="Int"/>
    <n v="1269"/>
    <s v="INDOT"/>
    <s v="LRL-2025-70"/>
    <s v="2025-82-62-GCW-WQC"/>
    <m/>
    <s v="Perry"/>
    <n v="38.226407999999999"/>
    <n v="-86.697208000000003"/>
    <s v="Transportation"/>
    <m/>
    <s v="No"/>
    <m/>
    <n v="7380"/>
    <n v="34440"/>
    <n v="7380"/>
    <s v="L"/>
    <s v="J"/>
    <m/>
    <m/>
    <m/>
    <m/>
    <m/>
    <m/>
    <s v="DES NO 2100167"/>
  </r>
  <r>
    <d v="2025-05-14T00:00:00"/>
    <s v="May"/>
    <x v="8"/>
    <x v="5"/>
    <n v="-91"/>
    <x v="1"/>
    <n v="36400"/>
    <n v="597"/>
    <s v="Federal"/>
    <s v="Per"/>
    <n v="862"/>
    <s v="INDOT"/>
    <s v="LRL-2025-70"/>
    <s v="2025-82-62-GCW-WQC"/>
    <m/>
    <s v="Perry"/>
    <n v="38.226407999999999"/>
    <n v="-86.697208000000003"/>
    <s v="Transportation"/>
    <m/>
    <s v="No"/>
    <m/>
    <n v="5460"/>
    <n v="25480"/>
    <n v="5460"/>
    <s v="L"/>
    <s v="J"/>
    <m/>
    <m/>
    <m/>
    <m/>
    <m/>
    <m/>
    <s v="DES NO 2100167"/>
  </r>
  <r>
    <d v="2025-05-14T00:00:00"/>
    <s v="May"/>
    <x v="8"/>
    <x v="2"/>
    <n v="-0.46"/>
    <x v="0"/>
    <n v="36800"/>
    <n v="598"/>
    <s v="Federal"/>
    <s v="PFO"/>
    <n v="0.46"/>
    <s v="INDOT"/>
    <s v="LRL-2016-588-djd"/>
    <s v="2016-323-63-SKG-A"/>
    <m/>
    <s v="Pike"/>
    <n v="38.484456999999999"/>
    <n v="-87.431540999999996"/>
    <s v="Transportation"/>
    <m/>
    <s v="No"/>
    <m/>
    <n v="5520"/>
    <n v="25760"/>
    <n v="5520"/>
    <s v="L"/>
    <s v="J"/>
    <m/>
    <m/>
    <m/>
    <m/>
    <m/>
    <m/>
    <s v="DES NO 0401031"/>
  </r>
  <r>
    <d v="2025-05-21T00:00:00"/>
    <s v="May"/>
    <x v="8"/>
    <x v="8"/>
    <n v="-0.65"/>
    <x v="0"/>
    <n v="52000"/>
    <n v="385"/>
    <s v="Federal"/>
    <s v="PSS"/>
    <n v="0.18"/>
    <s v="AEP Indiana Michigan Transmission Company, ,Inc."/>
    <s v="LRL-2022-1078-sjk"/>
    <s v="2023-27-38-EJW-X"/>
    <m/>
    <s v="Jay"/>
    <n v="40.4664"/>
    <n v="-85.091700000000003"/>
    <s v="Transportation"/>
    <m/>
    <s v="No"/>
    <m/>
    <n v="7800"/>
    <n v="36400"/>
    <n v="7800"/>
    <s v="L"/>
    <s v="J"/>
    <m/>
    <m/>
    <m/>
    <m/>
    <m/>
    <m/>
    <m/>
  </r>
  <r>
    <d v="2025-05-21T00:00:00"/>
    <s v="May"/>
    <x v="8"/>
    <x v="8"/>
    <n v="-0.61"/>
    <x v="0"/>
    <n v="48800"/>
    <n v="395"/>
    <s v="Federal"/>
    <s v="PFO"/>
    <n v="0.2"/>
    <s v="AEP Indiana Michigan Transmission Company, ,Inc."/>
    <s v="LRL-2023-157-sjk"/>
    <s v="2022-1256-38-EJW-X"/>
    <m/>
    <s v="Jay"/>
    <n v="40.449800000000003"/>
    <n v="-84.9726"/>
    <s v="Transportation"/>
    <m/>
    <s v="No"/>
    <m/>
    <n v="7320"/>
    <n v="34160"/>
    <n v="7320"/>
    <s v="J"/>
    <s v="L"/>
    <m/>
    <m/>
    <m/>
    <m/>
    <m/>
    <m/>
    <m/>
  </r>
  <r>
    <d v="2025-05-21T00:00:00"/>
    <s v="May"/>
    <x v="8"/>
    <x v="8"/>
    <n v="-0.04"/>
    <x v="0"/>
    <n v="3200"/>
    <n v="395"/>
    <s v="Federal"/>
    <s v="PEM"/>
    <n v="0.02"/>
    <s v="AEP Indiana Michigan Transmission Company, ,Inc."/>
    <s v="LRL-2023-157-sjk"/>
    <s v="2022-1256-38-EJW-X"/>
    <m/>
    <s v="Jay"/>
    <n v="40.449800000000003"/>
    <n v="-84.9726"/>
    <s v="Transportation"/>
    <m/>
    <s v="No"/>
    <m/>
    <n v="480"/>
    <n v="2240"/>
    <n v="480"/>
    <s v="J"/>
    <s v="L"/>
    <m/>
    <m/>
    <m/>
    <m/>
    <m/>
    <m/>
    <m/>
  </r>
  <r>
    <d v="2025-05-27T00:00:00"/>
    <s v="May"/>
    <x v="8"/>
    <x v="9"/>
    <n v="-0.84"/>
    <x v="0"/>
    <n v="67200"/>
    <n v="602"/>
    <s v="State Isolated"/>
    <s v="PFO"/>
    <n v="0.21"/>
    <s v="Lennar Homes of Indiana, Inc."/>
    <s v="N/A"/>
    <s v="2024-1012-41-TLG-IWIP"/>
    <m/>
    <s v="Johnson"/>
    <n v="39.592599999999997"/>
    <n v="-86.043400000000005"/>
    <s v="Development"/>
    <m/>
    <s v="No"/>
    <m/>
    <n v="10080"/>
    <n v="47040"/>
    <n v="10080"/>
    <s v="L"/>
    <s v="SI"/>
    <s v="2 FO"/>
    <m/>
    <m/>
    <m/>
    <m/>
    <m/>
    <m/>
  </r>
  <r>
    <d v="2025-06-04T00:00:00"/>
    <s v="June"/>
    <x v="8"/>
    <x v="7"/>
    <n v="-40"/>
    <x v="1"/>
    <n v="16000"/>
    <n v="561"/>
    <s v="Federal"/>
    <s v="Eph"/>
    <n v="74"/>
    <s v="INDOT"/>
    <s v="LRL-2024-618"/>
    <s v="2024-669-10-GCW-WQC"/>
    <m/>
    <s v="Clark"/>
    <n v="38.543973000000001"/>
    <n v="-85.767638000000005"/>
    <s v="Agriculture"/>
    <m/>
    <s v="No"/>
    <m/>
    <n v="2400"/>
    <n v="11200"/>
    <n v="2400"/>
    <s v="L"/>
    <s v="J"/>
    <m/>
    <m/>
    <m/>
    <m/>
    <m/>
    <m/>
    <s v="INDOT DES No 1900343"/>
  </r>
  <r>
    <d v="2025-06-04T00:00:00"/>
    <s v="June"/>
    <x v="8"/>
    <x v="4"/>
    <n v="-84"/>
    <x v="1"/>
    <n v="33600"/>
    <n v="562"/>
    <s v="Federal"/>
    <s v="Int"/>
    <n v="84"/>
    <s v="INDOT"/>
    <s v="LRL-2024-766-djd"/>
    <s v="2024-865-23-GCW-WQC"/>
    <m/>
    <s v="Fountain"/>
    <n v="40.112510999999998"/>
    <n v="-87.243199000000004"/>
    <s v="Transportation"/>
    <m/>
    <s v="No"/>
    <m/>
    <n v="5040"/>
    <n v="23520"/>
    <n v="5040"/>
    <s v="L"/>
    <s v="J"/>
    <m/>
    <m/>
    <m/>
    <m/>
    <m/>
    <m/>
    <s v="INDOT DES No 1800118"/>
  </r>
  <r>
    <d v="2025-06-04T00:00:00"/>
    <s v="June"/>
    <x v="8"/>
    <x v="6"/>
    <n v="-67"/>
    <x v="1"/>
    <n v="40200"/>
    <n v="593"/>
    <s v="Federal"/>
    <s v="Per"/>
    <n v="67"/>
    <s v="INDOT"/>
    <s v="LRE-2025-00123-157-N25"/>
    <s v="2025-197-57-GCW-NWP"/>
    <m/>
    <s v="Noble"/>
    <n v="41.353544999999997"/>
    <n v="-85.423655999999994"/>
    <s v="Development"/>
    <m/>
    <s v="No"/>
    <m/>
    <n v="6030"/>
    <n v="28140"/>
    <n v="6030"/>
    <s v="D"/>
    <s v="J"/>
    <m/>
    <m/>
    <m/>
    <m/>
    <m/>
    <m/>
    <s v="INDOT DES No 2100788"/>
  </r>
  <r>
    <d v="2025-06-04T00:00:00"/>
    <s v="June"/>
    <x v="8"/>
    <x v="9"/>
    <n v="-1061.3"/>
    <x v="1"/>
    <n v="477585"/>
    <n v="601"/>
    <s v="Federal"/>
    <s v="Int"/>
    <n v="6129.6"/>
    <s v="INDOT"/>
    <s v="LRL-2017-1021-dds"/>
    <s v="2021-626-49-JBT-A"/>
    <m/>
    <s v="Marion"/>
    <n v="39.865000000000002"/>
    <n v="-86.046999999999997"/>
    <s v="Transportation"/>
    <m/>
    <s v="No"/>
    <m/>
    <n v="71637.75"/>
    <n v="334309.5"/>
    <n v="71637.75"/>
    <s v="L"/>
    <s v="J"/>
    <m/>
    <m/>
    <m/>
    <m/>
    <m/>
    <m/>
    <s v="DES NO 1400075"/>
  </r>
  <r>
    <d v="2025-06-10T00:00:00"/>
    <s v="June"/>
    <x v="8"/>
    <x v="3"/>
    <n v="-184.2"/>
    <x v="1"/>
    <n v="82890"/>
    <n v="510"/>
    <s v="Federal"/>
    <s v="Per"/>
    <n v="122.01"/>
    <s v="City of Fort Wayne"/>
    <s v="LRE-2023-00598-102-N24"/>
    <s v="2024-57-2-EJW-A"/>
    <m/>
    <s v="Allen"/>
    <n v="41.052067000000001"/>
    <n v="-85.157611000000003"/>
    <s v="Transportation"/>
    <m/>
    <s v="No"/>
    <m/>
    <n v="12433.5"/>
    <n v="58022.999999999993"/>
    <n v="12433.5"/>
    <s v="D"/>
    <s v="J"/>
    <m/>
    <m/>
    <m/>
    <m/>
    <m/>
    <m/>
    <m/>
  </r>
  <r>
    <d v="2025-06-10T00:00:00"/>
    <s v="June"/>
    <x v="8"/>
    <x v="0"/>
    <n v="-0.57999999999999996"/>
    <x v="0"/>
    <n v="55100"/>
    <s v="592C"/>
    <s v="Federal"/>
    <s v="PFO"/>
    <n v="0.17299999999999999"/>
    <s v="INDOT"/>
    <s v="LRC-2024-00134"/>
    <s v="2024-914-64-GCW-WQC"/>
    <m/>
    <s v="Porter"/>
    <n v="41.656599999999997"/>
    <n v="-87.05762"/>
    <s v="Transportation"/>
    <m/>
    <s v="No"/>
    <m/>
    <n v="8265"/>
    <n v="38570"/>
    <n v="8265"/>
    <s v="C"/>
    <s v="J"/>
    <m/>
    <m/>
    <m/>
    <m/>
    <m/>
    <m/>
    <s v="INDOT DES No 2200175 - several  corrections needed to invoices due to mitigation changes &amp; miscommiunication"/>
  </r>
  <r>
    <d v="2025-06-10T00:00:00"/>
    <s v="June"/>
    <x v="8"/>
    <x v="0"/>
    <n v="-0.59"/>
    <x v="0"/>
    <n v="56050"/>
    <s v="592C"/>
    <s v="Federal"/>
    <s v="PEM"/>
    <n v="1"/>
    <s v="INDOT"/>
    <s v="LRC-2024-00134"/>
    <s v="2024-914-64-GCW-WQC"/>
    <m/>
    <s v="Porter"/>
    <n v="41.656599999999997"/>
    <n v="-87.05762"/>
    <s v="Transportation"/>
    <m/>
    <s v="No"/>
    <m/>
    <n v="8407.5"/>
    <n v="39235"/>
    <n v="8407.5"/>
    <s v="C"/>
    <s v="J"/>
    <m/>
    <m/>
    <m/>
    <m/>
    <m/>
    <m/>
    <s v="INDOT DES No 2200175 - several  corrections needed to invoices due to mitigation changes &amp; miscommiunication"/>
  </r>
  <r>
    <d v="2025-06-10T00:00:00"/>
    <s v="June"/>
    <x v="8"/>
    <x v="0"/>
    <n v="-8.4"/>
    <x v="1"/>
    <n v="5040"/>
    <s v="592C"/>
    <s v="Federal"/>
    <s v="Per"/>
    <n v="7"/>
    <s v="INDOT"/>
    <s v="LRC-2024-00134"/>
    <s v="2024-914-64-GCW-WQC"/>
    <m/>
    <s v="Porter"/>
    <n v="41.656599999999997"/>
    <n v="-87.05762"/>
    <s v="Transportation"/>
    <m/>
    <s v="No"/>
    <m/>
    <n v="756"/>
    <n v="3528"/>
    <n v="756"/>
    <s v="C"/>
    <s v="J"/>
    <m/>
    <m/>
    <m/>
    <m/>
    <m/>
    <m/>
    <s v="INDOT DES No 2200175 - several  corrections needed to invoices due to mitigation changes &amp; miscommiunication"/>
  </r>
  <r>
    <d v="2025-06-10T00:00:00"/>
    <s v="June"/>
    <x v="8"/>
    <x v="9"/>
    <n v="-51"/>
    <x v="1"/>
    <n v="22950"/>
    <n v="599"/>
    <s v="Federal"/>
    <s v="Int"/>
    <n v="51"/>
    <s v="Hancock County"/>
    <s v="LRL-2024-00903-jde"/>
    <s v="2025-27-30-LDC-WQC"/>
    <m/>
    <s v="Hancock"/>
    <n v="39.827311999999999"/>
    <n v="-85.925578999999999"/>
    <s v="Transportation"/>
    <m/>
    <s v="No"/>
    <m/>
    <n v="3442.5"/>
    <n v="16064.999999999998"/>
    <n v="3442.5"/>
    <s v="L"/>
    <s v="J"/>
    <m/>
    <m/>
    <m/>
    <m/>
    <m/>
    <m/>
    <m/>
  </r>
  <r>
    <d v="2025-06-10T00:00:00"/>
    <s v="June"/>
    <x v="8"/>
    <x v="2"/>
    <n v="-230"/>
    <x v="1"/>
    <n v="92000"/>
    <n v="606"/>
    <s v="Federal"/>
    <s v="Int"/>
    <n v="230"/>
    <s v="Duff Solar Project LLC"/>
    <s v="LRL-2025-00385-sjk"/>
    <s v="2025-399-19-TLK-NWP"/>
    <m/>
    <s v="Dubois"/>
    <n v="38.330084999999997"/>
    <n v="-87.003397000000007"/>
    <s v="Energy Production"/>
    <m/>
    <s v="No"/>
    <m/>
    <n v="13800"/>
    <n v="64399.999999999993"/>
    <n v="13800"/>
    <s v="L"/>
    <s v="J"/>
    <m/>
    <m/>
    <m/>
    <m/>
    <m/>
    <m/>
    <m/>
  </r>
  <r>
    <d v="2025-06-10T00:00:00"/>
    <s v="June"/>
    <x v="8"/>
    <x v="2"/>
    <n v="-65"/>
    <x v="1"/>
    <n v="26000"/>
    <n v="606"/>
    <s v="Federal"/>
    <s v="Per"/>
    <n v="65"/>
    <s v="Duff Solar Project LLC"/>
    <s v="LRL-2025-00385-sjk"/>
    <s v="2025-399-19-TLK-NWP"/>
    <m/>
    <s v="Dubois"/>
    <n v="38.330084999999997"/>
    <n v="-87.003397000000007"/>
    <s v="Energy Production"/>
    <m/>
    <s v="No"/>
    <m/>
    <n v="3900"/>
    <n v="18200"/>
    <n v="3900"/>
    <s v="L"/>
    <s v="J"/>
    <m/>
    <m/>
    <m/>
    <m/>
    <m/>
    <m/>
    <m/>
  </r>
  <r>
    <d v="2025-06-10T00:00:00"/>
    <s v="June"/>
    <x v="8"/>
    <x v="2"/>
    <n v="-83"/>
    <x v="1"/>
    <n v="33200"/>
    <n v="606"/>
    <s v="Federal"/>
    <s v="Eph"/>
    <n v="83"/>
    <s v="Duff Solar Project LLC"/>
    <s v="LRL-2025-00385-sjk"/>
    <s v="2025-399-19-TLK-NWP"/>
    <m/>
    <s v="Dubois"/>
    <n v="38.330084999999997"/>
    <n v="-87.003397000000007"/>
    <s v="Energy Production"/>
    <m/>
    <s v="No"/>
    <m/>
    <n v="4980"/>
    <n v="23240"/>
    <n v="4980"/>
    <s v="L"/>
    <s v="J"/>
    <m/>
    <m/>
    <m/>
    <m/>
    <m/>
    <m/>
    <m/>
  </r>
  <r>
    <d v="2025-06-17T00:00:00"/>
    <s v="June"/>
    <x v="8"/>
    <x v="9"/>
    <n v="-0.59399999999999997"/>
    <x v="0"/>
    <n v="47520"/>
    <n v="604"/>
    <s v="State Isolated"/>
    <s v="PSS"/>
    <n v="0.39600000000000002"/>
    <s v="Lennar Homes of Indiana, LLC"/>
    <s v="N/A"/>
    <s v="IWIP 2023-1154-6-MPY-A"/>
    <m/>
    <s v="Boone"/>
    <n v="39.930568999999998"/>
    <n v="-86.343152000000003"/>
    <s v="Development"/>
    <m/>
    <s v="No"/>
    <m/>
    <n v="7128"/>
    <n v="33264"/>
    <n v="7128"/>
    <s v="L"/>
    <s v="SI"/>
    <s v="2 NF"/>
    <m/>
    <m/>
    <m/>
    <m/>
    <m/>
    <m/>
  </r>
  <r>
    <d v="2025-06-17T00:00:00"/>
    <s v="June"/>
    <x v="8"/>
    <x v="4"/>
    <n v="-0.16600000000000001"/>
    <x v="0"/>
    <n v="13280"/>
    <n v="588"/>
    <s v="Federal"/>
    <s v="PEM"/>
    <n v="8.3000000000000004E-2"/>
    <s v="City of Greencastle"/>
    <s v="LRL-2024-00034-cte"/>
    <s v="2024-423-67-MMR-A"/>
    <m/>
    <s v="Putnam"/>
    <n v="39.633077"/>
    <n v="-86.857313000000005"/>
    <s v="Development"/>
    <m/>
    <s v="No"/>
    <m/>
    <n v="1992"/>
    <n v="9296"/>
    <n v="1992"/>
    <s v="L"/>
    <s v="J"/>
    <m/>
    <m/>
    <m/>
    <m/>
    <m/>
    <m/>
    <m/>
  </r>
  <r>
    <d v="2025-06-17T00:00:00"/>
    <s v="June"/>
    <x v="8"/>
    <x v="4"/>
    <n v="-0.23400000000000001"/>
    <x v="0"/>
    <n v="18720"/>
    <n v="588"/>
    <s v="State Isolated"/>
    <s v="PEM"/>
    <n v="0.156"/>
    <s v="City of Greencastle"/>
    <s v="LRL-2024-00034-cte"/>
    <s v="IWIP 2024-424-67-MMR-A"/>
    <m/>
    <s v="Putnam"/>
    <n v="39.633077"/>
    <n v="-86.857313000000005"/>
    <s v="Development"/>
    <m/>
    <s v="No"/>
    <m/>
    <n v="2808"/>
    <n v="13104"/>
    <n v="2808"/>
    <s v="L"/>
    <s v="SI"/>
    <m/>
    <m/>
    <m/>
    <m/>
    <m/>
    <m/>
    <m/>
  </r>
  <r>
    <d v="2025-06-18T00:00:00"/>
    <s v="June"/>
    <x v="8"/>
    <x v="3"/>
    <n v="-0.53"/>
    <x v="0"/>
    <n v="42400"/>
    <n v="609"/>
    <s v="State Isolated"/>
    <s v="PFO"/>
    <n v="0.27"/>
    <s v="Zion Companies"/>
    <s v="N/A"/>
    <s v="IWIP 2023-1038-2-EJW-A"/>
    <m/>
    <s v="Allen"/>
    <n v="41.089928"/>
    <n v="-85.03322"/>
    <s v="Development"/>
    <m/>
    <s v="No"/>
    <m/>
    <n v="6360"/>
    <n v="29679.999999999996"/>
    <n v="6360"/>
    <s v="D"/>
    <s v="SI"/>
    <m/>
    <m/>
    <m/>
    <m/>
    <m/>
    <m/>
    <m/>
  </r>
  <r>
    <d v="2025-06-18T00:00:00"/>
    <s v="June"/>
    <x v="8"/>
    <x v="5"/>
    <n v="-20"/>
    <x v="1"/>
    <n v="8000"/>
    <n v="605"/>
    <s v="Federal"/>
    <s v="Per"/>
    <n v="442"/>
    <s v="Vanderburgh County Commissioners"/>
    <s v="N/A"/>
    <s v="2025-149-82-TLK-WQC"/>
    <m/>
    <s v="Vanderburgh"/>
    <n v="37.980955000000002"/>
    <n v="-87.620413999999997"/>
    <s v="Development"/>
    <m/>
    <s v="No"/>
    <m/>
    <n v="1200"/>
    <n v="5600"/>
    <n v="1200"/>
    <s v="L"/>
    <s v="J"/>
    <m/>
    <m/>
    <m/>
    <m/>
    <m/>
    <m/>
    <s v="Drainage project"/>
  </r>
  <r>
    <d v="2025-06-18T00:00:00"/>
    <s v="June"/>
    <x v="8"/>
    <x v="9"/>
    <n v="-0.22"/>
    <x v="0"/>
    <n v="17600"/>
    <n v="608"/>
    <s v="State Isolated"/>
    <s v="PFO"/>
    <n v="0.11"/>
    <s v="Trilogy Health Services, LLC"/>
    <s v="N/A"/>
    <s v="2025-299-29-ENH-IWIP"/>
    <m/>
    <s v="Hamilton"/>
    <n v="39.999930999999997"/>
    <n v="-85.998932999999994"/>
    <s v="Development"/>
    <m/>
    <s v="No"/>
    <m/>
    <n v="2640"/>
    <n v="12320"/>
    <n v="2640"/>
    <s v="L"/>
    <s v="SI"/>
    <s v="2 FO"/>
    <m/>
    <m/>
    <m/>
    <m/>
    <m/>
    <m/>
  </r>
  <r>
    <d v="2025-06-25T00:00:00"/>
    <s v="June"/>
    <x v="8"/>
    <x v="0"/>
    <n v="-5.04"/>
    <x v="0"/>
    <n v="478800"/>
    <n v="615"/>
    <s v="State Isolated"/>
    <s v="PFO"/>
    <n v="2.5099999999999998"/>
    <s v="CHI Acquisitions, L.P. c/o Crow Holdings Industrial"/>
    <s v="N/A"/>
    <s v="2025-256-45-MTM-IWIP"/>
    <m/>
    <s v="Lake"/>
    <n v="41.481119999999997"/>
    <n v="-87.319299999999998"/>
    <s v="Development"/>
    <m/>
    <s v="No"/>
    <m/>
    <n v="71820"/>
    <n v="335160"/>
    <n v="71820"/>
    <s v="C"/>
    <s v="SI"/>
    <s v="2 FO"/>
    <m/>
    <m/>
    <m/>
    <m/>
    <m/>
    <m/>
  </r>
  <r>
    <d v="2025-06-30T00:00:00"/>
    <s v="June"/>
    <x v="8"/>
    <x v="9"/>
    <n v="-0.78"/>
    <x v="0"/>
    <n v="62400"/>
    <s v="201C2"/>
    <s v="State Isolated"/>
    <s v="PFO"/>
    <n v="0.31"/>
    <s v="TWG Development"/>
    <s v="N/A"/>
    <s v="IWIP 2020-966-29-ALF-A"/>
    <m/>
    <s v="Hamilton"/>
    <n v="40.071199999999997"/>
    <n v="-86.133899999999997"/>
    <s v="Development"/>
    <m/>
    <s v="No"/>
    <m/>
    <n v="9360"/>
    <n v="43680"/>
    <n v="9360"/>
    <s v="L"/>
    <s v="SI"/>
    <s v="2 FO"/>
    <m/>
    <m/>
    <m/>
    <m/>
    <m/>
    <m/>
  </r>
  <r>
    <d v="2025-06-30T00:00:00"/>
    <s v="June"/>
    <x v="8"/>
    <x v="9"/>
    <n v="-2.4"/>
    <x v="0"/>
    <n v="192000"/>
    <n v="618"/>
    <s v="State Isolated"/>
    <s v="PEM"/>
    <n v="1.63"/>
    <s v="D.R. Horton"/>
    <s v="N/A"/>
    <s v="2025-430-49-LDC-IWIP"/>
    <m/>
    <s v="Marion"/>
    <n v="39.633400000000002"/>
    <n v="-86.291899999999998"/>
    <s v="Development"/>
    <m/>
    <s v="No"/>
    <m/>
    <n v="28800"/>
    <n v="134400"/>
    <n v="28800"/>
    <s v="L"/>
    <s v="SI"/>
    <s v="2 NF"/>
    <m/>
    <m/>
    <m/>
    <m/>
    <m/>
    <m/>
  </r>
  <r>
    <d v="2025-06-30T00:00:00"/>
    <s v="June"/>
    <x v="8"/>
    <x v="4"/>
    <n v="-0.442"/>
    <x v="0"/>
    <n v="35360"/>
    <n v="616"/>
    <s v="Federal"/>
    <s v="PEM"/>
    <n v="0.52100000000000002"/>
    <s v="ENTEK Lithium Separators LLC"/>
    <s v="LRL-2023-00388-AMW"/>
    <s v="2024-660-84-MMR-WQC"/>
    <m/>
    <s v="Vigo"/>
    <n v="39.351748999999998"/>
    <n v="-87.411080999999996"/>
    <s v="Development"/>
    <m/>
    <s v="No"/>
    <m/>
    <n v="5304"/>
    <n v="24752"/>
    <n v="5304"/>
    <s v="L"/>
    <s v="J"/>
    <m/>
    <m/>
    <m/>
    <m/>
    <m/>
    <m/>
    <m/>
  </r>
  <r>
    <d v="2025-07-07T00:00:00"/>
    <s v="July"/>
    <x v="8"/>
    <x v="9"/>
    <n v="-0.68"/>
    <x v="0"/>
    <n v="54400"/>
    <n v="617"/>
    <s v="State Isolated"/>
    <s v="PFO"/>
    <n v="0.34"/>
    <s v="Arbor Homes"/>
    <s v="N/A"/>
    <s v="2025-346-49-LDC-IWIP"/>
    <m/>
    <s v="Marion"/>
    <n v="39.838000000000001"/>
    <n v="-85.969700000000003"/>
    <s v="Development"/>
    <m/>
    <s v="No"/>
    <m/>
    <n v="8160"/>
    <n v="38080"/>
    <n v="8160"/>
    <s v="L"/>
    <s v="SI"/>
    <s v="2 FO"/>
    <m/>
    <m/>
    <m/>
    <m/>
    <m/>
    <m/>
  </r>
  <r>
    <d v="2025-07-07T00:00:00"/>
    <s v="July"/>
    <x v="8"/>
    <x v="9"/>
    <n v="-0.31"/>
    <x v="0"/>
    <n v="24800"/>
    <n v="617"/>
    <s v="State Isolated"/>
    <s v="PEM"/>
    <n v="0.2"/>
    <s v="Arbor Homes"/>
    <s v="N/A"/>
    <s v="2025-346-49-LDC-IWIP"/>
    <m/>
    <s v="Marion"/>
    <n v="39.838000000000001"/>
    <n v="-85.969700000000003"/>
    <s v="Development"/>
    <m/>
    <s v="No"/>
    <m/>
    <n v="3720"/>
    <n v="17360"/>
    <n v="3720"/>
    <s v="L"/>
    <s v="SI"/>
    <s v="2 NF"/>
    <m/>
    <m/>
    <m/>
    <m/>
    <m/>
    <m/>
  </r>
  <r>
    <d v="2025-07-07T00:00:00"/>
    <s v="July"/>
    <x v="8"/>
    <x v="9"/>
    <n v="-0.57999999999999996"/>
    <x v="0"/>
    <n v="46400"/>
    <n v="571"/>
    <s v="State Isolated"/>
    <s v="PFO"/>
    <n v="0.28999999999999998"/>
    <s v="Plainfield Innovation Park Building II, LLC"/>
    <s v="N/A"/>
    <s v="2024-884-32-MPY-IWIP"/>
    <m/>
    <s v="Hendricks"/>
    <n v="39.655009999999997"/>
    <n v="-86.366209999999995"/>
    <s v="Development"/>
    <m/>
    <s v="No"/>
    <m/>
    <n v="6960"/>
    <n v="32479.999999999996"/>
    <n v="6960"/>
    <s v="SI"/>
    <s v="SI"/>
    <s v="2 FO"/>
    <m/>
    <m/>
    <m/>
    <m/>
    <m/>
    <m/>
  </r>
  <r>
    <d v="2025-07-07T00:00:00"/>
    <s v="July"/>
    <x v="8"/>
    <x v="3"/>
    <n v="-201"/>
    <x v="1"/>
    <n v="90450"/>
    <n v="613"/>
    <s v="Federal"/>
    <s v="Int"/>
    <n v="494"/>
    <s v="Hatchworks, LLC"/>
    <s v="LRE-2024-00487-102-J24"/>
    <s v="2025-77-2-EJW-WQCZ"/>
    <m/>
    <s v="Allen"/>
    <n v="41.033259999999999"/>
    <n v="-85.057739999999995"/>
    <s v="Transportation"/>
    <m/>
    <s v="No"/>
    <m/>
    <n v="13567.5"/>
    <n v="63314.999999999993"/>
    <n v="13567.5"/>
    <s v="D"/>
    <s v="J"/>
    <m/>
    <m/>
    <m/>
    <m/>
    <m/>
    <m/>
    <m/>
  </r>
  <r>
    <d v="2025-07-07T00:00:00"/>
    <s v="July"/>
    <x v="8"/>
    <x v="5"/>
    <n v="-0.5"/>
    <x v="0"/>
    <n v="40000"/>
    <n v="614"/>
    <s v="Federal"/>
    <s v="PEM"/>
    <n v="3.7999999999999999E-2"/>
    <s v="Posey County Board of Commissioners"/>
    <s v="LRL-2020-01106-cds"/>
    <s v="2025-283-65-MTM-NWP"/>
    <m/>
    <s v="Posey"/>
    <n v="37.964753000000002"/>
    <n v="-87.904550999999998"/>
    <s v="Transportation"/>
    <m/>
    <s v="No"/>
    <m/>
    <n v="6000"/>
    <n v="28000"/>
    <n v="6000"/>
    <s v="L"/>
    <s v="J"/>
    <m/>
    <m/>
    <m/>
    <m/>
    <m/>
    <m/>
    <m/>
  </r>
  <r>
    <d v="2025-07-14T00:00:00"/>
    <s v="July "/>
    <x v="8"/>
    <x v="0"/>
    <n v="-632"/>
    <x v="1"/>
    <n v="379200"/>
    <n v="558"/>
    <s v="Federal"/>
    <s v="Per"/>
    <n v="527"/>
    <s v="Town of Schererville"/>
    <s v="LRL-2022-00676"/>
    <s v="2022-1022-45-MTM-A"/>
    <m/>
    <s v="Lake"/>
    <n v="41.510942"/>
    <n v="-87.461459000000005"/>
    <s v="Transportation"/>
    <m/>
    <s v="No"/>
    <m/>
    <n v="56880"/>
    <n v="265440"/>
    <n v="56880"/>
    <s v="C"/>
    <s v="J"/>
    <m/>
    <m/>
    <m/>
    <m/>
    <m/>
    <m/>
    <s v="INDOT DES 18001911"/>
  </r>
  <r>
    <d v="2025-07-14T00:00:00"/>
    <s v="July "/>
    <x v="8"/>
    <x v="0"/>
    <n v="-1.55"/>
    <x v="0"/>
    <n v="147250"/>
    <n v="558"/>
    <s v="Federal"/>
    <s v="PEM"/>
    <n v="0.86"/>
    <s v="Town of Schererville"/>
    <s v="LRL-2022-00676"/>
    <s v="2022-1022-45-MTM-A"/>
    <m/>
    <s v="Lake"/>
    <n v="41.510942"/>
    <n v="-87.461459000000005"/>
    <s v="Transportation"/>
    <m/>
    <s v="No"/>
    <m/>
    <n v="22087.5"/>
    <n v="103075"/>
    <n v="22087.5"/>
    <s v="C"/>
    <s v="J"/>
    <m/>
    <m/>
    <m/>
    <m/>
    <m/>
    <m/>
    <s v="INDOT DES 18001912"/>
  </r>
  <r>
    <d v="2025-07-14T00:00:00"/>
    <s v="July "/>
    <x v="8"/>
    <x v="0"/>
    <n v="-3.1"/>
    <x v="0"/>
    <n v="294500"/>
    <n v="558"/>
    <s v="Federal"/>
    <s v="PSS"/>
    <n v="0.86"/>
    <s v="Town of Schererville"/>
    <s v="LRL-2022-00676"/>
    <s v="2022-1022-45-MTM-A"/>
    <m/>
    <s v="Lake"/>
    <n v="41.510942"/>
    <n v="-87.461459000000005"/>
    <s v="Transportation"/>
    <m/>
    <s v="No"/>
    <m/>
    <n v="44175"/>
    <n v="206150"/>
    <n v="44175"/>
    <s v="C"/>
    <s v="J"/>
    <m/>
    <m/>
    <m/>
    <m/>
    <m/>
    <m/>
    <s v="INDOT DES 18001913"/>
  </r>
  <r>
    <d v="2025-07-14T00:00:00"/>
    <s v="July "/>
    <x v="8"/>
    <x v="0"/>
    <n v="-1.29"/>
    <x v="0"/>
    <n v="122550"/>
    <n v="568"/>
    <s v="State Isolated"/>
    <s v="PEM"/>
    <n v="0.86"/>
    <s v="INDOT"/>
    <s v="N/A"/>
    <s v="2024-944-45-GCW-IWIP"/>
    <m/>
    <s v="Lake"/>
    <n v="41.420949999999998"/>
    <n v="-87.431240000000003"/>
    <s v="Transportation"/>
    <m/>
    <s v="No"/>
    <m/>
    <n v="18382.5"/>
    <n v="85785"/>
    <n v="18382.5"/>
    <s v="C"/>
    <s v="SI"/>
    <s v="2 NF"/>
    <m/>
    <m/>
    <m/>
    <m/>
    <m/>
    <s v="INDOT DES 1700022"/>
  </r>
  <r>
    <d v="2025-07-25T00:00:00"/>
    <s v="July"/>
    <x v="8"/>
    <x v="9"/>
    <n v="-1032"/>
    <x v="1"/>
    <n v="464400"/>
    <n v="612"/>
    <s v="Federal"/>
    <s v="Int"/>
    <n v="1032"/>
    <s v="GTV Indianapolis, LLC"/>
    <s v="LRL-2025-00176-sjk"/>
    <s v="2025-203-49-LDC-WQC"/>
    <m/>
    <s v="Marion"/>
    <n v="39.7029"/>
    <n v="-86.263999999999996"/>
    <s v="Development"/>
    <m/>
    <s v="No"/>
    <m/>
    <n v="69660"/>
    <n v="325080"/>
    <n v="69660"/>
    <s v="L"/>
    <s v="J"/>
    <m/>
    <m/>
    <m/>
    <m/>
    <m/>
    <m/>
    <m/>
  </r>
  <r>
    <d v="2025-08-01T00:00:00"/>
    <s v="August"/>
    <x v="8"/>
    <x v="3"/>
    <n v="-231"/>
    <x v="1"/>
    <n v="103950"/>
    <n v="619"/>
    <s v="Federal"/>
    <s v="Int"/>
    <n v="192"/>
    <s v="AEP"/>
    <s v="LRE-2025-00093-102-R25"/>
    <s v="2025-172-2-EJW-WQC"/>
    <m/>
    <s v="Allen"/>
    <n v="41.025829999999999"/>
    <n v="-85.046914000000001"/>
    <s v="Transportation"/>
    <m/>
    <s v="No"/>
    <m/>
    <n v="15592.5"/>
    <n v="72765"/>
    <n v="15592.5"/>
    <s v="D"/>
    <s v="J"/>
    <m/>
    <m/>
    <m/>
    <m/>
    <m/>
    <m/>
    <s v="AEP - Zodiac Station Access Road"/>
  </r>
  <r>
    <d v="2025-08-01T00:00:00"/>
    <s v="August"/>
    <x v="8"/>
    <x v="4"/>
    <n v="-0.25800000000000001"/>
    <x v="0"/>
    <n v="20640"/>
    <n v="622"/>
    <s v="Federal"/>
    <s v="PEM"/>
    <n v="0.52100000000000002"/>
    <s v="ENTEK Lithium Separators LLC"/>
    <s v="LRL-2023-00388-AMW"/>
    <s v="2024-660-84-MMR-WQC"/>
    <m/>
    <s v="Vigo"/>
    <n v="39.351748999999998"/>
    <n v="-87.411080999999996"/>
    <s v="Development"/>
    <m/>
    <s v="No"/>
    <m/>
    <n v="3096"/>
    <n v="14447.999999999998"/>
    <n v="3096"/>
    <s v="L"/>
    <s v="J"/>
    <m/>
    <m/>
    <m/>
    <m/>
    <m/>
    <m/>
    <m/>
  </r>
  <r>
    <d v="2025-08-26T00:00:00"/>
    <s v="August"/>
    <x v="8"/>
    <x v="3"/>
    <n v="-48"/>
    <x v="1"/>
    <n v="21600"/>
    <n v="621"/>
    <s v="Federal"/>
    <s v="Int"/>
    <n v="48"/>
    <s v="INDOT"/>
    <s v="LRE-2025-00147-117-N25"/>
    <s v="2025-242-17-GCW-WQC"/>
    <m/>
    <s v="DeKalb"/>
    <n v="41.295524999999998"/>
    <n v="-85.187016"/>
    <s v="Transportation"/>
    <m/>
    <s v="No"/>
    <m/>
    <n v="3240"/>
    <n v="15119.999999999998"/>
    <n v="3240"/>
    <s v="D"/>
    <s v="J"/>
    <m/>
    <m/>
    <m/>
    <m/>
    <m/>
    <m/>
    <s v="INDOT DES 2100780"/>
  </r>
  <r>
    <d v="2025-08-27T00:00:00"/>
    <s v="August"/>
    <x v="8"/>
    <x v="7"/>
    <n v="-78"/>
    <x v="1"/>
    <n v="31200"/>
    <n v="620"/>
    <s v="Federal"/>
    <s v="Int"/>
    <n v="156"/>
    <s v="INDOT"/>
    <s v="LRL-2025-173-djd"/>
    <s v="2025-182-16--GCW-WQC"/>
    <m/>
    <s v="Decatur"/>
    <n v="39.249775999999997"/>
    <n v="-85.356548000000004"/>
    <s v="Transportation"/>
    <m/>
    <s v="No"/>
    <m/>
    <n v="4680"/>
    <n v="21840"/>
    <n v="4680"/>
    <s v="L"/>
    <s v="J"/>
    <m/>
    <m/>
    <m/>
    <m/>
    <m/>
    <m/>
    <s v="INDOT DES 2001946"/>
  </r>
  <r>
    <d v="2025-08-27T00:00:00"/>
    <s v="August"/>
    <x v="8"/>
    <x v="10"/>
    <n v="-147"/>
    <x v="1"/>
    <n v="58800"/>
    <n v="620"/>
    <s v="Federal"/>
    <s v="Int"/>
    <n v="294"/>
    <s v="INDOT"/>
    <s v="LRL-2025-173-djd"/>
    <s v="2025-182-16--GCW-WQC"/>
    <m/>
    <s v="Decatur"/>
    <n v="39.278578000000003"/>
    <n v="-85.401252999999997"/>
    <s v="Transportation"/>
    <m/>
    <s v="No"/>
    <m/>
    <n v="8820"/>
    <n v="41160"/>
    <n v="8820"/>
    <s v="L"/>
    <s v="J"/>
    <m/>
    <m/>
    <m/>
    <m/>
    <m/>
    <m/>
    <s v="INDOT DES 2001946"/>
  </r>
  <r>
    <d v="2025-08-27T00:00:00"/>
    <s v="August"/>
    <x v="8"/>
    <x v="8"/>
    <n v="-39.5"/>
    <x v="1"/>
    <n v="15800"/>
    <n v="624"/>
    <s v="Federal"/>
    <s v="Int"/>
    <n v="39.5"/>
    <s v="INDOT"/>
    <m/>
    <s v="2025-425-52-GCW-NWP"/>
    <m/>
    <s v="Miami"/>
    <n v="40.741459999999996"/>
    <n v="-86.126411000000004"/>
    <s v="Transportation"/>
    <m/>
    <s v="No"/>
    <m/>
    <n v="2370"/>
    <n v="11060"/>
    <n v="2370"/>
    <s v="L"/>
    <s v="J"/>
    <m/>
    <m/>
    <m/>
    <m/>
    <m/>
    <m/>
    <s v="INDOT DES 2100799"/>
  </r>
  <r>
    <d v="2025-08-27T00:00:00"/>
    <s v="August"/>
    <x v="8"/>
    <x v="8"/>
    <n v="-19"/>
    <x v="1"/>
    <n v="7600"/>
    <n v="623"/>
    <s v="Federal"/>
    <s v="Eph"/>
    <n v="24.5"/>
    <s v="INDOT"/>
    <s v="LRL-2024-807-djd"/>
    <s v="2025-262-27-GCW-WQC"/>
    <m/>
    <s v="Grant"/>
    <n v="40.555041000000003"/>
    <n v="-85.636126000000004"/>
    <s v="Transportation"/>
    <m/>
    <s v="No"/>
    <m/>
    <n v="1140"/>
    <n v="5320"/>
    <n v="1140"/>
    <s v="L"/>
    <s v="J"/>
    <m/>
    <m/>
    <m/>
    <m/>
    <m/>
    <m/>
    <s v="INDOT DES No 2100273"/>
  </r>
  <r>
    <d v="2025-08-27T00:00:00"/>
    <s v="August"/>
    <x v="8"/>
    <x v="8"/>
    <n v="-72.5"/>
    <x v="1"/>
    <n v="29000"/>
    <n v="623"/>
    <s v="Federal"/>
    <s v="Int"/>
    <n v="175"/>
    <s v="INDOT"/>
    <s v="LRL-2024-807-djd"/>
    <s v="2025-262-27-GCW-WQC"/>
    <m/>
    <s v="Grant"/>
    <n v="40.555041000000003"/>
    <n v="-85.636126000000004"/>
    <s v="Transportation"/>
    <m/>
    <s v="No"/>
    <m/>
    <n v="4350"/>
    <n v="20300"/>
    <n v="4350"/>
    <s v="L"/>
    <s v="J"/>
    <m/>
    <m/>
    <m/>
    <m/>
    <m/>
    <m/>
    <s v="INDOT DES No 2100273"/>
  </r>
  <r>
    <d v="2025-08-27T00:00:00"/>
    <s v="August"/>
    <x v="8"/>
    <x v="8"/>
    <n v="-0.02"/>
    <x v="0"/>
    <n v="1600"/>
    <n v="623"/>
    <s v="State Isolated"/>
    <s v="PEM"/>
    <n v="1.18E-2"/>
    <s v="INDOT"/>
    <s v="N/A"/>
    <s v="2025-262-27-GCW-SRGP"/>
    <m/>
    <s v="Grant"/>
    <n v="40.556790999999997"/>
    <n v="-85.647180000000006"/>
    <s v="Transportation"/>
    <m/>
    <s v="No"/>
    <m/>
    <n v="240"/>
    <n v="1120"/>
    <n v="240"/>
    <s v="L"/>
    <s v="J"/>
    <s v="NF"/>
    <m/>
    <m/>
    <m/>
    <m/>
    <m/>
    <s v="INDOT DES No 2100273"/>
  </r>
  <r>
    <d v="2025-08-27T00:00:00"/>
    <s v="August"/>
    <x v="8"/>
    <x v="10"/>
    <n v="-9"/>
    <x v="1"/>
    <n v="3600"/>
    <n v="626"/>
    <s v="Federal"/>
    <s v="Per"/>
    <n v="9"/>
    <s v="INDOT"/>
    <s v="LRL-2024-142-dds"/>
    <s v="2025-437-16-GCW-NWP"/>
    <m/>
    <s v="Decatur"/>
    <n v="39.404198999999998"/>
    <n v="-85.558008000000001"/>
    <s v="Transportation"/>
    <m/>
    <s v="No"/>
    <m/>
    <n v="540"/>
    <n v="2520"/>
    <n v="540"/>
    <s v="L"/>
    <s v="J"/>
    <m/>
    <m/>
    <m/>
    <m/>
    <m/>
    <m/>
    <s v="INDOT DES 2100256"/>
  </r>
  <r>
    <d v="2025-08-27T00:00:00"/>
    <s v="August"/>
    <x v="8"/>
    <x v="10"/>
    <n v="-324"/>
    <x v="1"/>
    <n v="129600"/>
    <n v="626"/>
    <s v="Federal"/>
    <s v="Per"/>
    <n v="324"/>
    <s v="INDOT"/>
    <s v="LRL-2024-142-dds"/>
    <s v="2025-437-16-GCW-NWP"/>
    <m/>
    <s v="Decatur"/>
    <n v="39.404198999999998"/>
    <n v="-85.558008000000001"/>
    <s v="Transportation"/>
    <m/>
    <s v="No"/>
    <m/>
    <n v="19440"/>
    <n v="90720"/>
    <n v="19440"/>
    <s v="L"/>
    <s v="J"/>
    <m/>
    <m/>
    <m/>
    <m/>
    <m/>
    <m/>
    <s v="INDOT DES 2100256"/>
  </r>
  <r>
    <d v="2025-08-29T00:00:00"/>
    <s v="August"/>
    <x v="8"/>
    <x v="8"/>
    <n v="-45"/>
    <x v="1"/>
    <n v="18000"/>
    <n v="625"/>
    <s v="Federal"/>
    <s v="Per"/>
    <n v="88"/>
    <s v="INDOT"/>
    <s v="LRL-2023-303-djd"/>
    <s v="2023-327-90-MPY-A"/>
    <m/>
    <s v="Wells"/>
    <n v="40.654705999999997"/>
    <n v="-85.191113000000001"/>
    <s v="Transportation"/>
    <m/>
    <s v="No"/>
    <m/>
    <n v="2700"/>
    <n v="12600"/>
    <n v="2700"/>
    <s v="L"/>
    <s v="J"/>
    <m/>
    <m/>
    <m/>
    <m/>
    <m/>
    <m/>
    <s v="INDOT DES 1800156"/>
  </r>
  <r>
    <d v="2025-09-02T00:00:00"/>
    <s v="September"/>
    <x v="8"/>
    <x v="0"/>
    <n v="-0.99"/>
    <x v="0"/>
    <n v="94050"/>
    <n v="627"/>
    <s v="Federal"/>
    <s v="PEM"/>
    <n v="0.41199999999999998"/>
    <s v="INDOT"/>
    <s v="LRC-2022-00579"/>
    <s v="2024-162-45-GCW-A"/>
    <m/>
    <s v="Lake"/>
    <n v="41.6100894"/>
    <n v="-87.461603999999994"/>
    <s v="Transportation"/>
    <m/>
    <s v="No"/>
    <m/>
    <n v="14107.5"/>
    <n v="65835"/>
    <n v="14107.5"/>
    <s v="C"/>
    <s v="J"/>
    <m/>
    <m/>
    <m/>
    <m/>
    <m/>
    <m/>
    <s v="INDOT DES 1900009"/>
  </r>
  <r>
    <d v="2025-09-18T00:00:00"/>
    <s v="September"/>
    <x v="8"/>
    <x v="5"/>
    <n v="-586.79999999999995"/>
    <x v="1"/>
    <n v="234719.99999999997"/>
    <n v="628"/>
    <s v="Federal"/>
    <s v="Int"/>
    <n v="489"/>
    <s v="Warrick County Commissioners"/>
    <s v="LRL-2024-163"/>
    <s v="2024-82-87-MMR-A"/>
    <m/>
    <s v="Warrick"/>
    <n v="38.118459999999999"/>
    <n v="-87.053604000000007"/>
    <s v="Transportation"/>
    <m/>
    <s v="No"/>
    <m/>
    <n v="35207.999999999993"/>
    <n v="164303.99999999997"/>
    <n v="35207.999999999993"/>
    <s v="L"/>
    <s v="J"/>
    <m/>
    <m/>
    <m/>
    <m/>
    <m/>
    <m/>
    <s v="INDOT DES 1902795"/>
  </r>
  <r>
    <d v="2025-09-18T00:00:00"/>
    <s v="September"/>
    <x v="8"/>
    <x v="5"/>
    <n v="-592.20000000000005"/>
    <x v="1"/>
    <n v="236880.00000000003"/>
    <n v="628"/>
    <s v="Federal"/>
    <s v="Per"/>
    <n v="463"/>
    <s v="Warrick County Commissioners"/>
    <s v="LRL-2024-163"/>
    <s v="2024-82-87-MMR-A"/>
    <m/>
    <s v="Warrick"/>
    <n v="38.118459999999999"/>
    <n v="-87.053604000000007"/>
    <s v="Transportation"/>
    <m/>
    <s v="No"/>
    <m/>
    <n v="35532"/>
    <n v="165816"/>
    <n v="35532"/>
    <s v="L"/>
    <s v="J"/>
    <m/>
    <m/>
    <m/>
    <m/>
    <m/>
    <m/>
    <s v="INDOT DES 1902795"/>
  </r>
  <r>
    <d v="2025-09-18T00:00:00"/>
    <s v="September"/>
    <x v="8"/>
    <x v="5"/>
    <n v="-0.06"/>
    <x v="0"/>
    <n v="4800"/>
    <n v="628"/>
    <s v="Federal"/>
    <s v="PEM"/>
    <n v="0.03"/>
    <s v="Warrick County Commissioners"/>
    <s v="LRL-2024-163"/>
    <s v="2024-82-87-MMR-A"/>
    <m/>
    <s v="Warrick"/>
    <n v="38.118459999999999"/>
    <n v="-87.053604000000007"/>
    <s v="Transportation"/>
    <m/>
    <s v="No"/>
    <m/>
    <n v="720"/>
    <n v="3360"/>
    <n v="720"/>
    <s v="L"/>
    <s v="J"/>
    <m/>
    <m/>
    <m/>
    <m/>
    <m/>
    <m/>
    <s v="INDOT DES 1902795"/>
  </r>
  <r>
    <d v="2025-09-24T00:00:00"/>
    <s v="September"/>
    <x v="8"/>
    <x v="2"/>
    <n v="-0.13"/>
    <x v="0"/>
    <n v="10400"/>
    <n v="631"/>
    <s v="State Isolated"/>
    <s v="PFO"/>
    <n v="0.05"/>
    <s v="Pulte Homes of Indiana, LLC"/>
    <s v="N/A"/>
    <s v="2025-500-29-LDC-SRGP"/>
    <m/>
    <s v="Hamilton"/>
    <n v="40.007294000000002"/>
    <n v="-86.215046999999998"/>
    <s v="Development"/>
    <m/>
    <s v="No"/>
    <m/>
    <n v="1560"/>
    <n v="7279.9999999999991"/>
    <n v="1560"/>
    <s v="L"/>
    <s v="SI"/>
    <s v="2 FO"/>
    <m/>
    <m/>
    <m/>
    <m/>
    <m/>
    <s v="Impacts are in Upper White SA, IDEM permit OK's credit purchase in Lower White SA"/>
  </r>
  <r>
    <d v="2025-10-07T00:00:00"/>
    <s v="October"/>
    <x v="8"/>
    <x v="10"/>
    <n v="-782"/>
    <x v="1"/>
    <n v="312800"/>
    <n v="630"/>
    <s v="Federal"/>
    <s v="Per"/>
    <n v="823.5"/>
    <s v="City of Columbus, Redevelopment Commission"/>
    <s v="LRL-2017-1020-MKD"/>
    <s v="2023-449-03-ERL-A"/>
    <m/>
    <s v="Bartholomew"/>
    <n v="39.191346000000003"/>
    <n v="-85.925865999999999"/>
    <s v="Development"/>
    <m/>
    <s v="No"/>
    <m/>
    <n v="46920"/>
    <n v="218960"/>
    <n v="46920"/>
    <s v="L"/>
    <s v="J"/>
    <m/>
    <m/>
    <m/>
    <m/>
    <m/>
    <m/>
    <s v="Columbus Riverfront Modification"/>
  </r>
  <r>
    <d v="2025-10-07T00:00:00"/>
    <s v="October"/>
    <x v="8"/>
    <x v="0"/>
    <n v="-45.5"/>
    <x v="1"/>
    <n v="27300"/>
    <n v="635"/>
    <s v="Federal"/>
    <s v="Int"/>
    <n v="45.5"/>
    <s v="INDOT"/>
    <s v="N/A"/>
    <s v="2024-593-45-GCW-NWP"/>
    <m/>
    <s v="Lake"/>
    <n v="41.471215999999998"/>
    <n v="-87.313139000000007"/>
    <s v="Transportation"/>
    <m/>
    <s v="No"/>
    <m/>
    <n v="4095"/>
    <n v="19110"/>
    <n v="4095"/>
    <s v="C"/>
    <s v="J"/>
    <m/>
    <m/>
    <m/>
    <m/>
    <m/>
    <m/>
    <s v="INDOT DES 2002298"/>
  </r>
  <r>
    <d v="2025-10-07T00:00:00"/>
    <s v="October"/>
    <x v="8"/>
    <x v="4"/>
    <n v="-444"/>
    <x v="1"/>
    <n v="177600"/>
    <n v="638"/>
    <s v="Federal"/>
    <s v="Per"/>
    <n v="1255"/>
    <s v="INDOT "/>
    <s v="LRL-2024-635-djd"/>
    <s v="2024-695-54-GCW-WQC"/>
    <m/>
    <s v="Montgomery"/>
    <n v="40.025210000000001"/>
    <n v="-86.976550000000003"/>
    <s v="Transportation"/>
    <m/>
    <s v="No"/>
    <m/>
    <n v="26640"/>
    <n v="124319.99999999999"/>
    <n v="26640"/>
    <s v="L"/>
    <s v="J"/>
    <m/>
    <m/>
    <m/>
    <m/>
    <m/>
    <m/>
    <s v="INDOT DES 1800075"/>
  </r>
  <r>
    <d v="2025-10-07T00:00:00"/>
    <s v="October"/>
    <x v="8"/>
    <x v="10"/>
    <n v="-318"/>
    <x v="1"/>
    <n v="127200"/>
    <n v="639"/>
    <s v="Federal"/>
    <s v="Per"/>
    <n v="285"/>
    <s v="INDOT"/>
    <s v="LRL-2024-00353-DDC"/>
    <s v="2024-379-3-GCW-X"/>
    <m/>
    <s v="Bartholomew"/>
    <n v="39.095064999999998"/>
    <n v="-86.028053"/>
    <s v="Transportation"/>
    <m/>
    <s v="No"/>
    <m/>
    <n v="19080"/>
    <n v="89040"/>
    <n v="19080"/>
    <s v="L"/>
    <s v="J"/>
    <m/>
    <m/>
    <m/>
    <m/>
    <m/>
    <m/>
    <s v="INDOT DES 2100568"/>
  </r>
  <r>
    <d v="2025-10-07T00:00:00"/>
    <s v="October"/>
    <x v="8"/>
    <x v="9"/>
    <n v="-27"/>
    <x v="1"/>
    <n v="12150"/>
    <n v="640"/>
    <s v="Federal"/>
    <s v="Int"/>
    <n v="27"/>
    <s v="INDOT"/>
    <s v="LRL-2024-838-djd"/>
    <s v="2024-942-6-GCW-NWP"/>
    <m/>
    <s v="Boone"/>
    <n v="39.930833"/>
    <n v="-86.287778000000003"/>
    <s v="Transportation"/>
    <m/>
    <s v="No"/>
    <m/>
    <n v="1822.5"/>
    <n v="8505"/>
    <n v="1822.5"/>
    <s v="L"/>
    <s v="J"/>
    <m/>
    <m/>
    <m/>
    <m/>
    <m/>
    <m/>
    <s v="INDOT DES 2002271"/>
  </r>
  <r>
    <d v="2025-10-07T00:00:00"/>
    <s v="October"/>
    <x v="8"/>
    <x v="5"/>
    <n v="-26.4"/>
    <x v="1"/>
    <n v="10560"/>
    <n v="641"/>
    <s v="Federal"/>
    <s v="Int"/>
    <n v="26.4"/>
    <s v="INDOT"/>
    <s v="N/A"/>
    <s v="2024-757-62-GCW-NWP"/>
    <m/>
    <s v="Perry"/>
    <n v="38.231470999999999"/>
    <n v="-86.659903999999997"/>
    <s v="Transportation"/>
    <m/>
    <s v="No"/>
    <m/>
    <n v="1584"/>
    <n v="7391.9999999999991"/>
    <n v="1584"/>
    <s v="L"/>
    <s v="J"/>
    <m/>
    <m/>
    <m/>
    <m/>
    <m/>
    <m/>
    <s v="INDOT DES 2001796"/>
  </r>
  <r>
    <d v="2025-10-07T00:00:00"/>
    <s v="October"/>
    <x v="8"/>
    <x v="5"/>
    <n v="-3.1E-2"/>
    <x v="0"/>
    <n v="2480"/>
    <n v="641"/>
    <s v="Federal"/>
    <s v="PEM"/>
    <n v="3.1E-2"/>
    <s v="INDOT"/>
    <s v="N/A"/>
    <s v="2024-757-62-GCW-NWP"/>
    <m/>
    <s v="Perry"/>
    <n v="38.231470999999999"/>
    <n v="-86.659903999999997"/>
    <s v="Transportation"/>
    <m/>
    <s v="No"/>
    <m/>
    <n v="372"/>
    <n v="1736"/>
    <n v="372"/>
    <s v="L"/>
    <s v="J"/>
    <m/>
    <m/>
    <m/>
    <m/>
    <m/>
    <m/>
    <s v="INDOT DES 2001796"/>
  </r>
  <r>
    <d v="2025-10-07T00:00:00"/>
    <s v="October"/>
    <x v="8"/>
    <x v="5"/>
    <n v="-8.9999999999999993E-3"/>
    <x v="0"/>
    <n v="720"/>
    <n v="641"/>
    <s v="Federal"/>
    <s v="PSS"/>
    <n v="8.9999999999999993E-3"/>
    <s v="INDOT"/>
    <s v="N/A"/>
    <s v="2024-757-62-GCW-NWP"/>
    <m/>
    <s v="Perry"/>
    <n v="38.231470999999999"/>
    <n v="-86.659903999999997"/>
    <s v="Transportation"/>
    <m/>
    <s v="No"/>
    <m/>
    <n v="108"/>
    <n v="503.99999999999994"/>
    <n v="108"/>
    <s v="L"/>
    <s v="J"/>
    <m/>
    <m/>
    <m/>
    <m/>
    <m/>
    <m/>
    <s v="INDOT DES 2001796"/>
  </r>
  <r>
    <d v="2025-10-15T00:00:00"/>
    <s v="October"/>
    <x v="8"/>
    <x v="0"/>
    <n v="-5.5E-2"/>
    <x v="0"/>
    <n v="5225"/>
    <n v="632"/>
    <s v="Federal"/>
    <s v="PSS"/>
    <n v="1.52E-2"/>
    <s v="INDOT"/>
    <s v="LRC-2022-00492"/>
    <s v="2023-1025-64-GCW-A"/>
    <m/>
    <s v="Porter"/>
    <n v="41.470709999999997"/>
    <n v="-87.161940000000001"/>
    <s v="Transportation"/>
    <m/>
    <s v="No"/>
    <m/>
    <n v="783.75"/>
    <n v="3657.4999999999995"/>
    <n v="783.75"/>
    <s v="C"/>
    <s v="J"/>
    <m/>
    <m/>
    <m/>
    <m/>
    <m/>
    <m/>
    <s v="INDOT DES 1701335"/>
  </r>
  <r>
    <d v="2025-10-15T00:00:00"/>
    <s v="October"/>
    <x v="8"/>
    <x v="0"/>
    <n v="-210"/>
    <x v="1"/>
    <n v="126000"/>
    <n v="632"/>
    <s v="Federal"/>
    <s v="Per"/>
    <n v="228"/>
    <s v="INDOT"/>
    <s v="LRC-2022-00492"/>
    <s v="2023-1025-64-GCW-A"/>
    <m/>
    <s v="Porter"/>
    <n v="41.470709999999997"/>
    <n v="-87.161940000000001"/>
    <s v="Transportation"/>
    <m/>
    <s v="No"/>
    <m/>
    <n v="18900"/>
    <n v="88200"/>
    <n v="18900"/>
    <s v="C"/>
    <s v="J"/>
    <m/>
    <m/>
    <m/>
    <m/>
    <m/>
    <m/>
    <s v="INDOT DES 1701335"/>
  </r>
  <r>
    <d v="2025-10-15T00:00:00"/>
    <s v="October"/>
    <x v="8"/>
    <x v="0"/>
    <n v="-0.41"/>
    <x v="0"/>
    <n v="38950"/>
    <n v="645"/>
    <s v="State Isolated"/>
    <s v="PEM"/>
    <n v="0.27"/>
    <s v="Lennar Corporation"/>
    <s v="N/A"/>
    <s v="2025-464-64-MTM-IWIP"/>
    <m/>
    <s v="Porter"/>
    <n v="41.540109999999999"/>
    <n v="-87.199489999999997"/>
    <s v="Development"/>
    <m/>
    <s v="No"/>
    <m/>
    <n v="5842.5"/>
    <n v="27265"/>
    <n v="5842.5"/>
    <s v="D"/>
    <s v="SI"/>
    <s v="2NF"/>
    <m/>
    <m/>
    <m/>
    <m/>
    <m/>
    <m/>
  </r>
  <r>
    <d v="2025-10-15T00:00:00"/>
    <s v="October"/>
    <x v="8"/>
    <x v="8"/>
    <n v="-96.36"/>
    <x v="1"/>
    <n v="38544"/>
    <n v="642"/>
    <s v="Federal"/>
    <s v="Per"/>
    <n v="1026.3"/>
    <s v="INDOT"/>
    <s v="LRL-2024-00430-102-N24"/>
    <s v="2024-672-2-TLG-WQC"/>
    <m/>
    <s v="Allen"/>
    <n v="41.074548"/>
    <n v="-85.231093999999999"/>
    <s v="Transportation"/>
    <m/>
    <s v="No"/>
    <m/>
    <n v="5781.5999999999995"/>
    <n v="26980.799999999999"/>
    <n v="5781.5999999999995"/>
    <s v="L"/>
    <s v="J"/>
    <m/>
    <m/>
    <m/>
    <m/>
    <m/>
    <m/>
    <s v="INDOT DES 2100758"/>
  </r>
  <r>
    <d v="2025-10-15T00:00:00"/>
    <s v="October"/>
    <x v="8"/>
    <x v="8"/>
    <n v="-1.32"/>
    <x v="0"/>
    <n v="105600"/>
    <n v="649"/>
    <s v="State Isolated"/>
    <s v="PFO"/>
    <n v="0.66"/>
    <s v="Fort Wayne International Airport"/>
    <s v="N/A"/>
    <s v="2025-552-2-EJW-IWIP"/>
    <m/>
    <s v="Allen"/>
    <n v="40.980449999999998"/>
    <n v="-85.201390000000004"/>
    <s v="Development"/>
    <m/>
    <s v="No"/>
    <m/>
    <n v="15840"/>
    <n v="73920"/>
    <n v="15840"/>
    <s v="D"/>
    <s v="SI"/>
    <s v="2 FO"/>
    <m/>
    <m/>
    <m/>
    <m/>
    <m/>
    <m/>
  </r>
  <r>
    <d v="2025-10-15T00:00:00"/>
    <s v="October"/>
    <x v="8"/>
    <x v="8"/>
    <n v="-0.05"/>
    <x v="0"/>
    <n v="4000"/>
    <n v="649"/>
    <s v="State Isolated"/>
    <s v="PEM"/>
    <n v="0.03"/>
    <s v="Fort Wayne International Airport"/>
    <s v="N/A"/>
    <s v="2025-552-2-EJW-IWIP"/>
    <m/>
    <s v="Allen"/>
    <n v="40.980449999999998"/>
    <n v="-85.201390000000004"/>
    <s v="Development"/>
    <m/>
    <s v="No"/>
    <m/>
    <n v="600"/>
    <n v="2800"/>
    <n v="600"/>
    <s v="D"/>
    <s v="SI"/>
    <s v="2 NF"/>
    <m/>
    <m/>
    <m/>
    <m/>
    <m/>
    <m/>
  </r>
  <r>
    <d v="2025-10-21T00:00:00"/>
    <s v="October"/>
    <x v="8"/>
    <x v="2"/>
    <n v="-0.45"/>
    <x v="0"/>
    <n v="36000"/>
    <n v="643"/>
    <s v="Federal"/>
    <s v="PEM"/>
    <n v="0.188"/>
    <s v="INDOT"/>
    <s v="LRL-2022-225-scm"/>
    <s v="2022-194-47-JBT-X"/>
    <m/>
    <s v="Lawrence"/>
    <n v="38.716428000000001"/>
    <n v="-86.553398000000001"/>
    <s v="Transportation"/>
    <m/>
    <s v="No"/>
    <m/>
    <n v="5400"/>
    <n v="25200"/>
    <n v="5400"/>
    <s v="L"/>
    <s v="J"/>
    <m/>
    <m/>
    <m/>
    <m/>
    <m/>
    <m/>
    <s v="INDOT DES 1800124"/>
  </r>
  <r>
    <d v="2025-10-21T00:00:00"/>
    <s v="October"/>
    <x v="8"/>
    <x v="5"/>
    <n v="-0.11"/>
    <x v="0"/>
    <n v="8800"/>
    <n v="644"/>
    <s v="Federal"/>
    <s v="PEM"/>
    <n v="5.3999999999999999E-2"/>
    <s v="INDOT"/>
    <s v="LRL-2025-434"/>
    <s v="2025-511-74-GCW-WQC"/>
    <m/>
    <s v="Spencer"/>
    <n v="37.902059000000001"/>
    <n v="-87.150698000000006"/>
    <s v="Transportation"/>
    <m/>
    <s v="No"/>
    <m/>
    <n v="1320"/>
    <n v="6160"/>
    <n v="1320"/>
    <s v="L"/>
    <s v="J"/>
    <m/>
    <m/>
    <m/>
    <m/>
    <m/>
    <m/>
    <s v="INDOT DES 2100831"/>
  </r>
  <r>
    <d v="2025-10-21T00:00:00"/>
    <s v="October"/>
    <x v="8"/>
    <x v="2"/>
    <n v="-82"/>
    <x v="1"/>
    <n v="32800"/>
    <n v="646"/>
    <s v="Federal"/>
    <s v="Per"/>
    <n v="82"/>
    <s v="INDOT"/>
    <s v="LRL-2024-00740-DDC"/>
    <s v="2024-828-42-GCW-WQC"/>
    <m/>
    <s v="Knox"/>
    <n v="38.511229999999998"/>
    <n v="-87.288409999999999"/>
    <s v="Transportation"/>
    <m/>
    <s v="No"/>
    <m/>
    <n v="4920"/>
    <n v="22960"/>
    <n v="4920"/>
    <s v="L"/>
    <s v="J"/>
    <m/>
    <m/>
    <m/>
    <m/>
    <m/>
    <m/>
    <s v="INDOT DES No 2002050"/>
  </r>
  <r>
    <d v="2025-10-21T00:00:00"/>
    <s v="October"/>
    <x v="8"/>
    <x v="2"/>
    <n v="-0.57999999999999996"/>
    <x v="0"/>
    <n v="46400"/>
    <n v="646"/>
    <s v="Federal"/>
    <s v="PEM"/>
    <n v="0.24"/>
    <s v="INDOT"/>
    <s v="LRL-2024-00740-DDC"/>
    <s v="2024-828-42-GCW-WQC"/>
    <m/>
    <s v="Knox"/>
    <n v="38.511229999999998"/>
    <n v="-87.288409999999999"/>
    <s v="Transportation"/>
    <m/>
    <s v="No"/>
    <m/>
    <n v="6960"/>
    <n v="32479.999999999996"/>
    <n v="6960"/>
    <s v="L"/>
    <s v="J"/>
    <m/>
    <m/>
    <m/>
    <m/>
    <m/>
    <m/>
    <s v="INDOT DES No 2002050"/>
  </r>
  <r>
    <d v="2025-10-27T00:00:00"/>
    <s v="October"/>
    <x v="8"/>
    <x v="3"/>
    <n v="-1.58"/>
    <x v="0"/>
    <n v="126400"/>
    <n v="658"/>
    <s v="State Isolated"/>
    <s v="PFO"/>
    <n v="0.79"/>
    <s v="Hatchworks, LLC"/>
    <s v="N/A"/>
    <s v="2025-556-2-EJW-IWIP"/>
    <m/>
    <s v="Allen"/>
    <n v="41.038739999999997"/>
    <n v="-85.050330000000002"/>
    <s v="Development"/>
    <m/>
    <s v="No"/>
    <m/>
    <n v="18960"/>
    <n v="88480"/>
    <n v="18960"/>
    <s v="D"/>
    <s v="SI"/>
    <s v="2 FO"/>
    <m/>
    <m/>
    <m/>
    <m/>
    <m/>
    <s v="Project Zodiac"/>
  </r>
  <r>
    <d v="2025-11-04T00:00:00"/>
    <s v="November"/>
    <x v="8"/>
    <x v="6"/>
    <n v="-0.33600000000000002"/>
    <x v="0"/>
    <n v="40320"/>
    <n v="651"/>
    <s v="Federal"/>
    <s v="PEM"/>
    <n v="0.13900000000000001"/>
    <s v="Elkhart County Commissioners"/>
    <s v="LRE-2013-00774-120-N25"/>
    <s v="2025-563-20-EJW-NWP"/>
    <m/>
    <s v="Elkhart"/>
    <n v="41.531666999999999"/>
    <n v="-85.885969000000003"/>
    <s v="Transportation"/>
    <m/>
    <s v="No"/>
    <m/>
    <n v="6048"/>
    <n v="28224"/>
    <n v="6048"/>
    <s v="D"/>
    <s v="J"/>
    <m/>
    <m/>
    <m/>
    <m/>
    <m/>
    <m/>
    <m/>
  </r>
  <r>
    <d v="2025-11-04T00:00:00"/>
    <s v="November"/>
    <x v="8"/>
    <x v="6"/>
    <n v="-59"/>
    <x v="1"/>
    <n v="35400"/>
    <n v="651"/>
    <s v="Federal"/>
    <s v="Per"/>
    <n v="59"/>
    <s v="Elkhart County Commissioners"/>
    <s v="LRE-2013-00774-120-N25"/>
    <s v="2025-563-20-EJW-NWP"/>
    <m/>
    <s v="Elkhart"/>
    <n v="41.531666999999999"/>
    <n v="-85.885969000000003"/>
    <s v="Transportation"/>
    <m/>
    <s v="No"/>
    <m/>
    <n v="5310"/>
    <n v="24780"/>
    <n v="5310"/>
    <s v="D"/>
    <s v="J"/>
    <m/>
    <m/>
    <m/>
    <m/>
    <m/>
    <m/>
    <m/>
  </r>
  <r>
    <d v="2025-11-18T00:00:00"/>
    <s v="November"/>
    <x v="8"/>
    <x v="8"/>
    <n v="-3.07"/>
    <x v="0"/>
    <n v="245600"/>
    <n v="594"/>
    <s v="Federal"/>
    <s v="PEM"/>
    <n v="2.56"/>
    <s v="INDOT"/>
    <s v="LRL-2008-567"/>
    <s v="2010-023-34-JPS-A"/>
    <m/>
    <s v="Carrol"/>
    <n v="40.484130999999998"/>
    <n v="-86.509308000000004"/>
    <s v="Transportation"/>
    <m/>
    <s v="No"/>
    <m/>
    <n v="36840"/>
    <n v="171920"/>
    <n v="36840"/>
    <s v="L"/>
    <s v="J"/>
    <m/>
    <m/>
    <m/>
    <m/>
    <m/>
    <m/>
    <m/>
  </r>
  <r>
    <d v="2025-12-17T00:00:00"/>
    <s v="December"/>
    <x v="8"/>
    <x v="3"/>
    <n v="-0.70799999999999996"/>
    <x v="0"/>
    <n v="56640"/>
    <n v="650"/>
    <s v="Federal"/>
    <s v="PFO"/>
    <n v="0.23599999999999999"/>
    <s v="AEP Indiana Michigan Transmission Company, Inc."/>
    <s v="N/A"/>
    <s v="2025-571-17-EJW-WQC"/>
    <m/>
    <s v="DeKalb"/>
    <n v="41.423319999999997"/>
    <n v="-84.884960000000007"/>
    <s v="Development"/>
    <m/>
    <s v="No"/>
    <m/>
    <n v="8496"/>
    <n v="39648"/>
    <n v="8496"/>
    <s v="D"/>
    <s v="J"/>
    <m/>
    <m/>
    <m/>
    <m/>
    <m/>
    <m/>
    <m/>
  </r>
  <r>
    <d v="2025-12-17T00:00:00"/>
    <s v="December"/>
    <x v="8"/>
    <x v="3"/>
    <n v="-2E-3"/>
    <x v="0"/>
    <n v="160"/>
    <n v="650"/>
    <s v="Federal"/>
    <s v="PEM"/>
    <n v="0.38500000000000001"/>
    <s v="AEP Indiana Michigan Transmission Company, Inc."/>
    <s v="N/A"/>
    <s v="2025-571-17-EJW-WQC"/>
    <m/>
    <s v="DeKalb"/>
    <n v="41.423319999999997"/>
    <n v="-84.884960000000007"/>
    <s v="Development"/>
    <m/>
    <s v="No"/>
    <m/>
    <n v="24"/>
    <n v="112"/>
    <n v="24"/>
    <s v="D"/>
    <s v="J"/>
    <m/>
    <m/>
    <m/>
    <m/>
    <m/>
    <m/>
    <m/>
  </r>
  <r>
    <d v="2025-12-29T00:00:00"/>
    <s v="December"/>
    <x v="8"/>
    <x v="8"/>
    <n v="-513"/>
    <x v="1"/>
    <n v="205200"/>
    <n v="657"/>
    <s v="Federal"/>
    <s v="Int"/>
    <n v="427"/>
    <s v="Waste Management of Indiana"/>
    <s v="LRL-2004-1183-sam"/>
    <s v="2006-89-09-EME-A"/>
    <m/>
    <s v="Cass"/>
    <n v="40.722000000000001"/>
    <n v="-86.336699999999993"/>
    <s v="Development"/>
    <m/>
    <s v="No"/>
    <m/>
    <n v="30780"/>
    <n v="143640"/>
    <n v="30780"/>
    <s v="L"/>
    <s v="J"/>
    <m/>
    <m/>
    <m/>
    <m/>
    <m/>
    <m/>
    <m/>
  </r>
  <r>
    <d v="2025-12-29T00:00:00"/>
    <s v="December"/>
    <x v="8"/>
    <x v="4"/>
    <n v="-11"/>
    <x v="1"/>
    <n v="4400"/>
    <n v="655"/>
    <s v="Federal"/>
    <s v="Eph"/>
    <n v="152"/>
    <s v="INDOT"/>
    <s v="LRL-2025-310"/>
    <s v="2025-333-83-GCW-WQC"/>
    <m/>
    <s v="Vermillion"/>
    <n v="39.786949999999997"/>
    <n v="-87.408309599999995"/>
    <s v="Transportation"/>
    <m/>
    <s v="No"/>
    <m/>
    <n v="660"/>
    <n v="3080"/>
    <n v="660"/>
    <s v="L"/>
    <s v="J"/>
    <m/>
    <m/>
    <m/>
    <m/>
    <m/>
    <m/>
    <s v="INDOT DES 2001776"/>
  </r>
  <r>
    <d v="2025-12-29T00:00:00"/>
    <s v="December"/>
    <x v="8"/>
    <x v="4"/>
    <n v="-62"/>
    <x v="1"/>
    <n v="24800"/>
    <n v="655"/>
    <s v="Federal"/>
    <s v="Int"/>
    <n v="762"/>
    <s v="INDOT"/>
    <s v="LRL-2025-310"/>
    <s v="2025-333-83-GCW-WQC"/>
    <m/>
    <s v="Vermillion"/>
    <n v="39.786949999999997"/>
    <n v="-87.408309599999995"/>
    <s v="Transportation"/>
    <m/>
    <s v="No"/>
    <m/>
    <n v="3720"/>
    <n v="17360"/>
    <n v="3720"/>
    <s v="L"/>
    <s v="J"/>
    <m/>
    <m/>
    <m/>
    <m/>
    <m/>
    <m/>
    <s v="INDOT DES 2001776"/>
  </r>
  <r>
    <d v="2025-12-29T00:00:00"/>
    <s v="December"/>
    <x v="8"/>
    <x v="4"/>
    <n v="-2.5000000000000001E-2"/>
    <x v="0"/>
    <n v="2000"/>
    <n v="655"/>
    <s v="Federal"/>
    <s v="PEM"/>
    <n v="1.2500000000000001E-2"/>
    <s v="INDOT"/>
    <s v="LRL-2025-310"/>
    <s v="2025-333-83-GCW-WQC"/>
    <m/>
    <s v="Vermillion"/>
    <n v="39.786949999999997"/>
    <n v="-87.408309599999995"/>
    <s v="Transportation"/>
    <m/>
    <s v="No"/>
    <m/>
    <n v="300"/>
    <n v="1400"/>
    <n v="300"/>
    <s v="L"/>
    <s v="J"/>
    <m/>
    <m/>
    <m/>
    <m/>
    <m/>
    <m/>
    <s v="INDOT DES 2001776"/>
  </r>
  <r>
    <d v="2025-12-29T00:00:00"/>
    <s v="December"/>
    <x v="8"/>
    <x v="6"/>
    <n v="-28"/>
    <x v="1"/>
    <n v="16800"/>
    <n v="654"/>
    <s v="Federal"/>
    <s v="Int"/>
    <n v="28"/>
    <s v="INDOT"/>
    <s v="LRE-2025-00547-176-N25"/>
    <s v="2025-871-76-GCW-NWP"/>
    <m/>
    <s v="Steuben"/>
    <n v="41.638494549999997"/>
    <n v="-85.047915000000003"/>
    <s v="Transportation"/>
    <m/>
    <s v="No"/>
    <m/>
    <n v="2520"/>
    <n v="11760"/>
    <n v="2520"/>
    <s v="L"/>
    <s v="J"/>
    <m/>
    <m/>
    <m/>
    <m/>
    <m/>
    <m/>
    <m/>
  </r>
  <r>
    <d v="2025-12-31T00:00:00"/>
    <s v="December"/>
    <x v="8"/>
    <x v="7"/>
    <n v="-288"/>
    <x v="1"/>
    <n v="115200"/>
    <n v="659"/>
    <s v="Federal"/>
    <s v="Int"/>
    <n v="288"/>
    <s v="Clark Floyd Landfill, LLC"/>
    <s v="LRL-2013-00374"/>
    <s v="2021-189-10-TMS-A"/>
    <m/>
    <s v="Clark"/>
    <n v="38.457000000000001"/>
    <n v="-85.847740000000002"/>
    <s v="Development"/>
    <m/>
    <s v="No"/>
    <m/>
    <n v="17280"/>
    <n v="80640"/>
    <n v="17280"/>
    <s v="L"/>
    <s v="J"/>
    <m/>
    <m/>
    <m/>
    <m/>
    <m/>
    <m/>
    <s v="Payment 5 of 7"/>
  </r>
  <r>
    <d v="2025-12-31T00:00:00"/>
    <s v="December"/>
    <x v="8"/>
    <x v="7"/>
    <n v="-1.3"/>
    <x v="0"/>
    <n v="104000"/>
    <n v="659"/>
    <s v="Federal"/>
    <s v="PFO"/>
    <n v="1.3"/>
    <s v="Clark Floyd Landfill, LLC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s v="J"/>
    <m/>
    <m/>
    <m/>
    <m/>
    <m/>
    <m/>
    <s v="Payment 5 of 7"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m/>
    <m/>
    <x v="1"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3">
  <r>
    <x v="0"/>
    <s v="May"/>
    <n v="2018"/>
    <x v="0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0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1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1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2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2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3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3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4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4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5"/>
    <n v="115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5"/>
    <n v="50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6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6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7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7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8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8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9"/>
    <n v="12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9"/>
    <n v="60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9"/>
    <n v="42"/>
    <x v="0"/>
    <m/>
    <m/>
    <m/>
    <m/>
    <m/>
    <m/>
    <m/>
    <m/>
    <m/>
    <m/>
    <m/>
    <m/>
    <m/>
    <m/>
    <m/>
    <m/>
    <n v="0"/>
    <n v="0"/>
    <n v="0"/>
    <m/>
    <m/>
    <m/>
    <m/>
    <m/>
    <m/>
    <m/>
    <m/>
    <s v="Additional Credit Release approved in 8/8/22 Corps letter"/>
  </r>
  <r>
    <x v="0"/>
    <s v="May"/>
    <n v="2018"/>
    <x v="9"/>
    <n v="21000"/>
    <x v="1"/>
    <m/>
    <m/>
    <m/>
    <m/>
    <m/>
    <m/>
    <m/>
    <m/>
    <m/>
    <m/>
    <m/>
    <m/>
    <m/>
    <m/>
    <m/>
    <m/>
    <n v="0"/>
    <n v="0"/>
    <n v="0"/>
    <m/>
    <m/>
    <m/>
    <m/>
    <m/>
    <m/>
    <m/>
    <m/>
    <s v="Additional Credit Release approved in 8/8/22 Corps letter"/>
  </r>
  <r>
    <x v="0"/>
    <s v="May"/>
    <n v="2018"/>
    <x v="10"/>
    <n v="90"/>
    <x v="0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0"/>
    <s v="May"/>
    <n v="2018"/>
    <x v="10"/>
    <n v="45000"/>
    <x v="1"/>
    <m/>
    <m/>
    <m/>
    <m/>
    <m/>
    <m/>
    <m/>
    <m/>
    <m/>
    <m/>
    <m/>
    <m/>
    <m/>
    <m/>
    <s v="n/a"/>
    <m/>
    <n v="0"/>
    <n v="0"/>
    <n v="0"/>
    <m/>
    <m/>
    <m/>
    <m/>
    <m/>
    <m/>
    <m/>
    <m/>
    <m/>
  </r>
  <r>
    <x v="1"/>
    <s v="September"/>
    <n v="2018"/>
    <x v="7"/>
    <n v="-11"/>
    <x v="1"/>
    <n v="4400"/>
    <n v="2"/>
    <s v="Federal"/>
    <s v="Eph"/>
    <n v="11"/>
    <s v="Vectren Corp. (now Center Point Energy)"/>
    <s v="LRL-2017-570"/>
    <s v="2018-065-10-ALF-A"/>
    <m/>
    <s v="Clark"/>
    <n v="38.380290000000002"/>
    <n v="-85.744731000000002"/>
    <s v="Energy Production"/>
    <m/>
    <s v="No"/>
    <m/>
    <n v="660"/>
    <n v="3080"/>
    <n v="660"/>
    <m/>
    <m/>
    <m/>
    <m/>
    <m/>
    <m/>
    <m/>
    <m/>
    <s v="*Note:  IDEM required 4LF more than USACE"/>
  </r>
  <r>
    <x v="1"/>
    <s v="September"/>
    <n v="2018"/>
    <x v="7"/>
    <n v="-398"/>
    <x v="1"/>
    <n v="159200"/>
    <n v="2"/>
    <s v="Federal"/>
    <s v="Int"/>
    <n v="332"/>
    <s v="Vectren Corp. (now Center Point Energy)"/>
    <s v="LRL-2017-570"/>
    <s v="2018-065-10-ALF-A"/>
    <m/>
    <s v="Clark"/>
    <n v="38.380290000000002"/>
    <n v="-85.744731000000002"/>
    <s v="Energy Production"/>
    <m/>
    <s v="No"/>
    <m/>
    <n v="23880"/>
    <n v="111440"/>
    <n v="23880"/>
    <m/>
    <m/>
    <m/>
    <m/>
    <m/>
    <m/>
    <m/>
    <m/>
    <m/>
  </r>
  <r>
    <x v="1"/>
    <s v="September"/>
    <n v="2018"/>
    <x v="7"/>
    <n v="-1.8"/>
    <x v="0"/>
    <n v="144000"/>
    <n v="2"/>
    <s v="Federal"/>
    <s v="PEM"/>
    <n v="0.74"/>
    <s v="Vectren Corp. (now Center Point Energy)"/>
    <s v="LRL-2017-570"/>
    <s v="2018-065-10-ALF-A"/>
    <m/>
    <s v="Clark"/>
    <n v="38.380290000000002"/>
    <n v="-85.744731000000002"/>
    <s v="Energy"/>
    <s v="LRL-2014-100-sam/Fourteeen Mile Creek Mitigation Bank"/>
    <s v="Yes"/>
    <d v="2024-01-22T00:00:00"/>
    <n v="21600"/>
    <n v="100800"/>
    <n v="21600"/>
    <m/>
    <m/>
    <m/>
    <m/>
    <s v="Fourteen Mile Creek Mitigation Bank"/>
    <m/>
    <m/>
    <m/>
    <s v="Credit fulfilled, purchased from Fourteen Mile Creek Mitigation Bank.  "/>
  </r>
  <r>
    <x v="1"/>
    <s v="September"/>
    <n v="2018"/>
    <x v="7"/>
    <n v="-0.2"/>
    <x v="0"/>
    <n v="16000"/>
    <n v="2"/>
    <s v="Federal"/>
    <s v="PFO"/>
    <n v="0.05"/>
    <s v="Vectren Corp. (now Center Point Energy)"/>
    <s v="LRL-2017-570"/>
    <s v="2018-065-10-ALF-A"/>
    <m/>
    <s v="Clark"/>
    <n v="38.380290000000002"/>
    <n v="-85.744731000000002"/>
    <s v="Energy"/>
    <s v="LRL-2014-100-sam/Fourteeen Mile Creek Mitigation Bank"/>
    <s v="Yes"/>
    <d v="2024-01-22T00:00:00"/>
    <n v="2400"/>
    <n v="11200"/>
    <n v="2400"/>
    <m/>
    <m/>
    <m/>
    <m/>
    <s v="Fourteen Mile Creek Mitigation Bank"/>
    <m/>
    <m/>
    <m/>
    <s v="Credit fulfilled, purchased from Fourteen Mile Creek Mitigation Bank.  "/>
  </r>
  <r>
    <x v="2"/>
    <s v="September"/>
    <n v="2018"/>
    <x v="5"/>
    <n v="-4.2"/>
    <x v="0"/>
    <n v="336000"/>
    <n v="1"/>
    <s v="Federal"/>
    <s v="PFO"/>
    <n v="0.88"/>
    <s v="Evansville Water and Sewer Utility"/>
    <s v="LRL-2018-390"/>
    <s v="2018-264-82-ADF-A"/>
    <m/>
    <s v="Vanderburgh"/>
    <n v="37.956099999999999"/>
    <n v="-87.5702"/>
    <s v="Development"/>
    <m/>
    <s v="No"/>
    <m/>
    <n v="50400"/>
    <n v="235199.99999999997"/>
    <n v="50400"/>
    <m/>
    <m/>
    <m/>
    <m/>
    <m/>
    <m/>
    <m/>
    <m/>
    <m/>
  </r>
  <r>
    <x v="3"/>
    <s v="October"/>
    <n v="2018"/>
    <x v="10"/>
    <n v="-3.05"/>
    <x v="0"/>
    <n v="244000"/>
    <n v="3"/>
    <s v="State Isolated"/>
    <s v="PEM"/>
    <n v="2.028"/>
    <s v="GLA Properties II, LLC"/>
    <s v="N/A"/>
    <s v="IWGP 2018-586-41-TMS-A"/>
    <m/>
    <s v="Johnson"/>
    <n v="39.597969999999997"/>
    <n v="-86.059100000000001"/>
    <s v="Development"/>
    <m/>
    <s v="No"/>
    <m/>
    <n v="36600"/>
    <n v="170800"/>
    <n v="36600"/>
    <m/>
    <m/>
    <m/>
    <m/>
    <m/>
    <m/>
    <m/>
    <m/>
    <s v="Class 1 Isolated Wetland Non-Forested"/>
  </r>
  <r>
    <x v="4"/>
    <s v="October"/>
    <n v="2018"/>
    <x v="8"/>
    <n v="-4.2999999999999997E-2"/>
    <x v="0"/>
    <n v="3440"/>
    <n v="6"/>
    <s v="Federal"/>
    <s v="PEM"/>
    <n v="2E-3"/>
    <s v="AEP"/>
    <s v="LRL-2018-415-sjk"/>
    <s v="2018-414-35-HAP-A"/>
    <m/>
    <s v="Huntington, Grant"/>
    <n v="40.523240000000001"/>
    <n v="-85.587199999999996"/>
    <s v="Transportation"/>
    <m/>
    <s v="No"/>
    <m/>
    <n v="516"/>
    <n v="2408"/>
    <n v="516"/>
    <m/>
    <m/>
    <m/>
    <m/>
    <m/>
    <m/>
    <m/>
    <m/>
    <s v="Coordinates are midpoint of linear project"/>
  </r>
  <r>
    <x v="4"/>
    <s v="October"/>
    <n v="2018"/>
    <x v="8"/>
    <n v="-0.38700000000000001"/>
    <x v="0"/>
    <n v="30960"/>
    <n v="6"/>
    <s v="Federal"/>
    <s v="PFO"/>
    <n v="0.129"/>
    <s v="AEP"/>
    <s v="LRL-2018-415-sjk"/>
    <s v="2018-414-35-HAP-A"/>
    <m/>
    <s v="Huntington, Grant"/>
    <n v="40.523240000000001"/>
    <n v="-85.587199999999996"/>
    <s v="Transportation"/>
    <m/>
    <s v="No"/>
    <m/>
    <n v="4644"/>
    <n v="21672"/>
    <n v="4644"/>
    <m/>
    <m/>
    <m/>
    <m/>
    <m/>
    <m/>
    <m/>
    <m/>
    <s v="Coordinates are midpoint of linear project"/>
  </r>
  <r>
    <x v="5"/>
    <s v="October"/>
    <n v="2018"/>
    <x v="10"/>
    <n v="-0.8"/>
    <x v="0"/>
    <n v="64000"/>
    <n v="8"/>
    <s v="Federal"/>
    <s v="PEM"/>
    <n v="0.32"/>
    <s v="POET Design and Construction"/>
    <s v="LRL-2018-310-scm"/>
    <s v="2018-397-73-ALF-A"/>
    <m/>
    <s v="Shelby"/>
    <n v="39.568686"/>
    <n v="-85.821329000000006"/>
    <s v="Energy Production"/>
    <m/>
    <s v="No"/>
    <m/>
    <n v="9600"/>
    <n v="44800"/>
    <n v="9600"/>
    <m/>
    <m/>
    <m/>
    <m/>
    <m/>
    <m/>
    <m/>
    <m/>
    <m/>
  </r>
  <r>
    <x v="6"/>
    <s v="October"/>
    <n v="2018"/>
    <x v="6"/>
    <n v="-0.187"/>
    <x v="0"/>
    <n v="22440"/>
    <n v="9"/>
    <s v="Federal"/>
    <s v="PEM"/>
    <n v="3.0000000000000001E-3"/>
    <s v="AEP"/>
    <s v="LRE-2017-01163-157"/>
    <s v="2017-415-57-HAP-A"/>
    <m/>
    <s v="Noble"/>
    <n v="41.381950000000003"/>
    <n v="-85.438940000000002"/>
    <s v="Transportation"/>
    <m/>
    <s v="No"/>
    <m/>
    <n v="3366"/>
    <n v="15707.999999999998"/>
    <n v="3366"/>
    <m/>
    <m/>
    <m/>
    <m/>
    <m/>
    <m/>
    <m/>
    <m/>
    <s v="Coordinates are midpoint of linear project"/>
  </r>
  <r>
    <x v="6"/>
    <s v="October"/>
    <n v="2018"/>
    <x v="6"/>
    <n v="-1.353"/>
    <x v="0"/>
    <n v="162360"/>
    <n v="9"/>
    <s v="Federal"/>
    <s v="PFO"/>
    <n v="0.45100000000000001"/>
    <s v="AEP"/>
    <s v="LRE-2017-01163-157"/>
    <s v="2017-415-57-HAP-A"/>
    <m/>
    <s v="Noble"/>
    <n v="41.381950000000003"/>
    <n v="-85.438940000000002"/>
    <s v="Transportation"/>
    <m/>
    <s v="No"/>
    <m/>
    <n v="24354"/>
    <n v="113652"/>
    <n v="24354"/>
    <m/>
    <m/>
    <m/>
    <m/>
    <m/>
    <m/>
    <m/>
    <m/>
    <s v="Coordinates are midpoint of linear project"/>
  </r>
  <r>
    <x v="7"/>
    <s v="October"/>
    <n v="2018"/>
    <x v="9"/>
    <n v="-348"/>
    <x v="1"/>
    <n v="156600"/>
    <n v="5"/>
    <s v="Federal"/>
    <s v="Eph"/>
    <n v="290"/>
    <s v="Town of Whitestown"/>
    <s v="LRL-2017-299-sjk"/>
    <s v="2017-244-06-JMK-A"/>
    <m/>
    <s v="Boone"/>
    <n v="39.946444"/>
    <n v="-86.358879999999999"/>
    <s v="Transportation"/>
    <s v="Mod 1 - LRL-2020-989-sam"/>
    <s v="Yes"/>
    <d v="2023-07-10T00:00:00"/>
    <n v="23490"/>
    <n v="109620"/>
    <n v="23490"/>
    <m/>
    <m/>
    <m/>
    <m/>
    <s v="HC Farms"/>
    <m/>
    <m/>
    <m/>
    <s v="Credits fulfilled and released - HC Farms First Release."/>
  </r>
  <r>
    <x v="7"/>
    <s v="October"/>
    <n v="2018"/>
    <x v="9"/>
    <n v="-252"/>
    <x v="1"/>
    <n v="113400"/>
    <n v="5"/>
    <s v="Federal"/>
    <s v="Int"/>
    <n v="210"/>
    <s v="Town of Whitestown"/>
    <s v="LRL-2017-299-sjk"/>
    <s v="2017-244-06-JMK-A"/>
    <m/>
    <s v="Boone"/>
    <n v="39.946444"/>
    <n v="-86.358879999999999"/>
    <s v="Transportation"/>
    <s v="Mod 1 - LRL-2020-989-sam"/>
    <s v="Yes"/>
    <d v="2023-07-10T00:00:00"/>
    <n v="17010"/>
    <n v="79380"/>
    <n v="17010"/>
    <m/>
    <m/>
    <m/>
    <m/>
    <s v="HC Farms"/>
    <m/>
    <m/>
    <m/>
    <s v="Credits fulfilled and released - HC Farms First Release."/>
  </r>
  <r>
    <x v="8"/>
    <s v="November"/>
    <n v="2018"/>
    <x v="10"/>
    <n v="-2.004"/>
    <x v="0"/>
    <n v="160320"/>
    <n v="11"/>
    <s v="Federal"/>
    <s v="PEM"/>
    <n v="0.83499999999999996"/>
    <s v="Arbor Investments, LLC"/>
    <s v="LRL-2017-1149-MKD"/>
    <s v="2018-498-03-TMS-A"/>
    <m/>
    <s v="Bartholomew"/>
    <n v="39.237496"/>
    <n v="-85.94932"/>
    <s v="Development"/>
    <m/>
    <s v="No"/>
    <m/>
    <n v="24048"/>
    <n v="112224"/>
    <n v="24048"/>
    <m/>
    <m/>
    <m/>
    <m/>
    <m/>
    <m/>
    <m/>
    <m/>
    <m/>
  </r>
  <r>
    <x v="8"/>
    <s v="November"/>
    <n v="2018"/>
    <x v="10"/>
    <n v="-0.318"/>
    <x v="0"/>
    <n v="25440"/>
    <n v="11"/>
    <s v="Federal"/>
    <s v="PSS"/>
    <n v="0.106"/>
    <s v="Arbor Investments, LLC"/>
    <s v="LRL-2017-1149-MKD"/>
    <s v="2018-498-03-TMS-A"/>
    <m/>
    <s v="Bartholomew"/>
    <n v="39.237496"/>
    <n v="-85.94932"/>
    <s v="Development"/>
    <m/>
    <s v="No"/>
    <m/>
    <n v="3816"/>
    <n v="17808"/>
    <n v="3816"/>
    <m/>
    <m/>
    <m/>
    <m/>
    <m/>
    <m/>
    <m/>
    <m/>
    <m/>
  </r>
  <r>
    <x v="9"/>
    <s v="November"/>
    <n v="2018"/>
    <x v="9"/>
    <n v="-0.3"/>
    <x v="0"/>
    <n v="24000"/>
    <n v="13"/>
    <s v="State Isolated"/>
    <s v="PFO"/>
    <n v="0.15"/>
    <s v="Park 70 Partners, LP"/>
    <s v="N/A"/>
    <s v="IWIP 2011-191-30-AMM-A"/>
    <m/>
    <s v="Hancock"/>
    <n v="39.831159999999997"/>
    <n v="-85.911339999999996"/>
    <s v="Development"/>
    <s v="Mod 1 - LRL-2020-989-sam"/>
    <s v="Yes"/>
    <d v="2023-07-10T00:00:00"/>
    <n v="3600"/>
    <n v="16800"/>
    <n v="3600"/>
    <m/>
    <m/>
    <m/>
    <m/>
    <s v="HC Farms"/>
    <m/>
    <m/>
    <m/>
    <s v="Credits fulfilled and released - HC Farms First Release.  Class II Isolated Wetland Forested "/>
  </r>
  <r>
    <x v="10"/>
    <s v="November"/>
    <n v="2018"/>
    <x v="7"/>
    <n v="-0.5"/>
    <x v="0"/>
    <n v="40000"/>
    <n v="10"/>
    <s v="Federal"/>
    <s v="PEM"/>
    <n v="0.2"/>
    <s v="TBD, LLC"/>
    <s v="LRL-2014-00480"/>
    <s v="2014-267-AMM-V"/>
    <m/>
    <s v="Floyd"/>
    <n v="38.397410000000001"/>
    <n v="-85.814109999999999"/>
    <s v="Development"/>
    <s v="LRL-2014-100-sam/Fourteeen Mile Creek Mitigation Bank"/>
    <s v="Yes"/>
    <d v="2024-01-22T00:00:00"/>
    <n v="6000"/>
    <n v="28000"/>
    <n v="6000"/>
    <m/>
    <m/>
    <m/>
    <m/>
    <s v="Fourteen Mile Creek Mitigation Bank"/>
    <m/>
    <m/>
    <m/>
    <s v="Credit fulfilled, purchased from Fourteen Mile Creek Mitigation Bank.  "/>
  </r>
  <r>
    <x v="10"/>
    <s v="November"/>
    <n v="2018"/>
    <x v="7"/>
    <n v="-0.22"/>
    <x v="0"/>
    <n v="17600"/>
    <n v="4"/>
    <s v="Federal"/>
    <s v="PEM"/>
    <n v="0.183"/>
    <s v="River Ridge Development Authority"/>
    <s v="LRL-2016-1167-MKD"/>
    <s v="2017-107-10-JBT-A"/>
    <m/>
    <s v="Clark"/>
    <n v="38.365259999999999"/>
    <n v="-85.677660000000003"/>
    <s v="Development"/>
    <s v="LRL-2014-100-sam/Fourteeen Mile Creek Mitigation Bank"/>
    <s v="Yes"/>
    <d v="2024-01-22T00:00:00"/>
    <n v="2640"/>
    <n v="12320"/>
    <n v="2640"/>
    <m/>
    <m/>
    <m/>
    <m/>
    <s v="Fourteen Mile Creek Mitigation Bank"/>
    <m/>
    <m/>
    <m/>
    <s v="Credit fulfilled, purchased from Fourteen Mile Creek Mitigation Bank.  "/>
  </r>
  <r>
    <x v="10"/>
    <s v="November"/>
    <n v="2018"/>
    <x v="7"/>
    <n v="-0.01"/>
    <x v="0"/>
    <n v="800"/>
    <n v="4"/>
    <s v="State Isolated"/>
    <s v="PEM"/>
    <n v="8.7999999999999995E-2"/>
    <s v="River Ridge Development Authority"/>
    <s v="N/A"/>
    <s v="IWIP 2017-107-JBT-A"/>
    <m/>
    <s v="Clark"/>
    <n v="38.365259999999999"/>
    <n v="-85.677660000000003"/>
    <s v="Development"/>
    <s v="LRL-2014-100-sam/Fourteeen Mile Creek Mitigation Bank"/>
    <s v="Yes"/>
    <d v="2024-01-22T00:00:00"/>
    <n v="120"/>
    <n v="560"/>
    <n v="120"/>
    <m/>
    <m/>
    <m/>
    <m/>
    <s v="Fourteen Mile Creek Mitigation Bank"/>
    <m/>
    <m/>
    <m/>
    <s v="Credit fulfilled, purchased from Fourteen Mile Creek Mitigation Bank.  "/>
  </r>
  <r>
    <x v="11"/>
    <s v="December"/>
    <n v="2018"/>
    <x v="9"/>
    <n v="-0.03"/>
    <x v="0"/>
    <n v="2400"/>
    <n v="12"/>
    <s v="State Isolated"/>
    <s v="PFO"/>
    <n v="2.5000000000000001E-2"/>
    <s v="City of Fishers"/>
    <s v="N/A"/>
    <s v="IWGP 2018-588-29-JBT-A"/>
    <m/>
    <s v="Hamilton"/>
    <n v="40"/>
    <n v="-86.004000000000005"/>
    <s v="Transportation"/>
    <s v="Mod 1 - LRL-2020-989-sam"/>
    <s v="Yes"/>
    <d v="2023-07-10T00:00:00"/>
    <n v="360"/>
    <n v="1680"/>
    <n v="360"/>
    <m/>
    <m/>
    <m/>
    <m/>
    <s v="HC Farms"/>
    <m/>
    <m/>
    <m/>
    <s v="Credits fulfilled and released - HC Farms First Release.  Class I Isolated Wetland Forested"/>
  </r>
  <r>
    <x v="11"/>
    <s v="December"/>
    <n v="2018"/>
    <x v="9"/>
    <n v="-0.04"/>
    <x v="0"/>
    <n v="3200"/>
    <n v="17"/>
    <s v="State Isolated"/>
    <s v="PEM"/>
    <n v="0.02"/>
    <s v="Fischer Development Company"/>
    <s v="N/A"/>
    <s v="IWGP 2018-718-29-ALF-A"/>
    <m/>
    <s v="Hamilton"/>
    <n v="40.039718000000001"/>
    <n v="-86.102137999999997"/>
    <s v="Development"/>
    <s v="Mod 1 - LRL-2020-989-sam"/>
    <s v="Yes"/>
    <d v="2023-07-10T00:00:00"/>
    <n v="480"/>
    <n v="2240"/>
    <n v="480"/>
    <m/>
    <m/>
    <m/>
    <m/>
    <s v="HC Farms"/>
    <m/>
    <m/>
    <m/>
    <s v="Credits fulfilled and released - HC Farms First Release. Class I Isolated Wetland Non-Forested"/>
  </r>
  <r>
    <x v="11"/>
    <s v="December"/>
    <n v="2018"/>
    <x v="9"/>
    <n v="-0.25"/>
    <x v="0"/>
    <n v="20000"/>
    <n v="17"/>
    <s v="State Isolated"/>
    <s v="PFO"/>
    <n v="8.3699999999999997E-2"/>
    <s v="Fischer Development Company"/>
    <s v="N/A"/>
    <s v="IWGP 2018-718-29-ALF-A"/>
    <m/>
    <s v="Hamilton"/>
    <n v="40.039718000000001"/>
    <n v="-86.102137999999997"/>
    <s v="Development"/>
    <s v="Mod 1 - LRL-2020-989-sam"/>
    <s v="Yes"/>
    <d v="2023-07-10T00:00:00"/>
    <n v="3000"/>
    <n v="14000"/>
    <n v="3000"/>
    <m/>
    <m/>
    <m/>
    <m/>
    <s v="HC Farms"/>
    <m/>
    <m/>
    <m/>
    <s v="Credits fulfilled and released - HC Farms First Release. Class II Isolated Wetland Forested"/>
  </r>
  <r>
    <x v="11"/>
    <s v="December"/>
    <n v="2018"/>
    <x v="9"/>
    <n v="-150"/>
    <x v="1"/>
    <n v="67500"/>
    <n v="7"/>
    <s v="Federal"/>
    <s v="Per"/>
    <n v="450"/>
    <s v="City of Lawrence"/>
    <s v="LRL-2017-31-sam"/>
    <s v="2016-410-49-JBT-V"/>
    <m/>
    <s v="Marion"/>
    <n v="39.8504"/>
    <n v="-86.022000000000006"/>
    <s v="Development"/>
    <s v="Mod 1 - LRL-2020-989-sam"/>
    <s v="Yes"/>
    <d v="2023-07-10T00:00:00"/>
    <n v="10125"/>
    <n v="47250"/>
    <n v="10125"/>
    <m/>
    <m/>
    <m/>
    <m/>
    <s v="HC Farms"/>
    <m/>
    <m/>
    <m/>
    <s v="Credits fulfilled and released - HC Farms First Release."/>
  </r>
  <r>
    <x v="12"/>
    <m/>
    <m/>
    <x v="11"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</r>
  <r>
    <x v="13"/>
    <s v="January "/>
    <n v="2019"/>
    <x v="10"/>
    <n v="-0.96"/>
    <x v="0"/>
    <n v="76800"/>
    <n v="18"/>
    <s v="Federal"/>
    <s v="PEM"/>
    <n v="0.4"/>
    <s v="Becknell Services, LLC"/>
    <s v="LRL-2017-898-sam"/>
    <s v="2018-464-41-TMS-A"/>
    <m/>
    <s v="Johnson"/>
    <n v="39.619799999999998"/>
    <n v="-86.062299999999993"/>
    <s v="Development"/>
    <m/>
    <s v="No"/>
    <m/>
    <n v="11520"/>
    <n v="53760"/>
    <n v="11520"/>
    <m/>
    <m/>
    <m/>
    <m/>
    <m/>
    <m/>
    <m/>
    <m/>
    <m/>
  </r>
  <r>
    <x v="13"/>
    <s v="January "/>
    <n v="2019"/>
    <x v="10"/>
    <n v="-0.36"/>
    <x v="0"/>
    <n v="28800"/>
    <n v="15"/>
    <s v="Federal"/>
    <s v="PEM"/>
    <n v="0.18"/>
    <s v="Louisville &amp; Indiana Railroad Company"/>
    <s v="LRL-2018-382"/>
    <s v="2018-182-72-ALF-A"/>
    <m/>
    <s v="Scott"/>
    <n v="38.648809"/>
    <n v="-85.771114999999995"/>
    <s v="Transportation"/>
    <m/>
    <s v="No"/>
    <m/>
    <n v="4320"/>
    <n v="20160"/>
    <n v="4320"/>
    <m/>
    <m/>
    <m/>
    <m/>
    <m/>
    <m/>
    <m/>
    <m/>
    <s v="*Note:  USACE required 0.4 Emergent Credits"/>
  </r>
  <r>
    <x v="13"/>
    <s v="January "/>
    <n v="2019"/>
    <x v="10"/>
    <n v="-1.2"/>
    <x v="0"/>
    <n v="96000"/>
    <n v="15"/>
    <s v="Federal"/>
    <s v="PFO"/>
    <n v="0.3"/>
    <s v="Louisville &amp; Indiana Railroad Company"/>
    <s v="LRL-2018-382"/>
    <s v="2018-182-72-ALF-A"/>
    <m/>
    <s v="Scott"/>
    <n v="38.648809"/>
    <n v="-85.771114999999995"/>
    <s v="Transportation"/>
    <m/>
    <s v="No"/>
    <m/>
    <n v="14400"/>
    <n v="67200"/>
    <n v="14400"/>
    <m/>
    <m/>
    <m/>
    <m/>
    <m/>
    <m/>
    <m/>
    <m/>
    <m/>
  </r>
  <r>
    <x v="14"/>
    <s v="January "/>
    <n v="2019"/>
    <x v="8"/>
    <n v="-590"/>
    <x v="1"/>
    <n v="236000"/>
    <n v="19"/>
    <s v="Federal"/>
    <s v="Int"/>
    <n v="984"/>
    <s v="20/20 Custom Molded Plastics"/>
    <s v="LRL-2018-803-lcl"/>
    <s v="2018-652-90-ADF-A"/>
    <m/>
    <s v="Wells"/>
    <n v="40.731900000000003"/>
    <n v="-85.194299999999998"/>
    <s v="Development"/>
    <m/>
    <s v="No"/>
    <m/>
    <n v="35400"/>
    <n v="165200"/>
    <n v="35400"/>
    <m/>
    <m/>
    <m/>
    <m/>
    <m/>
    <m/>
    <m/>
    <m/>
    <s v="Corps mitigation requirement more than IDEM 401 WQC"/>
  </r>
  <r>
    <x v="15"/>
    <s v="January "/>
    <n v="2019"/>
    <x v="9"/>
    <n v="-1.34"/>
    <x v="0"/>
    <n v="107200"/>
    <n v="21"/>
    <s v="Federal"/>
    <s v="PEM"/>
    <n v="0.56000000000000005"/>
    <s v="Vaughn Wamsley"/>
    <s v="LRL-2018-753-htm"/>
    <s v="2018-504-32-JMK-A"/>
    <m/>
    <s v="Hendricks"/>
    <n v="39.709899999999998"/>
    <n v="-86.334699999999998"/>
    <s v="Development"/>
    <s v="Mod 1 - LRL-2020-989-sam"/>
    <s v="Yes"/>
    <d v="2023-07-10T00:00:00"/>
    <n v="16080"/>
    <n v="75040"/>
    <n v="16080"/>
    <m/>
    <m/>
    <m/>
    <m/>
    <s v="HC Farms"/>
    <m/>
    <m/>
    <m/>
    <s v="Credits fulfilled and released - HC Farms First Release. Corps mitigation requirement more than IDEM 401 WQC"/>
  </r>
  <r>
    <x v="16"/>
    <s v="February"/>
    <n v="2019"/>
    <x v="1"/>
    <n v="-0.78"/>
    <x v="0"/>
    <n v="74100"/>
    <n v="14"/>
    <s v="Federal"/>
    <s v="PFO"/>
    <n v="0.19400000000000001"/>
    <s v="INDOT"/>
    <s v="LRE-2000-700010-R10"/>
    <s v="2010-206-46-JWR-A"/>
    <m/>
    <s v="LaPorte"/>
    <n v="41.448847000000001"/>
    <n v="-86.624937000000003"/>
    <s v="Transportation"/>
    <m/>
    <s v="No"/>
    <m/>
    <n v="11115"/>
    <n v="51870"/>
    <n v="11115"/>
    <m/>
    <m/>
    <m/>
    <m/>
    <m/>
    <m/>
    <m/>
    <m/>
    <s v="INDOT DES . 1382409"/>
  </r>
  <r>
    <x v="17"/>
    <s v="February"/>
    <n v="2019"/>
    <x v="5"/>
    <n v="-373"/>
    <x v="1"/>
    <n v="149200"/>
    <n v="16"/>
    <s v="Federal"/>
    <s v="Per"/>
    <n v="1248"/>
    <s v="Vanderburgh County Engineer"/>
    <s v="LRL-2018-52-djd"/>
    <s v="2017-881-82-JWR-A"/>
    <m/>
    <s v="Vanderburgh"/>
    <n v="38.088090000000001"/>
    <n v="-87.490740000000002"/>
    <s v="Transportation"/>
    <m/>
    <s v="No"/>
    <m/>
    <n v="22380"/>
    <n v="104440"/>
    <n v="22380"/>
    <m/>
    <m/>
    <m/>
    <m/>
    <m/>
    <m/>
    <m/>
    <m/>
    <s v="Section 401 Mod. No 404 Mitigation due to single and complete.  LPA DES No. 1400549"/>
  </r>
  <r>
    <x v="17"/>
    <s v="February"/>
    <n v="2019"/>
    <x v="5"/>
    <n v="-0.39"/>
    <x v="0"/>
    <n v="31200"/>
    <n v="16"/>
    <s v="Federal"/>
    <s v="PEM"/>
    <n v="0.19700000000000001"/>
    <s v="Vanderburgh County Engineer"/>
    <s v="LRL-2018-52-djd"/>
    <s v="2017-881-82-JWR-A"/>
    <m/>
    <s v="Vanderburgh"/>
    <n v="38.088090000000001"/>
    <n v="-87.490740000000002"/>
    <s v="Transportation"/>
    <m/>
    <s v="No"/>
    <m/>
    <n v="4680"/>
    <n v="21840"/>
    <n v="4680"/>
    <m/>
    <m/>
    <m/>
    <m/>
    <m/>
    <m/>
    <m/>
    <m/>
    <s v="Section 401 Mod. No 404 Mitigation due to single and complete.   LPA DES No. 1400549"/>
  </r>
  <r>
    <x v="18"/>
    <s v="March"/>
    <n v="2019"/>
    <x v="7"/>
    <n v="-6.5000000000000002E-2"/>
    <x v="0"/>
    <n v="5200"/>
    <n v="27"/>
    <s v="State Isolated"/>
    <s v="PFO"/>
    <n v="0.02"/>
    <s v="RBL Properties, LLC"/>
    <s v="N/A"/>
    <s v="IWGP 2018-528-15-15-TMS-V"/>
    <m/>
    <s v="Dearborn"/>
    <m/>
    <m/>
    <s v="Development"/>
    <s v="LRL-2014-100-sam/Fourteeen Mile Creek Mitigation Bank"/>
    <s v="Yes"/>
    <d v="2024-01-22T00:00:00"/>
    <n v="780"/>
    <n v="3639.9999999999995"/>
    <n v="780"/>
    <m/>
    <m/>
    <m/>
    <m/>
    <s v="Fourteen Mile Creek Mitigation Bank"/>
    <m/>
    <m/>
    <m/>
    <s v="Credit fulfilled, purchased from Fourteen Mile Creek Mitigation Bank.  "/>
  </r>
  <r>
    <x v="19"/>
    <s v="March"/>
    <n v="2019"/>
    <x v="5"/>
    <n v="-0.56000000000000005"/>
    <x v="0"/>
    <n v="44800"/>
    <n v="22"/>
    <s v="Federal"/>
    <s v="PEM"/>
    <n v="0.28000000000000003"/>
    <s v="Evansville Water &amp; Sewer Utility"/>
    <s v="LRL-2018-546-tmb"/>
    <s v="2018-651-82-ADF"/>
    <m/>
    <s v="Vanderburgh"/>
    <n v="37.967419999999997"/>
    <n v="-87.618340000000003"/>
    <s v="Development"/>
    <m/>
    <s v="No"/>
    <m/>
    <n v="6720"/>
    <n v="31359.999999999996"/>
    <n v="6720"/>
    <m/>
    <m/>
    <m/>
    <m/>
    <m/>
    <m/>
    <m/>
    <m/>
    <s v="*Note:  USACE required 0.67 Emergent Credits"/>
  </r>
  <r>
    <x v="19"/>
    <s v="March"/>
    <n v="2019"/>
    <x v="5"/>
    <n v="-2.08"/>
    <x v="0"/>
    <n v="166400"/>
    <n v="22"/>
    <s v="Federal"/>
    <s v="PFO"/>
    <n v="0.52"/>
    <s v="Evansville Water &amp; Sewer Utility"/>
    <s v="LRL-2018-546-tmb"/>
    <s v="2018-651-82-ADF"/>
    <m/>
    <s v="Vanderburgh"/>
    <n v="37.967419999999997"/>
    <n v="-87.618340000000003"/>
    <s v="Development"/>
    <m/>
    <s v="No"/>
    <m/>
    <n v="24960"/>
    <n v="116479.99999999999"/>
    <n v="24960"/>
    <m/>
    <m/>
    <m/>
    <m/>
    <m/>
    <m/>
    <m/>
    <m/>
    <m/>
  </r>
  <r>
    <x v="20"/>
    <s v="March"/>
    <n v="2019"/>
    <x v="4"/>
    <n v="-100"/>
    <x v="1"/>
    <n v="40000"/>
    <n v="23"/>
    <s v="Federal"/>
    <s v="Eph"/>
    <n v="293"/>
    <s v="Tallgrass Energy, Inc"/>
    <s v="LRL-2018-922-sjk"/>
    <s v="2018-818-32-JMK-A"/>
    <m/>
    <s v="Hendricks"/>
    <n v="39.713005000000003"/>
    <n v="-86.566770000000005"/>
    <s v="Energy Production"/>
    <m/>
    <s v="No"/>
    <m/>
    <n v="6000"/>
    <n v="28000"/>
    <n v="6000"/>
    <m/>
    <m/>
    <m/>
    <m/>
    <m/>
    <m/>
    <m/>
    <m/>
    <m/>
  </r>
  <r>
    <x v="20"/>
    <s v="March"/>
    <n v="2019"/>
    <x v="10"/>
    <n v="-0.44"/>
    <x v="0"/>
    <n v="35200"/>
    <n v="20"/>
    <s v="Federal"/>
    <s v="PEM"/>
    <n v="0.23799999999999999"/>
    <s v="INDOT"/>
    <s v="LRL-2018-697-djd"/>
    <s v="2018-496-72-JBT-A"/>
    <m/>
    <s v="Scott"/>
    <n v="38.76343"/>
    <n v="-85.829970000000003"/>
    <s v="Transportation"/>
    <m/>
    <s v="No"/>
    <m/>
    <n v="5280"/>
    <n v="24640"/>
    <n v="5280"/>
    <m/>
    <m/>
    <m/>
    <m/>
    <m/>
    <m/>
    <m/>
    <m/>
    <s v="(DES NO. 1500530)  Note: The emergent impacts includes 0.037 open water req by IDEM"/>
  </r>
  <r>
    <x v="20"/>
    <s v="March"/>
    <n v="2019"/>
    <x v="10"/>
    <n v="-0.45"/>
    <x v="0"/>
    <n v="36000"/>
    <n v="20"/>
    <s v="Federal"/>
    <s v="PSS"/>
    <n v="0.45"/>
    <s v="INDOT"/>
    <s v="LRL-2018-697-djd"/>
    <s v="2018-496-72-JBT-A"/>
    <m/>
    <s v="Scott"/>
    <n v="38.76343"/>
    <n v="-85.829970000000003"/>
    <s v="Transportation"/>
    <m/>
    <s v="No"/>
    <m/>
    <n v="5400"/>
    <n v="25200"/>
    <n v="5400"/>
    <m/>
    <m/>
    <m/>
    <m/>
    <m/>
    <m/>
    <m/>
    <m/>
    <s v="(DES NO. 1500530)"/>
  </r>
  <r>
    <x v="21"/>
    <s v="March"/>
    <n v="2019"/>
    <x v="0"/>
    <n v="-2.88"/>
    <x v="0"/>
    <n v="273600"/>
    <n v="32"/>
    <s v="Federal"/>
    <s v="PFO"/>
    <n v="0.72"/>
    <s v="Woodcreek TriQuad Drive LLC"/>
    <s v="LRC-2018-852"/>
    <s v="2018-874-46-MTM-A"/>
    <m/>
    <s v="LaPorte"/>
    <n v="41.696399999999997"/>
    <n v="-86.842100000000002"/>
    <s v="Development"/>
    <m/>
    <s v="No"/>
    <m/>
    <n v="41040"/>
    <n v="191520"/>
    <n v="41040"/>
    <m/>
    <m/>
    <m/>
    <m/>
    <m/>
    <m/>
    <m/>
    <m/>
    <m/>
  </r>
  <r>
    <x v="21"/>
    <s v="March"/>
    <n v="2019"/>
    <x v="9"/>
    <n v="-0.19"/>
    <x v="0"/>
    <n v="15200"/>
    <n v="25"/>
    <s v="State Isolated"/>
    <s v="PEM"/>
    <n v="0.19"/>
    <s v="Edgeworth Laskey Properties, LLC"/>
    <s v="N/A"/>
    <s v="IWGP 2018-897-29-ALF-A"/>
    <m/>
    <s v="Hamilton"/>
    <n v="39.941353999999997"/>
    <n v="-86.024953999999994"/>
    <s v="Development"/>
    <s v="Mod 1 - LRL-2020-989-sam"/>
    <s v="Yes"/>
    <d v="2023-07-10T00:00:00"/>
    <n v="2280"/>
    <n v="10640"/>
    <n v="2280"/>
    <m/>
    <m/>
    <m/>
    <m/>
    <s v="HC Farms"/>
    <m/>
    <m/>
    <m/>
    <s v="Credits fulfilled and released - HC Farms First Release.  Class I Non-Forested Isolated Wetland Impact"/>
  </r>
  <r>
    <x v="22"/>
    <s v="April"/>
    <n v="2019"/>
    <x v="9"/>
    <n v="-0.83"/>
    <x v="0"/>
    <n v="66400"/>
    <n v="29"/>
    <s v="Federal"/>
    <s v="PEM"/>
    <n v="0.55000000000000004"/>
    <s v="The Peterson Company"/>
    <s v="LRL-2002-439-sam"/>
    <s v="2002-603-30-AJP-A"/>
    <m/>
    <s v="Hancock"/>
    <n v="39.830199999999998"/>
    <n v="-85.928700000000006"/>
    <s v="Development"/>
    <s v="Mod 1 - LRL-2020-989-sam"/>
    <s v="Yes"/>
    <d v="2023-07-10T00:00:00"/>
    <n v="9960"/>
    <n v="46480"/>
    <n v="9960"/>
    <m/>
    <m/>
    <m/>
    <m/>
    <s v="HC Farms"/>
    <m/>
    <m/>
    <m/>
    <s v="Credits fulfilled and released - HC Farms First Release. Impact to upland prairie buffer of a mitigation site "/>
  </r>
  <r>
    <x v="23"/>
    <s v="April"/>
    <n v="2019"/>
    <x v="0"/>
    <n v="-0.19600000000000001"/>
    <x v="0"/>
    <n v="18620"/>
    <n v="34"/>
    <s v="Federal"/>
    <s v="PFO"/>
    <n v="0.19600000000000001"/>
    <s v="Northern Indiana Public Service Company"/>
    <s v="LRC-2019-041"/>
    <s v="2019-013-46-MTM-A"/>
    <m/>
    <s v="LaPorte"/>
    <n v="41.664400000000001"/>
    <n v="-86.893900000000002"/>
    <s v="Energy Production"/>
    <m/>
    <s v="No"/>
    <m/>
    <n v="2793"/>
    <n v="13034"/>
    <n v="2793"/>
    <m/>
    <m/>
    <m/>
    <m/>
    <m/>
    <m/>
    <m/>
    <m/>
    <m/>
  </r>
  <r>
    <x v="23"/>
    <s v="April"/>
    <n v="2019"/>
    <x v="4"/>
    <n v="-1.8"/>
    <x v="0"/>
    <n v="144000"/>
    <n v="24"/>
    <s v="Federal"/>
    <s v="PFO"/>
    <n v="0.45"/>
    <s v="Ford Sawmills, Inc."/>
    <s v="LRL-2018-353-sam"/>
    <s v="2015-334-42-DDC-V"/>
    <m/>
    <s v="Knox"/>
    <n v="38.698700000000002"/>
    <n v="-87.505099999999999"/>
    <s v="Development"/>
    <m/>
    <s v="No"/>
    <m/>
    <n v="21600"/>
    <n v="100800"/>
    <n v="21600"/>
    <m/>
    <m/>
    <m/>
    <m/>
    <m/>
    <m/>
    <m/>
    <m/>
    <s v="ATF impacts "/>
  </r>
  <r>
    <x v="24"/>
    <s v="April"/>
    <n v="2019"/>
    <x v="4"/>
    <n v="-0.88"/>
    <x v="0"/>
    <n v="70400"/>
    <n v="35"/>
    <s v="Federal"/>
    <s v="PFO"/>
    <n v="0.22"/>
    <s v="The Indiana Rail Road Co."/>
    <s v="LRL-2018-527-htm"/>
    <s v="2019-060-84-jmk"/>
    <m/>
    <s v="Vigo"/>
    <n v="39.430500000000002"/>
    <n v="-87.39"/>
    <s v="Transportation"/>
    <m/>
    <s v="No"/>
    <m/>
    <n v="10560"/>
    <n v="49280"/>
    <n v="10560"/>
    <m/>
    <m/>
    <m/>
    <m/>
    <m/>
    <m/>
    <m/>
    <m/>
    <m/>
  </r>
  <r>
    <x v="25"/>
    <s v="May"/>
    <n v="2019"/>
    <x v="7"/>
    <n v="-2.1"/>
    <x v="0"/>
    <n v="168000"/>
    <n v="33"/>
    <s v="Federal"/>
    <s v="PFO"/>
    <n v="0.51400000000000001"/>
    <s v="INDOT"/>
    <s v="LRL-2017-430-djd"/>
    <s v="2017-272-10-skg"/>
    <m/>
    <s v="Clark"/>
    <n v="38.343494"/>
    <n v="-85.664545000000004"/>
    <s v="Transportation"/>
    <s v="LRL-2014-100-sam/Fourteeen Mile Creek Mitigation Bank"/>
    <s v="Yes"/>
    <d v="2024-01-22T00:00:00"/>
    <n v="25200"/>
    <n v="117599.99999999999"/>
    <n v="25200"/>
    <m/>
    <m/>
    <m/>
    <m/>
    <s v="Fourteen Mile Creek Mitigation Bank"/>
    <m/>
    <m/>
    <m/>
    <s v="Credit fulfilled, purchased from Fourteen Mile Creek Mitigation Bank.  "/>
  </r>
  <r>
    <x v="25"/>
    <s v="May"/>
    <n v="2019"/>
    <x v="7"/>
    <n v="-449"/>
    <x v="1"/>
    <n v="179600"/>
    <n v="33"/>
    <s v="Federal"/>
    <s v="Int"/>
    <n v="374"/>
    <s v="INDOT"/>
    <s v="LRL-2017-430-djd"/>
    <s v="2017-272-10-skg"/>
    <m/>
    <s v="Clark"/>
    <n v="38.343494"/>
    <n v="-85.664545000000004"/>
    <s v="Transportation"/>
    <m/>
    <s v="No"/>
    <m/>
    <n v="26940"/>
    <n v="125719.99999999999"/>
    <n v="26940"/>
    <m/>
    <m/>
    <m/>
    <m/>
    <m/>
    <m/>
    <m/>
    <m/>
    <s v="(DES No. 13820657) *Note: IDEM 401 WQC documented stream impacts 382 LF Ephemeral and 85 LF Intermittent (467 LF Cumulative)"/>
  </r>
  <r>
    <x v="26"/>
    <s v="May"/>
    <n v="2019"/>
    <x v="1"/>
    <n v="-310"/>
    <x v="1"/>
    <n v="155000"/>
    <n v="26"/>
    <s v="Federal"/>
    <s v="Per"/>
    <n v="310"/>
    <s v="INDOT"/>
    <s v="LRE-2008-00236-175-R10"/>
    <s v="2009-039-75-JPS-A"/>
    <m/>
    <s v="Starke"/>
    <n v="41.411769"/>
    <n v="-86.488748999999999"/>
    <s v="Transportation"/>
    <m/>
    <s v="No"/>
    <m/>
    <n v="23250"/>
    <n v="108500"/>
    <n v="23250"/>
    <m/>
    <m/>
    <m/>
    <m/>
    <m/>
    <m/>
    <m/>
    <m/>
    <s v="INDOT DES No. 1382408 (Historical DES No. 0711018)"/>
  </r>
  <r>
    <x v="26"/>
    <s v="May"/>
    <n v="2019"/>
    <x v="1"/>
    <n v="-3"/>
    <x v="0"/>
    <n v="285000"/>
    <n v="26"/>
    <s v="Federal"/>
    <s v="PFO"/>
    <n v="0.75"/>
    <s v="INDOT"/>
    <s v="LRE-2008-00236-175-R10"/>
    <s v="2009-039-75-JPS-A"/>
    <m/>
    <s v="Starke"/>
    <n v="41.411769"/>
    <n v="-86.488748999999999"/>
    <s v="Transportation"/>
    <m/>
    <s v="No"/>
    <m/>
    <n v="42750"/>
    <n v="199500"/>
    <n v="42750"/>
    <m/>
    <m/>
    <m/>
    <m/>
    <m/>
    <m/>
    <m/>
    <m/>
    <s v="INDOT DES No. 1382408 (Historical DES No. 0711018)"/>
  </r>
  <r>
    <x v="26"/>
    <s v="May"/>
    <n v="2019"/>
    <x v="4"/>
    <n v="-219"/>
    <x v="1"/>
    <n v="87600"/>
    <n v="30"/>
    <s v="Federal"/>
    <s v="Eph"/>
    <n v="219"/>
    <s v="Vectren (Indiana Gas Co., Inc.)"/>
    <s v="LRL-2016-1228"/>
    <s v="2016-732-32-SKG-A"/>
    <m/>
    <s v="Hendricks"/>
    <s v="not provided"/>
    <s v="not provided"/>
    <s v="Transportation"/>
    <m/>
    <s v="No"/>
    <m/>
    <n v="13140"/>
    <n v="61319.999999999993"/>
    <n v="13140"/>
    <m/>
    <m/>
    <m/>
    <m/>
    <m/>
    <m/>
    <m/>
    <m/>
    <s v="USACE did not require mitigation"/>
  </r>
  <r>
    <x v="26"/>
    <s v="May"/>
    <n v="2019"/>
    <x v="4"/>
    <n v="-452"/>
    <x v="1"/>
    <n v="180800"/>
    <n v="30"/>
    <s v="Federal"/>
    <s v="Per"/>
    <n v="452"/>
    <s v="Vectren (Indiana Gas Co., Inc.)"/>
    <s v="LRL-2016-1228"/>
    <s v="2016-732-32-SKG-A"/>
    <m/>
    <s v="Hendricks"/>
    <s v="not provided"/>
    <s v="not provided"/>
    <s v="Transportation"/>
    <m/>
    <s v="No"/>
    <m/>
    <n v="27120"/>
    <n v="126559.99999999999"/>
    <n v="27120"/>
    <m/>
    <m/>
    <m/>
    <m/>
    <m/>
    <m/>
    <m/>
    <m/>
    <s v="USACE did not require mitigation"/>
  </r>
  <r>
    <x v="26"/>
    <s v="May"/>
    <n v="2019"/>
    <x v="7"/>
    <n v="-1615"/>
    <x v="1"/>
    <n v="646000"/>
    <n v="28"/>
    <s v="Federal"/>
    <s v="Eph"/>
    <n v="1345.5"/>
    <s v="INDOT"/>
    <s v="LRL-2015-638-sjk"/>
    <s v="2016-145-10-JWR-A"/>
    <m/>
    <s v="Clark"/>
    <n v="38.435600000000001"/>
    <n v="-85.763999999999996"/>
    <s v="Transportation"/>
    <m/>
    <s v="No"/>
    <m/>
    <n v="96900"/>
    <n v="452200"/>
    <n v="96900"/>
    <m/>
    <m/>
    <m/>
    <m/>
    <m/>
    <m/>
    <m/>
    <m/>
    <s v="INDOT DES No. 1400597"/>
  </r>
  <r>
    <x v="26"/>
    <s v="May"/>
    <n v="2019"/>
    <x v="7"/>
    <n v="-111"/>
    <x v="1"/>
    <n v="44400"/>
    <n v="28"/>
    <s v="Federal"/>
    <s v="Per"/>
    <n v="92.5"/>
    <s v="INDOT"/>
    <s v="LRL-2015-638-sjk"/>
    <s v="2016-145-10-JWR-A"/>
    <m/>
    <s v="Clark"/>
    <n v="38.435600000000001"/>
    <n v="-85.763999999999996"/>
    <s v="Transportation"/>
    <m/>
    <s v="No"/>
    <m/>
    <n v="6660"/>
    <n v="31079.999999999996"/>
    <n v="6660"/>
    <m/>
    <m/>
    <m/>
    <m/>
    <m/>
    <m/>
    <m/>
    <m/>
    <s v="INDOT DES No. 1400597"/>
  </r>
  <r>
    <x v="26"/>
    <s v="May"/>
    <n v="2019"/>
    <x v="7"/>
    <n v="-0.66900000000000004"/>
    <x v="0"/>
    <n v="53520"/>
    <n v="28"/>
    <s v="Federal"/>
    <s v="PEM"/>
    <n v="0.29599999999999999"/>
    <s v="INDOT"/>
    <s v="LRL-2015-638-sjk"/>
    <s v="2016-145-10-JWR-A"/>
    <m/>
    <s v="Clark"/>
    <n v="38.435600000000001"/>
    <n v="-85.763999999999996"/>
    <s v="Transportation"/>
    <s v="LRL-2014-100-sam/Fourteeen Mile Creek Mitigation Bank"/>
    <s v="Yes"/>
    <d v="2024-01-22T00:00:00"/>
    <n v="8028"/>
    <n v="37464"/>
    <n v="8028"/>
    <m/>
    <m/>
    <m/>
    <m/>
    <s v="Fourteen Mile Creek Mitigation Bank"/>
    <m/>
    <m/>
    <m/>
    <s v="Credit fulfilled, purchased from Fourteen Mile Creek Mitigation Bank.  "/>
  </r>
  <r>
    <x v="26"/>
    <s v="May"/>
    <n v="2019"/>
    <x v="7"/>
    <n v="-0.23100000000000001"/>
    <x v="0"/>
    <n v="18480"/>
    <n v="28"/>
    <s v="Federal"/>
    <s v="PFO"/>
    <n v="0.14799999999999999"/>
    <s v="INDOT"/>
    <s v="LRL-2015-638-sjk"/>
    <s v="2016-145-10-JWR-A"/>
    <m/>
    <s v="Clark"/>
    <n v="38.435600000000001"/>
    <n v="-85.763999999999996"/>
    <s v="Transportation"/>
    <s v="LRL-2014-100-sam/Fourteeen Mile Creek Mitigation Bank"/>
    <s v="Yes"/>
    <d v="2024-01-22T00:00:00"/>
    <n v="2772"/>
    <n v="12936"/>
    <n v="2772"/>
    <m/>
    <m/>
    <m/>
    <m/>
    <s v="Fourteen Mile Creek Mitigation Bank"/>
    <m/>
    <m/>
    <m/>
    <s v="Credit fulfilled, purchased from Fourteen Mile Creek Mitigation Bank.  "/>
  </r>
  <r>
    <x v="26"/>
    <s v="May"/>
    <n v="2019"/>
    <x v="9"/>
    <n v="-197"/>
    <x v="1"/>
    <n v="88650"/>
    <n v="30"/>
    <s v="Federal"/>
    <s v="Eph"/>
    <n v="197"/>
    <s v="Vectren (Indiana Gas Co., Inc.)"/>
    <s v="LRL-2016-1228"/>
    <s v="2016-732-32-SKG-A"/>
    <m/>
    <s v="Hendricks"/>
    <s v="not provided"/>
    <s v="not provided"/>
    <s v="Transportation"/>
    <s v="Mod 1 - LRL-2020-989-sam"/>
    <s v="Yes"/>
    <d v="2023-07-10T00:00:00"/>
    <n v="13297.5"/>
    <n v="62054.999999999993"/>
    <n v="13297.5"/>
    <m/>
    <m/>
    <m/>
    <m/>
    <s v="HC Farms"/>
    <m/>
    <m/>
    <m/>
    <s v="Credits fulfilled and released - HC Farms First Stream Release.  USACE did not require mitigation"/>
  </r>
  <r>
    <x v="26"/>
    <s v="May"/>
    <n v="2019"/>
    <x v="9"/>
    <n v="-269"/>
    <x v="1"/>
    <n v="121050"/>
    <n v="30"/>
    <s v="Federal"/>
    <s v="Int"/>
    <n v="269"/>
    <s v="Vectren (Indiana Gas Co., Inc.)"/>
    <s v="LRL-2016-1228"/>
    <s v="2016-732-32-SKG-A"/>
    <m/>
    <s v="Hendricks"/>
    <s v="not provided"/>
    <s v="not provided"/>
    <s v="Transportation"/>
    <s v="Mod 1 - LRL-2020-989-sam"/>
    <s v="Yes"/>
    <d v="2024-09-03T00:00:00"/>
    <n v="18157.5"/>
    <n v="84735"/>
    <n v="18157.5"/>
    <m/>
    <m/>
    <m/>
    <m/>
    <m/>
    <m/>
    <m/>
    <m/>
    <s v="Credits fulfilled and released - HC Farms First (143/269)/Second (126/269) Stream Release.  USACE did not require mitigation"/>
  </r>
  <r>
    <x v="26"/>
    <s v="May"/>
    <n v="2019"/>
    <x v="9"/>
    <n v="-437"/>
    <x v="1"/>
    <n v="196650"/>
    <n v="30"/>
    <s v="Federal"/>
    <s v="Per"/>
    <n v="437"/>
    <s v="Vectren (Indiana Gas Co., Inc.)"/>
    <s v="LRL-2016-1228"/>
    <s v="2016-732-32-SKG-A"/>
    <m/>
    <s v="Hendricks"/>
    <s v="not provided"/>
    <s v="not provided"/>
    <s v="Transportation"/>
    <s v="Mod 1 - LRL-2020-989-sam"/>
    <s v="Yes"/>
    <d v="2024-09-03T00:00:00"/>
    <n v="29497.5"/>
    <n v="137655"/>
    <n v="29497.5"/>
    <m/>
    <m/>
    <m/>
    <m/>
    <m/>
    <m/>
    <m/>
    <m/>
    <s v="Credits fulfilled and released - HC Farms Second Stream Release.  USACE did not require mitigation"/>
  </r>
  <r>
    <x v="26"/>
    <s v="May"/>
    <n v="2019"/>
    <x v="9"/>
    <n v="-0.06"/>
    <x v="0"/>
    <n v="4800"/>
    <n v="36"/>
    <s v="State Isolated"/>
    <s v="PEM"/>
    <n v="0.06"/>
    <s v="Drees Homes"/>
    <s v="N/A"/>
    <s v="IWGP 2019-189-32-JMK-A"/>
    <m/>
    <s v="Hendricks"/>
    <n v="39.77534"/>
    <n v="-86.360380000000006"/>
    <s v="Development"/>
    <s v="Mod 1 - LRL-2020-989-sam"/>
    <s v="Yes"/>
    <d v="2023-07-10T00:00:00"/>
    <n v="720"/>
    <n v="3360"/>
    <n v="720"/>
    <m/>
    <m/>
    <m/>
    <m/>
    <s v="HC Farms"/>
    <m/>
    <m/>
    <m/>
    <s v="Credits fulfilled and released - HC Farms First Release. Class I Non-Forested Isolated Wetland Impact"/>
  </r>
  <r>
    <x v="27"/>
    <s v="May"/>
    <n v="2019"/>
    <x v="0"/>
    <n v="-2"/>
    <x v="0"/>
    <n v="190000"/>
    <n v="31"/>
    <s v="Federal"/>
    <s v="PEM"/>
    <s v="*"/>
    <s v="Wisconsin Central Ltd."/>
    <s v="LRC-2010-803-IN"/>
    <s v="2012-409-45-MTM-A"/>
    <m/>
    <s v="Lake"/>
    <s v="not provided"/>
    <s v="not provided"/>
    <s v="Transportation"/>
    <m/>
    <s v="No"/>
    <m/>
    <n v="28500"/>
    <n v="133000"/>
    <n v="28500"/>
    <m/>
    <m/>
    <m/>
    <m/>
    <m/>
    <m/>
    <m/>
    <m/>
    <s v="*404 &amp; 401 were modified due to failed mitigation site to deliver designed credit; information on impacts are in the permits"/>
  </r>
  <r>
    <x v="27"/>
    <s v="May"/>
    <n v="2019"/>
    <x v="9"/>
    <n v="-0.47"/>
    <x v="0"/>
    <n v="37600"/>
    <n v="38"/>
    <s v="State Isolated"/>
    <s v="PEM"/>
    <n v="0.47"/>
    <s v="Burns Development, Inc."/>
    <s v="N/A"/>
    <s v="IWGP 2019-234-18-ALF-A"/>
    <m/>
    <s v="Delaware"/>
    <n v="40.220768"/>
    <n v="-85.443589000000003"/>
    <s v="Development"/>
    <s v="Mod 1 - LRL-2020-989-sam"/>
    <s v="Yes"/>
    <d v="2023-07-10T00:00:00"/>
    <n v="5640"/>
    <n v="26320"/>
    <n v="5640"/>
    <m/>
    <m/>
    <m/>
    <m/>
    <s v="HC Farms"/>
    <m/>
    <m/>
    <m/>
    <s v="Credits fulfilled and released - HC Farms First Release.  Class I Non-Forested Isolated Wetland Impact"/>
  </r>
  <r>
    <x v="28"/>
    <s v="June "/>
    <n v="2019"/>
    <x v="2"/>
    <n v="-249"/>
    <x v="1"/>
    <n v="99600"/>
    <n v="39"/>
    <s v="Federal"/>
    <s v="Per"/>
    <n v="249"/>
    <s v="Monroe County Highway Engineering"/>
    <s v="LRL-2017-69-lcl"/>
    <s v="2017-095-53-JWR-A"/>
    <m/>
    <s v="Monroe"/>
    <s v="not provided"/>
    <s v="not provided"/>
    <s v="Transportation"/>
    <m/>
    <s v="No"/>
    <m/>
    <n v="14940"/>
    <n v="69720"/>
    <n v="14940"/>
    <m/>
    <m/>
    <m/>
    <m/>
    <m/>
    <m/>
    <m/>
    <m/>
    <s v="*Note:  Mitigation only required for Section 401.  Section 404 impacts not required due to single and complete nature."/>
  </r>
  <r>
    <x v="29"/>
    <s v="July"/>
    <n v="2019"/>
    <x v="9"/>
    <n v="-0.04"/>
    <x v="0"/>
    <n v="3200"/>
    <n v="42"/>
    <s v="State Isolated"/>
    <s v="PEM"/>
    <n v="0.04"/>
    <s v="KD Investment Group, LLC"/>
    <s v="N/A"/>
    <s v="IWGP 031-29-ALF-A"/>
    <m/>
    <s v="Hamilton"/>
    <s v="not provided"/>
    <s v="not provided"/>
    <s v="Development"/>
    <s v="Mod 1 - LRL-2020-989-sam"/>
    <s v="Yes"/>
    <d v="2023-07-10T00:00:00"/>
    <n v="480"/>
    <n v="2240"/>
    <n v="480"/>
    <m/>
    <m/>
    <m/>
    <m/>
    <s v="HC Farms"/>
    <m/>
    <m/>
    <m/>
    <s v="Credits fulfilled and released - HC Farms First Release.  Class I Non-Forested Isolated Wetland Impact"/>
  </r>
  <r>
    <x v="29"/>
    <s v="July"/>
    <n v="2019"/>
    <x v="10"/>
    <n v="-3.04"/>
    <x v="0"/>
    <n v="243200"/>
    <n v="40"/>
    <s v="Federal"/>
    <s v="PFO"/>
    <n v="0.76"/>
    <s v="City of Greenfield"/>
    <s v="LRL-2017-1184-sam"/>
    <s v="2019-144-30-ALF-A"/>
    <m/>
    <s v="Hancock"/>
    <n v="39.825400000000002"/>
    <n v="-85.781899999999993"/>
    <s v="Development"/>
    <m/>
    <s v="No"/>
    <m/>
    <n v="36480"/>
    <n v="170240"/>
    <n v="36480"/>
    <m/>
    <m/>
    <m/>
    <m/>
    <m/>
    <m/>
    <m/>
    <m/>
    <s v="*Note:  The 401 WQC indicates that 146 linear feet of perennial stream impacts but no stream mitigation required."/>
  </r>
  <r>
    <x v="30"/>
    <s v="August"/>
    <n v="2019"/>
    <x v="1"/>
    <n v="-75"/>
    <x v="1"/>
    <n v="37500"/>
    <n v="51"/>
    <s v="Federal"/>
    <s v="Per"/>
    <n v="75"/>
    <s v="Speedway LLC"/>
    <s v="LRE-2017-00547-137-R19"/>
    <s v="2019-153-37-MTM-A "/>
    <m/>
    <s v="Jasper"/>
    <n v="41.145899999999997"/>
    <n v="-87.257599999999996"/>
    <s v="Development"/>
    <m/>
    <s v="No"/>
    <m/>
    <n v="5625"/>
    <n v="26250"/>
    <n v="5625"/>
    <m/>
    <m/>
    <m/>
    <m/>
    <m/>
    <m/>
    <m/>
    <m/>
    <s v="USACE did not require ILF mitigation"/>
  </r>
  <r>
    <x v="30"/>
    <s v="August"/>
    <n v="2019"/>
    <x v="8"/>
    <n v="-0.14099999999999999"/>
    <x v="0"/>
    <n v="11280"/>
    <n v="45"/>
    <s v="Federal"/>
    <s v="PSS"/>
    <n v="4.7E-2"/>
    <s v="RCI Development LLC"/>
    <s v="LRE-2014-007700-102-R19"/>
    <s v="2019-161-02-WRH-A"/>
    <m/>
    <s v="Allen"/>
    <n v="40.9495"/>
    <n v="-85.309299999999993"/>
    <s v="Development"/>
    <m/>
    <s v="No"/>
    <m/>
    <n v="1692"/>
    <n v="7895.9999999999991"/>
    <n v="1692"/>
    <m/>
    <m/>
    <m/>
    <m/>
    <m/>
    <m/>
    <m/>
    <m/>
    <m/>
  </r>
  <r>
    <x v="30"/>
    <s v="August"/>
    <n v="2019"/>
    <x v="9"/>
    <n v="-0.01"/>
    <x v="0"/>
    <n v="800"/>
    <n v="49"/>
    <s v="State Isolated"/>
    <s v="PFO"/>
    <n v="3.0000000000000001E-3"/>
    <s v="Langston Development"/>
    <s v="N/A"/>
    <s v="IWGP 2018-775-29-ALF-A"/>
    <m/>
    <s v="Hamilton"/>
    <n v="40.056927000000002"/>
    <n v="-86.101277999999994"/>
    <s v="Development"/>
    <s v="Mod 1 - LRL-2020-989-sam"/>
    <s v="Yes"/>
    <d v="2023-07-10T00:00:00"/>
    <n v="120"/>
    <n v="560"/>
    <n v="120"/>
    <m/>
    <m/>
    <m/>
    <m/>
    <s v="HC Farms"/>
    <m/>
    <m/>
    <m/>
    <s v="Credits fulfilled and released - HC Farms First Release.  Class II Forested Isolated Wetland Impact"/>
  </r>
  <r>
    <x v="30"/>
    <s v="August"/>
    <n v="2019"/>
    <x v="9"/>
    <n v="-0.88"/>
    <x v="0"/>
    <n v="70400"/>
    <n v="50"/>
    <s v="Federal"/>
    <s v="PFO"/>
    <n v="0.22"/>
    <s v="Olthof Homes"/>
    <s v="LRL-2018-49-sjk"/>
    <s v="2019-275-29-ALF-A"/>
    <m/>
    <s v="Hamilton"/>
    <n v="40.068300000000001"/>
    <n v="-86.104799999999997"/>
    <s v="Development"/>
    <s v="Mod 1 - LRL-2020-989-sam"/>
    <s v="Yes"/>
    <d v="2023-07-10T00:00:00"/>
    <n v="10560"/>
    <n v="49280"/>
    <n v="10560"/>
    <m/>
    <m/>
    <m/>
    <m/>
    <s v="HC Farms"/>
    <m/>
    <m/>
    <m/>
    <s v="Credits fulfilled and released - HC Farms First Release."/>
  </r>
  <r>
    <x v="31"/>
    <s v="September"/>
    <n v="2019"/>
    <x v="7"/>
    <n v="-50"/>
    <x v="1"/>
    <n v="20000"/>
    <n v="46"/>
    <s v="Federal"/>
    <s v="Int"/>
    <n v="25"/>
    <s v="Indiana Gas Co, Inc."/>
    <s v="LRL-2019-388-MKD"/>
    <s v="2019-294-10-TMS-A"/>
    <m/>
    <s v="Clark"/>
    <n v="38.326115000000001"/>
    <n v="-85.740533999999997"/>
    <s v="Transportation"/>
    <m/>
    <s v="No"/>
    <m/>
    <n v="3000"/>
    <n v="14000"/>
    <n v="3000"/>
    <m/>
    <m/>
    <m/>
    <m/>
    <m/>
    <m/>
    <m/>
    <m/>
    <m/>
  </r>
  <r>
    <x v="31"/>
    <s v="September"/>
    <n v="2019"/>
    <x v="7"/>
    <n v="-0.05"/>
    <x v="0"/>
    <n v="4000"/>
    <n v="46"/>
    <s v="Federal"/>
    <s v="PEM"/>
    <n v="2.5999999999999999E-2"/>
    <s v="Indiana Gas Co, Inc."/>
    <s v="LRL-2019-388-MKD"/>
    <s v="2019-294-10-TMS-A"/>
    <m/>
    <s v="Clark"/>
    <n v="38.321562"/>
    <n v="-85.748953999999998"/>
    <s v="Transportation"/>
    <s v="LRL-2014-100-sam/Fourteeen Mile Creek Mitigation Bank"/>
    <s v="Yes"/>
    <d v="2024-01-22T00:00:00"/>
    <n v="600"/>
    <n v="2800"/>
    <n v="600"/>
    <m/>
    <m/>
    <m/>
    <m/>
    <s v="Fourteen Mile Creek Mitigation Bank"/>
    <m/>
    <m/>
    <m/>
    <s v="Credit fulfilled, purchased from Fourteen Mile Creek Mitigation Bank.  "/>
  </r>
  <r>
    <x v="31"/>
    <s v="September"/>
    <n v="2019"/>
    <x v="7"/>
    <n v="-0.44"/>
    <x v="0"/>
    <n v="35200"/>
    <n v="46"/>
    <s v="Federal"/>
    <s v="PFO"/>
    <n v="0.111"/>
    <s v="Indiana Gas Co, Inc."/>
    <s v="LRL-2019-388-MKD"/>
    <s v="2019-294-10-TMS-A"/>
    <m/>
    <s v="Clark"/>
    <n v="38.321562"/>
    <n v="-85.748953999999998"/>
    <s v="Transportation"/>
    <s v="LRL-2014-100-sam/Fourteeen Mile Creek Mitigation Bank"/>
    <s v="Yes"/>
    <d v="2024-01-22T00:00:00"/>
    <n v="5280"/>
    <n v="24640"/>
    <n v="5280"/>
    <m/>
    <m/>
    <m/>
    <m/>
    <s v="Fourteen Mile Creek Mitigation Bank"/>
    <m/>
    <m/>
    <m/>
    <s v="Credit fulfilled, purchased from Fourteen Mile Creek Mitigation Bank.  "/>
  </r>
  <r>
    <x v="32"/>
    <s v="September"/>
    <n v="2019"/>
    <x v="6"/>
    <n v="-1.1850000000000001"/>
    <x v="0"/>
    <n v="142200"/>
    <n v="52"/>
    <s v="Federal"/>
    <s v="PFO"/>
    <n v="0.40100000000000002"/>
    <s v="AEP I&amp;M Transco"/>
    <s v="LRE-2017-01162-100-N19"/>
    <s v="2019-251-20-JWR-A"/>
    <m/>
    <s v="Elkhart"/>
    <n v="41.538167000000001"/>
    <n v="-85.780034999999998"/>
    <s v="Transportation"/>
    <m/>
    <s v="No"/>
    <m/>
    <n v="21330"/>
    <n v="99540"/>
    <n v="21330"/>
    <m/>
    <m/>
    <m/>
    <m/>
    <m/>
    <m/>
    <m/>
    <m/>
    <s v="USACE did not require ILF mitigation. Lat/Long beginning point of linear project.  End point Lat 41.603708, Long -85.993569"/>
  </r>
  <r>
    <x v="33"/>
    <s v="September"/>
    <n v="2019"/>
    <x v="4"/>
    <n v="-0.74"/>
    <x v="0"/>
    <n v="59200"/>
    <n v="43"/>
    <s v="Federal"/>
    <s v="PEM"/>
    <n v="0.308"/>
    <s v="INDOT"/>
    <s v="LRL-2015-489-sjk"/>
    <s v="2015-294-79-JWR-A"/>
    <m/>
    <s v="Tippecanoe"/>
    <n v="40.4514"/>
    <n v="-86.893600000000006"/>
    <s v="Transportation"/>
    <m/>
    <s v="No"/>
    <m/>
    <n v="8880"/>
    <n v="41440"/>
    <n v="8880"/>
    <m/>
    <m/>
    <m/>
    <m/>
    <m/>
    <m/>
    <m/>
    <m/>
    <s v="INDOT DES No. 0400774"/>
  </r>
  <r>
    <x v="33"/>
    <s v="September"/>
    <n v="2019"/>
    <x v="4"/>
    <n v="-0.62"/>
    <x v="0"/>
    <n v="49600"/>
    <n v="43"/>
    <s v="Federal"/>
    <s v="PFO"/>
    <n v="0.17299999999999999"/>
    <s v="INDOT"/>
    <s v="LRL-2015-489-sjk"/>
    <s v="2015-294-79-JWR-A"/>
    <m/>
    <s v="Tippecanoe"/>
    <n v="40.4514"/>
    <n v="-86.893600000000006"/>
    <s v="Transportation"/>
    <m/>
    <s v="No"/>
    <m/>
    <n v="7440"/>
    <n v="34720"/>
    <n v="7440"/>
    <m/>
    <m/>
    <m/>
    <m/>
    <m/>
    <m/>
    <m/>
    <m/>
    <s v="INDOT DES No. 0400774"/>
  </r>
  <r>
    <x v="33"/>
    <s v="September"/>
    <n v="2019"/>
    <x v="5"/>
    <n v="-0.02"/>
    <x v="0"/>
    <n v="1600"/>
    <n v="47"/>
    <s v="Federal"/>
    <s v="PEM"/>
    <n v="0.01"/>
    <s v="INDOT"/>
    <s v="LRL-2019-205-sam"/>
    <s v="2019-110-62-JBT-A"/>
    <m/>
    <s v="Perry"/>
    <n v="38.207332000000001"/>
    <n v="-86.780664000000002"/>
    <s v="Transportation"/>
    <m/>
    <s v="No"/>
    <m/>
    <n v="240"/>
    <n v="1120"/>
    <n v="240"/>
    <m/>
    <m/>
    <m/>
    <m/>
    <m/>
    <m/>
    <m/>
    <m/>
    <s v="INDOT DES No. 1702301"/>
  </r>
  <r>
    <x v="34"/>
    <s v="September"/>
    <n v="2019"/>
    <x v="9"/>
    <n v="-0.15"/>
    <x v="0"/>
    <n v="12000"/>
    <n v="55"/>
    <s v="State Isolated"/>
    <s v="PEM"/>
    <n v="0.15"/>
    <s v="Plainfield Community School Corporation"/>
    <s v="N/A"/>
    <s v="IWGP 2019-560-32-JMK-A"/>
    <m/>
    <s v="Hendricks"/>
    <n v="39.669618"/>
    <n v="-86.420428000000001"/>
    <s v="Development"/>
    <s v="Mod 1 - LRL-2020-989-sam"/>
    <s v="Yes"/>
    <d v="2023-07-10T00:00:00"/>
    <n v="1800"/>
    <n v="8400"/>
    <n v="1800"/>
    <m/>
    <m/>
    <m/>
    <m/>
    <s v="HC Farms"/>
    <m/>
    <m/>
    <m/>
    <s v="Credits fulfilled and released - HC Farms First Release.  Class I Non-Forested Isolated Wetland Impact"/>
  </r>
  <r>
    <x v="34"/>
    <s v="September"/>
    <n v="2019"/>
    <x v="9"/>
    <n v="-1.58"/>
    <x v="0"/>
    <n v="126400"/>
    <n v="37"/>
    <s v="Federal"/>
    <s v="PEM"/>
    <n v="0.79"/>
    <s v="INDOT"/>
    <s v="LRL-2017-461-scm"/>
    <s v="2019-072-32-JBT-A"/>
    <m/>
    <s v="Hendricks"/>
    <n v="39.613258000000002"/>
    <n v="-86.480226000000002"/>
    <s v="Transportation"/>
    <s v="Mod 1 - LRL-2020-989-sam and Bank"/>
    <s v="Yes"/>
    <d v="2023-12-05T00:00:00"/>
    <n v="18960"/>
    <n v="88480"/>
    <n v="18960"/>
    <m/>
    <m/>
    <m/>
    <m/>
    <s v="HC Farms and Candace Bank"/>
    <m/>
    <m/>
    <m/>
    <s v="0.58 fulfilled from HC Farms initial release and 1.0 fulfilled from Candace Lee Fink Mitigation Bank Credit purchase.INDOT DES No. 1500143"/>
  </r>
  <r>
    <x v="35"/>
    <s v="October"/>
    <n v="2019"/>
    <x v="9"/>
    <n v="-0.29399999999999998"/>
    <x v="0"/>
    <n v="23520"/>
    <n v="53"/>
    <s v="State Isolated"/>
    <s v="PEM"/>
    <n v="0.14699999999999999"/>
    <s v="Duke Energy"/>
    <s v="N/A"/>
    <s v="IWIP 2019-026-29-ALF-A"/>
    <m/>
    <s v="Hamilton "/>
    <n v="40.101590000000002"/>
    <n v="-85.975290000000001"/>
    <s v="Energy Production"/>
    <s v="LRL-2014-100-sam/Candace Lee Fink Mitigtion Bank"/>
    <s v="Yes"/>
    <d v="2023-12-05T00:00:00"/>
    <n v="3528"/>
    <n v="16464"/>
    <n v="3528"/>
    <m/>
    <m/>
    <m/>
    <m/>
    <s v="Candace Lee Fink Mitigation Bank"/>
    <m/>
    <m/>
    <m/>
    <s v="Credit fulfilled, purchased from Candace Lee Fink Mitigation Bank.  Class II Non-Forested Isolated Wetland Impact"/>
  </r>
  <r>
    <x v="35"/>
    <s v="October"/>
    <n v="2019"/>
    <x v="9"/>
    <n v="-0.85"/>
    <x v="0"/>
    <n v="68000"/>
    <n v="53"/>
    <s v="State Isolated"/>
    <s v="PFO"/>
    <n v="0.34"/>
    <s v="Duke Energy"/>
    <s v="N/A"/>
    <s v="IWIP 2019-026-29-ALF-A"/>
    <m/>
    <s v="Hamilton "/>
    <n v="40.101590000000002"/>
    <n v="-85.975290000000001"/>
    <s v="Energy Production"/>
    <s v="LRL-2014-100-sam/Candace Lee Fink Mitigtion Bank"/>
    <s v="Yes"/>
    <d v="2023-12-05T00:00:00"/>
    <n v="10200"/>
    <n v="47600"/>
    <n v="10200"/>
    <m/>
    <m/>
    <m/>
    <m/>
    <s v="Candace Lee Fink Mitigation Bank"/>
    <m/>
    <m/>
    <m/>
    <s v="Credit fulfilled, purchased from Candace Lee Fink Mitigation Bank.  Class II Forested Isolated Wetland Impact"/>
  </r>
  <r>
    <x v="36"/>
    <s v="October"/>
    <n v="2019"/>
    <x v="0"/>
    <n v="-2.4E-2"/>
    <x v="0"/>
    <n v="2280"/>
    <n v="44"/>
    <s v="Federal"/>
    <s v="PEM"/>
    <n v="1.2E-2"/>
    <s v="AEP"/>
    <s v="LRC-2015-411"/>
    <s v="2019-137-46-MTM-A"/>
    <m/>
    <s v="LaPorte"/>
    <n v="41.721879000000001"/>
    <n v="-86.756603999999996"/>
    <s v="Energy Production"/>
    <m/>
    <s v="No"/>
    <m/>
    <n v="342"/>
    <n v="1596"/>
    <n v="342"/>
    <m/>
    <m/>
    <m/>
    <m/>
    <m/>
    <m/>
    <m/>
    <m/>
    <m/>
  </r>
  <r>
    <x v="36"/>
    <s v="October"/>
    <n v="2019"/>
    <x v="0"/>
    <n v="-3.0000000000000001E-3"/>
    <x v="0"/>
    <n v="285"/>
    <n v="44"/>
    <s v="Federal"/>
    <s v="PSS"/>
    <n v="1E-3"/>
    <s v="AEP"/>
    <s v="LRC-2015-411"/>
    <s v="2019-137-46-MTM-A"/>
    <m/>
    <s v="LaPorte"/>
    <n v="41.721879000000001"/>
    <n v="-86.756603999999996"/>
    <s v="Energy Production"/>
    <m/>
    <s v="No"/>
    <m/>
    <n v="42.75"/>
    <n v="199.5"/>
    <n v="42.75"/>
    <m/>
    <m/>
    <m/>
    <m/>
    <m/>
    <m/>
    <m/>
    <m/>
    <m/>
  </r>
  <r>
    <x v="36"/>
    <s v="October"/>
    <n v="2019"/>
    <x v="0"/>
    <n v="-0.52500000000000002"/>
    <x v="0"/>
    <n v="49875"/>
    <n v="44"/>
    <s v="Federal"/>
    <s v="PFO"/>
    <n v="0.17499999999999999"/>
    <s v="AEP"/>
    <s v="LRC-2015-411"/>
    <s v="2019-137-46-MTM-A"/>
    <m/>
    <s v="LaPorte"/>
    <n v="41.721879000000001"/>
    <n v="-86.756603999999996"/>
    <s v="Energy Production"/>
    <m/>
    <s v="No"/>
    <m/>
    <n v="7481.25"/>
    <n v="34912.5"/>
    <n v="7481.25"/>
    <m/>
    <m/>
    <m/>
    <m/>
    <m/>
    <m/>
    <m/>
    <m/>
    <m/>
  </r>
  <r>
    <x v="37"/>
    <s v="October"/>
    <n v="2019"/>
    <x v="0"/>
    <n v="-1.51"/>
    <x v="0"/>
    <n v="143450"/>
    <n v="57"/>
    <s v="Federal"/>
    <s v="PFO"/>
    <n v="0.33779999999999999"/>
    <s v="AEP"/>
    <s v="LRC-2019-255"/>
    <s v="`2019-200-46-MTM-A"/>
    <m/>
    <s v="LaPorte"/>
    <s v="41. 719149"/>
    <n v="-86.756743999999998"/>
    <s v="Energy Production"/>
    <m/>
    <s v="No"/>
    <m/>
    <n v="21517.5"/>
    <n v="100415"/>
    <n v="21517.5"/>
    <m/>
    <m/>
    <m/>
    <m/>
    <m/>
    <m/>
    <m/>
    <m/>
    <s v="401 WQC also included impacts to 0.0051 acres of PEM"/>
  </r>
  <r>
    <x v="37"/>
    <s v="October"/>
    <n v="2019"/>
    <x v="9"/>
    <n v="-1.774"/>
    <x v="0"/>
    <n v="141920"/>
    <n v="56"/>
    <s v="State Isolated"/>
    <s v="PEM"/>
    <n v="1.774"/>
    <s v="City of Greenwood"/>
    <s v="N/A"/>
    <s v="IWIP 2019-658-41-TMS-A"/>
    <m/>
    <s v="Johnson"/>
    <n v="39.635689999999997"/>
    <n v="-86.065020000000004"/>
    <s v="Development"/>
    <s v="LRL-2014-100-sam/Candace Lee Fink Mitigtion Bank"/>
    <s v="Yes"/>
    <d v="2023-12-05T00:00:00"/>
    <n v="21288"/>
    <n v="99344"/>
    <n v="21288"/>
    <m/>
    <m/>
    <m/>
    <m/>
    <s v="Candace Lee Fink Mitigation Bank"/>
    <m/>
    <m/>
    <m/>
    <s v="Credit fulfilled, purchased from Candace Lee Fink Mitigation Bank.Class I Non-Forested (PEM) Isolated Wetland Impact"/>
  </r>
  <r>
    <x v="38"/>
    <s v="October"/>
    <n v="2019"/>
    <x v="10"/>
    <n v="-1279"/>
    <x v="1"/>
    <n v="511600"/>
    <n v="48"/>
    <s v="Federal"/>
    <s v="Int"/>
    <n v="1066"/>
    <s v="INDOT"/>
    <s v="LRL-2015-749-sjk"/>
    <s v="2017-110-72-SKG-A"/>
    <m/>
    <s v="Scott"/>
    <n v="38.740200000000002"/>
    <n v="-85.753"/>
    <s v="Transportation"/>
    <m/>
    <s v="No"/>
    <m/>
    <n v="76740"/>
    <n v="358120"/>
    <n v="76740"/>
    <m/>
    <m/>
    <m/>
    <m/>
    <m/>
    <m/>
    <m/>
    <m/>
    <m/>
  </r>
  <r>
    <x v="38"/>
    <s v="October"/>
    <n v="2019"/>
    <x v="10"/>
    <n v="-356"/>
    <x v="1"/>
    <n v="142400"/>
    <n v="48"/>
    <s v="Federal"/>
    <s v="Per"/>
    <n v="297"/>
    <s v="INDOT"/>
    <s v="LRL-2015-749-sjk"/>
    <s v="2017-110-72-SKG-A"/>
    <m/>
    <s v="Scott"/>
    <n v="38.740200000000002"/>
    <n v="-85.753"/>
    <s v="Transportation"/>
    <m/>
    <s v="No"/>
    <m/>
    <n v="21360"/>
    <n v="99680"/>
    <n v="21360"/>
    <m/>
    <m/>
    <m/>
    <m/>
    <m/>
    <m/>
    <m/>
    <m/>
    <m/>
  </r>
  <r>
    <x v="38"/>
    <s v="October"/>
    <n v="2019"/>
    <x v="10"/>
    <n v="-1.69"/>
    <x v="0"/>
    <n v="135200"/>
    <n v="48"/>
    <s v="Federal"/>
    <s v="PEM"/>
    <n v="0.70699999999999996"/>
    <s v="INDOT"/>
    <s v="LRL-2015-749-sjk"/>
    <s v="2017-110-72-SKG-A"/>
    <m/>
    <s v="Scott"/>
    <n v="38.740200000000002"/>
    <n v="-85.753"/>
    <s v="Transportation"/>
    <m/>
    <s v="No"/>
    <m/>
    <n v="20280"/>
    <n v="94640"/>
    <n v="20280"/>
    <m/>
    <m/>
    <m/>
    <m/>
    <m/>
    <m/>
    <m/>
    <m/>
    <m/>
  </r>
  <r>
    <x v="38"/>
    <s v="October"/>
    <n v="2019"/>
    <x v="10"/>
    <n v="-0.69"/>
    <x v="0"/>
    <n v="55200"/>
    <n v="48"/>
    <s v="Federal"/>
    <s v="PFO"/>
    <n v="0.16300000000000001"/>
    <s v="INDOT"/>
    <s v="LRL-2015-749-sjk"/>
    <s v="2017-110-72-SKG-A"/>
    <m/>
    <s v="Scott"/>
    <n v="38.740200000000002"/>
    <n v="-85.753"/>
    <s v="Transportation"/>
    <m/>
    <s v="No"/>
    <m/>
    <n v="8280"/>
    <n v="38640"/>
    <n v="8280"/>
    <m/>
    <m/>
    <m/>
    <m/>
    <m/>
    <m/>
    <m/>
    <m/>
    <m/>
  </r>
  <r>
    <x v="39"/>
    <s v="December"/>
    <n v="2019"/>
    <x v="7"/>
    <n v="-8.5299999999999994"/>
    <x v="0"/>
    <n v="682400"/>
    <n v="58"/>
    <s v="Federal"/>
    <s v="PEM"/>
    <n v="5.83"/>
    <s v="INDOT"/>
    <s v="LRL-1999-1520-djd"/>
    <s v="1999-300-10-MBF-A"/>
    <m/>
    <s v="Clark"/>
    <n v="38.291400000000003"/>
    <n v="-85.758399999999995"/>
    <s v="Transportation"/>
    <s v="LRL-2014-100-sam/Fourteeen Mile Creek Mitigation Bank"/>
    <s v="Yes"/>
    <d v="2024-01-22T00:00:00"/>
    <n v="102360"/>
    <n v="477679.99999999994"/>
    <n v="102360"/>
    <m/>
    <m/>
    <m/>
    <m/>
    <s v="Fourteen Mile Creek Mitigation Bank"/>
    <m/>
    <m/>
    <m/>
    <s v="Credit fulfilled, purchased from Fourteen Mile Creek Mitigation Bank.  "/>
  </r>
  <r>
    <x v="39"/>
    <s v="December"/>
    <n v="2019"/>
    <x v="7"/>
    <n v="-2.68"/>
    <x v="0"/>
    <n v="214400"/>
    <n v="58"/>
    <s v="Federal"/>
    <s v="PFO"/>
    <n v="2.02"/>
    <s v="INDOT"/>
    <s v="LRL-1999-1520-djd"/>
    <s v="1999-300-10-MBF-A"/>
    <m/>
    <s v="Clark"/>
    <n v="38.291400000000003"/>
    <n v="-85.758399999999995"/>
    <s v="Transportation"/>
    <s v="LRL-2014-100-sam/Fourteeen Mile Creek Mitigation Bank"/>
    <s v="Yes"/>
    <d v="2024-01-22T00:00:00"/>
    <n v="32160"/>
    <n v="150080"/>
    <n v="32160"/>
    <m/>
    <m/>
    <m/>
    <m/>
    <s v="Fourteen Mile Creek Mitigation Bank"/>
    <m/>
    <m/>
    <m/>
    <s v="Credit fulfilled, purchased from Fourteen Mile Creek Mitigation Bank.  "/>
  </r>
  <r>
    <x v="12"/>
    <m/>
    <m/>
    <x v="11"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</r>
  <r>
    <x v="40"/>
    <s v="January "/>
    <n v="2020"/>
    <x v="3"/>
    <n v="-0.28000000000000003"/>
    <x v="0"/>
    <n v="22400"/>
    <n v="65"/>
    <s v="Federal"/>
    <s v="PFO"/>
    <n v="7.0000000000000007E-2"/>
    <s v="Sabert Corporation"/>
    <s v="LRE-2019-00221-102"/>
    <s v="2019-446-02-WRH-A"/>
    <m/>
    <s v="Allen"/>
    <n v="41.040500999999999"/>
    <n v="-85.186507000000006"/>
    <s v="Development"/>
    <s v="LRL-2014-100-sam/Openings Mitigation Bank "/>
    <s v="Yes"/>
    <s v="11/3/2023 and 1/15/2024"/>
    <n v="3360"/>
    <n v="15680"/>
    <n v="3360"/>
    <m/>
    <m/>
    <m/>
    <m/>
    <s v="Openings Mitigation Bank"/>
    <m/>
    <m/>
    <m/>
    <s v="Credit fulfilled, purchased from Openings Mitigation Bank, partial 1.05 credit on 11/3/2023 and final 0.93 credit on 1/15/2024"/>
  </r>
  <r>
    <x v="40"/>
    <s v="January "/>
    <n v="2020"/>
    <x v="3"/>
    <n v="-1.98"/>
    <x v="0"/>
    <n v="158400"/>
    <n v="65"/>
    <s v="Federal"/>
    <s v="PSS"/>
    <n v="0.66"/>
    <s v="Sabert Corporation"/>
    <s v="LRE-2019-00221-102"/>
    <s v="2019-446-02-WRH-A"/>
    <m/>
    <s v="Allen"/>
    <n v="41.040500999999999"/>
    <n v="-85.186507000000006"/>
    <s v="Development"/>
    <s v="LRL-2014-100-sam/Openings Mitigation Bank "/>
    <s v="Yes"/>
    <d v="2024-01-15T00:00:00"/>
    <n v="23760"/>
    <n v="110880"/>
    <n v="23760"/>
    <m/>
    <m/>
    <m/>
    <m/>
    <s v="Openings Mitigation Bank"/>
    <m/>
    <m/>
    <m/>
    <s v="1.05 credit purchased 11/3/2023 and 0.93 credit purchased on 1/15/2024 to fulfill the 1.98 credits"/>
  </r>
  <r>
    <x v="40"/>
    <s v="January "/>
    <n v="2020"/>
    <x v="3"/>
    <n v="-0.94"/>
    <x v="0"/>
    <n v="75200"/>
    <n v="65"/>
    <s v="State Isolated"/>
    <s v="PFO"/>
    <n v="0.3"/>
    <s v="Sabert Corporation"/>
    <s v="N/A"/>
    <s v="IWIP 2019-446-02-WRH-A"/>
    <m/>
    <s v="Allen"/>
    <n v="41.040500999999999"/>
    <n v="-85.186507000000006"/>
    <s v="Development"/>
    <s v="LRL-2014-100-sam/Openings Mitigation Bank "/>
    <s v="Yes"/>
    <d v="2023-11-03T00:00:00"/>
    <n v="11280"/>
    <n v="52640"/>
    <n v="11280"/>
    <m/>
    <m/>
    <m/>
    <m/>
    <s v="Openings Mitigation Bank"/>
    <m/>
    <m/>
    <m/>
    <s v="Credit fulfilled, purchased from Openings Mitigation Bank.  Class II Forested Isolated Wetland Impact"/>
  </r>
  <r>
    <x v="41"/>
    <s v="January "/>
    <n v="2020"/>
    <x v="9"/>
    <n v="-4362"/>
    <x v="1"/>
    <n v="1962900"/>
    <n v="54"/>
    <s v="Federal"/>
    <s v="Eph"/>
    <n v="3636"/>
    <s v="INDOT "/>
    <s v="LRL-2016-481-dds"/>
    <s v="2019-089-49-JWR-A"/>
    <m/>
    <s v="Morgan &amp; Marion"/>
    <n v="39.697620000000001"/>
    <n v="-86.182540000000003"/>
    <s v="Transportation"/>
    <s v="Mod 1 - LRL-2020-989-sam/ LRL-2021-552-sam/"/>
    <s v="No"/>
    <s v="9/3/2024, 2/6/2025, 5/9/2025"/>
    <n v="294435"/>
    <n v="1374030"/>
    <n v="294435"/>
    <m/>
    <m/>
    <m/>
    <m/>
    <s v="HC Farms release #2/Fall Creek Woods release #1/Fall Creek Woods release #2"/>
    <m/>
    <m/>
    <m/>
    <s v="289/4362 credits fulfilled by HC Farms release #2. 350/4073 credits fulfilled by Fall Creek Woods (FCW) release #1. 3723 credits remaining to fulfill.  350/3723 credits fulfilled by FCW release #2. 3373 credits remaining to be fulfilled. INDOT DES No.0500430"/>
  </r>
  <r>
    <x v="41"/>
    <s v="January "/>
    <n v="2020"/>
    <x v="9"/>
    <n v="-5028"/>
    <x v="1"/>
    <n v="2262600"/>
    <n v="54"/>
    <s v="Federal"/>
    <s v="Int"/>
    <n v="2085"/>
    <s v="INDOT "/>
    <s v="LRL-2016-481-dds"/>
    <s v="2019-089-49-JWR-A"/>
    <m/>
    <s v="Morgan &amp; Marion"/>
    <n v="39.697620000000001"/>
    <n v="-86.182540000000003"/>
    <s v="Transportation"/>
    <m/>
    <s v="No"/>
    <m/>
    <n v="339390"/>
    <n v="1583820"/>
    <n v="339390"/>
    <m/>
    <m/>
    <m/>
    <m/>
    <m/>
    <m/>
    <m/>
    <m/>
    <s v="Corps IP and RGP.  IDEM required more mitigation.  INDOT DES No. 0500430"/>
  </r>
  <r>
    <x v="41"/>
    <s v="January "/>
    <n v="2020"/>
    <x v="9"/>
    <n v="-2688"/>
    <x v="1"/>
    <n v="1209600"/>
    <n v="54"/>
    <s v="Federal"/>
    <s v="Per"/>
    <n v="2240"/>
    <s v="INDOT "/>
    <s v="LRL-2016-481-dds"/>
    <s v="2019-089-49-JWR-A"/>
    <m/>
    <s v="Morgan &amp; Marion"/>
    <n v="39.697620000000001"/>
    <n v="-86.182540000000003"/>
    <s v="Transportation"/>
    <m/>
    <s v="No"/>
    <m/>
    <n v="181440"/>
    <n v="846720"/>
    <n v="181440"/>
    <m/>
    <m/>
    <m/>
    <m/>
    <m/>
    <m/>
    <m/>
    <m/>
    <s v="Corps IP and RGP.  IDEM required more mitigation.  INDOT DES No. 0500430"/>
  </r>
  <r>
    <x v="42"/>
    <s v="January "/>
    <n v="2020"/>
    <x v="7"/>
    <n v="-1080"/>
    <x v="1"/>
    <n v="432000"/>
    <n v="67"/>
    <s v="Federal"/>
    <s v="Int"/>
    <n v="900"/>
    <s v="Iron Street Partners, LLC"/>
    <s v="LRL-2019-222-anr"/>
    <s v="2019-184-10-TMS-V"/>
    <m/>
    <s v="Clark"/>
    <n v="38.345939000000001"/>
    <n v="-85.696188000000006"/>
    <s v="Development"/>
    <m/>
    <s v="No"/>
    <m/>
    <n v="64800"/>
    <n v="302400"/>
    <n v="64800"/>
    <m/>
    <m/>
    <m/>
    <m/>
    <m/>
    <m/>
    <m/>
    <m/>
    <m/>
  </r>
  <r>
    <x v="42"/>
    <s v="January "/>
    <n v="2020"/>
    <x v="10"/>
    <n v="-0.46"/>
    <x v="0"/>
    <n v="36800"/>
    <n v="61"/>
    <s v="Federal"/>
    <s v="PEM"/>
    <n v="0.19"/>
    <s v="INDOT "/>
    <s v="LRL-2018-1010-djd"/>
    <s v="2019-566-36-JBT-A"/>
    <m/>
    <s v="Jackson"/>
    <n v="38.957999999999998"/>
    <n v="-85.858999999999995"/>
    <s v="Transportation"/>
    <m/>
    <s v="No"/>
    <m/>
    <n v="5520"/>
    <n v="25760"/>
    <n v="5520"/>
    <m/>
    <m/>
    <m/>
    <m/>
    <m/>
    <m/>
    <m/>
    <m/>
    <s v="INDOT DES No. 1400090"/>
  </r>
  <r>
    <x v="42"/>
    <s v="January "/>
    <n v="2020"/>
    <x v="10"/>
    <n v="-452"/>
    <x v="1"/>
    <n v="180800"/>
    <n v="61"/>
    <s v="Federal"/>
    <s v="Eph"/>
    <n v="377"/>
    <s v="INDOT "/>
    <s v="LRL-2018-1010-djd"/>
    <s v="2019-566-36-JBT-A"/>
    <m/>
    <s v="Jackson"/>
    <n v="38.957999999999998"/>
    <n v="-85.858999999999995"/>
    <s v="Transportation"/>
    <m/>
    <s v="No"/>
    <m/>
    <n v="27120"/>
    <n v="126559.99999999999"/>
    <n v="27120"/>
    <m/>
    <m/>
    <m/>
    <m/>
    <m/>
    <m/>
    <m/>
    <m/>
    <s v="INDOT DES No. 1400090"/>
  </r>
  <r>
    <x v="42"/>
    <s v="January "/>
    <n v="2020"/>
    <x v="10"/>
    <n v="-30"/>
    <x v="1"/>
    <n v="12000"/>
    <n v="61"/>
    <s v="Federal"/>
    <s v="Int"/>
    <n v="25"/>
    <s v="INDOT "/>
    <s v="LRL-2018-1010-djd"/>
    <s v="2019-566-36-JBT-A"/>
    <m/>
    <s v="Jackson"/>
    <n v="38.957999999999998"/>
    <n v="-85.858999999999995"/>
    <s v="Transportation"/>
    <m/>
    <s v="No"/>
    <m/>
    <n v="1800"/>
    <n v="8400"/>
    <n v="1800"/>
    <m/>
    <m/>
    <m/>
    <m/>
    <m/>
    <m/>
    <m/>
    <m/>
    <s v="INDOT DES No. 1400090"/>
  </r>
  <r>
    <x v="43"/>
    <s v="January "/>
    <n v="2020"/>
    <x v="3"/>
    <n v="-0.64"/>
    <x v="0"/>
    <n v="51200"/>
    <n v="69"/>
    <s v="Federal"/>
    <s v="PEM"/>
    <n v="0.18"/>
    <s v="DeKalb County Airport Authority"/>
    <s v="LRE-1989-1170052-R17"/>
    <s v="2017-397-17-HAP-A"/>
    <m/>
    <s v="DeKalb"/>
    <n v="41.301699999999997"/>
    <n v="-85.07"/>
    <s v="Transportation"/>
    <s v="LRL-2014-100-sam/Openings Mitigation Bank "/>
    <s v="Yes"/>
    <d v="2023-11-03T00:00:00"/>
    <n v="7680"/>
    <n v="35840"/>
    <n v="7680"/>
    <m/>
    <m/>
    <m/>
    <m/>
    <s v="Openings Mitigation Bank"/>
    <m/>
    <m/>
    <m/>
    <s v="Credit fulfilled, purchased from Openings Mitigation Bank"/>
  </r>
  <r>
    <x v="43"/>
    <s v="January "/>
    <n v="2020"/>
    <x v="3"/>
    <n v="-6.37"/>
    <x v="0"/>
    <n v="509600"/>
    <n v="69"/>
    <s v="Federal"/>
    <s v="PFO"/>
    <n v="0.02"/>
    <s v="DeKalb County Airport Authority"/>
    <s v="LRE-1989-1170052-R17"/>
    <s v="2017-397-17-HAP-A"/>
    <m/>
    <s v="DeKalb"/>
    <n v="41.301699999999997"/>
    <n v="-85.07"/>
    <s v="Transportation"/>
    <s v="LRL-2014-100-sam/Openings Mitigation Bank "/>
    <s v="Yes"/>
    <d v="2023-11-03T00:00:00"/>
    <n v="76440"/>
    <n v="356720"/>
    <n v="76440"/>
    <m/>
    <m/>
    <m/>
    <m/>
    <s v="Openings Mitigation Bank"/>
    <m/>
    <m/>
    <m/>
    <s v="Credit fulfilled, purchased from Openings Mitigation Bank.  IDEM recorded additional PFO impacts due to converting 2.08 acres of forested wetlands to emergent. "/>
  </r>
  <r>
    <x v="44"/>
    <s v="January "/>
    <n v="2020"/>
    <x v="2"/>
    <n v="-245"/>
    <x v="1"/>
    <n v="98000"/>
    <n v="64"/>
    <s v="Federal"/>
    <s v="Int"/>
    <n v="245"/>
    <s v="TBH, LLC"/>
    <s v="Not Applicable"/>
    <s v="2019-567-60-TMS-A"/>
    <m/>
    <s v="Owen"/>
    <n v="39.291739999999997"/>
    <n v="-86.755350000000007"/>
    <s v="Development"/>
    <m/>
    <s v="No"/>
    <m/>
    <n v="14700"/>
    <n v="68600"/>
    <n v="14700"/>
    <m/>
    <m/>
    <m/>
    <m/>
    <m/>
    <m/>
    <m/>
    <m/>
    <s v="No USACE number due to minimal impacts (&lt;300 LF) and no notification"/>
  </r>
  <r>
    <x v="45"/>
    <s v="January "/>
    <n v="2020"/>
    <x v="5"/>
    <n v="-342.6"/>
    <x v="1"/>
    <n v="137040"/>
    <n v="62"/>
    <s v="Federal"/>
    <s v="Eph"/>
    <n v="382.1"/>
    <s v="INDOT "/>
    <s v="LRL-2019-698-scm"/>
    <s v="2019-625-87-JBT-A"/>
    <m/>
    <s v="Warrick"/>
    <n v="38.039839999999998"/>
    <n v="-87.244799999999998"/>
    <s v="Transportation"/>
    <m/>
    <s v="No"/>
    <m/>
    <n v="20556"/>
    <n v="95928"/>
    <n v="20556"/>
    <m/>
    <m/>
    <m/>
    <m/>
    <m/>
    <m/>
    <m/>
    <m/>
    <s v="INDOT DES No. 1500052"/>
  </r>
  <r>
    <x v="46"/>
    <s v="January "/>
    <n v="2020"/>
    <x v="0"/>
    <n v="-0.43"/>
    <x v="0"/>
    <n v="40850"/>
    <n v="41"/>
    <s v="Federal"/>
    <s v="PEM"/>
    <n v="0.23"/>
    <s v="Providence Real Estate Development"/>
    <s v="LRC-2018-305"/>
    <s v="2018-554-45-MTM-A"/>
    <m/>
    <s v="Lake"/>
    <n v="41.46067"/>
    <n v="-87.405949000000007"/>
    <s v="Development"/>
    <m/>
    <s v="No"/>
    <m/>
    <n v="6127.5"/>
    <n v="28595"/>
    <n v="6127.5"/>
    <m/>
    <m/>
    <m/>
    <m/>
    <m/>
    <m/>
    <m/>
    <m/>
    <s v="Funds received by INRF August 2019; INRF receipt sent to DNR in January 2020 due to oversight. "/>
  </r>
  <r>
    <x v="47"/>
    <s v="February"/>
    <n v="2020"/>
    <x v="3"/>
    <n v="-740"/>
    <x v="1"/>
    <n v="333000"/>
    <n v="71"/>
    <s v="Federal"/>
    <s v="Per"/>
    <n v="996"/>
    <s v="City of Fort Wayne - Parks and Recreation"/>
    <s v="LRE-2015-01011-102"/>
    <s v="2017-201-02-HAP-A"/>
    <m/>
    <s v="Allen"/>
    <n v="41.082869000000002"/>
    <n v="-85.149878000000001"/>
    <s v="Development"/>
    <m/>
    <s v="No"/>
    <m/>
    <n v="49950"/>
    <n v="233099.99999999997"/>
    <n v="49950"/>
    <m/>
    <m/>
    <m/>
    <m/>
    <m/>
    <m/>
    <m/>
    <m/>
    <m/>
  </r>
  <r>
    <x v="47"/>
    <s v="February"/>
    <n v="2020"/>
    <x v="3"/>
    <n v="-1.1085"/>
    <x v="0"/>
    <n v="88680"/>
    <n v="71"/>
    <s v="Federal"/>
    <s v="PFO"/>
    <n v="0.26"/>
    <s v="City of Fort Wayne - Parks and Recreation"/>
    <s v="LRE-2015-01011-102"/>
    <s v="2017-201-02-HAP-A"/>
    <m/>
    <s v="Allen"/>
    <n v="41.082869000000002"/>
    <n v="-85.149878000000001"/>
    <s v="Development"/>
    <m/>
    <s v="No"/>
    <m/>
    <n v="13302"/>
    <n v="62075.999999999993"/>
    <n v="13302"/>
    <m/>
    <m/>
    <m/>
    <m/>
    <m/>
    <m/>
    <m/>
    <m/>
    <m/>
  </r>
  <r>
    <x v="47"/>
    <s v="February"/>
    <n v="2020"/>
    <x v="8"/>
    <n v="-174"/>
    <x v="1"/>
    <n v="69600"/>
    <n v="75"/>
    <s v="Federal"/>
    <s v="Per"/>
    <n v="174"/>
    <s v="Kelley Auto Real Estate, LLC &amp; Menards, Inc."/>
    <s v="LRE-2018-00428-102-R18"/>
    <s v="2018-627-02-MTM-A"/>
    <m/>
    <s v="Allen"/>
    <n v="41.078288999999998"/>
    <n v="-85.225233000000003"/>
    <s v="Development"/>
    <m/>
    <s v="No"/>
    <m/>
    <n v="10440"/>
    <n v="48720"/>
    <n v="10440"/>
    <m/>
    <m/>
    <m/>
    <m/>
    <m/>
    <m/>
    <m/>
    <m/>
    <s v="Corps RGP did not require mitigation - IDEM 401 WQC required mitigation"/>
  </r>
  <r>
    <x v="48"/>
    <s v="February"/>
    <n v="2020"/>
    <x v="0"/>
    <n v="-0.74099999999999999"/>
    <x v="0"/>
    <n v="70395"/>
    <n v="76"/>
    <s v="Federal"/>
    <s v="PEM"/>
    <n v="0.49399999999999999"/>
    <s v="City of Crown Point"/>
    <s v="LRC-2019-948"/>
    <s v="2019-793-45-MTM-A"/>
    <m/>
    <s v="Lake"/>
    <n v="41.420119999999997"/>
    <n v="-87.31165"/>
    <s v="Transportation"/>
    <m/>
    <s v="No"/>
    <m/>
    <n v="10559.25"/>
    <n v="49276.5"/>
    <n v="10559.25"/>
    <m/>
    <m/>
    <m/>
    <m/>
    <m/>
    <m/>
    <m/>
    <m/>
    <m/>
  </r>
  <r>
    <x v="48"/>
    <s v="February"/>
    <n v="2020"/>
    <x v="9"/>
    <n v="-0.504"/>
    <x v="0"/>
    <n v="40320"/>
    <n v="80"/>
    <s v="Federal"/>
    <s v="PEM"/>
    <n v="0.21"/>
    <s v="Raindrop, LLC"/>
    <s v="LRL-2018-107-LCL"/>
    <s v="2019-079-32-JMK-A"/>
    <m/>
    <s v="Hendricks"/>
    <n v="39.624200000000002"/>
    <n v="-86.468299999999999"/>
    <s v="Development"/>
    <s v="LRL-2014-100-sam/Candace Lee Fink Mitigtion Bank"/>
    <s v="Yes"/>
    <d v="2023-12-05T00:00:00"/>
    <n v="6048"/>
    <n v="28224"/>
    <n v="6048"/>
    <m/>
    <m/>
    <m/>
    <m/>
    <s v="Candace Lee Fink Mitigation Bank"/>
    <m/>
    <m/>
    <m/>
    <s v="Credit fulfilled, purchased from Candace Lee Fink Mitigation Bank"/>
  </r>
  <r>
    <x v="48"/>
    <s v="February"/>
    <n v="2020"/>
    <x v="9"/>
    <n v="-0.11"/>
    <x v="0"/>
    <n v="8800"/>
    <n v="80"/>
    <s v="Federal"/>
    <s v="PSS"/>
    <n v="0.03"/>
    <s v="Raindrop, LLC"/>
    <s v="LRL-2018-107-LCL"/>
    <s v="2019-079-32-JMK-A"/>
    <m/>
    <s v="Hendricks"/>
    <n v="39.624200000000002"/>
    <n v="-86.468299999999999"/>
    <s v="Development"/>
    <s v="LRL-2014-100-sam/Candace Lee Fink Mitigtion Bank"/>
    <s v="Yes"/>
    <d v="2023-12-05T00:00:00"/>
    <n v="1320"/>
    <n v="6160"/>
    <n v="1320"/>
    <m/>
    <m/>
    <m/>
    <m/>
    <s v="Candace Lee Fink Mitigation Bank"/>
    <m/>
    <m/>
    <m/>
    <s v="Credit fulfilled, purchased from Candace Lee Fink Mitigation Bank"/>
  </r>
  <r>
    <x v="48"/>
    <s v="February"/>
    <n v="2020"/>
    <x v="9"/>
    <n v="-1.042"/>
    <x v="0"/>
    <n v="83360"/>
    <n v="80"/>
    <s v="Federal"/>
    <s v="PFO"/>
    <n v="0.28999999999999998"/>
    <s v="Raindrop, LLC"/>
    <s v="LRL-2018-107-LCL"/>
    <s v="2019-079-32-JMK-A"/>
    <m/>
    <s v="Hendricks"/>
    <n v="39.624200000000002"/>
    <n v="-86.468299999999999"/>
    <s v="Development"/>
    <s v="LRL-2014-100-sam/Candace Lee Fink Mitigtion Bank"/>
    <s v="Yes"/>
    <d v="2023-12-05T00:00:00"/>
    <n v="12504"/>
    <n v="58351.999999999993"/>
    <n v="12504"/>
    <m/>
    <m/>
    <m/>
    <m/>
    <s v="Candace Lee Fink Mitigation Bank"/>
    <m/>
    <m/>
    <m/>
    <s v="Credit fulfilled, purchased from Candace Lee Fink Mitigation Bank"/>
  </r>
  <r>
    <x v="48"/>
    <s v="February"/>
    <n v="2020"/>
    <x v="9"/>
    <n v="-1.95"/>
    <x v="0"/>
    <n v="156000"/>
    <n v="80"/>
    <s v="State Isolated"/>
    <s v="PEM"/>
    <n v="1.95"/>
    <s v="Raindrop, LLC"/>
    <s v="N/A"/>
    <s v="IWIP 2019-079-32-JMK-A "/>
    <m/>
    <s v="Hendricks"/>
    <n v="39.624200000000002"/>
    <n v="-86.468299999999999"/>
    <s v="Development"/>
    <s v="LRL-2014-100-sam/Candace Lee Fink Mitigtion Bank"/>
    <s v="Yes"/>
    <d v="2023-12-05T00:00:00"/>
    <n v="23400"/>
    <n v="109200"/>
    <n v="23400"/>
    <m/>
    <m/>
    <m/>
    <m/>
    <s v="Candace Lee Fink Mitigation Bank"/>
    <m/>
    <m/>
    <m/>
    <s v="Credit fulfilled, purchased from Candace Lee Fink Mitigation Bank.  1.85 credit of the 1.95 credits were refunded to permittee on 1/25/2022, requiring only 0.1 credit to be fulfilled.Class I Non-Forested (PEM) Isolated Wetland Impact"/>
  </r>
  <r>
    <x v="48"/>
    <s v="February"/>
    <n v="2020"/>
    <x v="9"/>
    <n v="-0.65"/>
    <x v="0"/>
    <n v="52000"/>
    <n v="80"/>
    <s v="State Isolated"/>
    <s v="PFO"/>
    <n v="0.26"/>
    <s v="Raindrop, LLC"/>
    <s v="N/A"/>
    <s v="IWIP 2019-079-32-JMK-A "/>
    <m/>
    <s v="Hendricks"/>
    <n v="39.624200000000002"/>
    <n v="-86.468299999999999"/>
    <s v="Development"/>
    <s v="LRL-2014-100-sam/Candace Lee Fink Mitigtion Bank"/>
    <s v="Yes"/>
    <d v="2023-12-05T00:00:00"/>
    <n v="7800"/>
    <n v="36400"/>
    <n v="7800"/>
    <m/>
    <m/>
    <m/>
    <m/>
    <s v="Candace Lee Fink Mitigation Bank"/>
    <m/>
    <m/>
    <m/>
    <s v="Credit fulfilled, purchased from Candace Lee Fink Mitigation BankClass II Forested Isolated Wetland Impact"/>
  </r>
  <r>
    <x v="48"/>
    <s v="February"/>
    <n v="2020"/>
    <x v="9"/>
    <n v="-300"/>
    <x v="1"/>
    <n v="135000"/>
    <n v="74"/>
    <s v="Federal"/>
    <s v="Int"/>
    <n v="333.3"/>
    <s v="Town of Zionsville"/>
    <s v="LRL-2019-585-sam"/>
    <s v="2019-600-06-ALF-A"/>
    <m/>
    <s v="Boone"/>
    <n v="39.939478000000001"/>
    <n v="-86.259861000000001"/>
    <s v="Transportation"/>
    <m/>
    <s v="No"/>
    <m/>
    <n v="20250"/>
    <n v="94500"/>
    <n v="20250"/>
    <m/>
    <m/>
    <m/>
    <m/>
    <m/>
    <m/>
    <m/>
    <m/>
    <s v="Corps issued Indiana RGP No. 1 requiring to meet IDEM conditions in which required the ILF stream mitigation credits"/>
  </r>
  <r>
    <x v="49"/>
    <s v="February"/>
    <n v="2020"/>
    <x v="4"/>
    <n v="-0.18"/>
    <x v="0"/>
    <n v="14400"/>
    <n v="77"/>
    <s v="Federal"/>
    <s v="PSS"/>
    <n v="0.18"/>
    <s v="Jordan Creek Wind Farm, LLC"/>
    <s v="LRL-2019-990-lcl"/>
    <s v="2019-828-86-MTM-X"/>
    <m/>
    <s v="Warren, Benton &amp; Vermillion"/>
    <n v="40.418909999999997"/>
    <n v="-87.442430000000002"/>
    <s v="Energy Production"/>
    <m/>
    <s v="No"/>
    <m/>
    <n v="2160"/>
    <n v="10080"/>
    <n v="2160"/>
    <m/>
    <m/>
    <m/>
    <m/>
    <m/>
    <m/>
    <m/>
    <m/>
    <s v="Mitigation only required by IDEM "/>
  </r>
  <r>
    <x v="50"/>
    <s v="March"/>
    <n v="2020"/>
    <x v="10"/>
    <n v="-168"/>
    <x v="1"/>
    <n v="67200"/>
    <n v="85"/>
    <s v="Federal"/>
    <s v="Eph"/>
    <n v="140"/>
    <s v="Wal-Mart Compliance"/>
    <s v="LRL-2010-705-sam"/>
    <s v="2010-554-40-DDC-A"/>
    <m/>
    <s v="Jennings"/>
    <n v="39.020642000000002"/>
    <n v="-85.638099999999994"/>
    <s v="Development"/>
    <m/>
    <s v="No"/>
    <m/>
    <n v="10080"/>
    <n v="47040"/>
    <n v="10080"/>
    <m/>
    <m/>
    <m/>
    <m/>
    <m/>
    <m/>
    <m/>
    <m/>
    <s v="Credit purchase a result of failed mitigation, Credits purchased by Kleenco on Wal-Marts behalf"/>
  </r>
  <r>
    <x v="50"/>
    <s v="March"/>
    <n v="2020"/>
    <x v="10"/>
    <n v="-1.2"/>
    <x v="0"/>
    <n v="96000"/>
    <n v="85"/>
    <s v="Federal"/>
    <s v="PEM"/>
    <n v="0.91"/>
    <s v="Wal-Mart Compliance"/>
    <s v="LRL-2010-705-sam"/>
    <s v="2010-554-40-DDC-A"/>
    <m/>
    <s v="Jennings"/>
    <n v="39.020642000000002"/>
    <n v="-85.638099999999994"/>
    <s v="Development"/>
    <m/>
    <s v="No"/>
    <m/>
    <n v="14400"/>
    <n v="67200"/>
    <n v="14400"/>
    <m/>
    <m/>
    <m/>
    <m/>
    <m/>
    <m/>
    <m/>
    <m/>
    <s v="Credit purchase a result of failed mitigation, Credits purchased by Kleenco on Wal-Marts behalf"/>
  </r>
  <r>
    <x v="50"/>
    <s v="March"/>
    <n v="2020"/>
    <x v="10"/>
    <n v="-0.14000000000000001"/>
    <x v="0"/>
    <n v="11200"/>
    <n v="85"/>
    <s v="Federal"/>
    <s v="PSS"/>
    <n v="0.04"/>
    <s v="Wal-Mart Compliance"/>
    <s v="LRL-2010-705-sam"/>
    <s v="2010-554-40-DDC-A"/>
    <m/>
    <s v="Jennings"/>
    <n v="39.020642000000002"/>
    <n v="-85.638099999999994"/>
    <s v="Development"/>
    <m/>
    <s v="No"/>
    <m/>
    <n v="1680"/>
    <n v="7839.9999999999991"/>
    <n v="1680"/>
    <m/>
    <m/>
    <m/>
    <m/>
    <m/>
    <m/>
    <m/>
    <m/>
    <s v="Credit purchase a result of failed mitigation, Credits purchased by Kleenco on Wal-Marts behalf"/>
  </r>
  <r>
    <x v="51"/>
    <s v="March"/>
    <n v="2020"/>
    <x v="0"/>
    <n v="-2.16"/>
    <x v="0"/>
    <n v="205200"/>
    <n v="83"/>
    <s v="Federal"/>
    <s v="PFO"/>
    <n v="0.9"/>
    <s v="A Safe Haven Foundation"/>
    <s v="LRC-2018-674"/>
    <s v="2019-564-45-MTM-A"/>
    <m/>
    <s v="Lake"/>
    <n v="41.474299999999999"/>
    <n v="-87.305679999999995"/>
    <s v="Development"/>
    <m/>
    <s v="No"/>
    <m/>
    <n v="30780"/>
    <n v="143640"/>
    <n v="30780"/>
    <m/>
    <m/>
    <m/>
    <m/>
    <m/>
    <m/>
    <m/>
    <m/>
    <m/>
  </r>
  <r>
    <x v="52"/>
    <s v="March"/>
    <n v="2020"/>
    <x v="5"/>
    <n v="-1.76"/>
    <x v="0"/>
    <n v="140800"/>
    <n v="87"/>
    <s v="Federal"/>
    <s v="PFO"/>
    <n v="0.44"/>
    <s v="Evansville Water &amp; Sewer Utility "/>
    <s v="LRL-2019-631-mad"/>
    <s v="2019-475-82-TMS-A "/>
    <m/>
    <s v="Vanderburgh"/>
    <n v="37.954315999999999"/>
    <n v="-87.570311000000004"/>
    <s v="Development"/>
    <m/>
    <s v="No"/>
    <m/>
    <n v="21120"/>
    <n v="98560"/>
    <n v="21120"/>
    <m/>
    <m/>
    <m/>
    <m/>
    <m/>
    <m/>
    <m/>
    <m/>
    <m/>
  </r>
  <r>
    <x v="53"/>
    <s v="March"/>
    <n v="2020"/>
    <x v="6"/>
    <n v="-0.42"/>
    <x v="0"/>
    <n v="50400"/>
    <n v="88"/>
    <s v="Federal"/>
    <s v="PEM"/>
    <n v="0.21"/>
    <s v="P.W. Reality, LLC"/>
    <s v="LRE-2014-00296-143-R20"/>
    <s v="2020-54-43-JWR-X"/>
    <m/>
    <s v="Kosciusko"/>
    <n v="41.426081000000003"/>
    <n v="-85.762451999999996"/>
    <s v="Development"/>
    <m/>
    <s v="No"/>
    <m/>
    <n v="7560"/>
    <n v="35280"/>
    <n v="7560"/>
    <m/>
    <m/>
    <m/>
    <m/>
    <m/>
    <m/>
    <m/>
    <m/>
    <m/>
  </r>
  <r>
    <x v="53"/>
    <s v="March"/>
    <n v="2020"/>
    <x v="9"/>
    <n v="-0.03"/>
    <x v="0"/>
    <n v="2400"/>
    <n v="89"/>
    <s v="State Isolated"/>
    <s v="PEM"/>
    <n v="0.03"/>
    <s v="Westfield Commercial Ventures, LLC"/>
    <s v="N/A"/>
    <s v="IWGP 2020-64-29-ALF-A"/>
    <m/>
    <s v="Hamilton"/>
    <n v="40.044176999999998"/>
    <n v="-86.156177999999997"/>
    <s v="Development"/>
    <s v="LRL-2014-100-sam/Candace Lee Fink Mitigtion Bank"/>
    <s v="Yes"/>
    <d v="2023-12-05T00:00:00"/>
    <n v="360"/>
    <n v="1680"/>
    <n v="360"/>
    <m/>
    <m/>
    <m/>
    <m/>
    <s v="Candace Lee Fink Mitigation Bank"/>
    <m/>
    <m/>
    <m/>
    <s v="Credit fulfilled, purchased from Candace Lee Fink Mitigation Bank.  State Isolated Wetland General Permit for Class I Non-Forested wetland"/>
  </r>
  <r>
    <x v="54"/>
    <s v="March"/>
    <n v="2020"/>
    <x v="2"/>
    <n v="-186"/>
    <x v="1"/>
    <n v="74400"/>
    <n v="81"/>
    <s v="Federal"/>
    <s v="Int"/>
    <n v="186"/>
    <s v="INDOT "/>
    <s v="LRL-2019-872-djd"/>
    <s v="2019-647-36-JBT-A"/>
    <m/>
    <s v="Jackson"/>
    <n v="38.94744"/>
    <n v="-86.124170000000007"/>
    <s v="Transportation"/>
    <m/>
    <s v="No"/>
    <m/>
    <n v="11160"/>
    <n v="52080"/>
    <n v="11160"/>
    <m/>
    <m/>
    <m/>
    <m/>
    <m/>
    <m/>
    <m/>
    <m/>
    <s v="Corps issued Indiana RGP requiring to meet IDEM conditions required the ILF stream mitigation credits"/>
  </r>
  <r>
    <x v="54"/>
    <s v="March"/>
    <n v="2020"/>
    <x v="2"/>
    <n v="-86"/>
    <x v="1"/>
    <n v="34400"/>
    <n v="81"/>
    <s v="Federal"/>
    <s v="Per"/>
    <n v="86"/>
    <s v="INDOT "/>
    <s v="LRL-2019-872-djd"/>
    <s v="2019-647-36-JBT-A"/>
    <m/>
    <s v="Jackson"/>
    <n v="38.94744"/>
    <n v="-86.124170000000007"/>
    <s v="Transportation"/>
    <m/>
    <s v="No"/>
    <m/>
    <n v="5160"/>
    <n v="24080"/>
    <n v="5160"/>
    <m/>
    <m/>
    <m/>
    <m/>
    <m/>
    <m/>
    <m/>
    <m/>
    <s v="Corps issued Indiana RGP requiring to meet IDEM conditions required the ILF stream mitigation credits"/>
  </r>
  <r>
    <x v="54"/>
    <s v="March"/>
    <n v="2020"/>
    <x v="2"/>
    <n v="-500"/>
    <x v="1"/>
    <n v="200000"/>
    <n v="78"/>
    <s v="Federal"/>
    <s v="Eph"/>
    <n v="417"/>
    <s v="INDOT "/>
    <s v="LRL-2019-972-scm"/>
    <s v="2019-735-19-JBT-A"/>
    <m/>
    <s v="Dubois"/>
    <n v="38.480975000000001"/>
    <n v="-86.864420999999993"/>
    <s v="Transportation"/>
    <m/>
    <s v="No"/>
    <m/>
    <n v="30000"/>
    <n v="140000"/>
    <n v="30000"/>
    <m/>
    <m/>
    <m/>
    <m/>
    <m/>
    <m/>
    <m/>
    <m/>
    <m/>
  </r>
  <r>
    <x v="54"/>
    <s v="March"/>
    <n v="2020"/>
    <x v="2"/>
    <n v="-74"/>
    <x v="1"/>
    <n v="29600"/>
    <n v="78"/>
    <s v="Federal"/>
    <s v="Int"/>
    <n v="62"/>
    <s v="INDOT "/>
    <s v="LRL-2019-972-scm"/>
    <s v="2019-735-19-JBT-A"/>
    <m/>
    <s v="Dubois"/>
    <n v="38.480975000000001"/>
    <n v="-86.864420999999993"/>
    <s v="Transportation"/>
    <m/>
    <s v="No"/>
    <m/>
    <n v="4440"/>
    <n v="20720"/>
    <n v="4440"/>
    <m/>
    <m/>
    <m/>
    <m/>
    <m/>
    <m/>
    <m/>
    <m/>
    <m/>
  </r>
  <r>
    <x v="54"/>
    <s v="March"/>
    <n v="2020"/>
    <x v="9"/>
    <n v="-0.31"/>
    <x v="0"/>
    <n v="24800"/>
    <n v="92"/>
    <s v="State Isolated"/>
    <s v="PSS"/>
    <n v="0.13"/>
    <s v="Raindrop, LLC"/>
    <s v="N/A"/>
    <s v="IWGP 2018-169-32-JMK-A"/>
    <m/>
    <s v="Hendricks"/>
    <n v="39.623136000000002"/>
    <n v="-86.477220000000003"/>
    <s v="Development"/>
    <s v="LRL-2014-100-sam/Candace Lee Fink Mitigtion Bank"/>
    <s v="Yes"/>
    <d v="2023-12-05T00:00:00"/>
    <n v="3720"/>
    <n v="17360"/>
    <n v="3720"/>
    <m/>
    <m/>
    <m/>
    <m/>
    <s v="Candace Lee Fink Mitigation Bank"/>
    <m/>
    <m/>
    <m/>
    <s v="Credit fulfilled, purchased from Candace Lee Fink Mitigation Bank.  State Isolated Wetland General Permit for Class II Scrub-Shrub wetland"/>
  </r>
  <r>
    <x v="55"/>
    <s v="March"/>
    <n v="2020"/>
    <x v="10"/>
    <n v="-144"/>
    <x v="1"/>
    <n v="57600"/>
    <n v="72"/>
    <s v="Federal"/>
    <s v="Int"/>
    <n v="120"/>
    <s v="Arbor Homes"/>
    <s v="LRL-2016-1055-sjk"/>
    <s v="2019-731-30-ALF-A"/>
    <m/>
    <s v="Hancock"/>
    <n v="39.808100000000003"/>
    <n v="-85.926100000000005"/>
    <s v="Development"/>
    <m/>
    <s v="No"/>
    <m/>
    <n v="8640"/>
    <n v="40320"/>
    <n v="8640"/>
    <m/>
    <m/>
    <m/>
    <m/>
    <m/>
    <m/>
    <m/>
    <m/>
    <m/>
  </r>
  <r>
    <x v="55"/>
    <s v="March"/>
    <n v="2020"/>
    <x v="10"/>
    <n v="-0.2"/>
    <x v="0"/>
    <n v="16000"/>
    <n v="72"/>
    <s v="Federal"/>
    <s v="PEM"/>
    <n v="7.0000000000000007E-2"/>
    <s v="Arbor Homes"/>
    <s v="LRL-2016-1055-sjk"/>
    <s v="2019-731-30-ALF-A"/>
    <m/>
    <s v="Hancock"/>
    <n v="39.808100000000003"/>
    <n v="-85.926100000000005"/>
    <s v="Development"/>
    <m/>
    <s v="No"/>
    <m/>
    <n v="2400"/>
    <n v="11200"/>
    <n v="2400"/>
    <m/>
    <m/>
    <m/>
    <m/>
    <m/>
    <m/>
    <m/>
    <m/>
    <m/>
  </r>
  <r>
    <x v="55"/>
    <s v="March"/>
    <n v="2020"/>
    <x v="10"/>
    <n v="-0.36799999999999999"/>
    <x v="0"/>
    <n v="29440"/>
    <n v="72"/>
    <s v="Federal"/>
    <s v="PFO"/>
    <n v="0.1"/>
    <s v="Arbor Homes"/>
    <s v="LRL-2016-1055-sjk"/>
    <s v="2019-731-30-ALF-A"/>
    <m/>
    <s v="Hancock"/>
    <n v="39.808100000000003"/>
    <n v="-85.926100000000005"/>
    <s v="Development"/>
    <m/>
    <s v="No"/>
    <m/>
    <n v="4416"/>
    <n v="20608"/>
    <n v="4416"/>
    <m/>
    <m/>
    <m/>
    <m/>
    <m/>
    <m/>
    <m/>
    <m/>
    <m/>
  </r>
  <r>
    <x v="56"/>
    <s v="March"/>
    <n v="2020"/>
    <x v="9"/>
    <n v="-8"/>
    <x v="1"/>
    <n v="3600"/>
    <n v="73"/>
    <s v="Federal"/>
    <s v="Int"/>
    <n v="8"/>
    <s v="Hendricks County Highway Department"/>
    <s v="LRL-2019-395-MKD"/>
    <s v="2019-542-32-JMK-A"/>
    <m/>
    <s v="Hendricks"/>
    <n v="39.615389999999998"/>
    <n v="-86.503309999999999"/>
    <s v="Transportation"/>
    <m/>
    <s v="No"/>
    <m/>
    <n v="540"/>
    <n v="2520"/>
    <n v="540"/>
    <m/>
    <m/>
    <m/>
    <m/>
    <m/>
    <m/>
    <m/>
    <m/>
    <s v="Corps RGP - 401 WQC mitigation required"/>
  </r>
  <r>
    <x v="56"/>
    <s v="March"/>
    <n v="2020"/>
    <x v="9"/>
    <n v="-122"/>
    <x v="1"/>
    <n v="54900"/>
    <n v="73"/>
    <s v="Federal"/>
    <s v="Per"/>
    <n v="122"/>
    <s v="Hendricks County Highway Department"/>
    <s v="LRL-2019-395-MKD"/>
    <s v="2019-542-32-JMK-A"/>
    <m/>
    <s v="Hendricks"/>
    <n v="39.615389999999998"/>
    <n v="-86.503309999999999"/>
    <s v="Transportation"/>
    <m/>
    <s v="No"/>
    <m/>
    <n v="8235"/>
    <n v="38430"/>
    <n v="8235"/>
    <m/>
    <m/>
    <m/>
    <m/>
    <m/>
    <m/>
    <m/>
    <m/>
    <s v="Corps RGP - 401 WQC mitigation required"/>
  </r>
  <r>
    <x v="57"/>
    <s v="April"/>
    <n v="2020"/>
    <x v="0"/>
    <n v="-8"/>
    <x v="1"/>
    <n v="4800"/>
    <n v="66"/>
    <s v="Federal"/>
    <s v="Per"/>
    <n v="8"/>
    <s v="INDOT "/>
    <s v="LRC-2019-181"/>
    <s v="2019-133-64-JBT-A"/>
    <m/>
    <s v="Porter"/>
    <n v="41.587400000000002"/>
    <n v="-87.124600000000001"/>
    <s v="Transportation"/>
    <m/>
    <s v="No"/>
    <m/>
    <n v="720"/>
    <n v="3360"/>
    <n v="720"/>
    <m/>
    <m/>
    <m/>
    <m/>
    <m/>
    <m/>
    <m/>
    <m/>
    <m/>
  </r>
  <r>
    <x v="57"/>
    <s v="April"/>
    <n v="2020"/>
    <x v="0"/>
    <n v="-0.53200000000000003"/>
    <x v="0"/>
    <n v="50540"/>
    <n v="66"/>
    <s v="Federal"/>
    <s v="PFO"/>
    <n v="0.13300000000000001"/>
    <s v="INDOT "/>
    <s v="LRC-2019-181"/>
    <s v="2019-133-64-JBT-A"/>
    <m/>
    <s v="Porter"/>
    <n v="41.587400000000002"/>
    <n v="-87.124600000000001"/>
    <s v="Transportation"/>
    <m/>
    <s v="No"/>
    <m/>
    <n v="7581"/>
    <n v="35378"/>
    <n v="7581"/>
    <m/>
    <m/>
    <m/>
    <m/>
    <m/>
    <m/>
    <m/>
    <m/>
    <m/>
  </r>
  <r>
    <x v="57"/>
    <s v="April"/>
    <n v="2020"/>
    <x v="0"/>
    <n v="-0.38"/>
    <x v="0"/>
    <n v="36100"/>
    <n v="66"/>
    <s v="Federal"/>
    <s v="PEM"/>
    <n v="0.19"/>
    <s v="INDOT "/>
    <s v="LRC-2019-181"/>
    <s v="2019-133-64-JBT-A"/>
    <m/>
    <s v="Porter"/>
    <n v="41.587400000000002"/>
    <n v="-87.124600000000001"/>
    <s v="Transportation"/>
    <m/>
    <s v="No"/>
    <m/>
    <n v="5415"/>
    <n v="25270"/>
    <n v="5415"/>
    <m/>
    <m/>
    <m/>
    <m/>
    <m/>
    <m/>
    <m/>
    <m/>
    <m/>
  </r>
  <r>
    <x v="57"/>
    <s v="April"/>
    <n v="2020"/>
    <x v="2"/>
    <n v="-3236"/>
    <x v="1"/>
    <n v="1294400"/>
    <n v="90"/>
    <s v="Federal"/>
    <s v="Eph"/>
    <n v="2697"/>
    <s v="INDOT "/>
    <s v="LRL-2013-590-djd"/>
    <s v="2019-759-59-JBT-A"/>
    <m/>
    <s v="Orange"/>
    <n v="38.503500000000003"/>
    <n v="-86.635999999999996"/>
    <s v="Transportation"/>
    <m/>
    <s v="No"/>
    <m/>
    <n v="194160"/>
    <n v="906080"/>
    <n v="194160"/>
    <m/>
    <m/>
    <m/>
    <m/>
    <m/>
    <m/>
    <m/>
    <m/>
    <m/>
  </r>
  <r>
    <x v="57"/>
    <s v="April"/>
    <n v="2020"/>
    <x v="2"/>
    <n v="-0.22"/>
    <x v="0"/>
    <n v="17600"/>
    <n v="90"/>
    <s v="Federal"/>
    <s v="PEM"/>
    <n v="0.09"/>
    <s v="INDOT "/>
    <s v="LRL-2013-590-djd"/>
    <s v="2019-759-59-JBT-A"/>
    <m/>
    <s v="Orange"/>
    <n v="38.503500000000003"/>
    <n v="-86.635999999999996"/>
    <s v="Transportation"/>
    <m/>
    <s v="No"/>
    <m/>
    <n v="2640"/>
    <n v="12320"/>
    <n v="2640"/>
    <m/>
    <m/>
    <m/>
    <m/>
    <m/>
    <m/>
    <m/>
    <m/>
    <m/>
  </r>
  <r>
    <x v="57"/>
    <s v="April"/>
    <n v="2020"/>
    <x v="2"/>
    <n v="-0.01"/>
    <x v="0"/>
    <n v="800"/>
    <n v="90"/>
    <s v="Federal"/>
    <s v="PFO"/>
    <n v="4.0000000000000001E-3"/>
    <s v="INDOT "/>
    <s v="LRL-2013-590-djd"/>
    <s v="2019-759-59-JBT-A"/>
    <m/>
    <s v="Orange"/>
    <n v="38.503500000000003"/>
    <n v="-86.635999999999996"/>
    <s v="Transportation"/>
    <m/>
    <s v="No"/>
    <m/>
    <n v="120"/>
    <n v="560"/>
    <n v="120"/>
    <m/>
    <m/>
    <m/>
    <m/>
    <m/>
    <m/>
    <m/>
    <m/>
    <m/>
  </r>
  <r>
    <x v="57"/>
    <s v="April"/>
    <n v="2020"/>
    <x v="5"/>
    <n v="-0.45200000000000001"/>
    <x v="0"/>
    <n v="36160"/>
    <n v="82"/>
    <s v="Federal"/>
    <s v="PFO"/>
    <n v="0.113"/>
    <s v="INDOT "/>
    <s v="LRL-2019-959-scm"/>
    <s v="2019-720-87-JBT-A"/>
    <m/>
    <s v="Warrick"/>
    <n v="38.174999999999997"/>
    <n v="-87.415999999999997"/>
    <s v="Transportation"/>
    <m/>
    <s v="No"/>
    <m/>
    <n v="5424"/>
    <n v="25312"/>
    <n v="5424"/>
    <m/>
    <m/>
    <m/>
    <m/>
    <m/>
    <m/>
    <m/>
    <m/>
    <m/>
  </r>
  <r>
    <x v="57"/>
    <s v="April"/>
    <n v="2020"/>
    <x v="5"/>
    <n v="-10"/>
    <x v="1"/>
    <n v="4000"/>
    <n v="82"/>
    <s v="Federal"/>
    <s v="Int"/>
    <n v="10"/>
    <s v="INDOT "/>
    <s v="LRL-2019-959-scm"/>
    <s v="2019-720-87-JBT-A"/>
    <m/>
    <s v="Warrick"/>
    <n v="38.174999999999997"/>
    <n v="-87.415999999999997"/>
    <s v="Transportation"/>
    <m/>
    <s v="No"/>
    <m/>
    <n v="600"/>
    <n v="2800"/>
    <n v="600"/>
    <m/>
    <m/>
    <m/>
    <m/>
    <m/>
    <m/>
    <m/>
    <m/>
    <m/>
  </r>
  <r>
    <x v="57"/>
    <s v="April"/>
    <n v="2020"/>
    <x v="5"/>
    <n v="-118"/>
    <x v="1"/>
    <n v="47200"/>
    <n v="82"/>
    <s v="Federal"/>
    <s v="Per"/>
    <n v="118"/>
    <s v="INDOT "/>
    <s v="LRL-2019-959-scm"/>
    <s v="2019-720-87-JBT-A"/>
    <m/>
    <s v="Warrick"/>
    <n v="38.174999999999997"/>
    <n v="-87.415999999999997"/>
    <s v="Transportation"/>
    <m/>
    <s v="No"/>
    <m/>
    <n v="7080"/>
    <n v="33040"/>
    <n v="7080"/>
    <m/>
    <m/>
    <m/>
    <m/>
    <m/>
    <m/>
    <m/>
    <m/>
    <m/>
  </r>
  <r>
    <x v="58"/>
    <s v="April"/>
    <n v="2020"/>
    <x v="1"/>
    <n v="-82"/>
    <x v="1"/>
    <n v="41000"/>
    <n v="91"/>
    <s v="Federal"/>
    <s v="Int"/>
    <n v="82"/>
    <s v="INDOT "/>
    <s v="LRC-2019-793"/>
    <s v="2019-654-45-JBT-A"/>
    <m/>
    <s v="Lake"/>
    <n v="41.43"/>
    <n v="-87.47"/>
    <s v="Transportation"/>
    <m/>
    <s v="No"/>
    <m/>
    <n v="6150"/>
    <n v="28700"/>
    <n v="6150"/>
    <m/>
    <m/>
    <m/>
    <m/>
    <m/>
    <m/>
    <m/>
    <m/>
    <m/>
  </r>
  <r>
    <x v="58"/>
    <s v="April"/>
    <n v="2020"/>
    <x v="1"/>
    <n v="-15"/>
    <x v="1"/>
    <n v="7500"/>
    <n v="91"/>
    <s v="Federal"/>
    <s v="Per"/>
    <n v="15"/>
    <s v="INDOT "/>
    <s v="LRC-2019-793"/>
    <s v="2019-654-45-JBT-A"/>
    <m/>
    <s v="Lake"/>
    <n v="41.43"/>
    <n v="-87.47"/>
    <s v="Transportation"/>
    <m/>
    <s v="No"/>
    <m/>
    <n v="1125"/>
    <n v="5250"/>
    <n v="1125"/>
    <m/>
    <m/>
    <m/>
    <m/>
    <m/>
    <m/>
    <m/>
    <m/>
    <m/>
  </r>
  <r>
    <x v="58"/>
    <s v="April"/>
    <n v="2020"/>
    <x v="1"/>
    <n v="-0.4"/>
    <x v="0"/>
    <n v="38000"/>
    <n v="91"/>
    <s v="Federal"/>
    <s v="PEM"/>
    <n v="0.2"/>
    <s v="INDOT "/>
    <s v="LRC-2019-793"/>
    <s v="2019-654-45-JBT-A"/>
    <m/>
    <s v="Lake"/>
    <n v="41.43"/>
    <n v="-87.47"/>
    <s v="Transportation"/>
    <m/>
    <s v="No"/>
    <m/>
    <n v="5700"/>
    <n v="26600"/>
    <n v="5700"/>
    <m/>
    <m/>
    <m/>
    <m/>
    <m/>
    <m/>
    <m/>
    <m/>
    <m/>
  </r>
  <r>
    <x v="58"/>
    <s v="April"/>
    <n v="2020"/>
    <x v="1"/>
    <n v="-0.48599999999999999"/>
    <x v="0"/>
    <n v="46170"/>
    <n v="91"/>
    <s v="Federal"/>
    <s v="PSS"/>
    <n v="0.16200000000000001"/>
    <s v="INDOT "/>
    <s v="LRC-2019-793"/>
    <s v="2019-654-45-JBT-A"/>
    <m/>
    <s v="Lake"/>
    <n v="41.43"/>
    <n v="-87.47"/>
    <s v="Transportation"/>
    <m/>
    <s v="No"/>
    <m/>
    <n v="6925.5"/>
    <n v="32319"/>
    <n v="6925.5"/>
    <m/>
    <m/>
    <m/>
    <m/>
    <m/>
    <m/>
    <m/>
    <m/>
    <m/>
  </r>
  <r>
    <x v="58"/>
    <s v="April"/>
    <n v="2020"/>
    <x v="8"/>
    <n v="-280"/>
    <x v="1"/>
    <n v="112000"/>
    <n v="94"/>
    <s v="Federal"/>
    <s v="Eph"/>
    <n v="233"/>
    <s v="AEP"/>
    <s v="LRL-2014-540-lcl  "/>
    <s v="2020-12-34-JWR-X "/>
    <m/>
    <s v="Howard"/>
    <n v="40.473500000000001"/>
    <n v="-85.915199999999999"/>
    <s v="Transportation"/>
    <m/>
    <s v="No"/>
    <m/>
    <n v="16800"/>
    <n v="78400"/>
    <n v="16800"/>
    <m/>
    <m/>
    <m/>
    <m/>
    <m/>
    <m/>
    <m/>
    <m/>
    <s v="Corps NWP 12 and IDEM RGP"/>
  </r>
  <r>
    <x v="58"/>
    <s v="April"/>
    <n v="2020"/>
    <x v="8"/>
    <n v="-0.14000000000000001"/>
    <x v="0"/>
    <n v="11200"/>
    <n v="94"/>
    <s v="Federal"/>
    <s v="PEM"/>
    <n v="0.06"/>
    <s v="AEP"/>
    <s v="LRL-2014-540-lcl  "/>
    <s v="2020-12-34-JWR-X "/>
    <m/>
    <s v="Howard"/>
    <n v="40.473500000000001"/>
    <n v="-85.915199999999999"/>
    <s v="Transportation"/>
    <m/>
    <s v="No"/>
    <m/>
    <n v="1680"/>
    <n v="7840"/>
    <n v="1680"/>
    <m/>
    <m/>
    <m/>
    <m/>
    <m/>
    <m/>
    <m/>
    <m/>
    <s v="Corps NWP 12 and IDEM RGP"/>
  </r>
  <r>
    <x v="58"/>
    <s v="April"/>
    <n v="2020"/>
    <x v="9"/>
    <n v="-1.05"/>
    <x v="0"/>
    <n v="84000"/>
    <n v="93"/>
    <s v="Federal"/>
    <s v="PFO"/>
    <n v="0.09"/>
    <s v="M/I Homes of Indiana, L.P."/>
    <s v="LRL-2013-242-sam"/>
    <s v="2013-298-29-HAP-A"/>
    <m/>
    <s v="Hamilton"/>
    <n v="39.9788"/>
    <n v="-86.205200000000005"/>
    <s v="Development"/>
    <s v="LRL-2014-100-sam/Candace Lee Fink Mitigtion Bank"/>
    <s v="Yes"/>
    <d v="2023-12-05T00:00:00"/>
    <n v="12600"/>
    <n v="58800"/>
    <n v="12600"/>
    <m/>
    <m/>
    <m/>
    <m/>
    <s v="Candace Lee Fink Mitigation Bank"/>
    <m/>
    <m/>
    <m/>
    <s v="Credit fulfilled, purchased from Candace Lee Fink Mitigation Bank"/>
  </r>
  <r>
    <x v="59"/>
    <s v="April"/>
    <n v="2020"/>
    <x v="5"/>
    <n v="-0.624"/>
    <x v="0"/>
    <n v="49920"/>
    <n v="102"/>
    <s v="Federal"/>
    <s v="PEM"/>
    <n v="0.26"/>
    <s v="Duke Energy"/>
    <s v="LRL-2019-539-JMG"/>
    <s v="2019-639-26-TMS-A"/>
    <m/>
    <s v="Gibson"/>
    <n v="38.343862999999999"/>
    <n v="-87.778317000000001"/>
    <s v="Energy Production"/>
    <m/>
    <s v="No"/>
    <m/>
    <n v="7488"/>
    <n v="34944"/>
    <n v="7488"/>
    <m/>
    <m/>
    <m/>
    <m/>
    <m/>
    <m/>
    <m/>
    <m/>
    <m/>
  </r>
  <r>
    <x v="60"/>
    <s v="April"/>
    <n v="2020"/>
    <x v="10"/>
    <n v="-1.35"/>
    <x v="0"/>
    <n v="108000"/>
    <n v="106"/>
    <s v="State Isolated"/>
    <s v="PFO"/>
    <n v="1.35"/>
    <s v="Sunbeam Malores, LLC"/>
    <s v="N/A"/>
    <s v="IWIP 2020-132-41-TMS-A"/>
    <m/>
    <s v="Johnson"/>
    <n v="39.484650000000002"/>
    <n v="-86.010898999999995"/>
    <s v="Development"/>
    <m/>
    <s v="No"/>
    <m/>
    <n v="16200"/>
    <n v="75600"/>
    <n v="16200"/>
    <m/>
    <m/>
    <m/>
    <m/>
    <m/>
    <m/>
    <m/>
    <m/>
    <s v="State Isolated Wetland Individual Permit for Class II Forested Wetland Impacts"/>
  </r>
  <r>
    <x v="61"/>
    <s v="April"/>
    <n v="2020"/>
    <x v="9"/>
    <n v="-191"/>
    <x v="1"/>
    <n v="85950"/>
    <n v="84"/>
    <s v="Federal"/>
    <s v="Eph"/>
    <n v="159"/>
    <s v="Lennar Homes of Indiana, Inc."/>
    <s v="LRL-2019-740-LCL"/>
    <s v="2019-846-32-ERL-A"/>
    <m/>
    <s v="Hendricks"/>
    <n v="39.772599999999997"/>
    <n v="-86.455299999999994"/>
    <s v="Development"/>
    <m/>
    <s v="No"/>
    <m/>
    <n v="12892.5"/>
    <n v="60164.999999999993"/>
    <n v="12892.5"/>
    <m/>
    <m/>
    <m/>
    <m/>
    <m/>
    <m/>
    <m/>
    <m/>
    <m/>
  </r>
  <r>
    <x v="61"/>
    <s v="April"/>
    <n v="2020"/>
    <x v="9"/>
    <n v="-19"/>
    <x v="1"/>
    <n v="8550"/>
    <n v="84"/>
    <s v="Federal"/>
    <s v="Per"/>
    <n v="16"/>
    <s v="Lennar Homes of Indiana, Inc."/>
    <s v="LRL-2019-740-LCL"/>
    <s v="2019-846-32-ERL-A"/>
    <m/>
    <s v="Hendricks"/>
    <n v="39.772599999999997"/>
    <n v="-86.455299999999994"/>
    <s v="Development"/>
    <m/>
    <s v="No"/>
    <m/>
    <n v="1282.5"/>
    <n v="5985"/>
    <n v="1282.5"/>
    <m/>
    <m/>
    <m/>
    <m/>
    <m/>
    <m/>
    <m/>
    <m/>
    <m/>
  </r>
  <r>
    <x v="61"/>
    <s v="April"/>
    <n v="2020"/>
    <x v="9"/>
    <n v="-0.03"/>
    <x v="0"/>
    <n v="2400"/>
    <n v="84"/>
    <s v="Federal"/>
    <s v="PSS"/>
    <n v="0.01"/>
    <s v="Lennar Homes of Indiana, Inc."/>
    <s v="LRL-2019-740-LCL"/>
    <s v="2019-846-32-ERL-A"/>
    <m/>
    <s v="Hendricks"/>
    <n v="39.772599999999997"/>
    <n v="-86.455299999999994"/>
    <s v="Development"/>
    <s v="LRL-2014-100-sam/Candace Lee Fink Mitigtion Bank"/>
    <s v="Yes"/>
    <d v="2023-12-05T00:00:00"/>
    <n v="360"/>
    <n v="1680"/>
    <n v="360"/>
    <m/>
    <m/>
    <m/>
    <m/>
    <s v="Candace Lee Fink Mitigation Bank"/>
    <m/>
    <m/>
    <m/>
    <s v="Credit fulfilled, purchased from Candace Lee Fink Mitigation Bank"/>
  </r>
  <r>
    <x v="61"/>
    <s v="April"/>
    <n v="2020"/>
    <x v="9"/>
    <n v="-0.12"/>
    <x v="0"/>
    <n v="9600"/>
    <n v="84"/>
    <s v="Federal"/>
    <s v="PFO"/>
    <n v="0.03"/>
    <s v="Lennar Homes of Indiana, Inc."/>
    <s v="LRL-2019-740-LCL"/>
    <s v="2019-846-32-ERL-A"/>
    <m/>
    <s v="Hendricks"/>
    <n v="39.772599999999997"/>
    <n v="-86.455299999999994"/>
    <s v="Development"/>
    <s v="LRL-2014-100-sam/Candace Lee Fink Mitigtion Bank"/>
    <s v="Yes"/>
    <d v="2023-12-05T00:00:00"/>
    <n v="1440"/>
    <n v="6720"/>
    <n v="1440"/>
    <m/>
    <m/>
    <m/>
    <m/>
    <s v="Candace Lee Fink Mitigation Bank"/>
    <m/>
    <m/>
    <m/>
    <s v="Credit fulfilled, purchased from Candace Lee Fink Mitigation Bank"/>
  </r>
  <r>
    <x v="62"/>
    <s v="April"/>
    <n v="2020"/>
    <x v="1"/>
    <n v="-0.12"/>
    <x v="0"/>
    <n v="11400"/>
    <n v="97"/>
    <s v="State Isolated"/>
    <s v="PFO"/>
    <n v="2.9000000000000001E-2"/>
    <s v="NIPSCO"/>
    <s v="N/A"/>
    <s v="IWGP 2019-837-46-MTM-A"/>
    <m/>
    <s v="LaPorte"/>
    <n v="41.604399999999998"/>
    <n v="-86.719139999999996"/>
    <s v="Energy Production"/>
    <m/>
    <s v="No"/>
    <m/>
    <n v="1710"/>
    <n v="7979.9999999999991"/>
    <n v="1710"/>
    <m/>
    <m/>
    <m/>
    <m/>
    <m/>
    <m/>
    <m/>
    <m/>
    <s v="Originally reported as Calumet-Dunes, but impact was in the Kankakee SA, and has been updated; Class II Forested Wetland"/>
  </r>
  <r>
    <x v="62"/>
    <s v="April"/>
    <n v="2020"/>
    <x v="5"/>
    <n v="-493"/>
    <x v="1"/>
    <n v="197200"/>
    <n v="70"/>
    <s v="Federal"/>
    <s v="Eph"/>
    <n v="384"/>
    <s v="Warrick County Engineer"/>
    <s v="LRL-2018-386-tmb"/>
    <s v="2019-022-87-ADF-A"/>
    <m/>
    <s v="Warrick"/>
    <n v="38.004486"/>
    <n v="-87.404752000000002"/>
    <s v="Transportation"/>
    <m/>
    <s v="No"/>
    <m/>
    <n v="29580"/>
    <n v="138040"/>
    <n v="29580"/>
    <m/>
    <m/>
    <m/>
    <m/>
    <m/>
    <m/>
    <m/>
    <m/>
    <m/>
  </r>
  <r>
    <x v="63"/>
    <s v="April"/>
    <n v="2020"/>
    <x v="8"/>
    <n v="-666"/>
    <x v="1"/>
    <n v="266400"/>
    <n v="98"/>
    <s v="Federal"/>
    <s v="Int"/>
    <n v="555"/>
    <s v="City of Portland Board of Aviation Commissioners"/>
    <s v="LRL-2019-178-jlt"/>
    <s v="2019-126-38-WRH-A"/>
    <m/>
    <s v="Jay"/>
    <n v="40.451700000000002"/>
    <n v="-84.997320000000002"/>
    <s v="Transportation"/>
    <m/>
    <s v="No"/>
    <m/>
    <n v="39960"/>
    <n v="186480"/>
    <n v="39960"/>
    <m/>
    <m/>
    <m/>
    <m/>
    <m/>
    <m/>
    <m/>
    <m/>
    <m/>
  </r>
  <r>
    <x v="64"/>
    <s v="May"/>
    <n v="2020"/>
    <x v="0"/>
    <n v="-0.53400000000000003"/>
    <x v="0"/>
    <n v="50730"/>
    <n v="105"/>
    <s v="Federal"/>
    <s v="PEM"/>
    <n v="0.35599999999999998"/>
    <s v="UniFirst Corporation"/>
    <s v="LRC-2018-890"/>
    <s v="2020-011-45-MTM-A"/>
    <m/>
    <s v="Lake"/>
    <n v="41.382292999999997"/>
    <n v="-87.332835000000003"/>
    <s v="Development"/>
    <m/>
    <s v="No"/>
    <m/>
    <n v="7609.5"/>
    <n v="35511"/>
    <n v="7609.5"/>
    <m/>
    <m/>
    <m/>
    <m/>
    <m/>
    <m/>
    <m/>
    <m/>
    <m/>
  </r>
  <r>
    <x v="65"/>
    <s v="May"/>
    <n v="2020"/>
    <x v="9"/>
    <n v="-209"/>
    <x v="1"/>
    <n v="94050"/>
    <n v="63"/>
    <s v="Federal"/>
    <s v="Int"/>
    <n v="209"/>
    <s v="City of Indianapolis DPW"/>
    <s v="LRL-2019-320-scm"/>
    <s v="2019-222-49-ALF-A"/>
    <m/>
    <s v="Marion "/>
    <n v="39.681193999999998"/>
    <n v="-86.044255000000007"/>
    <s v="Transportation"/>
    <m/>
    <s v="No"/>
    <m/>
    <n v="14107.5"/>
    <n v="65835"/>
    <n v="14107.5"/>
    <m/>
    <m/>
    <m/>
    <m/>
    <m/>
    <m/>
    <m/>
    <m/>
    <s v="Corps RGP - IDEM only required mitigation"/>
  </r>
  <r>
    <x v="65"/>
    <s v="May"/>
    <n v="2020"/>
    <x v="9"/>
    <n v="-153"/>
    <x v="1"/>
    <n v="68850"/>
    <n v="104"/>
    <s v="Federal"/>
    <s v="Eph"/>
    <n v="153"/>
    <s v="Lennar Homes of Indiana, Inc."/>
    <s v="LRL-2019-715-sjk"/>
    <s v="2020-017-29-ALF-A"/>
    <m/>
    <s v="Hamilton"/>
    <n v="39.9602"/>
    <n v="-85.883099999999999"/>
    <s v="Development"/>
    <m/>
    <s v="No"/>
    <m/>
    <n v="10327.5"/>
    <n v="48195"/>
    <n v="10327.5"/>
    <m/>
    <m/>
    <m/>
    <m/>
    <m/>
    <m/>
    <m/>
    <m/>
    <s v="Corps RGP - IDEM only required mitigation"/>
  </r>
  <r>
    <x v="65"/>
    <s v="May"/>
    <n v="2020"/>
    <x v="9"/>
    <n v="-1.35"/>
    <x v="0"/>
    <n v="108000"/>
    <n v="99"/>
    <s v="Federal"/>
    <s v="PFO"/>
    <n v="0.43"/>
    <s v="Hendricks County Engineering Department"/>
    <s v="LRL-2009-336-sam"/>
    <s v="2009-146-32-JPS-A"/>
    <m/>
    <s v="Hendricks"/>
    <n v="39.752732999999999"/>
    <n v="-86.338806000000005"/>
    <s v="Transportation"/>
    <s v="LRL-2014-100-sam/Candace Lee Fink Mitigation Bank, LRL-2020-989-sam/HC Farms"/>
    <s v="Yes"/>
    <s v="12/5/2023, 9/3/2024"/>
    <n v="16200"/>
    <n v="75600"/>
    <n v="16200"/>
    <m/>
    <m/>
    <m/>
    <m/>
    <m/>
    <m/>
    <m/>
    <m/>
    <s v="0.716 fulfilled from Candace Lee Fink Mitigation Bank purchase and 0.634 fulfilled from 2nd HC Farms credit release"/>
  </r>
  <r>
    <x v="66"/>
    <s v=" May "/>
    <n v="2020"/>
    <x v="5"/>
    <n v="-0.94"/>
    <x v="0"/>
    <n v="75200"/>
    <n v="108"/>
    <s v="Federal"/>
    <s v="PEM"/>
    <n v="0.39"/>
    <s v="Duke Energy, LLC."/>
    <s v="LRL-2020-152-JMG"/>
    <s v="2020-102-26-TMS-A"/>
    <m/>
    <s v="Gibson"/>
    <n v="38.372483000000003"/>
    <n v="-87.747861999999998"/>
    <s v="Energy Production"/>
    <m/>
    <s v="No"/>
    <m/>
    <n v="11280"/>
    <n v="52640"/>
    <n v="11280"/>
    <m/>
    <m/>
    <m/>
    <m/>
    <m/>
    <m/>
    <m/>
    <m/>
    <m/>
  </r>
  <r>
    <x v="67"/>
    <s v="June"/>
    <n v="2020"/>
    <x v="5"/>
    <n v="-0.14799999999999999"/>
    <x v="0"/>
    <n v="11840"/>
    <n v="103"/>
    <s v="State Isolated"/>
    <s v="PEM"/>
    <n v="0.14799999999999999"/>
    <s v="Vanderburgh County Commissioners"/>
    <s v="N/A"/>
    <s v="IWGP 2020-172-82-TMS-A"/>
    <m/>
    <s v="Vanderburgh"/>
    <n v="38.063870000000001"/>
    <n v="-87.49342"/>
    <s v="Transportation"/>
    <m/>
    <s v="No"/>
    <m/>
    <n v="1776"/>
    <n v="8288"/>
    <n v="1776"/>
    <m/>
    <m/>
    <m/>
    <m/>
    <m/>
    <m/>
    <m/>
    <m/>
    <s v="Related jurisdictional impacts minimal and approved via RGP, no jurisdictional mitigation for this project."/>
  </r>
  <r>
    <x v="68"/>
    <s v="June"/>
    <n v="2020"/>
    <x v="7"/>
    <n v="-1.08"/>
    <x v="0"/>
    <n v="86400"/>
    <n v="116"/>
    <s v="Federal"/>
    <s v="PEM"/>
    <n v="0.443"/>
    <s v="DDM, LLC."/>
    <s v="LRL-2019-184-cat"/>
    <s v="2019-147-10-TMS-A"/>
    <m/>
    <s v="Clark"/>
    <n v="38.325339999999997"/>
    <n v="-84.688649999999996"/>
    <s v="Development"/>
    <s v="LRL-2014-100-sam/Fourteeen Mile Creek Mitigation Bank"/>
    <s v="Yes"/>
    <d v="2024-01-22T00:00:00"/>
    <n v="12960"/>
    <n v="60479.999999999993"/>
    <n v="12960"/>
    <m/>
    <m/>
    <m/>
    <m/>
    <s v="Fourteen Mile Creek Mitigation Bank"/>
    <m/>
    <m/>
    <m/>
    <s v="Credit fulfilled, purchased from Fourteen Mile Creek Mitigation Bank.  "/>
  </r>
  <r>
    <x v="68"/>
    <s v="June"/>
    <n v="2020"/>
    <x v="9"/>
    <n v="-1.1000000000000001"/>
    <x v="0"/>
    <n v="88000"/>
    <n v="100"/>
    <s v="Federal"/>
    <s v="PEM"/>
    <n v="0.46"/>
    <s v="Westport Homes"/>
    <s v="LRL-2019-865-sjk"/>
    <s v="2019-903-49-ALF-A"/>
    <m/>
    <s v="Marion "/>
    <n v="39.659300000000002"/>
    <n v="-86.305099999999996"/>
    <s v="Development"/>
    <s v="Mod 1 - LRL-2020-989-sam"/>
    <s v="Yes"/>
    <d v="2024-09-03T00:00:00"/>
    <n v="13200"/>
    <n v="61599.999999999993"/>
    <n v="13200"/>
    <m/>
    <m/>
    <m/>
    <m/>
    <m/>
    <m/>
    <m/>
    <m/>
    <s v="Credits fulfilled and released - HC Farms second release."/>
  </r>
  <r>
    <x v="68"/>
    <s v="June"/>
    <n v="2020"/>
    <x v="9"/>
    <n v="-0.4"/>
    <x v="0"/>
    <n v="32000"/>
    <n v="100"/>
    <s v="Federal"/>
    <s v="PSS"/>
    <n v="0.11"/>
    <s v="Westport Homes"/>
    <s v="LRL-2019-865-sjk"/>
    <s v="2019-903-49-ALF-A"/>
    <m/>
    <s v="Marion "/>
    <n v="39.659300000000002"/>
    <n v="-86.305099999999996"/>
    <s v="Development"/>
    <s v="Mod 1 - LRL-2020-989-sam/ LRL-2021-552-sam"/>
    <s v="Yes"/>
    <d v="2025-02-06T00:00:00"/>
    <n v="4800"/>
    <n v="22400"/>
    <n v="4800"/>
    <m/>
    <m/>
    <m/>
    <m/>
    <s v="HC Farms Release #2/ Fall Creek Woods Release #1"/>
    <m/>
    <m/>
    <m/>
    <s v="0.316/0.4 credits fulfilled by HC Farms second release. 0.084 credits fulfilled by Fall Creek Woods release #1."/>
  </r>
  <r>
    <x v="69"/>
    <s v="June"/>
    <n v="2020"/>
    <x v="0"/>
    <n v="-0.15"/>
    <x v="0"/>
    <n v="14250"/>
    <n v="110"/>
    <s v="Federal"/>
    <s v="PEM"/>
    <n v="0.1"/>
    <s v="NIPSCO"/>
    <s v="LRC-2015-763"/>
    <s v="2020-196-45-MTM-X"/>
    <m/>
    <s v="Lake"/>
    <n v="41.56006"/>
    <n v="-87.464039999999997"/>
    <s v="Energy Production"/>
    <m/>
    <s v="No"/>
    <m/>
    <n v="2137.5"/>
    <n v="9975"/>
    <n v="2137.5"/>
    <m/>
    <m/>
    <m/>
    <m/>
    <m/>
    <m/>
    <m/>
    <m/>
    <m/>
  </r>
  <r>
    <x v="69"/>
    <s v="June"/>
    <n v="2020"/>
    <x v="0"/>
    <n v="-0.3"/>
    <x v="0"/>
    <n v="28500"/>
    <n v="107"/>
    <s v="State Isolated"/>
    <s v="PEM"/>
    <n v="0.3"/>
    <s v="Spectacle Gary, LLC"/>
    <s v="N/A"/>
    <s v="2020-159-45-MTM-A"/>
    <m/>
    <s v="Lake"/>
    <n v="41.566719999999997"/>
    <n v="-87.404290000000003"/>
    <s v="Development"/>
    <m/>
    <s v="No"/>
    <m/>
    <n v="4275"/>
    <n v="19950"/>
    <n v="4275"/>
    <m/>
    <m/>
    <m/>
    <m/>
    <m/>
    <m/>
    <m/>
    <m/>
    <m/>
  </r>
  <r>
    <x v="70"/>
    <s v="June"/>
    <n v="2020"/>
    <x v="0"/>
    <n v="-5.2630000000000003E-2"/>
    <x v="0"/>
    <n v="4999.8599999999997"/>
    <n v="123"/>
    <s v="Federal"/>
    <s v="PEM"/>
    <n v="0"/>
    <s v="James Lanigan"/>
    <s v="LRC-2020-467"/>
    <s v="2020-424-64-MTM-X"/>
    <m/>
    <s v="Porter"/>
    <n v="41.458440000000003"/>
    <n v="-87.145560000000003"/>
    <s v="Development"/>
    <m/>
    <s v="No"/>
    <m/>
    <n v="749.97899999999993"/>
    <n v="3499.9019999999996"/>
    <n v="749.97899999999993"/>
    <m/>
    <m/>
    <m/>
    <m/>
    <m/>
    <m/>
    <m/>
    <m/>
    <s v="*885 linear feet of seawall impacts to open water.  "/>
  </r>
  <r>
    <x v="71"/>
    <s v="June"/>
    <n v="2020"/>
    <x v="7"/>
    <n v="-7.0000000000000007E-2"/>
    <x v="0"/>
    <n v="5600"/>
    <n v="124"/>
    <s v="Federal"/>
    <s v="PEM"/>
    <n v="3.5000000000000003E-2"/>
    <s v="Dearborn County Board of Commissioners"/>
    <s v="LRL-2020-228-cat"/>
    <s v="2020-307-15-TMS"/>
    <m/>
    <s v="Dearborn"/>
    <n v="39.019474000000002"/>
    <n v="-84.929779999999994"/>
    <s v="Transportation"/>
    <s v="LRL-2014-100-sam/Fourteeen Mile Creek Mitigation Bank"/>
    <s v="Yes"/>
    <d v="2024-01-22T00:00:00"/>
    <n v="840"/>
    <n v="3919.9999999999995"/>
    <n v="840"/>
    <m/>
    <m/>
    <m/>
    <m/>
    <s v="Fourteen Mile Creek Mitigation Bank"/>
    <m/>
    <m/>
    <m/>
    <s v="Credit fulfilled, purchased from Fourteen Mile Creek Mitigation Bank.  "/>
  </r>
  <r>
    <x v="71"/>
    <s v="June"/>
    <n v="2020"/>
    <x v="7"/>
    <n v="-0.74399999999999999"/>
    <x v="0"/>
    <n v="59520"/>
    <n v="124"/>
    <s v="Federal"/>
    <s v="PFO"/>
    <n v="0.186"/>
    <s v="Dearborn County Board of Commissioners"/>
    <s v="LRL-2020-228-cat"/>
    <s v="2020-307-15-TMS"/>
    <m/>
    <s v="Dearborn"/>
    <n v="39.019474000000002"/>
    <n v="-84.929779999999994"/>
    <s v="Transportation"/>
    <s v="LRL-2014-100-sam/Fourteeen Mile Creek Mitigation Bank"/>
    <s v="Yes"/>
    <d v="2024-01-22T00:00:00"/>
    <n v="8928"/>
    <n v="41664"/>
    <n v="8928"/>
    <m/>
    <m/>
    <m/>
    <m/>
    <s v="Fourteen Mile Creek Mitigation Bank"/>
    <m/>
    <m/>
    <m/>
    <s v="Credit fulfilled, purchased from Fourteen Mile Creek Mitigation Bank.  "/>
  </r>
  <r>
    <x v="72"/>
    <s v="June"/>
    <n v="2020"/>
    <x v="3"/>
    <n v="-0.28000000000000003"/>
    <x v="0"/>
    <n v="22400"/>
    <n v="114"/>
    <s v="Federal"/>
    <s v="PSS"/>
    <n v="0.14000000000000001"/>
    <s v="Dominion Group"/>
    <s v="LRE-2016-00710-102-R20"/>
    <s v="2017-321-02-HAP-A"/>
    <m/>
    <s v="Allen"/>
    <n v="41.183199999999999"/>
    <n v="-85.092799999999997"/>
    <s v="Development"/>
    <s v="LRL-2014-100-sam/Openings Mitigation Bank "/>
    <s v="Yes"/>
    <d v="2024-01-15T00:00:00"/>
    <n v="3360"/>
    <n v="15679.999999999998"/>
    <n v="3360"/>
    <m/>
    <m/>
    <m/>
    <m/>
    <s v="Openings Mitigation Bank"/>
    <m/>
    <m/>
    <m/>
    <s v="Credit fulfilled, purchased from Openings Mitigation Bank"/>
  </r>
  <r>
    <x v="72"/>
    <s v="June"/>
    <n v="2020"/>
    <x v="8"/>
    <n v="-114"/>
    <x v="1"/>
    <n v="45600"/>
    <n v="115"/>
    <s v="Federal"/>
    <s v="Per"/>
    <n v="52"/>
    <s v="City of Wabash"/>
    <s v="LRL-2012-686-sjk"/>
    <s v="2018-909-85-JWR-A"/>
    <m/>
    <s v="Wabash"/>
    <n v="40.836100000000002"/>
    <n v="-85.805700000000002"/>
    <s v="Transportation"/>
    <m/>
    <s v="No"/>
    <m/>
    <n v="6840"/>
    <n v="31919.999999999996"/>
    <n v="6840"/>
    <m/>
    <m/>
    <m/>
    <m/>
    <m/>
    <m/>
    <m/>
    <m/>
    <s v="Corps determined stream impacts perennial - IDEM recorded stream impacts intermittent (IN SWMP recorded per 404 impact/credit table)"/>
  </r>
  <r>
    <x v="72"/>
    <s v="June"/>
    <n v="2020"/>
    <x v="8"/>
    <n v="-0.4"/>
    <x v="0"/>
    <n v="32000"/>
    <n v="115"/>
    <s v="Federal"/>
    <s v="PEM"/>
    <n v="0.18"/>
    <s v="City of Wabash"/>
    <s v="LRL-2012-686-sjk"/>
    <s v="2018-909-85-JWR-A"/>
    <m/>
    <s v="Wabash"/>
    <n v="40.836100000000002"/>
    <n v="-85.805700000000002"/>
    <s v="Transportation"/>
    <m/>
    <s v="No"/>
    <m/>
    <n v="4800"/>
    <n v="22400"/>
    <n v="4800"/>
    <m/>
    <m/>
    <m/>
    <m/>
    <m/>
    <m/>
    <m/>
    <m/>
    <m/>
  </r>
  <r>
    <x v="73"/>
    <s v="July"/>
    <n v="2020"/>
    <x v="6"/>
    <n v="-850"/>
    <x v="1"/>
    <n v="510000"/>
    <n v="129"/>
    <s v="Federal"/>
    <s v="Int"/>
    <n v="850"/>
    <s v="Elvie Frey Investments, LLC"/>
    <s v="LRE-2018-1302-144-U18"/>
    <s v="2019-509-44-JWR-V"/>
    <m/>
    <s v="LaGrange"/>
    <n v="41.652929999999998"/>
    <n v="-85.610738999999995"/>
    <s v="Development"/>
    <m/>
    <s v="No"/>
    <m/>
    <n v="76500"/>
    <n v="357000"/>
    <n v="76500"/>
    <m/>
    <m/>
    <m/>
    <m/>
    <m/>
    <m/>
    <m/>
    <m/>
    <s v="Corps did not specifically require mitigation, but special condition requires to meet conditions of 401 WQC"/>
  </r>
  <r>
    <x v="74"/>
    <s v="July"/>
    <n v="2020"/>
    <x v="10"/>
    <n v="-0.87"/>
    <x v="0"/>
    <n v="69600"/>
    <n v="117"/>
    <s v="Federal"/>
    <s v="PFO"/>
    <n v="0.2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10440"/>
    <n v="48720"/>
    <n v="10440"/>
    <m/>
    <m/>
    <m/>
    <m/>
    <m/>
    <m/>
    <m/>
    <m/>
    <s v="*Note: Reported 401 as PFO vs. PSS, per verification JLT.  "/>
  </r>
  <r>
    <x v="74"/>
    <s v="July"/>
    <n v="2020"/>
    <x v="10"/>
    <n v="-0.19"/>
    <x v="0"/>
    <n v="15200"/>
    <n v="117"/>
    <s v="Federal"/>
    <s v="PEM"/>
    <n v="0.19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2280"/>
    <n v="10640"/>
    <n v="2280"/>
    <m/>
    <m/>
    <m/>
    <m/>
    <m/>
    <m/>
    <m/>
    <m/>
    <s v="*Note: USACE required 0.23 PEM, IDEM's increased PFO offset "/>
  </r>
  <r>
    <x v="74"/>
    <s v="July"/>
    <n v="2020"/>
    <x v="10"/>
    <n v="-81"/>
    <x v="1"/>
    <n v="32400"/>
    <n v="117"/>
    <s v="Federal"/>
    <s v="Eph"/>
    <n v="81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4860"/>
    <n v="22680"/>
    <n v="4860"/>
    <m/>
    <m/>
    <m/>
    <m/>
    <m/>
    <m/>
    <m/>
    <m/>
    <m/>
  </r>
  <r>
    <x v="74"/>
    <s v="July"/>
    <n v="2020"/>
    <x v="10"/>
    <n v="-21"/>
    <x v="1"/>
    <n v="8400"/>
    <n v="117"/>
    <s v="Federal"/>
    <s v="Per"/>
    <n v="21"/>
    <s v="Louisville and Indiana Railroad Co."/>
    <s v="LRL-2019-997-MKD"/>
    <s v="2020-114-41-JBT-A"/>
    <m/>
    <s v="Johnson"/>
    <n v="39.403750000000002"/>
    <n v="-85.987942000000004"/>
    <s v="Transportation"/>
    <m/>
    <s v="No"/>
    <m/>
    <n v="1260"/>
    <n v="5880"/>
    <n v="1260"/>
    <m/>
    <m/>
    <m/>
    <m/>
    <m/>
    <m/>
    <m/>
    <m/>
    <m/>
  </r>
  <r>
    <x v="74"/>
    <s v="July"/>
    <n v="2020"/>
    <x v="10"/>
    <n v="-0.05"/>
    <x v="0"/>
    <n v="4000"/>
    <n v="117"/>
    <s v="State Isolated"/>
    <s v="PEM"/>
    <n v="0.05"/>
    <s v="Louisville and Indiana Railroad Co."/>
    <s v="N/A"/>
    <s v="IWGP 2020-114-41-JBT-A"/>
    <m/>
    <s v="Johnson"/>
    <n v="39.403750000000002"/>
    <n v="-85.987942000000004"/>
    <s v="Transportation"/>
    <m/>
    <s v="No"/>
    <m/>
    <n v="600"/>
    <n v="2800"/>
    <n v="600"/>
    <m/>
    <m/>
    <m/>
    <m/>
    <m/>
    <m/>
    <m/>
    <m/>
    <m/>
  </r>
  <r>
    <x v="75"/>
    <s v="July"/>
    <n v="2020"/>
    <x v="0"/>
    <n v="-1.41"/>
    <x v="0"/>
    <n v="133950"/>
    <n v="130"/>
    <s v="State Isolated"/>
    <s v="PEM"/>
    <n v="1.28"/>
    <s v="Lennar Corporation"/>
    <s v="N/A"/>
    <s v="IWGP-2020-515-45-MTM-A"/>
    <m/>
    <s v="Lake"/>
    <n v="41.417644000000003"/>
    <n v="-87.30932"/>
    <s v="Development"/>
    <m/>
    <s v="No"/>
    <m/>
    <n v="20092.5"/>
    <n v="93765"/>
    <n v="20092.5"/>
    <m/>
    <m/>
    <m/>
    <m/>
    <m/>
    <m/>
    <m/>
    <m/>
    <m/>
  </r>
  <r>
    <x v="76"/>
    <s v="July"/>
    <n v="2020"/>
    <x v="9"/>
    <n v="-2.5"/>
    <x v="0"/>
    <n v="200000"/>
    <n v="132"/>
    <s v="State Isolated"/>
    <s v="PEM"/>
    <n v="2.5"/>
    <s v="Indy Clean Fill South"/>
    <s v="N/A"/>
    <s v="IWGP 2020-538-49-JWR-A"/>
    <m/>
    <s v="Marion "/>
    <n v="39.73695"/>
    <n v="-86.202079999999995"/>
    <s v="Development"/>
    <s v="LRL-2021-552-sam"/>
    <s v="Yes"/>
    <d v="2025-02-06T00:00:00"/>
    <n v="30000"/>
    <n v="140000"/>
    <n v="30000"/>
    <m/>
    <m/>
    <m/>
    <m/>
    <s v="Fall Creek Woods Release #1"/>
    <m/>
    <m/>
    <m/>
    <s v="Class I Non-Forested (PEM) wetland impacts. Credits fulfilled by Fall Creek Woods release #1"/>
  </r>
  <r>
    <x v="77"/>
    <s v="July"/>
    <n v="2020"/>
    <x v="9"/>
    <n v="-12"/>
    <x v="1"/>
    <n v="5400"/>
    <n v="133"/>
    <s v="Federal"/>
    <s v="Per"/>
    <n v="10"/>
    <s v="City of Carmel"/>
    <s v="LRL-2020-194-sjk"/>
    <s v="2020-448-29-ALF-X"/>
    <m/>
    <s v="Hamilton"/>
    <n v="39.957799999999999"/>
    <n v="-86.090299999999999"/>
    <s v="Development"/>
    <m/>
    <s v="No"/>
    <m/>
    <n v="810"/>
    <n v="3779.9999999999995"/>
    <n v="810"/>
    <m/>
    <m/>
    <m/>
    <m/>
    <m/>
    <m/>
    <m/>
    <m/>
    <m/>
  </r>
  <r>
    <x v="78"/>
    <s v="August"/>
    <n v="2020"/>
    <x v="2"/>
    <n v="-8.2000000000000003E-2"/>
    <x v="0"/>
    <n v="6560"/>
    <n v="95"/>
    <s v="Federal"/>
    <s v="PEM"/>
    <n v="4.1000000000000002E-2"/>
    <s v="Hoosier Energy"/>
    <s v="LRL-2019-710"/>
    <s v="2019-508-63-TMS-A"/>
    <m/>
    <s v="Pike"/>
    <n v="38.520000000000003"/>
    <n v="-87.267200000000003"/>
    <s v="Energy Production"/>
    <m/>
    <s v="No"/>
    <m/>
    <n v="984"/>
    <n v="4592"/>
    <n v="984"/>
    <m/>
    <m/>
    <m/>
    <m/>
    <m/>
    <m/>
    <m/>
    <m/>
    <m/>
  </r>
  <r>
    <x v="78"/>
    <s v="August"/>
    <n v="2020"/>
    <x v="2"/>
    <n v="-0.22"/>
    <x v="0"/>
    <n v="17600"/>
    <n v="95"/>
    <s v="Federal"/>
    <s v="PFO"/>
    <n v="5.5E-2"/>
    <s v="Hoosier Energy"/>
    <s v="LRL-2019-710"/>
    <s v="2019-508-63-TMS-A"/>
    <m/>
    <s v="Pike"/>
    <n v="38.520000000000003"/>
    <n v="-87.267200000000003"/>
    <s v="Energy Production"/>
    <m/>
    <s v="No"/>
    <m/>
    <n v="2640"/>
    <n v="12320"/>
    <n v="2640"/>
    <m/>
    <m/>
    <m/>
    <m/>
    <m/>
    <m/>
    <m/>
    <m/>
    <m/>
  </r>
  <r>
    <x v="78"/>
    <s v="August"/>
    <n v="2020"/>
    <x v="4"/>
    <n v="-82"/>
    <x v="1"/>
    <n v="32800"/>
    <n v="134"/>
    <s v="Federal"/>
    <s v="Per"/>
    <n v="146"/>
    <s v="DePauw University"/>
    <s v="LRL-2019-845-lcl"/>
    <s v="2020-430-67-ERL-A"/>
    <m/>
    <s v="Putnam"/>
    <n v="39.637700000000002"/>
    <n v="-86.870199999999997"/>
    <s v="Development"/>
    <m/>
    <s v="No"/>
    <m/>
    <n v="4920"/>
    <n v="22960"/>
    <n v="4920"/>
    <m/>
    <m/>
    <m/>
    <m/>
    <m/>
    <m/>
    <m/>
    <m/>
    <m/>
  </r>
  <r>
    <x v="78"/>
    <s v="August"/>
    <n v="2020"/>
    <x v="9"/>
    <n v="-0.57999999999999996"/>
    <x v="0"/>
    <n v="4640"/>
    <n v="127"/>
    <s v="State Isolated"/>
    <s v="PFO"/>
    <n v="2.3E-2"/>
    <s v="C&amp;H Capital LLC"/>
    <s v="N/A"/>
    <s v="IWGP 2020-447-29-ALF-A"/>
    <m/>
    <s v="Hamilton"/>
    <n v="39.972499999999997"/>
    <n v="-85.962699999999998"/>
    <s v="Development"/>
    <s v="LRL-2021-552-sam"/>
    <s v="Yes"/>
    <s v="2/6/2025, 5/9/2025"/>
    <n v="696"/>
    <n v="3248"/>
    <n v="696"/>
    <m/>
    <m/>
    <m/>
    <m/>
    <s v="Fall Creek Woods Release #1/Fall Creek Woods Release #2"/>
    <m/>
    <m/>
    <m/>
    <s v="Class II Forested Wetland impacts. 0.466/0.58 credits fulfilled by Fall Creek Woods release #1. Remaining 0.114 credits fulfilled by Fall Creek Woods release #2."/>
  </r>
  <r>
    <x v="78"/>
    <s v="August"/>
    <n v="2020"/>
    <x v="9"/>
    <n v="-597"/>
    <x v="1"/>
    <n v="268650"/>
    <n v="139"/>
    <s v="Federal"/>
    <s v="Eph"/>
    <n v="497"/>
    <s v="Hendricks County (Jail)"/>
    <s v="LRL-2020-453-sjk"/>
    <s v="2020-429-32-ERL-A"/>
    <m/>
    <s v="Hendricks"/>
    <n v="39.758299999999998"/>
    <n v="-86.501000000000005"/>
    <s v="Development"/>
    <m/>
    <s v="No"/>
    <m/>
    <n v="40297.5"/>
    <n v="188055"/>
    <n v="40297.5"/>
    <m/>
    <m/>
    <m/>
    <m/>
    <m/>
    <m/>
    <m/>
    <m/>
    <m/>
  </r>
  <r>
    <x v="78"/>
    <s v="August"/>
    <n v="2020"/>
    <x v="9"/>
    <n v="-0.05"/>
    <x v="0"/>
    <n v="4000"/>
    <n v="139"/>
    <s v="Federal"/>
    <s v="PEM"/>
    <n v="0.02"/>
    <s v="Hendricks County (Jail)"/>
    <s v="LRL-2020-453-sjk"/>
    <s v="2020-429-32-ERL-A"/>
    <m/>
    <s v="Hendricks"/>
    <n v="39.758299999999998"/>
    <n v="-86.501000000000005"/>
    <s v="Development"/>
    <s v="LRL-2021-552-sam"/>
    <s v="Yes"/>
    <d v="2025-05-09T00:00:00"/>
    <n v="600"/>
    <n v="2800"/>
    <n v="600"/>
    <m/>
    <m/>
    <m/>
    <m/>
    <s v="Fall Creek Woods Release #2"/>
    <m/>
    <m/>
    <m/>
    <s v="Credits fulfilled by Fall Creek Woods Release #2"/>
  </r>
  <r>
    <x v="78"/>
    <s v="August"/>
    <n v="2020"/>
    <x v="9"/>
    <n v="-1.3"/>
    <x v="0"/>
    <n v="104000"/>
    <n v="139"/>
    <s v="Federal"/>
    <s v="PFO"/>
    <n v="0.27"/>
    <s v="Hendricks County (Jail)"/>
    <s v="LRL-2020-453-sjk"/>
    <s v="2020-429-32-ERL-A"/>
    <m/>
    <s v="Hendricks"/>
    <n v="39.758299999999998"/>
    <n v="-86.501000000000005"/>
    <s v="Development"/>
    <s v="LRL-2021-552-sam"/>
    <s v="Yes"/>
    <d v="2025-05-09T00:00:00"/>
    <n v="15600"/>
    <n v="72800"/>
    <n v="15600"/>
    <m/>
    <m/>
    <m/>
    <m/>
    <s v="Fall Creek Woods Release #2"/>
    <m/>
    <m/>
    <m/>
    <s v="Credits fulfilled by Fall Creek Woods Release #2"/>
  </r>
  <r>
    <x v="78"/>
    <s v="August"/>
    <n v="2020"/>
    <x v="10"/>
    <n v="-4.49"/>
    <x v="0"/>
    <n v="359200"/>
    <n v="135"/>
    <s v="Federal"/>
    <s v="PEM"/>
    <n v="1.87"/>
    <s v="Prologis"/>
    <s v="LRL-2020-00683-SAM"/>
    <s v="2019-904-30-ALF-A"/>
    <m/>
    <s v="Hancock"/>
    <n v="39.824100000000001"/>
    <n v="-85.882199999999997"/>
    <s v="Development"/>
    <m/>
    <s v="No"/>
    <m/>
    <n v="53880"/>
    <n v="251439.99999999997"/>
    <n v="53880"/>
    <m/>
    <m/>
    <m/>
    <m/>
    <m/>
    <m/>
    <m/>
    <m/>
    <m/>
  </r>
  <r>
    <x v="79"/>
    <s v="August"/>
    <n v="2020"/>
    <x v="0"/>
    <n v="-0.628"/>
    <x v="0"/>
    <n v="59660"/>
    <n v="79"/>
    <s v="Federal"/>
    <s v="PEM"/>
    <n v="0.32700000000000001"/>
    <s v="Lake County Board of Commissioners"/>
    <s v="LRC-2019-729"/>
    <s v="2019-619-45-MTM-A"/>
    <m/>
    <s v="Lake"/>
    <n v="41.537149999999997"/>
    <n v="-87.380949999999999"/>
    <s v="Transportation"/>
    <m/>
    <s v="No"/>
    <m/>
    <n v="8949"/>
    <n v="41762"/>
    <n v="8949"/>
    <m/>
    <m/>
    <m/>
    <m/>
    <m/>
    <m/>
    <m/>
    <m/>
    <m/>
  </r>
  <r>
    <x v="79"/>
    <s v="August"/>
    <n v="2020"/>
    <x v="9"/>
    <n v="-0.17"/>
    <x v="0"/>
    <n v="13600"/>
    <n v="138"/>
    <s v="State Isolated"/>
    <s v="PEM"/>
    <n v="0.1"/>
    <s v="Raindrop, LLC"/>
    <s v="N/A"/>
    <s v="IWGP 2020-498-32-ERL-A"/>
    <m/>
    <s v="Hendricks"/>
    <n v="39.623699999999999"/>
    <n v="-86.472399999999993"/>
    <s v="Development"/>
    <s v="LRL-2021-552-sam"/>
    <s v="Yes"/>
    <d v="2025-05-09T00:00:00"/>
    <n v="2040"/>
    <n v="9520"/>
    <n v="2040"/>
    <m/>
    <m/>
    <m/>
    <m/>
    <s v="Fall Creek Woods Release #2"/>
    <m/>
    <m/>
    <m/>
    <s v="0.03 Class I NF (PEM) impact; 0.07 Class II NF (PEM) impact - require 0.17 credit. Credits fulfilled by Fall Creek Woods Release #2."/>
  </r>
  <r>
    <x v="79"/>
    <s v="August"/>
    <n v="2020"/>
    <x v="9"/>
    <n v="-0.2"/>
    <x v="0"/>
    <n v="16000"/>
    <n v="138"/>
    <s v="State Isolated"/>
    <s v="PSS"/>
    <n v="0.08"/>
    <s v="Raindrop, LLC"/>
    <s v="N/A"/>
    <s v="IWGP 2020-498-32-ERL-A"/>
    <m/>
    <s v="Hendricks"/>
    <n v="39.623699999999999"/>
    <n v="-86.472399999999993"/>
    <s v="Development"/>
    <s v="LRL-2021-552-sam"/>
    <s v="Yes"/>
    <d v="2025-05-09T00:00:00"/>
    <n v="2400"/>
    <n v="11200"/>
    <n v="2400"/>
    <m/>
    <m/>
    <m/>
    <m/>
    <s v="Fall Creek Woods Release #2"/>
    <m/>
    <m/>
    <m/>
    <s v="0.08 Class II NF (PSS) impact - require 0.2 credit.  Credits fulfilled by Fall Creek Woods Release #2."/>
  </r>
  <r>
    <x v="80"/>
    <s v="August"/>
    <n v="2020"/>
    <x v="0"/>
    <n v="-1.3"/>
    <x v="0"/>
    <n v="123500"/>
    <n v="143"/>
    <s v="Federal"/>
    <s v="PEM"/>
    <n v="0.72"/>
    <s v="Tonn and Blank Construction"/>
    <s v="LRC-2019-872"/>
    <s v="2020-269-45-MTM-A"/>
    <m/>
    <s v="Lake"/>
    <n v="41.38194"/>
    <n v="-87.318830000000005"/>
    <s v="Transportation"/>
    <m/>
    <s v="No"/>
    <m/>
    <n v="18525"/>
    <n v="86450"/>
    <n v="18525"/>
    <m/>
    <m/>
    <m/>
    <m/>
    <m/>
    <m/>
    <m/>
    <m/>
    <m/>
  </r>
  <r>
    <x v="80"/>
    <s v="August"/>
    <n v="2020"/>
    <x v="0"/>
    <n v="-0.43"/>
    <x v="0"/>
    <n v="40850"/>
    <n v="143"/>
    <s v="Federal"/>
    <s v="PFO"/>
    <n v="0.24"/>
    <s v="Tonn and Blank Construction"/>
    <s v="LRC-2019-872"/>
    <s v="2020-269-45-MTM-A"/>
    <m/>
    <s v="Lake"/>
    <n v="41.38194"/>
    <n v="-87.318830000000005"/>
    <s v="Transportation"/>
    <m/>
    <s v="No"/>
    <m/>
    <n v="6127.5"/>
    <n v="28595"/>
    <n v="6127.5"/>
    <m/>
    <m/>
    <m/>
    <m/>
    <m/>
    <m/>
    <m/>
    <m/>
    <m/>
  </r>
  <r>
    <x v="81"/>
    <s v="August"/>
    <n v="2020"/>
    <x v="5"/>
    <n v="-297"/>
    <x v="1"/>
    <n v="118800"/>
    <n v="122"/>
    <s v="Federal"/>
    <s v="Int"/>
    <n v="235"/>
    <s v="SIGECO dba Vectren Power Supply"/>
    <s v="LRL-2016-408-jmb"/>
    <s v="2016-259-65-JWR-A"/>
    <m/>
    <s v="Posey"/>
    <n v="37.90119"/>
    <n v="-87.712779999999995"/>
    <s v="Energy Production"/>
    <m/>
    <s v="No"/>
    <m/>
    <n v="17820"/>
    <n v="83160"/>
    <n v="17820"/>
    <m/>
    <m/>
    <m/>
    <m/>
    <m/>
    <m/>
    <m/>
    <m/>
    <m/>
  </r>
  <r>
    <x v="81"/>
    <s v="August"/>
    <n v="2020"/>
    <x v="10"/>
    <n v="-132.5"/>
    <x v="1"/>
    <n v="53000"/>
    <n v="96"/>
    <s v="Federal"/>
    <s v="Eph"/>
    <n v="642.5"/>
    <s v="INDOT "/>
    <s v="LRL-2019-670-scm"/>
    <s v="2019-488-72-JBT-A"/>
    <m/>
    <s v="Scott"/>
    <n v="38.737000000000002"/>
    <n v="-85.711100000000002"/>
    <s v="Transportation"/>
    <m/>
    <s v="No"/>
    <m/>
    <n v="7950"/>
    <n v="37100"/>
    <n v="7950"/>
    <m/>
    <m/>
    <m/>
    <m/>
    <m/>
    <m/>
    <m/>
    <m/>
    <s v="Corps RGP - IDEM only required mitigation"/>
  </r>
  <r>
    <x v="81"/>
    <s v="August"/>
    <n v="2020"/>
    <x v="10"/>
    <n v="-6"/>
    <x v="1"/>
    <n v="2400"/>
    <n v="96"/>
    <s v="Federal"/>
    <s v="Int"/>
    <n v="92"/>
    <s v="INDOT "/>
    <s v="LRL-2019-670-scm"/>
    <s v="2019-488-72-JBT-A"/>
    <m/>
    <s v="Scott"/>
    <n v="38.737000000000002"/>
    <n v="-85.711100000000002"/>
    <s v="Transportation"/>
    <m/>
    <s v="No"/>
    <m/>
    <n v="360"/>
    <n v="1680"/>
    <n v="360"/>
    <m/>
    <m/>
    <m/>
    <m/>
    <m/>
    <m/>
    <m/>
    <m/>
    <s v="Corps RGP - IDEM only required mitigation"/>
  </r>
  <r>
    <x v="81"/>
    <s v="August"/>
    <n v="2020"/>
    <x v="10"/>
    <n v="-3.9E-2"/>
    <x v="0"/>
    <n v="3120"/>
    <n v="96"/>
    <s v="Federal"/>
    <s v="PEM"/>
    <n v="1.9699999999999999E-2"/>
    <s v="INDOT "/>
    <s v="LRL-2019-670-scm"/>
    <s v="2019-488-72-JBT-A"/>
    <m/>
    <s v="Scott"/>
    <n v="38.737000000000002"/>
    <n v="-85.711100000000002"/>
    <s v="Transportation"/>
    <m/>
    <s v="No"/>
    <m/>
    <n v="468"/>
    <n v="2184"/>
    <n v="468"/>
    <m/>
    <m/>
    <m/>
    <m/>
    <m/>
    <m/>
    <m/>
    <m/>
    <s v="Corps RGP - IDEM only required mitigation"/>
  </r>
  <r>
    <x v="81"/>
    <s v="August"/>
    <n v="2020"/>
    <x v="10"/>
    <n v="-3.2000000000000001E-2"/>
    <x v="0"/>
    <n v="2560"/>
    <n v="96"/>
    <s v="Federal"/>
    <s v="PFO"/>
    <n v="8.0000000000000002E-3"/>
    <s v="INDOT "/>
    <s v="LRL-2019-670-scm"/>
    <s v="2019-488-72-JBT-A"/>
    <m/>
    <s v="Scott"/>
    <n v="38.737000000000002"/>
    <n v="-85.711100000000002"/>
    <s v="Transportation"/>
    <m/>
    <s v="No"/>
    <m/>
    <n v="384"/>
    <n v="1792"/>
    <n v="384"/>
    <m/>
    <m/>
    <m/>
    <m/>
    <m/>
    <m/>
    <m/>
    <m/>
    <s v="Corps RGP - IDEM only required mitigation"/>
  </r>
  <r>
    <x v="82"/>
    <s v="August"/>
    <n v="2020"/>
    <x v="7"/>
    <n v="-110"/>
    <x v="1"/>
    <n v="44000"/>
    <n v="137"/>
    <s v="Federal"/>
    <s v="Per"/>
    <n v="110"/>
    <s v="Indiana DNR"/>
    <s v="LRL-2020-406-cat"/>
    <s v="2020-305-39-TMS-X"/>
    <m/>
    <s v="Jefferson"/>
    <n v="38.732199999999999"/>
    <n v="-85.246099999999998"/>
    <s v="Transportation"/>
    <m/>
    <s v="No"/>
    <m/>
    <n v="6600"/>
    <n v="30799.999999999996"/>
    <n v="6600"/>
    <m/>
    <m/>
    <m/>
    <m/>
    <m/>
    <m/>
    <m/>
    <m/>
    <m/>
  </r>
  <r>
    <x v="83"/>
    <s v="August"/>
    <n v="2020"/>
    <x v="5"/>
    <n v="-0.52"/>
    <x v="0"/>
    <n v="41440"/>
    <n v="118"/>
    <s v="Federal"/>
    <s v="PEM"/>
    <n v="0.22"/>
    <s v="Perry County Development Corporation"/>
    <s v="LRL-2015-59-KJS"/>
    <s v="2017-426-JWR-62-JWR"/>
    <m/>
    <s v="Perry"/>
    <n v="37.986739999999998"/>
    <n v="-86.771259999999998"/>
    <s v="Development"/>
    <m/>
    <s v="No"/>
    <m/>
    <n v="6216"/>
    <n v="29007.999999999996"/>
    <n v="6216"/>
    <m/>
    <m/>
    <m/>
    <m/>
    <m/>
    <m/>
    <m/>
    <m/>
    <m/>
  </r>
  <r>
    <x v="83"/>
    <s v="August"/>
    <n v="2020"/>
    <x v="5"/>
    <n v="-0.78"/>
    <x v="0"/>
    <n v="62560"/>
    <n v="118"/>
    <s v="Federal"/>
    <s v="PFO"/>
    <n v="0.16"/>
    <s v="Perry County Development Corporation"/>
    <s v="LRL-2015-59-KJS"/>
    <s v="2017-426-JWR-62-JWR"/>
    <m/>
    <s v="Perry"/>
    <n v="37.986739999999998"/>
    <n v="-86.771259999999998"/>
    <s v="Development"/>
    <m/>
    <s v="No"/>
    <m/>
    <n v="9384"/>
    <n v="43792"/>
    <n v="9384"/>
    <m/>
    <m/>
    <m/>
    <m/>
    <m/>
    <m/>
    <m/>
    <m/>
    <m/>
  </r>
  <r>
    <x v="83"/>
    <s v="August"/>
    <n v="2020"/>
    <x v="6"/>
    <n v="-0.122"/>
    <x v="0"/>
    <n v="14640"/>
    <n v="146"/>
    <s v="Federal"/>
    <s v="PEM"/>
    <n v="6.0999999999999999E-2"/>
    <s v="St. Joseph County"/>
    <s v="LRE-2019-01448-171-R19"/>
    <s v="2019-919-71-JWR-A"/>
    <m/>
    <s v="St. Joseph"/>
    <n v="41.709065000000002"/>
    <n v="-86.215205999999995"/>
    <s v="Transportation"/>
    <m/>
    <s v="No"/>
    <m/>
    <n v="2196"/>
    <n v="10248"/>
    <n v="2196"/>
    <m/>
    <m/>
    <m/>
    <m/>
    <m/>
    <m/>
    <m/>
    <m/>
    <m/>
  </r>
  <r>
    <x v="83"/>
    <s v="August"/>
    <n v="2020"/>
    <x v="6"/>
    <n v="-2.2040000000000002"/>
    <x v="0"/>
    <n v="264480"/>
    <n v="146"/>
    <s v="Federal"/>
    <s v="PFO"/>
    <n v="0.55100000000000005"/>
    <s v="St. Joseph County"/>
    <s v="LRE-2019-01448-171-R19"/>
    <s v="2019-919-71-JWR-A"/>
    <m/>
    <s v="St. Joseph"/>
    <n v="41.709065000000002"/>
    <n v="-86.215205999999995"/>
    <s v="Transportation"/>
    <m/>
    <s v="No"/>
    <m/>
    <n v="39672"/>
    <n v="185136"/>
    <n v="39672"/>
    <m/>
    <m/>
    <m/>
    <m/>
    <m/>
    <m/>
    <m/>
    <m/>
    <m/>
  </r>
  <r>
    <x v="83"/>
    <s v="August"/>
    <n v="2020"/>
    <x v="7"/>
    <n v="-0.221"/>
    <x v="0"/>
    <n v="17680"/>
    <n v="141"/>
    <s v="State Isolated"/>
    <s v="PEM"/>
    <n v="0.221"/>
    <s v="City of Greendale"/>
    <s v="N/A"/>
    <s v="IWGP 2020-405-15-TMS-A"/>
    <m/>
    <s v="Dearborn"/>
    <n v="39.113160000000001"/>
    <n v="-84.856620000000007"/>
    <s v="Development"/>
    <s v="LRL-2014-100-sam/Fourteeen Mile Creek Mitigation Bank"/>
    <s v="Yes"/>
    <d v="2024-01-22T00:00:00"/>
    <n v="2652"/>
    <n v="12376"/>
    <n v="2652"/>
    <m/>
    <m/>
    <m/>
    <m/>
    <s v="Fourteen Mile Creek Mitigation Bank"/>
    <m/>
    <m/>
    <m/>
    <s v="Credit fulfilled, purchased from Fourteen Mile Creek Mitigation Bank.  "/>
  </r>
  <r>
    <x v="83"/>
    <s v="August"/>
    <n v="2020"/>
    <x v="9"/>
    <n v="-0.74"/>
    <x v="0"/>
    <n v="59200"/>
    <n v="142"/>
    <s v="State Isolated"/>
    <s v="PEM"/>
    <n v="0.74"/>
    <s v="Walmart Stores, Inc."/>
    <s v="N/A"/>
    <s v="IWIP 2020-388-30-ALF-A"/>
    <m/>
    <s v="Hancock"/>
    <n v="39.852800000000002"/>
    <n v="-85.905500000000004"/>
    <s v="Development"/>
    <s v="LRL-2021-552-sam"/>
    <s v="Yes"/>
    <d v="2025-05-09T00:00:00"/>
    <n v="8880"/>
    <n v="41440"/>
    <n v="8880"/>
    <m/>
    <m/>
    <m/>
    <m/>
    <s v="Fall Creek Woods Release #2"/>
    <m/>
    <m/>
    <m/>
    <s v="Class I Non-Forested (1 to 1 ratio). Credits fulfilled by Fall Creek Woods Release #2."/>
  </r>
  <r>
    <x v="83"/>
    <s v="August"/>
    <n v="2020"/>
    <x v="9"/>
    <n v="-6.48"/>
    <x v="0"/>
    <n v="518400"/>
    <n v="142"/>
    <s v="State Isolated"/>
    <s v="PFO"/>
    <n v="2.16"/>
    <s v="Walmart Stores, Inc."/>
    <s v="N/A"/>
    <s v="IWIP 2020-388-30-ALF-A"/>
    <m/>
    <s v="Hancock"/>
    <n v="39.852800000000002"/>
    <n v="-85.905500000000004"/>
    <s v="Development"/>
    <s v="LRL-2021-552-sam"/>
    <s v="No"/>
    <s v="5/9/2025,"/>
    <n v="77760"/>
    <n v="362880"/>
    <n v="77760"/>
    <m/>
    <m/>
    <m/>
    <m/>
    <s v="Fall Creek Woods Release #2"/>
    <m/>
    <m/>
    <m/>
    <s v="Class III Forested (3 to 1 ratio). 0.476 credits fulfilled by Fall Creek Woods Release #2. 6.004/6.48 credits remaining to be fulfilled. "/>
  </r>
  <r>
    <x v="84"/>
    <s v="September"/>
    <n v="2020"/>
    <x v="0"/>
    <n v="-0.88"/>
    <x v="0"/>
    <n v="83600"/>
    <n v="148"/>
    <s v="State Isolated"/>
    <s v="PEM"/>
    <n v="0.88"/>
    <s v="Olthof Homes - Ed Recktenwald"/>
    <s v="N/A"/>
    <s v="2019-425-64-MTM-A"/>
    <m/>
    <s v="Porter"/>
    <n v="41.584589999999999"/>
    <n v="-87.117549999999994"/>
    <s v="Development"/>
    <m/>
    <s v="No"/>
    <m/>
    <n v="12540"/>
    <n v="58519.999999999993"/>
    <n v="12540"/>
    <m/>
    <m/>
    <m/>
    <m/>
    <m/>
    <m/>
    <m/>
    <m/>
    <s v="Class I Non-Forested (1 to 1 ratio)"/>
  </r>
  <r>
    <x v="84"/>
    <s v="September"/>
    <n v="2020"/>
    <x v="6"/>
    <n v="-0.42"/>
    <x v="0"/>
    <n v="50400"/>
    <n v="136"/>
    <s v="Federal"/>
    <s v="PEM"/>
    <n v="0.21"/>
    <s v="St. Joseph County Airport Authority"/>
    <s v="LRE-2001-1710041-R20"/>
    <s v="2020-521-71-JWR-X"/>
    <m/>
    <s v="St. Joseph"/>
    <n v="41.702539999999999"/>
    <n v="-86.325190000000006"/>
    <s v="Transportation"/>
    <m/>
    <s v="No"/>
    <m/>
    <n v="7560"/>
    <n v="35280"/>
    <n v="7560"/>
    <m/>
    <m/>
    <m/>
    <m/>
    <m/>
    <m/>
    <m/>
    <m/>
    <s v="Corps and IDEM RGP"/>
  </r>
  <r>
    <x v="85"/>
    <s v="September"/>
    <n v="2020"/>
    <x v="8"/>
    <n v="-0.46"/>
    <x v="0"/>
    <n v="36800"/>
    <n v="112"/>
    <s v="Federal"/>
    <s v="PEM"/>
    <n v="0.23"/>
    <s v="INDOT"/>
    <s v="LRL-2018-801-djd"/>
    <s v="2019-653-12-JBT-A"/>
    <m/>
    <s v="Clinton &amp; Howard"/>
    <n v="40.417000000000002"/>
    <n v="-86.582999999999998"/>
    <s v="Transportation"/>
    <m/>
    <s v="No"/>
    <m/>
    <n v="5520"/>
    <n v="25760"/>
    <n v="5520"/>
    <m/>
    <m/>
    <m/>
    <m/>
    <m/>
    <m/>
    <m/>
    <m/>
    <s v="IDEM required more ILF Credits than the Corps for PEM impacts (INDOT DES No.: 1400263, 1592971, 1400265)"/>
  </r>
  <r>
    <x v="85"/>
    <s v="September"/>
    <n v="2020"/>
    <x v="8"/>
    <n v="-1794"/>
    <x v="1"/>
    <n v="717600"/>
    <n v="112"/>
    <s v="Federal"/>
    <s v="Int"/>
    <n v="2067"/>
    <s v="INDOT"/>
    <s v="LRL-2018-801-djd"/>
    <s v="2019-653-12-JBT-A"/>
    <m/>
    <s v="Clinton &amp; Howard"/>
    <n v="40.417000000000002"/>
    <n v="-86.582999999999998"/>
    <s v="Transportation"/>
    <m/>
    <s v="No"/>
    <m/>
    <n v="107640"/>
    <n v="502319.99999999994"/>
    <n v="107640"/>
    <m/>
    <m/>
    <m/>
    <m/>
    <m/>
    <m/>
    <m/>
    <m/>
    <s v="The Corps did not require ILF Stream Credits (INDOT DES No.: 1400263, 1592971, 1400265)"/>
  </r>
  <r>
    <x v="85"/>
    <s v="September"/>
    <n v="2020"/>
    <x v="8"/>
    <n v="-10"/>
    <x v="1"/>
    <n v="4000"/>
    <n v="112"/>
    <s v="Federal"/>
    <s v="Per"/>
    <n v="10"/>
    <s v="INDOT"/>
    <s v="LRL-2018-801-djd"/>
    <s v="2019-653-12-JBT-A"/>
    <m/>
    <s v="Clinton &amp; Howard"/>
    <n v="40.417000000000002"/>
    <n v="-86.582999999999998"/>
    <s v="Transportation"/>
    <m/>
    <s v="No"/>
    <m/>
    <n v="600"/>
    <n v="2800"/>
    <n v="600"/>
    <m/>
    <m/>
    <m/>
    <m/>
    <m/>
    <m/>
    <m/>
    <m/>
    <s v="The Corps did not require ILF Stream Credits (INDOT DES No.: 1400263, 1592971, 1400265)"/>
  </r>
  <r>
    <x v="85"/>
    <s v="September"/>
    <n v="2020"/>
    <x v="8"/>
    <n v="-0.03"/>
    <x v="0"/>
    <n v="2400"/>
    <n v="112"/>
    <s v="Federal"/>
    <s v="PSS"/>
    <n v="0.01"/>
    <s v="INDOT"/>
    <s v="LRL-2018-801-djd"/>
    <s v="2019-653-12-JBT-A"/>
    <m/>
    <s v="Clinton &amp; Howard"/>
    <n v="40.417000000000002"/>
    <n v="-86.582999999999998"/>
    <s v="Transportation"/>
    <m/>
    <s v="No"/>
    <m/>
    <n v="360"/>
    <n v="1680"/>
    <n v="360"/>
    <m/>
    <m/>
    <m/>
    <m/>
    <m/>
    <m/>
    <m/>
    <m/>
    <s v="The Corps did not require ILF credits for PSS impacts (INDOT DES No.: 1400263, 1592971, 1400265)"/>
  </r>
  <r>
    <x v="85"/>
    <s v="September"/>
    <n v="2020"/>
    <x v="8"/>
    <n v="-1.04"/>
    <x v="0"/>
    <n v="83200"/>
    <n v="112"/>
    <s v="Federal"/>
    <s v="PFO"/>
    <n v="0.26"/>
    <s v="INDOT"/>
    <s v="LRL-2018-801-djd"/>
    <s v="2019-653-12-JBT-A"/>
    <m/>
    <s v="Clinton &amp; Howard"/>
    <n v="40.417000000000002"/>
    <n v="-86.582999999999998"/>
    <s v="Transportation"/>
    <m/>
    <s v="No"/>
    <m/>
    <n v="12480"/>
    <n v="58239.999999999993"/>
    <n v="12480"/>
    <m/>
    <m/>
    <m/>
    <m/>
    <m/>
    <m/>
    <m/>
    <m/>
    <s v="IDEM required more ILF Credits than the Corps for PFO impacts (INDOT DES No.: 1400263, 1592971, 1400265)"/>
  </r>
  <r>
    <x v="85"/>
    <s v="September"/>
    <n v="2020"/>
    <x v="8"/>
    <n v="-0.05"/>
    <x v="0"/>
    <n v="4000"/>
    <n v="112"/>
    <s v="State Isolated"/>
    <s v="PEM"/>
    <n v="0.05"/>
    <s v="INDOT"/>
    <s v="N/A"/>
    <s v="IWGP 2019-653-12-JBT-A"/>
    <m/>
    <s v="Clinton &amp; Howard"/>
    <n v="40.417299999999997"/>
    <n v="-86.305999999999997"/>
    <s v="Transportation"/>
    <m/>
    <s v="No"/>
    <m/>
    <n v="600"/>
    <n v="2800"/>
    <n v="600"/>
    <m/>
    <m/>
    <m/>
    <m/>
    <m/>
    <m/>
    <m/>
    <m/>
    <s v="Class I Non-Forested (1 to 1 ratio) (INDOT DES No.: 1400263, 1592971, 1400265)"/>
  </r>
  <r>
    <x v="85"/>
    <s v="September"/>
    <n v="2020"/>
    <x v="9"/>
    <n v="-411"/>
    <x v="1"/>
    <n v="184950"/>
    <n v="113"/>
    <s v="Federal"/>
    <s v="Int"/>
    <n v="411"/>
    <s v="INDOT"/>
    <s v="LRL-2019-584-djd "/>
    <s v="2020-136-06-JBT-A"/>
    <m/>
    <s v="Boone"/>
    <n v="39.981999999999999"/>
    <n v="-86.396000000000001"/>
    <s v="Transportation"/>
    <m/>
    <s v="No"/>
    <m/>
    <n v="27742.5"/>
    <n v="129465"/>
    <n v="27742.5"/>
    <m/>
    <m/>
    <m/>
    <m/>
    <m/>
    <m/>
    <m/>
    <m/>
    <s v="The Corps did not require ILF Stream Credits (INDOT DES No.: 1400071)"/>
  </r>
  <r>
    <x v="85"/>
    <s v="September"/>
    <n v="2020"/>
    <x v="9"/>
    <n v="-0.16200000000000001"/>
    <x v="0"/>
    <n v="12960"/>
    <n v="113"/>
    <s v="State Isolated"/>
    <s v="PEM"/>
    <n v="0.16200000000000001"/>
    <s v="INDOT"/>
    <s v="N/A"/>
    <s v="IWGP 2020-136-06-JBT-A"/>
    <m/>
    <s v="Boone"/>
    <n v="39.984000000000002"/>
    <n v="-86.399000000000001"/>
    <s v="Transportation"/>
    <m/>
    <s v="No"/>
    <m/>
    <n v="1944"/>
    <n v="9072"/>
    <n v="1944"/>
    <m/>
    <m/>
    <m/>
    <m/>
    <m/>
    <m/>
    <m/>
    <m/>
    <s v="Class I Non-Forested (INDOT DES No.: 1400071)"/>
  </r>
  <r>
    <x v="85"/>
    <s v="September"/>
    <n v="2020"/>
    <x v="9"/>
    <n v="-0.27500000000000002"/>
    <x v="0"/>
    <n v="22000"/>
    <n v="113"/>
    <s v="State Isolated"/>
    <s v="PFO"/>
    <n v="0.11"/>
    <s v="INDOT"/>
    <s v="N/A"/>
    <s v="IWGP 2020-136-06-JBT-A"/>
    <m/>
    <s v="Boone"/>
    <n v="39.984000000000002"/>
    <n v="-86.399000000000001"/>
    <s v="Transportation"/>
    <m/>
    <s v="No"/>
    <m/>
    <n v="3300"/>
    <n v="15399.999999999998"/>
    <n v="3300"/>
    <m/>
    <m/>
    <m/>
    <m/>
    <m/>
    <m/>
    <m/>
    <m/>
    <s v="Class II Forested (INDOT DES No.: 1400071)"/>
  </r>
  <r>
    <x v="85"/>
    <s v="September"/>
    <n v="2020"/>
    <x v="9"/>
    <n v="-88.25"/>
    <x v="1"/>
    <n v="39712.51"/>
    <n v="128"/>
    <s v="Federal"/>
    <s v="Int"/>
    <n v="88.25"/>
    <s v="INDOT"/>
    <s v="LRL-2017-461-scm"/>
    <s v="2019-844-32-JBT-A"/>
    <m/>
    <s v="Hendricks"/>
    <n v="39.667999999999999"/>
    <n v="-86.370699999999999"/>
    <s v="Transportation"/>
    <m/>
    <s v="No"/>
    <m/>
    <n v="5956.8765000000003"/>
    <n v="27798.757000000001"/>
    <n v="5956.8765000000003"/>
    <m/>
    <m/>
    <m/>
    <m/>
    <m/>
    <m/>
    <m/>
    <m/>
    <s v="Corps did not require ILF mitigation for this reach of I-70 (mitigation required previously under same 404 No.) (DES 1592433)"/>
  </r>
  <r>
    <x v="86"/>
    <s v="September"/>
    <n v="2020"/>
    <x v="4"/>
    <n v="-7.0000000000000001E-3"/>
    <x v="0"/>
    <n v="560"/>
    <n v="126"/>
    <s v="State Isolated"/>
    <s v="PEM"/>
    <n v="7.0000000000000001E-3"/>
    <s v="INDOT "/>
    <s v="N/A"/>
    <s v="IWGP 2020-287-04-JBT-A"/>
    <m/>
    <s v="Benton"/>
    <n v="40.539299999999997"/>
    <n v="-87.378799999999998"/>
    <s v="Transportation"/>
    <m/>
    <s v="No"/>
    <m/>
    <n v="84"/>
    <n v="392"/>
    <n v="84"/>
    <m/>
    <m/>
    <m/>
    <m/>
    <m/>
    <m/>
    <m/>
    <m/>
    <s v="DES NO. 1701564; Class 1 State Isolated Wetland Impact"/>
  </r>
  <r>
    <x v="87"/>
    <s v="September "/>
    <n v="2020"/>
    <x v="4"/>
    <n v="-18.3"/>
    <x v="1"/>
    <n v="7320"/>
    <n v="125"/>
    <s v="Federal"/>
    <s v="Eph"/>
    <n v="740.3"/>
    <s v="INDOT "/>
    <s v="LRL-2020-60-scm"/>
    <s v="2020-91-77-JBT-A"/>
    <m/>
    <s v="Sullivan"/>
    <n v="39.194546000000003"/>
    <n v="-87.489445000000003"/>
    <s v="Transportation"/>
    <m/>
    <s v="No"/>
    <m/>
    <n v="1098"/>
    <n v="5124"/>
    <n v="1098"/>
    <m/>
    <m/>
    <m/>
    <m/>
    <m/>
    <m/>
    <m/>
    <m/>
    <s v="DES No. 9701930; USACE did not require mitigation approved RGP"/>
  </r>
  <r>
    <x v="87"/>
    <s v="September "/>
    <n v="2020"/>
    <x v="4"/>
    <n v="-176"/>
    <x v="1"/>
    <n v="70400"/>
    <n v="125"/>
    <s v="Federal"/>
    <s v="Per"/>
    <n v="176"/>
    <s v="INDOT "/>
    <s v="LRL-2020-60-scm"/>
    <s v="2020-91-77-JBT-A"/>
    <m/>
    <s v="Sullivan"/>
    <n v="39.194546000000003"/>
    <n v="-87.489445000000003"/>
    <s v="Transportation"/>
    <m/>
    <s v="No"/>
    <m/>
    <n v="10560"/>
    <n v="49280"/>
    <n v="10560"/>
    <m/>
    <m/>
    <m/>
    <m/>
    <m/>
    <m/>
    <m/>
    <m/>
    <s v="DES No. 9701930; USACE did not require mitigation approved RGP"/>
  </r>
  <r>
    <x v="87"/>
    <s v="September"/>
    <n v="2020"/>
    <x v="4"/>
    <n v="-1.4E-2"/>
    <x v="0"/>
    <n v="1120"/>
    <n v="125"/>
    <s v="Federal"/>
    <s v="PEM"/>
    <n v="7.0000000000000001E-3"/>
    <s v="INDOT "/>
    <s v="LRL-2020-60-scm"/>
    <s v="2020-91-77-JBT-A"/>
    <m/>
    <s v="Sullivan"/>
    <n v="39.194546000000003"/>
    <n v="-87.489445000000003"/>
    <s v="Transportation"/>
    <m/>
    <s v="No"/>
    <m/>
    <n v="168"/>
    <n v="784"/>
    <n v="168"/>
    <m/>
    <m/>
    <m/>
    <m/>
    <m/>
    <m/>
    <m/>
    <m/>
    <s v="DES No. 9701930; USACE did not require mitigation approved RGP"/>
  </r>
  <r>
    <x v="87"/>
    <s v="September"/>
    <n v="2020"/>
    <x v="4"/>
    <n v="-162"/>
    <x v="1"/>
    <n v="64800"/>
    <n v="119"/>
    <s v="Federal"/>
    <s v="Per"/>
    <n v="162"/>
    <s v="INDOT "/>
    <s v="LRL-2019-882-djd"/>
    <s v="2019-878-06-JBT-A"/>
    <m/>
    <s v="Boone"/>
    <n v="40.152200000000001"/>
    <n v="-86.537649999999999"/>
    <s v="Transportation"/>
    <m/>
    <s v="No"/>
    <m/>
    <n v="9720"/>
    <n v="45360"/>
    <n v="9720"/>
    <m/>
    <m/>
    <m/>
    <m/>
    <m/>
    <m/>
    <m/>
    <m/>
    <s v="DES No. 1173629 and 1173630; USACE did not require mitigation approved RGP"/>
  </r>
  <r>
    <x v="87"/>
    <s v="September"/>
    <n v="2020"/>
    <x v="4"/>
    <n v="-0.1172"/>
    <x v="0"/>
    <n v="9376"/>
    <n v="119"/>
    <s v="Federal"/>
    <s v="PEM"/>
    <n v="5.8599999999999999E-2"/>
    <s v="INDOT "/>
    <s v="LRL-2019-882-djd"/>
    <s v="2019-878-06-JBT-A"/>
    <m/>
    <s v="Boone"/>
    <n v="40.152200000000001"/>
    <n v="-86.537649999999999"/>
    <s v="Transportation"/>
    <m/>
    <s v="No"/>
    <m/>
    <n v="1406.3999999999999"/>
    <n v="6563.2"/>
    <n v="1406.3999999999999"/>
    <m/>
    <m/>
    <m/>
    <m/>
    <m/>
    <m/>
    <m/>
    <m/>
    <s v="DES No. 1173629 and 1173630; USACE did not require mitigation approved RGP"/>
  </r>
  <r>
    <x v="87"/>
    <s v="September"/>
    <n v="2020"/>
    <x v="4"/>
    <n v="-8.1000000000000003E-2"/>
    <x v="0"/>
    <n v="6480"/>
    <n v="119"/>
    <s v="Federal"/>
    <s v="PFO"/>
    <n v="2.7E-2"/>
    <s v="INDOT "/>
    <s v="LRL-2019-882-djd"/>
    <s v="2019-878-06-JBT-A"/>
    <m/>
    <s v="Boone"/>
    <n v="40.152200000000001"/>
    <n v="-86.537649999999999"/>
    <s v="Transportation"/>
    <m/>
    <s v="No"/>
    <m/>
    <n v="972"/>
    <n v="4536"/>
    <n v="972"/>
    <m/>
    <m/>
    <m/>
    <m/>
    <m/>
    <m/>
    <m/>
    <m/>
    <s v="DES No. 1173629 and 1173630; USACE did not require mitigation approved RGP"/>
  </r>
  <r>
    <x v="87"/>
    <s v="September"/>
    <n v="2020"/>
    <x v="5"/>
    <n v="-347"/>
    <x v="1"/>
    <n v="138800"/>
    <n v="120"/>
    <s v="Federal"/>
    <s v="Int"/>
    <n v="703"/>
    <s v="INDOT "/>
    <s v="LRL-2020-39-djd"/>
    <s v="2020-250-74-JBT-A"/>
    <m/>
    <s v="Spencer"/>
    <n v="37.901499999999999"/>
    <n v="-87.104799999999997"/>
    <s v="Transportation"/>
    <m/>
    <s v="No"/>
    <m/>
    <n v="20820"/>
    <n v="97160"/>
    <n v="20820"/>
    <m/>
    <m/>
    <m/>
    <m/>
    <m/>
    <m/>
    <m/>
    <m/>
    <s v="DES No. 0710929; USACE did not require mitigation approved RGP"/>
  </r>
  <r>
    <x v="87"/>
    <s v="September"/>
    <n v="2020"/>
    <x v="5"/>
    <n v="-0.02"/>
    <x v="0"/>
    <n v="1600"/>
    <n v="120"/>
    <s v="Federal"/>
    <s v="PEM"/>
    <n v="0.01"/>
    <s v="INDOT "/>
    <s v="LRL-2020-39-djd"/>
    <s v="2020-250-74-JBT-A"/>
    <m/>
    <s v="Spencer"/>
    <n v="37.901499999999999"/>
    <n v="-87.104799999999997"/>
    <s v="Transportation"/>
    <m/>
    <s v="No"/>
    <m/>
    <n v="240"/>
    <n v="1120"/>
    <n v="240"/>
    <m/>
    <m/>
    <m/>
    <m/>
    <m/>
    <m/>
    <m/>
    <m/>
    <s v="DES No. 0710929; USACE did not require mitigation approved RGP"/>
  </r>
  <r>
    <x v="88"/>
    <s v="September"/>
    <n v="2020"/>
    <x v="2"/>
    <n v="-1070"/>
    <x v="1"/>
    <n v="428000"/>
    <n v="109"/>
    <s v="Federal"/>
    <s v="Eph"/>
    <n v="892"/>
    <s v="NAVFAC MIDPLANT PWD"/>
    <s v="LRL-2019-71-lcl"/>
    <s v="2020-084-51-TMS-A"/>
    <m/>
    <s v="Martin"/>
    <n v="38.891100000000002"/>
    <n v="-86.864900000000006"/>
    <s v="Development"/>
    <m/>
    <s v="No"/>
    <m/>
    <n v="64200"/>
    <n v="299600"/>
    <n v="64200"/>
    <m/>
    <m/>
    <m/>
    <m/>
    <m/>
    <m/>
    <m/>
    <m/>
    <m/>
  </r>
  <r>
    <x v="88"/>
    <s v="September"/>
    <n v="2020"/>
    <x v="2"/>
    <n v="-1"/>
    <x v="0"/>
    <n v="80000"/>
    <n v="109"/>
    <s v="Federal"/>
    <s v="PFO"/>
    <n v="0.27"/>
    <s v="NAVFAC MIDPLANT PWD"/>
    <s v="LRL-2019-71-lcl"/>
    <s v="2020-084-51-TMS-A"/>
    <m/>
    <s v="Martin"/>
    <n v="38.891100000000002"/>
    <n v="-86.864900000000006"/>
    <s v="Development"/>
    <m/>
    <s v="No"/>
    <m/>
    <n v="12000"/>
    <n v="56000"/>
    <n v="12000"/>
    <m/>
    <m/>
    <m/>
    <m/>
    <m/>
    <m/>
    <m/>
    <m/>
    <m/>
  </r>
  <r>
    <x v="88"/>
    <s v="September"/>
    <n v="2020"/>
    <x v="2"/>
    <n v="-0.16600000000000001"/>
    <x v="0"/>
    <n v="13280"/>
    <n v="109"/>
    <s v="Federal"/>
    <s v="PEM"/>
    <n v="0.08"/>
    <s v="NAVFAC MIDPLANT PWD"/>
    <s v="LRL-2019-71-lcl"/>
    <s v="2020-084-51-TMS-A"/>
    <m/>
    <s v="Martin"/>
    <n v="38.891100000000002"/>
    <n v="-86.864900000000006"/>
    <s v="Development"/>
    <m/>
    <s v="No"/>
    <m/>
    <n v="1992"/>
    <n v="9296"/>
    <n v="1992"/>
    <m/>
    <m/>
    <m/>
    <m/>
    <m/>
    <m/>
    <m/>
    <m/>
    <m/>
  </r>
  <r>
    <x v="89"/>
    <s v="October"/>
    <n v="2020"/>
    <x v="0"/>
    <n v="-0.72"/>
    <x v="0"/>
    <n v="68400"/>
    <n v="153"/>
    <s v="Federal"/>
    <s v="PEM"/>
    <n v="750"/>
    <s v="Glenn Springs Holdings, Inc"/>
    <s v="LRC-2020-125"/>
    <s v="2020-464-45-MTM-A"/>
    <m/>
    <s v="Lake"/>
    <n v="41.619916000000003"/>
    <n v="-87.431398000000002"/>
    <s v="Energy Production"/>
    <m/>
    <s v="No"/>
    <m/>
    <n v="10260"/>
    <n v="47880"/>
    <n v="10260"/>
    <m/>
    <m/>
    <m/>
    <m/>
    <m/>
    <m/>
    <m/>
    <m/>
    <s v="Wetland credit purchase for perennial stream encapsulation.  "/>
  </r>
  <r>
    <x v="89"/>
    <s v="October"/>
    <n v="2020"/>
    <x v="9"/>
    <n v="-5602"/>
    <x v="1"/>
    <n v="2520900"/>
    <n v="149"/>
    <s v="Federal"/>
    <s v="Eph"/>
    <n v="4668"/>
    <s v="INDOT"/>
    <s v="LRL-2019-945-dds (IP)"/>
    <s v="2020-154-49-JBT-A"/>
    <m/>
    <s v="Marion "/>
    <n v="39.698371999999999"/>
    <n v="-86.138490000000004"/>
    <s v="Transportation"/>
    <m/>
    <s v="No"/>
    <m/>
    <n v="378135"/>
    <n v="1764630"/>
    <n v="378135"/>
    <m/>
    <m/>
    <m/>
    <m/>
    <m/>
    <m/>
    <m/>
    <m/>
    <s v="DES No. 1802075"/>
  </r>
  <r>
    <x v="89"/>
    <s v="October"/>
    <n v="2020"/>
    <x v="9"/>
    <n v="-1360"/>
    <x v="1"/>
    <n v="612000"/>
    <n v="149"/>
    <s v="Federal"/>
    <s v="Int"/>
    <n v="1113"/>
    <s v="INDOT"/>
    <s v="LRL-2019-945-dds (IP)"/>
    <s v="2020-154-49-JBT-A"/>
    <m/>
    <s v="Marion "/>
    <n v="39.698371999999999"/>
    <n v="-86.138490000000004"/>
    <s v="Transportation"/>
    <m/>
    <s v="No"/>
    <m/>
    <n v="91800"/>
    <n v="428400"/>
    <n v="91800"/>
    <m/>
    <m/>
    <m/>
    <m/>
    <m/>
    <m/>
    <m/>
    <m/>
    <s v="DES No. 1802075"/>
  </r>
  <r>
    <x v="89"/>
    <s v="October"/>
    <n v="2020"/>
    <x v="9"/>
    <n v="-0.34200000000000003"/>
    <x v="0"/>
    <n v="27360"/>
    <n v="149"/>
    <s v="Federal"/>
    <s v="PSS"/>
    <n v="0.114"/>
    <s v="INDOT"/>
    <s v="LRL-2019-945-dds (IP)"/>
    <s v="2020-154-49-JBT-A"/>
    <m/>
    <s v="Marion "/>
    <n v="39.698371999999999"/>
    <n v="-86.138490000000004"/>
    <s v="Transportation"/>
    <m/>
    <s v="No"/>
    <m/>
    <n v="4104"/>
    <n v="19152"/>
    <n v="4104"/>
    <m/>
    <m/>
    <m/>
    <m/>
    <m/>
    <m/>
    <m/>
    <m/>
    <s v="DES No. 1802075; IDEM required more PSS ILF mitigation than the Corps"/>
  </r>
  <r>
    <x v="89"/>
    <s v="October"/>
    <n v="2020"/>
    <x v="9"/>
    <n v="-1850"/>
    <x v="1"/>
    <n v="832500"/>
    <n v="149"/>
    <s v="Federal"/>
    <s v="Eph"/>
    <n v="1542"/>
    <s v="INDOT"/>
    <s v="LRL-2019-945-dds (RGP)"/>
    <s v="2020-154-49-JBT-A"/>
    <m/>
    <s v="Marion "/>
    <n v="39.698371999999999"/>
    <n v="-86.138490000000004"/>
    <s v="Transportation"/>
    <m/>
    <s v="No"/>
    <m/>
    <n v="124875"/>
    <n v="582750"/>
    <n v="124875"/>
    <m/>
    <m/>
    <m/>
    <m/>
    <m/>
    <m/>
    <m/>
    <m/>
    <s v="DES No. 1802075"/>
  </r>
  <r>
    <x v="89"/>
    <s v="October"/>
    <n v="2020"/>
    <x v="9"/>
    <n v="-26"/>
    <x v="1"/>
    <n v="11700"/>
    <n v="149"/>
    <s v="Federal"/>
    <s v="Per"/>
    <n v="22"/>
    <s v="INDOT"/>
    <s v="LRL-2019-945-dds (RGP)"/>
    <s v="2020-154-49-JBT-A"/>
    <m/>
    <s v="Marion "/>
    <n v="39.698371999999999"/>
    <n v="-86.138490000000004"/>
    <s v="Transportation"/>
    <m/>
    <s v="No"/>
    <m/>
    <n v="1755"/>
    <n v="8189.9999999999991"/>
    <n v="1755"/>
    <m/>
    <m/>
    <m/>
    <m/>
    <m/>
    <m/>
    <m/>
    <m/>
    <s v="DES No. 1802075"/>
  </r>
  <r>
    <x v="89"/>
    <s v="October"/>
    <n v="2020"/>
    <x v="9"/>
    <n v="-8.7999999999999995E-2"/>
    <x v="0"/>
    <n v="7040"/>
    <n v="149"/>
    <s v="Federal"/>
    <s v="PFO"/>
    <n v="2.1999999999999999E-2"/>
    <s v="INDOT"/>
    <s v="LRL-2019-945-dds (RGP)"/>
    <s v="2020-154-49-JBT-A"/>
    <m/>
    <s v="Marion "/>
    <n v="39.698371999999999"/>
    <n v="-86.138490000000004"/>
    <s v="Transportation"/>
    <m/>
    <s v="No"/>
    <m/>
    <n v="1056"/>
    <n v="4928"/>
    <n v="1056"/>
    <m/>
    <m/>
    <m/>
    <m/>
    <m/>
    <m/>
    <m/>
    <m/>
    <s v="DES No. 1802075; IDEM required more PFO ILF mitigation than the Corps"/>
  </r>
  <r>
    <x v="89"/>
    <s v="October"/>
    <n v="2020"/>
    <x v="9"/>
    <n v="-1.2999999999999999E-2"/>
    <x v="0"/>
    <n v="1040"/>
    <n v="149"/>
    <s v="State Isolated"/>
    <s v="PEM"/>
    <n v="1.2999999999999999E-2"/>
    <s v="INDOT"/>
    <s v="N/A"/>
    <s v="IWGP 2020-154-49-JBT-A"/>
    <m/>
    <s v="Marion "/>
    <n v="39.698371999999999"/>
    <n v="-86.138490000000004"/>
    <s v="Transportation"/>
    <m/>
    <s v="No"/>
    <m/>
    <n v="156"/>
    <n v="728"/>
    <n v="156"/>
    <m/>
    <m/>
    <m/>
    <m/>
    <m/>
    <m/>
    <m/>
    <m/>
    <s v="DES No. 1802075; Class I non-forested state isolated wetland"/>
  </r>
  <r>
    <x v="90"/>
    <s v="October"/>
    <n v="2020"/>
    <x v="9"/>
    <n v="-220"/>
    <x v="1"/>
    <n v="99000"/>
    <n v="151"/>
    <s v="Federal"/>
    <s v="Int"/>
    <n v="183"/>
    <s v="Pulte Homes of Indiana"/>
    <s v="LRL-2019-905-sjk"/>
    <s v="2020-40-32-ERL-A"/>
    <m/>
    <s v="Hendricks"/>
    <n v="39.697929000000002"/>
    <n v="-86.444142999999997"/>
    <s v="Development"/>
    <m/>
    <s v="No"/>
    <m/>
    <n v="14850"/>
    <n v="69300"/>
    <n v="14850"/>
    <m/>
    <m/>
    <m/>
    <m/>
    <m/>
    <m/>
    <m/>
    <m/>
    <s v="The Corps required more stream credits than IDEM"/>
  </r>
  <r>
    <x v="90"/>
    <s v="October"/>
    <n v="2020"/>
    <x v="9"/>
    <n v="-1.44"/>
    <x v="0"/>
    <n v="115200"/>
    <n v="151"/>
    <s v="Federal"/>
    <s v="PFO"/>
    <n v="0.36"/>
    <s v="Pulte Homes of Indiana"/>
    <s v="LRL-2019-905-sjk"/>
    <s v="2020-40-32-ERL-A"/>
    <m/>
    <s v="Hendricks"/>
    <n v="39.697929000000002"/>
    <n v="-86.444142999999997"/>
    <s v="Development"/>
    <m/>
    <s v="No"/>
    <m/>
    <n v="17280"/>
    <n v="80640"/>
    <n v="17280"/>
    <m/>
    <m/>
    <m/>
    <m/>
    <m/>
    <m/>
    <m/>
    <m/>
    <s v="IDEM required more wetland credits than the Corps"/>
  </r>
  <r>
    <x v="91"/>
    <s v="October"/>
    <n v="2020"/>
    <x v="7"/>
    <n v="-32"/>
    <x v="1"/>
    <n v="12800"/>
    <n v="147"/>
    <s v="Federal"/>
    <s v="Int"/>
    <n v="32"/>
    <s v="INDOT"/>
    <s v="LRL-2020-443-djd"/>
    <s v="2020-533-22-JBT-X"/>
    <m/>
    <s v="Floyd"/>
    <n v="38.380450000000003"/>
    <n v="-86.004589999999993"/>
    <s v="Transportation"/>
    <m/>
    <s v="No"/>
    <m/>
    <n v="1920"/>
    <n v="8960"/>
    <n v="1920"/>
    <m/>
    <m/>
    <m/>
    <m/>
    <m/>
    <m/>
    <m/>
    <m/>
    <s v="DES No. 1700126 USACE approved RGP no mitigation.  Project has 204 LF EPH stream impacts"/>
  </r>
  <r>
    <x v="92"/>
    <s v="October"/>
    <n v="2020"/>
    <x v="5"/>
    <n v="-0.5"/>
    <x v="0"/>
    <n v="40000"/>
    <n v="145"/>
    <s v="Federal"/>
    <s v="PFO"/>
    <n v="0.35"/>
    <s v="Vanderburgh County Engineering Department"/>
    <s v="LRL-2008-912-mdh"/>
    <s v="2008-327-JPS-A"/>
    <m/>
    <s v="Vanderburgh"/>
    <n v="38.042119999999997"/>
    <n v="-87.491659999999996"/>
    <s v="Transportation"/>
    <m/>
    <s v="No"/>
    <m/>
    <n v="6000"/>
    <n v="28000"/>
    <n v="6000"/>
    <m/>
    <m/>
    <m/>
    <m/>
    <m/>
    <m/>
    <m/>
    <m/>
    <s v="401 did not require credit purchase for failed mitigation."/>
  </r>
  <r>
    <x v="93"/>
    <s v="November"/>
    <n v="2020"/>
    <x v="9"/>
    <n v="-0.33"/>
    <x v="0"/>
    <n v="26400"/>
    <n v="161"/>
    <s v="Federal"/>
    <s v="PEM"/>
    <n v="0.22"/>
    <s v="Marina Limited Partnership (Hassan Mercho)"/>
    <s v="LRL-2017-1037-sjk"/>
    <s v="2019-276-30-ALF-A"/>
    <m/>
    <s v="Marion "/>
    <n v="39.927199999999999"/>
    <n v="-85.937200000000004"/>
    <s v="Development"/>
    <m/>
    <s v="No"/>
    <m/>
    <n v="3960"/>
    <n v="18480"/>
    <n v="3960"/>
    <m/>
    <m/>
    <m/>
    <m/>
    <m/>
    <m/>
    <m/>
    <m/>
    <s v="Impacts to open water of Geist Reservoir; Corps RGP, only IDEM required mitigation"/>
  </r>
  <r>
    <x v="94"/>
    <s v="November"/>
    <n v="2020"/>
    <x v="2"/>
    <n v="-123"/>
    <x v="1"/>
    <n v="49200"/>
    <n v="159"/>
    <s v="Federal"/>
    <s v="Eph"/>
    <n v="510"/>
    <s v="Monroe County Highway Engineering"/>
    <s v="LRL-2017-69-lcl"/>
    <s v="2020-150-53-JBT-A"/>
    <m/>
    <s v="Monroe"/>
    <n v="38.988999999999997"/>
    <n v="-86.367999999999995"/>
    <s v="Transportation"/>
    <m/>
    <s v="No"/>
    <m/>
    <n v="7380"/>
    <n v="34440"/>
    <n v="7380"/>
    <m/>
    <m/>
    <m/>
    <m/>
    <m/>
    <m/>
    <m/>
    <m/>
    <s v="Des No. 1702958; USACE approved RGP 1 and required no mitigation "/>
  </r>
  <r>
    <x v="94"/>
    <s v="November"/>
    <n v="2020"/>
    <x v="2"/>
    <n v="-211"/>
    <x v="1"/>
    <n v="84400"/>
    <n v="159"/>
    <s v="Federal"/>
    <s v="Int"/>
    <n v="920"/>
    <s v="Monroe County Highway Engineering"/>
    <s v="LRL-2017-69-lcl"/>
    <s v="2020-150-53-JBT-A"/>
    <m/>
    <s v="Monroe"/>
    <n v="38.988999999999997"/>
    <n v="-86.367999999999995"/>
    <s v="Transportation"/>
    <m/>
    <s v="No"/>
    <m/>
    <n v="12660"/>
    <n v="59079.999999999993"/>
    <n v="12660"/>
    <m/>
    <m/>
    <m/>
    <m/>
    <m/>
    <m/>
    <m/>
    <m/>
    <s v="Des No. 1702958; USACE approved RGP 1 and required no mitigation "/>
  </r>
  <r>
    <x v="94"/>
    <s v="November"/>
    <n v="2020"/>
    <x v="2"/>
    <n v="-95"/>
    <x v="1"/>
    <n v="38000"/>
    <n v="159"/>
    <s v="Federal"/>
    <s v="Per"/>
    <n v="839"/>
    <s v="Monroe County Highway Engineering"/>
    <s v="LRL-2017-69-lcl"/>
    <s v="2020-150-53-JBT-A"/>
    <m/>
    <s v="Monroe"/>
    <n v="38.988999999999997"/>
    <n v="-86.367999999999995"/>
    <s v="Transportation"/>
    <m/>
    <s v="No"/>
    <m/>
    <n v="5700"/>
    <n v="26600"/>
    <n v="5700"/>
    <m/>
    <m/>
    <m/>
    <m/>
    <m/>
    <m/>
    <m/>
    <m/>
    <s v="Des No. 1702958; USACE approved RGP 1 and required no mitigation "/>
  </r>
  <r>
    <x v="95"/>
    <s v="November"/>
    <n v="2020"/>
    <x v="9"/>
    <n v="-520"/>
    <x v="1"/>
    <n v="234000"/>
    <n v="154"/>
    <s v="Federal"/>
    <s v="Int"/>
    <n v="520"/>
    <s v="Hendricks County Engineering Department"/>
    <s v="LRL-2017-1185-djd (RGP)"/>
    <s v="2020-282-32-ERL-A"/>
    <m/>
    <s v="Hendricks"/>
    <n v="39.909120000000001"/>
    <n v="-86.374600000000001"/>
    <s v="Transportation"/>
    <m/>
    <s v="No"/>
    <m/>
    <n v="35100"/>
    <n v="163800"/>
    <n v="35100"/>
    <m/>
    <m/>
    <m/>
    <m/>
    <m/>
    <m/>
    <m/>
    <m/>
    <s v="Corps RGP did not require ILF mitigation"/>
  </r>
  <r>
    <x v="95"/>
    <s v="November"/>
    <n v="2020"/>
    <x v="9"/>
    <n v="-20"/>
    <x v="1"/>
    <n v="9000"/>
    <n v="154"/>
    <s v="Federal"/>
    <s v="Per"/>
    <n v="20"/>
    <s v="Hendricks County Engineering Department"/>
    <s v="LRL-2017-1185-djd (RGP)"/>
    <s v="2020-282-32-ERL-A"/>
    <m/>
    <s v="Hendricks"/>
    <n v="39.909120000000001"/>
    <n v="-86.374600000000001"/>
    <s v="Transportation"/>
    <m/>
    <s v="No"/>
    <m/>
    <n v="1350"/>
    <n v="6300"/>
    <n v="1350"/>
    <m/>
    <m/>
    <m/>
    <m/>
    <m/>
    <m/>
    <m/>
    <m/>
    <s v="Corps RGP did not require ILF mitigation"/>
  </r>
  <r>
    <x v="95"/>
    <s v="November"/>
    <n v="2020"/>
    <x v="9"/>
    <n v="-0.14000000000000001"/>
    <x v="0"/>
    <n v="11200"/>
    <n v="154"/>
    <s v="Federal"/>
    <s v="PEM"/>
    <n v="7.0000000000000007E-2"/>
    <s v="Hendricks County Engineering Department"/>
    <s v="LRL-2017-1185-djd (RGP)"/>
    <s v="2020-282-32-ERL-A"/>
    <m/>
    <s v="Hendricks"/>
    <n v="39.909120000000001"/>
    <n v="-86.374600000000001"/>
    <s v="Transportation"/>
    <m/>
    <s v="No"/>
    <m/>
    <n v="1680"/>
    <n v="7839.9999999999991"/>
    <n v="1680"/>
    <m/>
    <m/>
    <m/>
    <m/>
    <m/>
    <m/>
    <m/>
    <m/>
    <s v="Corps RGP did not require ILF mitigation"/>
  </r>
  <r>
    <x v="95"/>
    <s v="November"/>
    <n v="2020"/>
    <x v="9"/>
    <n v="-0.05"/>
    <x v="0"/>
    <n v="4000"/>
    <n v="154"/>
    <s v="State Isolated"/>
    <s v="PEM"/>
    <n v="0.05"/>
    <s v="Hendricks County Engineering Department"/>
    <s v="N/A"/>
    <s v="IWGP 2020-282-32-ERL-A"/>
    <m/>
    <s v="Hendricks"/>
    <n v="39.909120000000001"/>
    <n v="-86.374600000000001"/>
    <s v="Transportation"/>
    <m/>
    <s v="No"/>
    <m/>
    <n v="600"/>
    <n v="2800"/>
    <n v="600"/>
    <m/>
    <m/>
    <m/>
    <m/>
    <m/>
    <m/>
    <m/>
    <m/>
    <s v="State Isolated Class 1 (PEM) Non-Forested Wetland impact"/>
  </r>
  <r>
    <x v="95"/>
    <s v="November"/>
    <n v="2020"/>
    <x v="9"/>
    <n v="-7.0000000000000007E-2"/>
    <x v="0"/>
    <n v="5600"/>
    <n v="155"/>
    <s v="State Isolated"/>
    <s v="PEM"/>
    <n v="7.0000000000000007E-2"/>
    <s v="Lennar Homes of Indiana, Inc."/>
    <s v="N/A"/>
    <s v="IWGP 2020-686-29-ALF-A"/>
    <m/>
    <s v="Hamilton"/>
    <n v="39.997500000000002"/>
    <n v="-86.048699999999997"/>
    <s v="Development"/>
    <m/>
    <s v="No"/>
    <m/>
    <n v="840"/>
    <n v="3919.9999999999995"/>
    <n v="840"/>
    <m/>
    <m/>
    <m/>
    <m/>
    <m/>
    <m/>
    <m/>
    <m/>
    <s v="State Isolated Class 1 (PEM) Non-Forested Wetland impact"/>
  </r>
  <r>
    <x v="95"/>
    <s v="November"/>
    <n v="2020"/>
    <x v="10"/>
    <n v="-0.12"/>
    <x v="0"/>
    <n v="9600"/>
    <n v="160"/>
    <s v="State Isolated"/>
    <s v="PEM"/>
    <n v="0.12"/>
    <s v="City of Richmond"/>
    <s v="N/A"/>
    <s v="IWGP 2020-581-89-ALF-A"/>
    <m/>
    <s v="Wayne"/>
    <n v="39.856499999999997"/>
    <n v="-84.949100000000001"/>
    <s v="Development"/>
    <m/>
    <s v="No"/>
    <m/>
    <n v="1440"/>
    <n v="6720"/>
    <n v="1440"/>
    <m/>
    <m/>
    <m/>
    <m/>
    <m/>
    <m/>
    <m/>
    <m/>
    <s v="State Isolated Class 1 (PEM) Non-Forested Wetland impact"/>
  </r>
  <r>
    <x v="96"/>
    <s v="November"/>
    <n v="2020"/>
    <x v="10"/>
    <n v="-11"/>
    <x v="1"/>
    <n v="4400"/>
    <n v="152"/>
    <s v="Federal"/>
    <s v="Int"/>
    <n v="164"/>
    <s v="INDOT"/>
    <s v="LRL-2020-445-scm"/>
    <s v="2020-462-24-JBT-X"/>
    <m/>
    <s v="Franklin"/>
    <n v="39.413513999999999"/>
    <n v="-84.901888999999997"/>
    <s v="Transportation"/>
    <m/>
    <s v="No"/>
    <m/>
    <n v="660"/>
    <n v="3080"/>
    <n v="660"/>
    <m/>
    <m/>
    <m/>
    <m/>
    <m/>
    <m/>
    <m/>
    <m/>
    <s v="Des #1600492; Corps RGP did not require ILF mitigation"/>
  </r>
  <r>
    <x v="96"/>
    <s v="November"/>
    <n v="2020"/>
    <x v="10"/>
    <n v="-65"/>
    <x v="1"/>
    <n v="26000"/>
    <n v="152"/>
    <s v="Federal"/>
    <s v="Per"/>
    <n v="65"/>
    <s v="INDOT"/>
    <s v="LRL-2020-445-scm"/>
    <s v="2020-462-24-JBT-X"/>
    <m/>
    <s v="Franklin"/>
    <n v="39.413513999999999"/>
    <n v="-84.901888999999997"/>
    <s v="Transportation"/>
    <m/>
    <s v="No"/>
    <m/>
    <n v="3900"/>
    <n v="18200"/>
    <n v="3900"/>
    <m/>
    <m/>
    <m/>
    <m/>
    <m/>
    <m/>
    <m/>
    <m/>
    <s v="Des #1600492; Corps RGP did not require ILF mitigation"/>
  </r>
  <r>
    <x v="96"/>
    <s v="November"/>
    <n v="2020"/>
    <x v="10"/>
    <n v="-0.04"/>
    <x v="0"/>
    <n v="3200"/>
    <n v="152"/>
    <s v="Federal"/>
    <s v="PEM"/>
    <n v="0.02"/>
    <s v="INDOT"/>
    <s v="LRL-2020-445-scm"/>
    <s v="2020-462-24-JBT-X"/>
    <m/>
    <s v="Franklin"/>
    <n v="39.413513999999999"/>
    <n v="-84.901888999999997"/>
    <s v="Transportation"/>
    <m/>
    <s v="No"/>
    <m/>
    <n v="480"/>
    <n v="2240"/>
    <n v="480"/>
    <m/>
    <m/>
    <m/>
    <m/>
    <m/>
    <m/>
    <m/>
    <m/>
    <s v="Des #1600492; Corps RGP did not require ILF mitigation"/>
  </r>
  <r>
    <x v="96"/>
    <s v="November"/>
    <n v="2020"/>
    <x v="10"/>
    <n v="-129"/>
    <x v="1"/>
    <n v="51600"/>
    <n v="144"/>
    <s v="Federal"/>
    <s v="Eph"/>
    <n v="627"/>
    <s v="INDOT"/>
    <s v="LRL-2017-54"/>
    <s v="2016-702-79-SKG-A"/>
    <m/>
    <s v="Bartholomew and Jackson"/>
    <n v="39.04927"/>
    <n v="-85.913449999999997"/>
    <s v="Transportation"/>
    <m/>
    <s v="No"/>
    <m/>
    <n v="7740"/>
    <n v="36120"/>
    <n v="7740"/>
    <m/>
    <m/>
    <m/>
    <m/>
    <m/>
    <m/>
    <m/>
    <m/>
    <s v="DES # 0501212; USACE did not require mitigation"/>
  </r>
  <r>
    <x v="97"/>
    <s v="November"/>
    <n v="2020"/>
    <x v="0"/>
    <n v="-0.48"/>
    <x v="0"/>
    <n v="45600"/>
    <n v="167"/>
    <s v="Federal"/>
    <s v="PFO"/>
    <n v="0.16"/>
    <s v="Aaron Anderson"/>
    <s v="LRC-2020-393(RGP)"/>
    <s v="2020-573-64-MTM-A"/>
    <m/>
    <s v="Porter"/>
    <n v="41.617820000000002"/>
    <n v="-86.986503999999996"/>
    <s v="Development"/>
    <m/>
    <s v="No"/>
    <m/>
    <n v="6840"/>
    <n v="31919.999999999996"/>
    <n v="6840"/>
    <m/>
    <m/>
    <m/>
    <m/>
    <m/>
    <m/>
    <m/>
    <m/>
    <m/>
  </r>
  <r>
    <x v="97"/>
    <s v="November"/>
    <n v="2020"/>
    <x v="6"/>
    <n v="-91"/>
    <x v="1"/>
    <n v="54600"/>
    <n v="158"/>
    <s v="Federal"/>
    <s v="Per"/>
    <n v="91"/>
    <s v="INDOT"/>
    <s v="LRE-2020-00293-120-R20 (RGP) "/>
    <s v="2020-553-20-JBT-A "/>
    <m/>
    <s v="Elkhart"/>
    <n v="41.704459999999997"/>
    <n v="-85.872399999999999"/>
    <s v="Transportation"/>
    <m/>
    <s v="No"/>
    <m/>
    <n v="8190"/>
    <n v="38220"/>
    <n v="8190"/>
    <m/>
    <m/>
    <m/>
    <m/>
    <m/>
    <m/>
    <m/>
    <m/>
    <s v="DES No. 1600415; USACE did not require ILF mitigation"/>
  </r>
  <r>
    <x v="97"/>
    <s v="November"/>
    <n v="2020"/>
    <x v="9"/>
    <n v="-0.98"/>
    <x v="0"/>
    <n v="78400"/>
    <n v="170"/>
    <s v="State Isolated"/>
    <s v="PFO"/>
    <n v="0.39"/>
    <s v="Shear Group"/>
    <s v="N/A"/>
    <s v="IWIP 2019-817-49-ALF-A"/>
    <m/>
    <s v="Marion "/>
    <n v="39.699241000000001"/>
    <n v="-86.074978000000002"/>
    <s v="Development"/>
    <m/>
    <s v="No"/>
    <m/>
    <n v="11760"/>
    <n v="54880"/>
    <n v="11760"/>
    <m/>
    <m/>
    <m/>
    <m/>
    <m/>
    <m/>
    <m/>
    <m/>
    <s v="State Isolated Class II (PFO) Forested Wetland impact"/>
  </r>
  <r>
    <x v="98"/>
    <s v="December"/>
    <n v="2020"/>
    <x v="2"/>
    <n v="-9.7000000000000003E-2"/>
    <x v="0"/>
    <n v="7760"/>
    <n v="165"/>
    <s v="State Isolated"/>
    <s v="PEM"/>
    <n v="9.7000000000000003E-2"/>
    <s v="Donna Neese"/>
    <s v="N/A"/>
    <s v="IWGP 2020-680-TMS-A"/>
    <m/>
    <s v="Monroe"/>
    <n v="39.297471000000002"/>
    <n v="-86.572394000000003"/>
    <s v="Development"/>
    <m/>
    <s v="No"/>
    <m/>
    <n v="1164"/>
    <n v="5432"/>
    <n v="1164"/>
    <m/>
    <m/>
    <m/>
    <m/>
    <m/>
    <m/>
    <m/>
    <m/>
    <m/>
  </r>
  <r>
    <x v="99"/>
    <s v="December"/>
    <n v="2020"/>
    <x v="9"/>
    <n v="-0.03"/>
    <x v="0"/>
    <n v="2400"/>
    <n v="174"/>
    <s v="State Isolated"/>
    <s v="PSS"/>
    <n v="0.03"/>
    <s v="Sunbeam Development"/>
    <s v="N/A"/>
    <s v="IWGP 2020-877-29-ALF-A"/>
    <m/>
    <s v="Hamilton"/>
    <n v="39.965474999999998"/>
    <n v="-85.996429000000006"/>
    <s v="Development"/>
    <m/>
    <s v="No"/>
    <m/>
    <n v="360"/>
    <n v="1680"/>
    <n v="360"/>
    <m/>
    <m/>
    <m/>
    <m/>
    <m/>
    <m/>
    <m/>
    <m/>
    <s v="State Isolated Class I Non-Forested (PSS) Wetland impact"/>
  </r>
  <r>
    <x v="100"/>
    <s v="December"/>
    <n v="2020"/>
    <x v="9"/>
    <n v="-0.32"/>
    <x v="0"/>
    <n v="25600"/>
    <n v="169"/>
    <s v="State Isolated"/>
    <s v="PEM"/>
    <n v="0.32"/>
    <s v="North Buck Creek Realty, LLC"/>
    <s v="N/A"/>
    <s v="IWGP-2020-816-30-ALF-A"/>
    <m/>
    <s v="Hancock"/>
    <n v="39.820300000000003"/>
    <n v="-85.940600000000003"/>
    <s v="Development"/>
    <m/>
    <s v="No"/>
    <m/>
    <n v="3840"/>
    <n v="17920"/>
    <n v="3840"/>
    <m/>
    <m/>
    <m/>
    <m/>
    <m/>
    <m/>
    <m/>
    <m/>
    <s v="State Isolated Class I Non-Forested (PEM) Wetland impact"/>
  </r>
  <r>
    <x v="101"/>
    <s v="December"/>
    <n v="2020"/>
    <x v="9"/>
    <n v="-3.7600000000000001E-2"/>
    <x v="0"/>
    <n v="3008"/>
    <n v="157"/>
    <s v="Federal"/>
    <s v="PEM"/>
    <n v="1.8800000000000001E-2"/>
    <s v="City of Indianapolis DPW"/>
    <s v="LRL-2020-497-lcl"/>
    <s v="2020-549-49-ALF-A"/>
    <m/>
    <s v="Marion "/>
    <n v="39.886099999999999"/>
    <n v="-86.314099999999996"/>
    <s v="Transportation"/>
    <m/>
    <s v="No"/>
    <m/>
    <n v="451.2"/>
    <n v="2105.6"/>
    <n v="451.2"/>
    <m/>
    <m/>
    <m/>
    <m/>
    <m/>
    <m/>
    <m/>
    <m/>
    <s v="Corps RGP did not require mitigation"/>
  </r>
  <r>
    <x v="101"/>
    <s v="December"/>
    <n v="2020"/>
    <x v="9"/>
    <n v="-0.2"/>
    <x v="0"/>
    <n v="16000"/>
    <n v="163"/>
    <s v="State Isolated"/>
    <s v="PEM"/>
    <n v="0.2"/>
    <s v="Lennar Homes of Indiana, Inc."/>
    <s v="N/A"/>
    <s v="IWGP 2020-753-29-ALF-A"/>
    <m/>
    <s v="Hamilton"/>
    <n v="40.038899999999998"/>
    <n v="-86.057000000000002"/>
    <s v="Development"/>
    <m/>
    <s v="No"/>
    <m/>
    <n v="2400"/>
    <n v="11200"/>
    <n v="2400"/>
    <m/>
    <m/>
    <m/>
    <m/>
    <m/>
    <m/>
    <m/>
    <m/>
    <s v="State Isolated Class I Non-Forested (PEM) Wetland impact - Project had additional impacts that were mitigated permittee responsible"/>
  </r>
  <r>
    <x v="102"/>
    <s v="December"/>
    <n v="2020"/>
    <x v="9"/>
    <n v="-3.7"/>
    <x v="0"/>
    <n v="296000"/>
    <n v="177"/>
    <s v="State Isolated"/>
    <s v="PFO"/>
    <n v="1.48"/>
    <s v="Exeter Property Group"/>
    <s v="N/A"/>
    <s v="IWIP 2020-795-30-ALF-A"/>
    <m/>
    <s v="Hancock"/>
    <n v="39.492600000000003"/>
    <n v="-85.555499999999995"/>
    <s v="Development"/>
    <m/>
    <s v="No"/>
    <m/>
    <n v="44400"/>
    <n v="207200"/>
    <n v="44400"/>
    <m/>
    <m/>
    <m/>
    <m/>
    <m/>
    <m/>
    <m/>
    <m/>
    <s v="State Isolated Class II Forested (PFO) Wetland impacts"/>
  </r>
  <r>
    <x v="12"/>
    <m/>
    <m/>
    <x v="11"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</r>
  <r>
    <x v="103"/>
    <s v="January"/>
    <n v="2021"/>
    <x v="3"/>
    <n v="-0.248"/>
    <x v="0"/>
    <n v="19840"/>
    <n v="173"/>
    <s v="Federal"/>
    <s v="PFO"/>
    <n v="6.2E-2"/>
    <s v="Allen County Highway Department"/>
    <s v="LRE-2020-02315-102-R20"/>
    <s v="2020-856-02-WRH-X"/>
    <m/>
    <s v="Allen"/>
    <n v="41.200091"/>
    <n v="-85.100429000000005"/>
    <s v="Transportation"/>
    <m/>
    <s v="No"/>
    <m/>
    <n v="2976"/>
    <n v="13888"/>
    <n v="2976"/>
    <s v="D"/>
    <s v="J"/>
    <m/>
    <m/>
    <m/>
    <m/>
    <m/>
    <m/>
    <s v="Corps RGP - IDEM RGP"/>
  </r>
  <r>
    <x v="103"/>
    <s v="January"/>
    <n v="2021"/>
    <x v="4"/>
    <n v="-0.25"/>
    <x v="0"/>
    <n v="20000"/>
    <n v="168"/>
    <s v="State Isolated"/>
    <s v="PEM"/>
    <n v="0.25"/>
    <s v="Terre Haute Regional Airport"/>
    <s v="N/A"/>
    <s v="IWGP 2019-380-84-JMK-A"/>
    <m/>
    <s v="Vigo"/>
    <n v="39.453290000000003"/>
    <n v="-87.311220000000006"/>
    <s v="Transportation"/>
    <m/>
    <s v="No"/>
    <m/>
    <n v="3000"/>
    <n v="14000"/>
    <n v="3000"/>
    <s v="L"/>
    <s v="SI"/>
    <s v="1 NF"/>
    <m/>
    <m/>
    <m/>
    <m/>
    <m/>
    <s v="State Isolated General Permit Non-Forested (PEM)"/>
  </r>
  <r>
    <x v="104"/>
    <s v="January"/>
    <n v="2021"/>
    <x v="9"/>
    <n v="-88"/>
    <x v="1"/>
    <n v="39600"/>
    <n v="166"/>
    <s v="Federal"/>
    <s v="Int"/>
    <n v="88"/>
    <s v="INDOT"/>
    <s v="LRL-2020-447-scm "/>
    <s v="2020-568-32-JBT-A "/>
    <m/>
    <s v="Hendricks and Marion"/>
    <n v="39.7637"/>
    <n v="-86.328000000000003"/>
    <s v="Transportation"/>
    <m/>
    <s v="No"/>
    <m/>
    <n v="5940"/>
    <n v="27720"/>
    <n v="5940"/>
    <s v="L"/>
    <s v="J"/>
    <m/>
    <m/>
    <m/>
    <m/>
    <m/>
    <m/>
    <s v="Corps RGP did not require mitigation"/>
  </r>
  <r>
    <x v="105"/>
    <s v="January"/>
    <n v="2021"/>
    <x v="7"/>
    <n v="-1664"/>
    <x v="1"/>
    <n v="665600"/>
    <n v="111"/>
    <s v="Federal"/>
    <s v="Int"/>
    <n v="1387"/>
    <s v="INDOT"/>
    <s v="LRL-2016-559-djd"/>
    <s v="2019-171-10-JBT-A"/>
    <m/>
    <s v="Clark"/>
    <n v="38.342010000000002"/>
    <n v="-85.668440000000004"/>
    <s v="Transportation"/>
    <m/>
    <s v="No"/>
    <m/>
    <n v="99840"/>
    <n v="465919.99999999994"/>
    <n v="99840"/>
    <s v="L"/>
    <s v="J"/>
    <m/>
    <m/>
    <m/>
    <m/>
    <m/>
    <m/>
    <s v="DES #1382612, MOD"/>
  </r>
  <r>
    <x v="105"/>
    <s v="January"/>
    <n v="2021"/>
    <x v="7"/>
    <n v="-0.14000000000000001"/>
    <x v="0"/>
    <n v="11200"/>
    <n v="111"/>
    <s v="Federal"/>
    <s v="PFO"/>
    <n v="3.5000000000000003E-2"/>
    <s v="INDOT"/>
    <s v="LRL-2016-559-djd"/>
    <s v="2019-171-10-JBT-A"/>
    <m/>
    <s v="Clark"/>
    <n v="38.342010000000002"/>
    <n v="-85.668440000000004"/>
    <s v="Transportation"/>
    <m/>
    <s v="No"/>
    <m/>
    <n v="1680"/>
    <n v="7839.9999999999991"/>
    <n v="1680"/>
    <s v="L"/>
    <s v="J"/>
    <m/>
    <m/>
    <m/>
    <m/>
    <m/>
    <m/>
    <s v="DES #1382612, MOD"/>
  </r>
  <r>
    <x v="106"/>
    <s v="January"/>
    <n v="2021"/>
    <x v="8"/>
    <n v="-1.02"/>
    <x v="0"/>
    <n v="81600"/>
    <n v="175"/>
    <s v="State Isolated"/>
    <s v="PEM"/>
    <n v="0.51"/>
    <s v="AWP"/>
    <s v="N/A"/>
    <s v="IWIP 2020-782-38-WRH-A"/>
    <m/>
    <s v="Jay"/>
    <n v="40.378520000000002"/>
    <n v="-85.191590000000005"/>
    <s v="Energy Production"/>
    <m/>
    <s v="No"/>
    <m/>
    <n v="12240"/>
    <n v="57120"/>
    <n v="12240"/>
    <s v="L"/>
    <s v="SI"/>
    <s v="2 NF"/>
    <m/>
    <m/>
    <m/>
    <m/>
    <m/>
    <s v="State Isolated Class II Non-Forested (PEM) impacts"/>
  </r>
  <r>
    <x v="106"/>
    <s v="January"/>
    <n v="2021"/>
    <x v="8"/>
    <n v="-0.42499999999999999"/>
    <x v="0"/>
    <n v="34000"/>
    <n v="175"/>
    <s v="State Isolated"/>
    <s v="PFO"/>
    <n v="0.17"/>
    <s v="AEP"/>
    <s v="N/A"/>
    <s v="IWIP 2020-782-38-WRH-A"/>
    <m/>
    <s v="Jay"/>
    <n v="40.378520000000002"/>
    <n v="-85.191590000000005"/>
    <s v="Energy Production"/>
    <m/>
    <s v="No"/>
    <m/>
    <n v="5100"/>
    <n v="23800"/>
    <n v="5100"/>
    <s v="L"/>
    <s v="SI"/>
    <s v="2 F"/>
    <m/>
    <m/>
    <m/>
    <m/>
    <m/>
    <s v="State Isolated Class II Forested (PFO) impacts"/>
  </r>
  <r>
    <x v="107"/>
    <s v="January"/>
    <n v="2021"/>
    <x v="7"/>
    <n v="-458"/>
    <x v="1"/>
    <n v="183200"/>
    <n v="164"/>
    <s v="Federal"/>
    <s v="Int"/>
    <n v="858"/>
    <s v="INDOT"/>
    <s v="LRL-2020-494-scm"/>
    <s v="2020-587-39-JBT-A"/>
    <m/>
    <s v="Jefferson"/>
    <n v="38.734000000000002"/>
    <n v="-85.367500000000007"/>
    <s v="Transportation"/>
    <m/>
    <s v="No"/>
    <m/>
    <n v="27480"/>
    <n v="128239.99999999999"/>
    <n v="27480"/>
    <s v="L"/>
    <s v="J"/>
    <m/>
    <m/>
    <m/>
    <m/>
    <m/>
    <m/>
    <s v="DES # 1600669"/>
  </r>
  <r>
    <x v="107"/>
    <s v="January"/>
    <n v="2021"/>
    <x v="8"/>
    <n v="-6.9000000000000006E-2"/>
    <x v="0"/>
    <n v="5520"/>
    <n v="181"/>
    <s v="State Isolated"/>
    <s v="PEM"/>
    <n v="6.9000000000000006E-2"/>
    <s v="INDOT"/>
    <s v="N/A"/>
    <s v="IWGP 2020-746-JBT-A"/>
    <m/>
    <s v="Tippecanoe"/>
    <n v="40.258200000000002"/>
    <n v="-86.706000000000003"/>
    <s v="Transportation"/>
    <m/>
    <s v="No"/>
    <m/>
    <n v="828"/>
    <n v="3863.9999999999995"/>
    <n v="828"/>
    <s v="L"/>
    <s v="SI"/>
    <s v="2 NF"/>
    <m/>
    <m/>
    <m/>
    <m/>
    <m/>
    <s v="State Isolated Wetland General Permit - Non-Forested (PEM) impact - DES#1592968"/>
  </r>
  <r>
    <x v="107"/>
    <s v="January"/>
    <n v="2021"/>
    <x v="8"/>
    <n v="-0.26500000000000001"/>
    <x v="0"/>
    <n v="21200"/>
    <n v="181"/>
    <s v="State Isolated"/>
    <s v="PEM"/>
    <n v="0.13250000000000001"/>
    <s v="INDOT"/>
    <s v="N/A"/>
    <s v="IWIP 2020-746-JBT-A"/>
    <m/>
    <s v="Tippecanoe"/>
    <n v="40.258200000000002"/>
    <n v="-86.706000000000003"/>
    <s v="Transportation"/>
    <m/>
    <s v="No"/>
    <m/>
    <n v="3180"/>
    <n v="14839.999999999998"/>
    <n v="3180"/>
    <s v="L"/>
    <s v="SI"/>
    <s v="2 NF"/>
    <m/>
    <m/>
    <m/>
    <m/>
    <m/>
    <s v="State Isolated Wetland Individual Permit - Class II Non-Forested (PEM) impact  - DES#1592968"/>
  </r>
  <r>
    <x v="108"/>
    <s v="February"/>
    <n v="2021"/>
    <x v="10"/>
    <n v="-0.85"/>
    <x v="0"/>
    <n v="68000"/>
    <n v="187"/>
    <s v="State Isolated"/>
    <s v="PEM"/>
    <n v="0.85"/>
    <s v="Hancock Regional Hospital"/>
    <s v="N/A"/>
    <s v="IWGP 2020-972-30-ALF-A"/>
    <m/>
    <s v="Hancock"/>
    <n v="39.814500000000002"/>
    <n v="-85.920900000000003"/>
    <s v="Development"/>
    <m/>
    <s v="No"/>
    <m/>
    <n v="10200"/>
    <n v="47600"/>
    <n v="10200"/>
    <s v="L"/>
    <s v="SI"/>
    <s v="1 NF"/>
    <m/>
    <m/>
    <m/>
    <m/>
    <m/>
    <s v="State Isolated Wetland General Permit-Class I Non-Forested (PEM)"/>
  </r>
  <r>
    <x v="109"/>
    <s v="February"/>
    <n v="2021"/>
    <x v="0"/>
    <n v="-0.83"/>
    <x v="0"/>
    <n v="78850"/>
    <n v="171"/>
    <s v="State Isolated"/>
    <s v="PEM"/>
    <n v="0.83"/>
    <s v="Indiana Harbor Belt Railroad"/>
    <s v="N/A"/>
    <s v="IWGP 2020-833-45-MTM-A"/>
    <m/>
    <s v="Lake"/>
    <n v="41.606099999999998"/>
    <n v="-87.476979999999998"/>
    <s v="Transportation"/>
    <m/>
    <s v="No"/>
    <m/>
    <n v="11827.5"/>
    <n v="55195"/>
    <n v="11827.5"/>
    <s v="C"/>
    <s v="SI"/>
    <s v="1 NF"/>
    <m/>
    <m/>
    <m/>
    <m/>
    <m/>
    <s v="State Isolated Wetland General Permit - Class I Non-Forested (PEM)"/>
  </r>
  <r>
    <x v="109"/>
    <s v="February"/>
    <n v="2021"/>
    <x v="8"/>
    <n v="-7.4999999999999997E-2"/>
    <x v="0"/>
    <n v="6000"/>
    <n v="183"/>
    <s v="State Isolated"/>
    <s v="PFO"/>
    <n v="0.03"/>
    <s v="Oakmont Development"/>
    <s v="N/A"/>
    <s v="IWGP 2020-974-02-WRH-A"/>
    <m/>
    <s v="Allen"/>
    <n v="41.087142"/>
    <n v="-85.294747999999998"/>
    <s v="Development"/>
    <m/>
    <s v="No"/>
    <m/>
    <n v="900"/>
    <n v="4200"/>
    <n v="900"/>
    <s v="D"/>
    <s v="SI"/>
    <s v="2 F"/>
    <m/>
    <m/>
    <m/>
    <m/>
    <m/>
    <s v="Class II Forested Wetland impact"/>
  </r>
  <r>
    <x v="110"/>
    <s v="February"/>
    <n v="2021"/>
    <x v="1"/>
    <n v="-0.16"/>
    <x v="0"/>
    <n v="15200"/>
    <n v="190"/>
    <s v="Federal"/>
    <s v="PEM"/>
    <n v="0.08"/>
    <s v="Olthof Homes"/>
    <s v="LRC-2019-425"/>
    <s v="2020-73-64-MTM-X"/>
    <m/>
    <s v="Porter"/>
    <n v="41.511557000000003"/>
    <n v="-87.027777"/>
    <s v="Development"/>
    <m/>
    <s v="No"/>
    <m/>
    <n v="2280"/>
    <n v="10640"/>
    <n v="2280"/>
    <s v="C"/>
    <s v="J"/>
    <m/>
    <m/>
    <m/>
    <m/>
    <m/>
    <m/>
    <s v="Corps RGP - IDEM RGP"/>
  </r>
  <r>
    <x v="111"/>
    <s v="February"/>
    <n v="2021"/>
    <x v="8"/>
    <n v="-0.15"/>
    <x v="0"/>
    <n v="12000"/>
    <n v="191"/>
    <s v="State Isolated"/>
    <s v="PFO"/>
    <n v="0.06"/>
    <s v="AMS 2021 BTS - Fort Wayne IN, LLC"/>
    <s v="N/A"/>
    <s v="IWGP 2021-33-02-WRH-A"/>
    <m/>
    <s v="Allen"/>
    <n v="41.129221000000001"/>
    <n v="-85.220174"/>
    <s v="Development"/>
    <m/>
    <s v="No"/>
    <m/>
    <n v="1800"/>
    <n v="8400"/>
    <n v="1800"/>
    <s v="D"/>
    <s v="SI"/>
    <s v="2 F"/>
    <m/>
    <m/>
    <m/>
    <m/>
    <m/>
    <s v="Class II Forested Wetland impact"/>
  </r>
  <r>
    <x v="112"/>
    <s v="March"/>
    <n v="2021"/>
    <x v="6"/>
    <n v="-0.79"/>
    <x v="0"/>
    <n v="94800"/>
    <n v="195"/>
    <s v="Federal"/>
    <s v="PEM"/>
    <n v="0.66"/>
    <s v="City of Mishawaka"/>
    <s v="LRE-2018-01101-171-R20"/>
    <s v="2020-060-71-JWR-A"/>
    <m/>
    <s v="St. Joseph"/>
    <n v="41.66413"/>
    <n v="-86.180869999999999"/>
    <s v="Development"/>
    <m/>
    <s v="No"/>
    <m/>
    <n v="14220"/>
    <n v="66360"/>
    <n v="14220"/>
    <s v="D"/>
    <s v="J"/>
    <m/>
    <m/>
    <m/>
    <m/>
    <m/>
    <m/>
    <s v="Open water fill with ILF wetland mitigation required"/>
  </r>
  <r>
    <x v="112"/>
    <s v="March"/>
    <n v="2021"/>
    <x v="7"/>
    <n v="-0.2"/>
    <x v="0"/>
    <n v="16000"/>
    <n v="192"/>
    <s v="State Isolated"/>
    <s v="PEM"/>
    <n v="8.8999999999999996E-2"/>
    <s v="Cedar Pointe, LLC"/>
    <s v="N/A"/>
    <s v="IWGP 2021-013-22-TMS-A"/>
    <m/>
    <s v="Floyd"/>
    <n v="38.346536999999998"/>
    <n v="-85.932128000000006"/>
    <s v="Development"/>
    <m/>
    <s v="No"/>
    <m/>
    <n v="2400"/>
    <n v="11200"/>
    <n v="2400"/>
    <s v="L"/>
    <s v="SI"/>
    <s v="2 NF"/>
    <m/>
    <m/>
    <m/>
    <m/>
    <m/>
    <s v="State Isolated Class II NF, PEM"/>
  </r>
  <r>
    <x v="112"/>
    <s v="March"/>
    <n v="2021"/>
    <x v="7"/>
    <n v="-2.23"/>
    <x v="0"/>
    <n v="178400"/>
    <n v="180"/>
    <s v="Federal"/>
    <s v="PEM"/>
    <n v="0.92800000000000005"/>
    <s v="Koetter Real Estate Services"/>
    <s v="LRL-2020-00022"/>
    <s v="2020-013-10-TMS-A"/>
    <m/>
    <s v="Clark"/>
    <n v="38.34666"/>
    <n v="-85.713571000000002"/>
    <s v="Development"/>
    <m/>
    <s v="No"/>
    <m/>
    <n v="26760"/>
    <n v="124879.99999999999"/>
    <n v="26760"/>
    <s v="L"/>
    <s v="J"/>
    <m/>
    <m/>
    <m/>
    <m/>
    <m/>
    <m/>
    <s v="USACE didn't require mitigation, due to change in jurisdiction. "/>
  </r>
  <r>
    <x v="112"/>
    <s v="March"/>
    <n v="2021"/>
    <x v="7"/>
    <n v="-132"/>
    <x v="1"/>
    <n v="52800"/>
    <n v="180"/>
    <s v="Federal"/>
    <s v="Eph"/>
    <n v="220"/>
    <s v="Koetter Real Estate Services"/>
    <s v="LRL-2020-00022"/>
    <s v="2020-013-10-TMS-A"/>
    <m/>
    <s v="Clark"/>
    <n v="38.34666"/>
    <n v="-85.713571000000002"/>
    <s v="Development"/>
    <m/>
    <s v="No"/>
    <m/>
    <n v="7920"/>
    <n v="36960"/>
    <n v="7920"/>
    <s v="L"/>
    <s v="J"/>
    <m/>
    <m/>
    <m/>
    <m/>
    <m/>
    <m/>
    <s v="USACE didn't require mitigation, due to change in jurisdiction. "/>
  </r>
  <r>
    <x v="112"/>
    <s v="March"/>
    <n v="2021"/>
    <x v="9"/>
    <n v="-0.36"/>
    <x v="0"/>
    <n v="28800"/>
    <n v="185"/>
    <s v="State Isolated"/>
    <s v="PEM"/>
    <n v="0.36"/>
    <s v="Clover Communities McCordsville LLC"/>
    <s v="N/A"/>
    <s v="IWGP 2020-163-30-ALF-A"/>
    <m/>
    <s v="Hancock"/>
    <n v="39.889200000000002"/>
    <n v="-85.929500000000004"/>
    <s v="Development"/>
    <m/>
    <s v="No"/>
    <m/>
    <n v="4320"/>
    <n v="20160"/>
    <n v="4320"/>
    <s v="L"/>
    <s v="SI"/>
    <s v="1 NF"/>
    <m/>
    <m/>
    <m/>
    <m/>
    <m/>
    <s v="State Isolated Class I Non-Forested (PEM)  Wetland impact"/>
  </r>
  <r>
    <x v="112"/>
    <s v="March"/>
    <n v="2021"/>
    <x v="9"/>
    <n v="-3.375"/>
    <x v="0"/>
    <n v="270000"/>
    <n v="200"/>
    <s v="State Isolated"/>
    <s v="PFO"/>
    <n v="1.35"/>
    <s v="AMS - RC Services, LLC"/>
    <s v="N/A"/>
    <s v="IWIP 2020-931-32-ERL-A"/>
    <m/>
    <s v="Hendricks"/>
    <n v="39.662700000000001"/>
    <n v="-86.3733"/>
    <s v="Development"/>
    <m/>
    <s v="No"/>
    <m/>
    <n v="40500"/>
    <n v="189000"/>
    <n v="40500"/>
    <s v="L"/>
    <s v="SI"/>
    <s v="2 F"/>
    <m/>
    <m/>
    <m/>
    <m/>
    <m/>
    <s v="State Isolated Class II Forested (PFO) Wetland impacts"/>
  </r>
  <r>
    <x v="112"/>
    <s v="March"/>
    <n v="2021"/>
    <x v="9"/>
    <n v="-0.09"/>
    <x v="0"/>
    <n v="7200"/>
    <n v="200"/>
    <s v="State Isolated"/>
    <s v="PEM"/>
    <n v="0.09"/>
    <s v="AMS - RC Services, LLC"/>
    <s v="N/A"/>
    <s v="IWGP 2020-931-32-ERL-A"/>
    <m/>
    <s v="Hendricks"/>
    <n v="39.662700000000001"/>
    <n v="-86.3733"/>
    <s v="Development"/>
    <m/>
    <s v="No"/>
    <m/>
    <n v="1080"/>
    <n v="5040"/>
    <n v="1080"/>
    <s v="L"/>
    <s v="SI"/>
    <s v="1 NF"/>
    <m/>
    <m/>
    <m/>
    <m/>
    <m/>
    <s v="State Isolated Class I Non-Forested (PEM)  Wetland impact"/>
  </r>
  <r>
    <x v="113"/>
    <s v="March"/>
    <n v="2021"/>
    <x v="10"/>
    <n v="-1150"/>
    <x v="1"/>
    <n v="460000"/>
    <n v="186"/>
    <s v="Federal"/>
    <s v="Int"/>
    <n v="759"/>
    <s v="Hanson Aggregates Midwest, LLC"/>
    <s v="LRL-2020-26-MKD"/>
    <s v="2020-041-TMS-A"/>
    <m/>
    <s v="Jennings"/>
    <n v="38.985688000000003"/>
    <n v="-85.727684999999994"/>
    <s v="Development"/>
    <m/>
    <s v="No"/>
    <m/>
    <n v="69000"/>
    <n v="322000"/>
    <n v="69000"/>
    <s v="L"/>
    <s v="J"/>
    <m/>
    <m/>
    <m/>
    <m/>
    <m/>
    <m/>
    <m/>
  </r>
  <r>
    <x v="114"/>
    <s v="March"/>
    <n v="2021"/>
    <x v="1"/>
    <n v="-194"/>
    <x v="1"/>
    <n v="97000"/>
    <n v="176"/>
    <s v="Federal"/>
    <s v="Int"/>
    <n v="194"/>
    <s v="INDOT"/>
    <s v="LRC-2020-00788"/>
    <s v="2020-838-64-JBT-A"/>
    <m/>
    <s v="Porter"/>
    <n v="41.400540200000002"/>
    <n v="-87.158702300000002"/>
    <s v="Transportation"/>
    <m/>
    <s v="No"/>
    <m/>
    <n v="14550"/>
    <n v="67900"/>
    <n v="14550"/>
    <s v="C"/>
    <s v="J"/>
    <m/>
    <m/>
    <m/>
    <m/>
    <m/>
    <m/>
    <m/>
  </r>
  <r>
    <x v="114"/>
    <s v="March"/>
    <n v="2021"/>
    <x v="1"/>
    <n v="-140"/>
    <x v="1"/>
    <n v="70000"/>
    <n v="176"/>
    <s v="Federal"/>
    <s v="Per"/>
    <n v="140"/>
    <s v="INDOT"/>
    <s v="LRC-2020-00789"/>
    <s v="2020-838-64-JBT-A"/>
    <m/>
    <s v="Porter"/>
    <n v="41.400540200000002"/>
    <n v="-87.158702300000002"/>
    <s v="Transportation"/>
    <m/>
    <s v="No"/>
    <m/>
    <n v="10500"/>
    <n v="49000"/>
    <n v="10500"/>
    <s v="C"/>
    <s v="J"/>
    <m/>
    <m/>
    <m/>
    <m/>
    <m/>
    <m/>
    <m/>
  </r>
  <r>
    <x v="115"/>
    <s v="March"/>
    <n v="2021"/>
    <x v="10"/>
    <n v="-3.8"/>
    <x v="0"/>
    <n v="304000"/>
    <n v="196"/>
    <s v="Federal"/>
    <s v="PFO"/>
    <n v="0.95"/>
    <s v="City of Greenfield"/>
    <s v="LRL-2019-726-lcl"/>
    <s v="2020-952-30-ALF-A"/>
    <m/>
    <s v="Hancock"/>
    <n v="39.777700000000003"/>
    <n v="-85.760199999999998"/>
    <s v="Transportation"/>
    <m/>
    <s v="No"/>
    <m/>
    <n v="45600"/>
    <n v="212800"/>
    <n v="45600"/>
    <s v="L"/>
    <s v="J"/>
    <m/>
    <m/>
    <m/>
    <m/>
    <m/>
    <m/>
    <m/>
  </r>
  <r>
    <x v="116"/>
    <s v="March"/>
    <n v="2021"/>
    <x v="3"/>
    <n v="-2.1"/>
    <x v="0"/>
    <n v="168000"/>
    <n v="202"/>
    <s v="Federal"/>
    <s v="PFO"/>
    <n v="0.03"/>
    <s v="Allen County Highway Department"/>
    <s v="LRE-2000-30021-102-R21"/>
    <s v="2007-698-02-SSA-A"/>
    <m/>
    <s v="Allen"/>
    <s v="41-078652"/>
    <n v="-85.059173000000001"/>
    <s v="Transportation"/>
    <m/>
    <s v="No"/>
    <m/>
    <n v="25200"/>
    <n v="117599.99999999999"/>
    <n v="25200"/>
    <s v="D"/>
    <s v="J"/>
    <m/>
    <m/>
    <m/>
    <m/>
    <m/>
    <m/>
    <s v="For failed mitigation"/>
  </r>
  <r>
    <x v="116"/>
    <s v="March"/>
    <n v="2021"/>
    <x v="9"/>
    <n v="-76"/>
    <x v="1"/>
    <n v="34200"/>
    <n v="193"/>
    <s v="Federal"/>
    <s v="Int"/>
    <n v="76"/>
    <s v="INDOT"/>
    <s v="LRL-2017-461-scm"/>
    <s v="2020-911-32-JBT-A"/>
    <m/>
    <s v="Hendricks"/>
    <n v="39.659999999999997"/>
    <n v="-86.441999999999993"/>
    <s v="Transportation"/>
    <m/>
    <s v="No"/>
    <m/>
    <n v="5130"/>
    <n v="23940"/>
    <n v="5130"/>
    <s v="L"/>
    <s v="J"/>
    <m/>
    <m/>
    <m/>
    <m/>
    <m/>
    <m/>
    <s v="Corps did not require mitigation"/>
  </r>
  <r>
    <x v="116"/>
    <s v="March"/>
    <n v="2021"/>
    <x v="9"/>
    <n v="-218"/>
    <x v="1"/>
    <n v="98100"/>
    <n v="193"/>
    <s v="Federal"/>
    <s v="Per"/>
    <n v="218"/>
    <s v="INDOT"/>
    <s v="LRL-2017-461-scm"/>
    <s v="2020-911-32-JBT-A"/>
    <m/>
    <s v="Hendricks"/>
    <n v="39.659999999999997"/>
    <n v="-86.441999999999993"/>
    <s v="Transportation"/>
    <m/>
    <s v="No"/>
    <m/>
    <n v="14715"/>
    <n v="68670"/>
    <n v="14715"/>
    <s v="L"/>
    <s v="J"/>
    <m/>
    <m/>
    <m/>
    <m/>
    <m/>
    <m/>
    <s v="Corps did not require mitigation"/>
  </r>
  <r>
    <x v="116"/>
    <s v="March"/>
    <n v="2021"/>
    <x v="9"/>
    <n v="-5.3999999999999999E-2"/>
    <x v="0"/>
    <n v="4320"/>
    <n v="193"/>
    <s v="Federal"/>
    <s v="PSS"/>
    <n v="1.7999999999999999E-2"/>
    <s v="INDOT"/>
    <s v="LRL-2017-461-scm"/>
    <s v="2020-911-32-JBT-A"/>
    <m/>
    <s v="Hendricks"/>
    <n v="39.659999999999997"/>
    <n v="-86.441999999999993"/>
    <s v="Transportation"/>
    <m/>
    <s v="No"/>
    <m/>
    <n v="648"/>
    <n v="3024"/>
    <n v="648"/>
    <s v="L"/>
    <s v="J"/>
    <m/>
    <m/>
    <m/>
    <m/>
    <m/>
    <m/>
    <s v="Corps did not require mitigation"/>
  </r>
  <r>
    <x v="117"/>
    <s v="April"/>
    <n v="2021"/>
    <x v="0"/>
    <n v="-13.08"/>
    <x v="0"/>
    <n v="1242600"/>
    <n v="197"/>
    <s v="Federal"/>
    <s v="PEM"/>
    <n v="4.3600000000000003"/>
    <s v="Northern Indiana Commuter Transportation District"/>
    <s v="LRC-2016-423"/>
    <s v="2020-661-45-MTM-A"/>
    <m/>
    <s v="Lake"/>
    <n v="41.650891000000001"/>
    <n v="-87.137271999999996"/>
    <s v="Transportation"/>
    <m/>
    <s v="No"/>
    <m/>
    <n v="186390"/>
    <n v="869820"/>
    <n v="186390"/>
    <s v="C"/>
    <s v="J"/>
    <m/>
    <m/>
    <m/>
    <m/>
    <m/>
    <m/>
    <m/>
  </r>
  <r>
    <x v="117"/>
    <s v="April"/>
    <n v="2021"/>
    <x v="4"/>
    <n v="-7.4999999999999997E-2"/>
    <x v="0"/>
    <n v="6000"/>
    <n v="199"/>
    <s v="State Isolated"/>
    <s v="PFO"/>
    <n v="0.03"/>
    <s v="Grand Communities, LLC"/>
    <s v="None"/>
    <s v="IWGP 2020-946-6-ERL-A"/>
    <m/>
    <s v="Boone"/>
    <n v="40.050800000000002"/>
    <n v="-86.455299999999994"/>
    <s v="Development"/>
    <m/>
    <s v="No"/>
    <m/>
    <n v="900"/>
    <n v="4200"/>
    <n v="900"/>
    <s v="L"/>
    <s v="SI"/>
    <s v="2 F"/>
    <m/>
    <m/>
    <m/>
    <m/>
    <m/>
    <s v="State Isolated Class II Forested"/>
  </r>
  <r>
    <x v="117"/>
    <s v="April"/>
    <n v="2021"/>
    <x v="4"/>
    <n v="-123"/>
    <x v="1"/>
    <n v="49200"/>
    <n v="184"/>
    <s v="Federal"/>
    <s v="Int"/>
    <n v="381"/>
    <s v="INDOT"/>
    <s v="LRL-2020-639-scm"/>
    <s v="2020-640-06-JBT-A"/>
    <m/>
    <s v="Boone"/>
    <n v="40.048000000000002"/>
    <n v="-86.49"/>
    <s v="Transportation"/>
    <m/>
    <s v="No"/>
    <m/>
    <n v="7380"/>
    <n v="34440"/>
    <n v="7380"/>
    <s v="L"/>
    <s v="COMB"/>
    <m/>
    <m/>
    <m/>
    <m/>
    <m/>
    <m/>
    <m/>
  </r>
  <r>
    <x v="117"/>
    <s v="April"/>
    <n v="2021"/>
    <x v="4"/>
    <n v="-237"/>
    <x v="1"/>
    <n v="94800"/>
    <n v="184"/>
    <s v="Federal"/>
    <s v="Per"/>
    <n v="237"/>
    <s v="INDOT"/>
    <s v="LRL-2020-639-scm"/>
    <s v="2020-640-06-JBT-A"/>
    <m/>
    <s v="Boone"/>
    <n v="40.048000000000002"/>
    <n v="-86.49"/>
    <s v="Transportation"/>
    <m/>
    <s v="No"/>
    <m/>
    <n v="14220"/>
    <n v="66360"/>
    <n v="14220"/>
    <s v="L"/>
    <s v="COMB"/>
    <m/>
    <m/>
    <m/>
    <m/>
    <m/>
    <m/>
    <m/>
  </r>
  <r>
    <x v="117"/>
    <s v="April"/>
    <n v="2021"/>
    <x v="4"/>
    <n v="-0.05"/>
    <x v="0"/>
    <n v="4000"/>
    <n v="184"/>
    <s v="Federal"/>
    <s v="PEM"/>
    <n v="2.5000000000000001E-2"/>
    <s v="INDOT"/>
    <s v="LRL-2020-639-scm"/>
    <s v="2020-640-06-JBT-A"/>
    <m/>
    <s v="Boone"/>
    <n v="40.048000000000002"/>
    <n v="-86.49"/>
    <s v="Transportation"/>
    <m/>
    <s v="No"/>
    <m/>
    <n v="600"/>
    <n v="2800"/>
    <n v="600"/>
    <s v="L"/>
    <s v="COMB"/>
    <m/>
    <m/>
    <m/>
    <m/>
    <m/>
    <m/>
    <m/>
  </r>
  <r>
    <x v="117"/>
    <s v="April"/>
    <n v="2021"/>
    <x v="4"/>
    <n v="-2.7E-2"/>
    <x v="0"/>
    <n v="2160"/>
    <n v="184"/>
    <s v="Federal"/>
    <s v="PSS"/>
    <n v="8.9999999999999993E-3"/>
    <s v="INDOT"/>
    <s v="LRL-2020-639-scm"/>
    <s v="2020-640-06-JBT-A"/>
    <m/>
    <s v="Boone"/>
    <n v="40.048000000000002"/>
    <n v="-86.49"/>
    <s v="Transportation"/>
    <m/>
    <s v="No"/>
    <m/>
    <n v="324"/>
    <n v="1512"/>
    <n v="324"/>
    <s v="L"/>
    <s v="COMB"/>
    <m/>
    <m/>
    <m/>
    <m/>
    <m/>
    <m/>
    <m/>
  </r>
  <r>
    <x v="117"/>
    <s v="April"/>
    <n v="2021"/>
    <x v="4"/>
    <n v="-0.03"/>
    <x v="0"/>
    <n v="2400"/>
    <n v="184"/>
    <s v="State Isolated"/>
    <s v="PEM"/>
    <n v="0.03"/>
    <s v="INDOT"/>
    <s v="LRL-2020-639-scm"/>
    <s v="IWGP 2020-640-06-JBT-A"/>
    <m/>
    <s v="Boone"/>
    <n v="40.048000000000002"/>
    <n v="-86.49"/>
    <s v="Transportation"/>
    <m/>
    <s v="No"/>
    <m/>
    <n v="360"/>
    <n v="1680"/>
    <n v="360"/>
    <s v="L"/>
    <s v="COMB"/>
    <s v="1 NF"/>
    <m/>
    <m/>
    <m/>
    <m/>
    <m/>
    <s v="State Isolated Class I (PEM)"/>
  </r>
  <r>
    <x v="117"/>
    <s v="April"/>
    <n v="2021"/>
    <x v="4"/>
    <n v="-3.5999999999999997E-2"/>
    <x v="0"/>
    <n v="2880"/>
    <n v="184"/>
    <s v="State Isolated"/>
    <s v="PSS"/>
    <n v="1.7999999999999999E-2"/>
    <s v="INDOT"/>
    <s v="LRL-2020-639-scm"/>
    <s v="IWGP 2020-640-06-JBT-A"/>
    <m/>
    <s v="Boone"/>
    <n v="40.048000000000002"/>
    <n v="-86.49"/>
    <s v="Transportation"/>
    <m/>
    <s v="No"/>
    <m/>
    <n v="432"/>
    <n v="2015.9999999999998"/>
    <n v="432"/>
    <s v="L"/>
    <s v="COMB"/>
    <s v="2 NF"/>
    <m/>
    <m/>
    <m/>
    <m/>
    <m/>
    <s v="State Isolated Class II (PSS)"/>
  </r>
  <r>
    <x v="118"/>
    <s v="April"/>
    <n v="2021"/>
    <x v="10"/>
    <n v="-296.3"/>
    <x v="1"/>
    <n v="118520"/>
    <n v="178"/>
    <s v="Federal"/>
    <s v="Int"/>
    <n v="696.2"/>
    <s v="INDOT "/>
    <s v="LRL-2020-44-djd"/>
    <s v="2020-649-03-JBT-A"/>
    <m/>
    <s v="Bartholomew"/>
    <n v="39.141649999999998"/>
    <n v="-85.957999999999998"/>
    <s v="Transportation"/>
    <m/>
    <s v="No"/>
    <m/>
    <n v="17778"/>
    <n v="82964"/>
    <n v="17778"/>
    <s v="L"/>
    <s v="J"/>
    <m/>
    <m/>
    <m/>
    <m/>
    <m/>
    <m/>
    <s v="Added later to master ledger as not added - Corps required no credits - INDOT 1802958 I-65 from SR 46 to SR 59"/>
  </r>
  <r>
    <x v="118"/>
    <s v="April"/>
    <n v="2021"/>
    <x v="10"/>
    <n v="-0.12"/>
    <x v="0"/>
    <n v="9600"/>
    <n v="178"/>
    <s v="Federal"/>
    <s v="PEM"/>
    <n v="0.06"/>
    <s v="INDOT"/>
    <s v="LRL-2020-44-djd"/>
    <s v="2020-649-03-JBT-A"/>
    <m/>
    <s v="Bartholomew"/>
    <n v="39.141649999999998"/>
    <n v="-85.957999999999998"/>
    <s v="Transportation"/>
    <m/>
    <s v="No"/>
    <m/>
    <n v="1440"/>
    <n v="6720"/>
    <n v="1440"/>
    <s v="L"/>
    <s v="J"/>
    <m/>
    <m/>
    <m/>
    <m/>
    <m/>
    <m/>
    <s v="Added later to master ledger as not added - Corps required no credits - INDOT 1802958 I-65 from SR 46 to SR 60"/>
  </r>
  <r>
    <x v="119"/>
    <s v="April"/>
    <n v="2021"/>
    <x v="9"/>
    <n v="-1"/>
    <x v="0"/>
    <n v="80000"/>
    <n v="203"/>
    <s v="Federal"/>
    <s v="PEM"/>
    <m/>
    <s v="City of Fishers"/>
    <s v="LRL-2018-684-sjk"/>
    <s v="2021-030-29-ALF-A"/>
    <m/>
    <s v="Hamilton"/>
    <n v="39.947200000000002"/>
    <n v="-85.915199999999999"/>
    <s v="Development"/>
    <m/>
    <s v="No"/>
    <m/>
    <n v="12000"/>
    <n v="56000"/>
    <n v="12000"/>
    <s v="L"/>
    <s v="J"/>
    <m/>
    <m/>
    <m/>
    <m/>
    <m/>
    <m/>
    <s v="Open Water Impacts (1.97 acres fill within Geist Reservoir for beach development).  Corps did not require mitigation"/>
  </r>
  <r>
    <x v="120"/>
    <s v="April"/>
    <n v="2021"/>
    <x v="9"/>
    <n v="-0.23"/>
    <x v="0"/>
    <n v="18400"/>
    <n v="207"/>
    <s v="State Isolated"/>
    <s v="PFO"/>
    <n v="0.09"/>
    <s v="Todd Katz"/>
    <s v="N/A"/>
    <s v="IWIP 2021-028-29-ALF-A"/>
    <m/>
    <s v="Hamilton"/>
    <n v="39.93177"/>
    <n v="-86.240660000000005"/>
    <s v="Development"/>
    <m/>
    <s v="No"/>
    <m/>
    <n v="2760"/>
    <n v="12880"/>
    <n v="2760"/>
    <s v="L"/>
    <s v="SI"/>
    <s v="2 F"/>
    <m/>
    <m/>
    <m/>
    <m/>
    <m/>
    <s v="Class II Forested Wetland impact"/>
  </r>
  <r>
    <x v="120"/>
    <s v="April"/>
    <n v="2021"/>
    <x v="10"/>
    <n v="-0.48"/>
    <x v="0"/>
    <n v="38400"/>
    <n v="206"/>
    <s v="State Isolated"/>
    <s v="PFO"/>
    <n v="0.32"/>
    <s v="CenterPoint Energy"/>
    <s v="N/A"/>
    <s v="IWGP 2021-184-30-A"/>
    <m/>
    <s v="Hancock"/>
    <n v="39.819391000000003"/>
    <n v="-85.866478999999998"/>
    <s v="Energy Production"/>
    <m/>
    <s v="No"/>
    <m/>
    <n v="5760"/>
    <n v="26880"/>
    <n v="5760"/>
    <s v="L"/>
    <s v="SI"/>
    <s v="2 F"/>
    <m/>
    <m/>
    <m/>
    <m/>
    <m/>
    <s v="Class II Forested Wetland impact"/>
  </r>
  <r>
    <x v="121"/>
    <s v="May"/>
    <n v="2021"/>
    <x v="0"/>
    <n v="-1.2"/>
    <x v="0"/>
    <n v="114000"/>
    <n v="156"/>
    <s v="Federal"/>
    <s v="PEM"/>
    <n v="0.67"/>
    <s v="Luke Family of Brands"/>
    <s v="LRC-2019-676-RGP"/>
    <s v="2020-428-45-MTM-A"/>
    <m/>
    <s v="Lake"/>
    <n v="41.515949999999997"/>
    <n v="-87.469719999999995"/>
    <s v="Development"/>
    <m/>
    <s v="No"/>
    <m/>
    <n v="17100"/>
    <n v="79800"/>
    <n v="17100"/>
    <s v="C"/>
    <s v="J"/>
    <m/>
    <m/>
    <m/>
    <m/>
    <m/>
    <m/>
    <m/>
  </r>
  <r>
    <x v="122"/>
    <s v="May"/>
    <n v="2021"/>
    <x v="0"/>
    <n v="-112"/>
    <x v="1"/>
    <n v="67200"/>
    <n v="198"/>
    <s v="Federal"/>
    <s v="Int"/>
    <n v="198.72"/>
    <s v="INDOT"/>
    <s v="LRC-2020-753-RGP"/>
    <s v="2020-839-64-JBT-A"/>
    <m/>
    <s v="Porter"/>
    <n v="41.521599999999999"/>
    <n v="-87.209000000000003"/>
    <s v="Transportation"/>
    <m/>
    <s v="No"/>
    <m/>
    <n v="10080"/>
    <n v="47040"/>
    <n v="10080"/>
    <s v="C"/>
    <s v="J"/>
    <m/>
    <m/>
    <m/>
    <m/>
    <m/>
    <m/>
    <m/>
  </r>
  <r>
    <x v="122"/>
    <s v="May"/>
    <n v="2021"/>
    <x v="0"/>
    <n v="-0.45"/>
    <x v="0"/>
    <n v="42750"/>
    <n v="198"/>
    <s v="Federal"/>
    <s v="PEM"/>
    <n v="0.25580000000000003"/>
    <s v="INDOT"/>
    <s v="LRC-2020-753-RGP"/>
    <s v="2020-839-64-JBT-A"/>
    <m/>
    <s v="Porter"/>
    <n v="41.521599999999999"/>
    <n v="-87.209000000000003"/>
    <s v="Transportation"/>
    <m/>
    <s v="No"/>
    <m/>
    <n v="6412.5"/>
    <n v="29924.999999999996"/>
    <n v="6412.5"/>
    <s v="C"/>
    <s v="J"/>
    <m/>
    <m/>
    <m/>
    <m/>
    <m/>
    <m/>
    <m/>
  </r>
  <r>
    <x v="122"/>
    <s v="May"/>
    <n v="2021"/>
    <x v="0"/>
    <n v="-0.32400000000000001"/>
    <x v="0"/>
    <n v="30780"/>
    <n v="198"/>
    <s v="Federal"/>
    <s v="PFO"/>
    <n v="8.1000000000000003E-2"/>
    <s v="INDOT"/>
    <s v="LRC-2020-753-RGP"/>
    <s v="2020-839-64-JBT-A"/>
    <m/>
    <s v="Porter"/>
    <n v="41.521599999999999"/>
    <n v="-87.209000000000003"/>
    <s v="Transportation"/>
    <m/>
    <s v="No"/>
    <m/>
    <n v="4617"/>
    <n v="21546"/>
    <n v="4617"/>
    <s v="C"/>
    <s v="J"/>
    <m/>
    <m/>
    <m/>
    <m/>
    <m/>
    <m/>
    <m/>
  </r>
  <r>
    <x v="123"/>
    <s v="May"/>
    <n v="2021"/>
    <x v="9"/>
    <n v="-1.37"/>
    <x v="0"/>
    <n v="109600"/>
    <n v="211"/>
    <s v="State Isolated"/>
    <s v="PEM"/>
    <n v="1.37"/>
    <s v="AEP"/>
    <s v="None"/>
    <s v="IWGP 2021-278-18-WRH-A"/>
    <m/>
    <s v="Delaware"/>
    <n v="40.262307"/>
    <n v="-85.431628000000003"/>
    <s v="Energy Production"/>
    <m/>
    <s v="No"/>
    <m/>
    <n v="16440"/>
    <n v="76720"/>
    <n v="16440"/>
    <s v="L"/>
    <s v="SI"/>
    <s v="1 NF"/>
    <m/>
    <m/>
    <m/>
    <m/>
    <m/>
    <m/>
  </r>
  <r>
    <x v="124"/>
    <s v="May"/>
    <n v="2021"/>
    <x v="8"/>
    <n v="-349.4"/>
    <x v="1"/>
    <n v="139760"/>
    <n v="212"/>
    <s v="Federal"/>
    <s v="Per"/>
    <n v="349.4"/>
    <s v="INDOT"/>
    <s v="LRE-2020-02409-143-R21"/>
    <s v="2021-217-43-JBT-X"/>
    <m/>
    <s v="Kosciusko"/>
    <n v="41.281999999999996"/>
    <n v="-86.046999999999997"/>
    <s v="Transportation"/>
    <m/>
    <s v="No"/>
    <m/>
    <n v="20964"/>
    <n v="97832"/>
    <n v="20964"/>
    <s v="D"/>
    <s v="J"/>
    <m/>
    <m/>
    <m/>
    <m/>
    <m/>
    <m/>
    <s v="Corps required more ILF stream credit than IDEM"/>
  </r>
  <r>
    <x v="124"/>
    <s v="May"/>
    <n v="2021"/>
    <x v="8"/>
    <n v="-2.9600000000000001E-2"/>
    <x v="0"/>
    <n v="2368"/>
    <n v="212"/>
    <s v="Federal"/>
    <s v="PEM"/>
    <n v="1.4800000000000001E-2"/>
    <s v="INDOT"/>
    <s v="LRE-2020-02409-143-R21"/>
    <s v="2021-217-43-JBT-X"/>
    <m/>
    <s v="Kosciusko"/>
    <n v="41.281999999999996"/>
    <n v="-86.046999999999997"/>
    <s v="Transportation"/>
    <m/>
    <s v="No"/>
    <m/>
    <n v="355.2"/>
    <n v="1657.6"/>
    <n v="355.2"/>
    <s v="D"/>
    <s v="J"/>
    <m/>
    <m/>
    <m/>
    <m/>
    <m/>
    <m/>
    <m/>
  </r>
  <r>
    <x v="124"/>
    <s v="May"/>
    <n v="2021"/>
    <x v="8"/>
    <n v="-0.13"/>
    <x v="0"/>
    <n v="10400"/>
    <n v="210"/>
    <s v="Federal"/>
    <s v="PEM"/>
    <n v="0.02"/>
    <s v="INDOT"/>
    <s v="LRL-2020-452-scm"/>
    <s v="2020-468-34-JBT-A"/>
    <m/>
    <s v="Howard"/>
    <n v="40.485999999999997"/>
    <n v="-86.107500000000002"/>
    <s v="Transportation"/>
    <m/>
    <s v="No"/>
    <m/>
    <n v="1560"/>
    <n v="7279.9999999999991"/>
    <n v="1560"/>
    <s v="L"/>
    <s v="J"/>
    <m/>
    <m/>
    <m/>
    <m/>
    <m/>
    <m/>
    <m/>
  </r>
  <r>
    <x v="124"/>
    <s v="May"/>
    <n v="2021"/>
    <x v="10"/>
    <n v="-131"/>
    <x v="1"/>
    <n v="52400"/>
    <n v="162"/>
    <s v="Federal"/>
    <s v="Eph"/>
    <n v="109"/>
    <s v="INDOT"/>
    <s v="LRL-2019-137-sjk"/>
    <s v="202-537-70-ALF-A "/>
    <m/>
    <s v="Rush"/>
    <n v="39.613289999999999"/>
    <n v="-85.613870000000006"/>
    <s v="Transportation"/>
    <m/>
    <s v="No"/>
    <m/>
    <n v="7860"/>
    <n v="36680"/>
    <n v="7860"/>
    <s v="L"/>
    <s v="J"/>
    <m/>
    <m/>
    <m/>
    <m/>
    <m/>
    <m/>
    <m/>
  </r>
  <r>
    <x v="124"/>
    <s v="May"/>
    <n v="2021"/>
    <x v="10"/>
    <n v="-1.5"/>
    <x v="0"/>
    <n v="120000"/>
    <n v="162"/>
    <s v="Federal"/>
    <s v="PFO"/>
    <n v="0.375"/>
    <s v="INDOT "/>
    <s v="LRL-2019-137-sjk"/>
    <s v="202-537-70-ALF-A "/>
    <m/>
    <s v="Rush"/>
    <n v="39.613289999999999"/>
    <n v="-85.613870000000006"/>
    <s v="Transportation"/>
    <m/>
    <s v="No"/>
    <m/>
    <n v="18000"/>
    <n v="84000"/>
    <n v="18000"/>
    <s v="L"/>
    <s v="J"/>
    <m/>
    <m/>
    <m/>
    <m/>
    <m/>
    <m/>
    <m/>
  </r>
  <r>
    <x v="125"/>
    <s v="June"/>
    <n v="2021"/>
    <x v="0"/>
    <n v="-0.05"/>
    <x v="0"/>
    <n v="4750"/>
    <n v="216"/>
    <s v="State Isolated"/>
    <s v="PEM"/>
    <n v="0.05"/>
    <s v="Excel Development"/>
    <s v="None"/>
    <s v="IWGP 2021-35-45-MTM-A"/>
    <m/>
    <s v="Lake"/>
    <n v="41.541547999999999"/>
    <s v="–87.511936"/>
    <s v="Development"/>
    <m/>
    <s v="No"/>
    <m/>
    <n v="712.5"/>
    <n v="3325"/>
    <n v="712.5"/>
    <s v="C"/>
    <s v="SI"/>
    <s v="1 NF"/>
    <m/>
    <m/>
    <m/>
    <m/>
    <m/>
    <m/>
  </r>
  <r>
    <x v="126"/>
    <s v="June"/>
    <n v="2021"/>
    <x v="7"/>
    <n v="-0.78"/>
    <x v="0"/>
    <n v="62400"/>
    <n v="214"/>
    <s v="Federal"/>
    <s v="PFO"/>
    <n v="0.26"/>
    <s v="Duke Energy"/>
    <s v="LRL-2018-495-MKD"/>
    <s v="2020-978-10-TMS "/>
    <m/>
    <s v="Clark"/>
    <n v="38.450719999999997"/>
    <n v="-85.725769999999997"/>
    <s v="Energy Production"/>
    <m/>
    <s v="No"/>
    <m/>
    <n v="9360"/>
    <n v="43680"/>
    <n v="9360"/>
    <s v="L"/>
    <s v="J"/>
    <m/>
    <m/>
    <m/>
    <m/>
    <m/>
    <m/>
    <m/>
  </r>
  <r>
    <x v="126"/>
    <s v="June "/>
    <n v="2021"/>
    <x v="9"/>
    <n v="-0.03"/>
    <x v="0"/>
    <n v="2400"/>
    <n v="188"/>
    <s v="State Isolated"/>
    <s v="PFO"/>
    <n v="0.03"/>
    <s v="Pulte Homes of Indiana"/>
    <s v="None"/>
    <s v="IWGP 2020-968-29-ALF-A"/>
    <m/>
    <s v="Hamilton"/>
    <n v="40.019039999999997"/>
    <n v="-86.210729999999998"/>
    <s v="Development"/>
    <m/>
    <s v="No"/>
    <m/>
    <n v="360"/>
    <n v="1680"/>
    <n v="360"/>
    <s v="L"/>
    <s v="SI"/>
    <s v="1 f"/>
    <m/>
    <m/>
    <m/>
    <m/>
    <m/>
    <m/>
  </r>
  <r>
    <x v="126"/>
    <s v="June"/>
    <n v="2021"/>
    <x v="9"/>
    <n v="-0.8"/>
    <x v="0"/>
    <n v="64000"/>
    <n v="213"/>
    <s v="Federal"/>
    <s v="PFO"/>
    <n v="0.2"/>
    <s v="Pulte Homes of Indiana"/>
    <s v="LRL-2016-994-sjk"/>
    <s v="2017-221-29-HAP-A"/>
    <m/>
    <s v="Hamilton"/>
    <n v="39.9831"/>
    <n v="-85.875500000000002"/>
    <s v="Development"/>
    <m/>
    <s v="No"/>
    <m/>
    <n v="9600"/>
    <n v="44800"/>
    <n v="9600"/>
    <s v="L"/>
    <s v="J"/>
    <m/>
    <m/>
    <m/>
    <m/>
    <m/>
    <m/>
    <m/>
  </r>
  <r>
    <x v="127"/>
    <s v="June"/>
    <n v="2021"/>
    <x v="0"/>
    <n v="-0.04"/>
    <x v="0"/>
    <n v="3800"/>
    <n v="224"/>
    <s v="State Isolated"/>
    <s v="PEM"/>
    <n v="0.04"/>
    <s v="Pure Development"/>
    <m/>
    <s v="2021-425-45-MTM-X"/>
    <m/>
    <s v="Lake "/>
    <n v="41.441094999999997"/>
    <n v="-87.323815999999994"/>
    <s v="Development"/>
    <m/>
    <s v="No"/>
    <m/>
    <n v="570"/>
    <n v="2660"/>
    <n v="570"/>
    <s v="C"/>
    <s v="J"/>
    <m/>
    <m/>
    <m/>
    <m/>
    <m/>
    <m/>
    <m/>
  </r>
  <r>
    <x v="127"/>
    <s v="June"/>
    <n v="2021"/>
    <x v="7"/>
    <n v="-155"/>
    <x v="1"/>
    <n v="62000"/>
    <n v="221"/>
    <s v="Federal"/>
    <s v="Int"/>
    <n v="86"/>
    <s v="Ports of Indiana"/>
    <s v="LRL-1979-00062"/>
    <s v="2021-205-10-TMS-A"/>
    <m/>
    <s v="Clark"/>
    <n v="38.330910000000003"/>
    <n v="-85.672910000000002"/>
    <s v="Transportation"/>
    <m/>
    <s v="No"/>
    <m/>
    <n v="9300"/>
    <n v="43400"/>
    <n v="9300"/>
    <s v="L"/>
    <s v="COMB"/>
    <m/>
    <m/>
    <m/>
    <m/>
    <m/>
    <m/>
    <s v="Corps required more stream and wetland credits"/>
  </r>
  <r>
    <x v="127"/>
    <s v="June"/>
    <n v="2021"/>
    <x v="7"/>
    <n v="-0.94"/>
    <x v="0"/>
    <n v="75200"/>
    <n v="221"/>
    <s v="Federal"/>
    <s v="PEM"/>
    <n v="0.38900000000000001"/>
    <s v="Ports of Indiana"/>
    <s v="LRL-1979-00062"/>
    <s v="2021-205-10-TMS-A"/>
    <m/>
    <s v="Clark"/>
    <n v="38.322290000000002"/>
    <n v="-85.661090000000002"/>
    <s v="Transportation"/>
    <m/>
    <s v="No"/>
    <m/>
    <n v="11280"/>
    <n v="52640"/>
    <n v="11280"/>
    <s v="L"/>
    <s v="COMB"/>
    <m/>
    <m/>
    <m/>
    <m/>
    <m/>
    <m/>
    <m/>
  </r>
  <r>
    <x v="127"/>
    <s v="June"/>
    <n v="2021"/>
    <x v="7"/>
    <n v="-5.0999999999999997E-2"/>
    <x v="0"/>
    <n v="4080"/>
    <n v="221"/>
    <s v="State Isolated"/>
    <s v="PEM"/>
    <n v="3.4000000000000002E-2"/>
    <s v="Ports of Indiana"/>
    <s v="LRL-1979-00062"/>
    <s v="IWGP 2021-205-10-TMS-A "/>
    <m/>
    <s v="Clark"/>
    <n v="38.322290000000002"/>
    <n v="-85.661090000000002"/>
    <s v="Transportation"/>
    <m/>
    <s v="No"/>
    <m/>
    <n v="612"/>
    <n v="2856"/>
    <n v="612"/>
    <s v="L"/>
    <s v="COMB"/>
    <s v="1 NF"/>
    <m/>
    <m/>
    <m/>
    <m/>
    <m/>
    <s v="Called wanting credit sale now so invoiced for ISO W too"/>
  </r>
  <r>
    <x v="128"/>
    <s v="June"/>
    <n v="2021"/>
    <x v="8"/>
    <n v="-2.09"/>
    <x v="0"/>
    <n v="167200"/>
    <n v="217"/>
    <s v="State Isolated"/>
    <s v="PFO"/>
    <n v="0.83599999999999997"/>
    <s v="CP215, LLC"/>
    <s v="None"/>
    <s v="IWIP 2020-970-35-WRH-A"/>
    <m/>
    <s v="Huntington"/>
    <n v="40.894539999999999"/>
    <n v="-85.518429999999995"/>
    <s v="Development"/>
    <m/>
    <s v="No"/>
    <m/>
    <n v="25080"/>
    <n v="117039.99999999999"/>
    <n v="25080"/>
    <s v="L"/>
    <s v="SI"/>
    <s v="2 F"/>
    <m/>
    <m/>
    <m/>
    <m/>
    <m/>
    <m/>
  </r>
  <r>
    <x v="129"/>
    <s v="June"/>
    <n v="2021"/>
    <x v="7"/>
    <n v="-2254.6"/>
    <x v="1"/>
    <n v="901840"/>
    <n v="219"/>
    <s v="Federal"/>
    <s v="Int"/>
    <n v="2019.5"/>
    <s v="Harrison County"/>
    <s v="LRL-2017-773-djd"/>
    <s v="2017-533-31-ALF-A"/>
    <m/>
    <s v="Harrison"/>
    <n v="38.01473"/>
    <n v="-86.168059999999997"/>
    <s v="Transportation"/>
    <m/>
    <s v="No"/>
    <m/>
    <n v="135276"/>
    <n v="631288"/>
    <n v="135276"/>
    <s v="L"/>
    <s v="J"/>
    <m/>
    <m/>
    <m/>
    <m/>
    <m/>
    <m/>
    <s v="Non-Compliance Required Credit Purchase, appears to have not been sent, so proceeding. "/>
  </r>
  <r>
    <x v="129"/>
    <s v="June"/>
    <n v="2021"/>
    <x v="7"/>
    <n v="-0.51200000000000001"/>
    <x v="0"/>
    <n v="40960"/>
    <n v="219"/>
    <s v="Federal"/>
    <s v="PFO"/>
    <n v="0.128"/>
    <s v="Harrison County"/>
    <s v="LRL-2017-773-djd"/>
    <s v="2017-533-31-ALF-A"/>
    <m/>
    <s v="Harrison"/>
    <n v="38.01473"/>
    <n v="-86.168059999999997"/>
    <s v="Transportation"/>
    <m/>
    <s v="No"/>
    <m/>
    <n v="6144"/>
    <n v="28672"/>
    <n v="6144"/>
    <s v="L"/>
    <s v="J"/>
    <m/>
    <m/>
    <m/>
    <m/>
    <m/>
    <m/>
    <m/>
  </r>
  <r>
    <x v="129"/>
    <s v="June"/>
    <n v="2021"/>
    <x v="7"/>
    <n v="-8.7999999999999995E-2"/>
    <x v="0"/>
    <n v="7040"/>
    <n v="219"/>
    <s v="Federal"/>
    <s v="PEM"/>
    <n v="0.04"/>
    <s v="Harrison County"/>
    <s v="LRL-2017-773-djd"/>
    <s v="2017-533-31-ALF-A"/>
    <m/>
    <s v="Harrison"/>
    <n v="38.01473"/>
    <n v="-86.168059999999997"/>
    <s v="Transportation"/>
    <m/>
    <s v="No"/>
    <m/>
    <n v="1056"/>
    <n v="4928"/>
    <n v="1056"/>
    <s v="L"/>
    <s v="J"/>
    <m/>
    <m/>
    <m/>
    <m/>
    <m/>
    <m/>
    <m/>
  </r>
  <r>
    <x v="129"/>
    <s v="June"/>
    <n v="2021"/>
    <x v="9"/>
    <n v="-600"/>
    <x v="1"/>
    <n v="270000"/>
    <n v="226"/>
    <s v="Federal"/>
    <s v="Per"/>
    <n v="500"/>
    <s v="Citizens Energy Group"/>
    <s v="LRL-2019-806-LCL"/>
    <s v="2020-914-49-ALF-A"/>
    <s v="FW-30807-0"/>
    <s v="Marion"/>
    <n v="39.801600000000001"/>
    <n v="-86.197400000000002"/>
    <s v="Dam"/>
    <m/>
    <s v="No"/>
    <m/>
    <n v="40500"/>
    <n v="189000"/>
    <n v="40500"/>
    <s v="L"/>
    <s v="J"/>
    <m/>
    <m/>
    <m/>
    <m/>
    <m/>
    <m/>
    <s v="Corps permit requires 600, IDEM permit requires 500, DNR Permit requires 0.25 FW purchase.  Had thought also 500 additional credits per FW permit, but are modifying permit to clarify. "/>
  </r>
  <r>
    <x v="129"/>
    <s v="June"/>
    <n v="2021"/>
    <x v="9"/>
    <n v="-1.464"/>
    <x v="0"/>
    <n v="117120"/>
    <n v="222"/>
    <s v="State Isolated"/>
    <s v="PEM"/>
    <n v="1.613"/>
    <s v="Arco/Murray"/>
    <s v="None"/>
    <s v="IWIP 2021-104-32-ERL-A"/>
    <m/>
    <s v="Hendricks"/>
    <n v="39.742600000000003"/>
    <n v="-86.340800000000002"/>
    <s v="Development"/>
    <m/>
    <s v="No"/>
    <m/>
    <n v="17568"/>
    <n v="81984"/>
    <n v="17568"/>
    <s v="L"/>
    <s v="SI"/>
    <s v="2 NF"/>
    <m/>
    <m/>
    <m/>
    <m/>
    <m/>
    <s v="Note: Permit to purchase Class I was rescinded.  Thus requirement changed.   IWIP 2021-104-32-ERL-A:  1.464 credits for 0.732 impacts Class II Isolated PEM, IWGP 2021-104-32-ERL-A:  0.881 credits for 0.881 impacts to 0.881 Class I PEM - rescinded. _x000a_"/>
  </r>
  <r>
    <x v="130"/>
    <s v="July"/>
    <n v="2021"/>
    <x v="5"/>
    <n v="-0.1875"/>
    <x v="0"/>
    <n v="15000"/>
    <n v="227"/>
    <s v="Federal"/>
    <s v="PFO"/>
    <n v="0.25"/>
    <s v="Eagle Enclave"/>
    <s v="LRL-2013-8807-RJB"/>
    <s v="2013-543-82-DCC-V."/>
    <m/>
    <s v="Vanderburgh"/>
    <n v="37.967385999999998"/>
    <n v="-87.661501000000001"/>
    <s v="Development"/>
    <m/>
    <s v="No"/>
    <m/>
    <n v="2250"/>
    <n v="10500"/>
    <n v="2250"/>
    <s v="L"/>
    <s v="J"/>
    <m/>
    <m/>
    <m/>
    <m/>
    <m/>
    <m/>
    <s v="Purchase in Agreed Judgement 82D05-1707-MI-003721 to resolve violations in 401 Permit 2013-543-82-DCC-V."/>
  </r>
  <r>
    <x v="130"/>
    <s v="July"/>
    <n v="2021"/>
    <x v="9"/>
    <n v="-6.91"/>
    <x v="0"/>
    <n v="552800"/>
    <n v="209"/>
    <s v="Federal"/>
    <s v="PFO"/>
    <n v="2.88"/>
    <s v="Duke Energy"/>
    <s v="LRL-2020-1000-sjk"/>
    <s v="2020-994-49-ALF-A"/>
    <m/>
    <s v="Marion"/>
    <n v="39.702300000000001"/>
    <n v="-86.1631"/>
    <s v="Transportation"/>
    <m/>
    <s v="No"/>
    <m/>
    <n v="82920"/>
    <n v="386960"/>
    <n v="82920"/>
    <s v="L"/>
    <s v="J"/>
    <m/>
    <m/>
    <m/>
    <m/>
    <m/>
    <m/>
    <m/>
  </r>
  <r>
    <x v="131"/>
    <s v="July"/>
    <n v="2021"/>
    <x v="9"/>
    <n v="-48"/>
    <x v="1"/>
    <n v="21600"/>
    <n v="228"/>
    <s v="Federal"/>
    <s v="Per"/>
    <n v="121"/>
    <s v="City of Carmel"/>
    <s v="LRL-2020-194-sjk"/>
    <s v="2021-0369-29-JBT-X"/>
    <m/>
    <s v="Hamilton"/>
    <n v="39.957799999999999"/>
    <n v="-86.090299999999999"/>
    <s v="Transportation"/>
    <m/>
    <s v="No"/>
    <m/>
    <n v="3240"/>
    <n v="15119.999999999998"/>
    <n v="3240"/>
    <s v="L"/>
    <s v="J"/>
    <m/>
    <m/>
    <m/>
    <m/>
    <m/>
    <m/>
    <m/>
  </r>
  <r>
    <x v="132"/>
    <s v="July"/>
    <n v="2021"/>
    <x v="9"/>
    <n v="-24"/>
    <x v="1"/>
    <n v="10800"/>
    <n v="232"/>
    <s v="Federal"/>
    <s v="Int"/>
    <s v="Mitig Shortfall"/>
    <s v="Poindexter Excavating"/>
    <s v="LRL-2018-446-sam"/>
    <s v="2018-899-32-JMK-A"/>
    <m/>
    <s v="Hendricks"/>
    <n v="39.665999999999997"/>
    <n v="-86.376999999999995"/>
    <s v="Transportation"/>
    <m/>
    <s v="No"/>
    <m/>
    <n v="1620"/>
    <n v="7559.9999999999991"/>
    <n v="1620"/>
    <s v="L"/>
    <s v="J"/>
    <m/>
    <m/>
    <m/>
    <m/>
    <m/>
    <m/>
    <s v="401 Modification - mitigation shortfall - permit modification for ILF credit purchase for remainder. "/>
  </r>
  <r>
    <x v="133"/>
    <s v="July"/>
    <n v="2021"/>
    <x v="7"/>
    <n v="-140"/>
    <x v="1"/>
    <n v="56000"/>
    <n v="223"/>
    <s v="Federal"/>
    <s v="Int"/>
    <n v="151"/>
    <s v="Clark County "/>
    <s v="LRL-2020-807-MKD"/>
    <s v="2020-993-10-TMS-A"/>
    <m/>
    <s v="Clark"/>
    <n v="38.48592"/>
    <n v="-85.530699999999996"/>
    <s v="Transportation"/>
    <m/>
    <s v="No"/>
    <m/>
    <n v="8400"/>
    <n v="39200"/>
    <n v="8400"/>
    <s v="L"/>
    <s v="J"/>
    <m/>
    <m/>
    <m/>
    <m/>
    <m/>
    <m/>
    <s v="No Corps Mitigation required. "/>
  </r>
  <r>
    <x v="133"/>
    <s v="July"/>
    <n v="2021"/>
    <x v="9"/>
    <n v="-122"/>
    <x v="1"/>
    <n v="54900"/>
    <n v="231"/>
    <s v="Federal"/>
    <s v="Per"/>
    <n v="1035"/>
    <s v="Park 100 Development"/>
    <s v="LRL-2019-642-sjk"/>
    <s v="2021-222-49-JWR-A"/>
    <m/>
    <s v="Marion"/>
    <n v="39.894840000000002"/>
    <n v="-86.266040000000004"/>
    <s v="Development"/>
    <m/>
    <s v="No"/>
    <m/>
    <n v="8235"/>
    <n v="38430"/>
    <n v="8235"/>
    <s v="L"/>
    <s v="J"/>
    <m/>
    <m/>
    <m/>
    <m/>
    <m/>
    <m/>
    <s v="IDEM requires total stream mitigation of 440 intermittent and the rest is remediation done by the Permittee, Corps a total of 441. "/>
  </r>
  <r>
    <x v="133"/>
    <s v="July"/>
    <n v="2021"/>
    <x v="9"/>
    <n v="-319"/>
    <x v="1"/>
    <n v="143550"/>
    <n v="231"/>
    <s v="Federal"/>
    <s v="Int"/>
    <n v="266"/>
    <s v="Park 100 Development"/>
    <s v="LRL-2019-642-sjk"/>
    <s v="2021-222-49-JWR-A"/>
    <m/>
    <s v="Marion"/>
    <n v="39.894840000000002"/>
    <n v="-86.266040000000004"/>
    <s v="Development"/>
    <m/>
    <s v="No"/>
    <m/>
    <n v="21532.5"/>
    <n v="100485"/>
    <n v="21532.5"/>
    <s v="L"/>
    <s v="J"/>
    <m/>
    <m/>
    <m/>
    <m/>
    <m/>
    <m/>
    <s v="IWGP related to this not sub w other permits, credit sale will be processed separately. "/>
  </r>
  <r>
    <x v="133"/>
    <s v="July"/>
    <n v="2021"/>
    <x v="9"/>
    <n v="-1.1000000000000001"/>
    <x v="0"/>
    <n v="88000"/>
    <n v="231"/>
    <s v="Federal"/>
    <s v="PFO"/>
    <n v="0.24"/>
    <s v="Park 100 Development"/>
    <s v="LRL-2019-642-sjk"/>
    <s v="2021-222-49-JWR-A"/>
    <m/>
    <s v="Marion"/>
    <n v="39.894840000000002"/>
    <n v="-86.266040000000004"/>
    <s v="Development"/>
    <m/>
    <s v="No"/>
    <m/>
    <n v="13200"/>
    <n v="61599.999999999993"/>
    <n v="13200"/>
    <s v="L"/>
    <s v="J"/>
    <m/>
    <m/>
    <m/>
    <m/>
    <m/>
    <m/>
    <s v="IDEM has a larger amount of credit purchase requirements. "/>
  </r>
  <r>
    <x v="134"/>
    <s v="July"/>
    <n v="2021"/>
    <x v="10"/>
    <n v="-0.37"/>
    <x v="0"/>
    <n v="29600"/>
    <n v="220"/>
    <s v="Federal"/>
    <s v="PEM"/>
    <n v="0.154"/>
    <s v="Hancock Co Hway"/>
    <s v="LRL-2020-783-sjk"/>
    <s v="2020-718-30-ALF-A"/>
    <m/>
    <s v="Hancock"/>
    <n v="39.924570000000003"/>
    <n v="-85.692149999999998"/>
    <s v="Transportation"/>
    <m/>
    <s v="No"/>
    <m/>
    <n v="4440"/>
    <n v="20720"/>
    <n v="4440"/>
    <s v="L"/>
    <s v="J"/>
    <m/>
    <m/>
    <m/>
    <m/>
    <m/>
    <m/>
    <s v="Corrected from permit to be WW EF, Corps requires slightly more. "/>
  </r>
  <r>
    <x v="134"/>
    <s v="July"/>
    <n v="2021"/>
    <x v="10"/>
    <n v="-0.1"/>
    <x v="0"/>
    <n v="8000"/>
    <n v="220"/>
    <s v="Federal"/>
    <s v="PFO"/>
    <n v="2.9000000000000001E-2"/>
    <s v="Hancock Co Hway"/>
    <s v="LRL-2020-783-sjk"/>
    <s v="2020-718-30-ALF-A"/>
    <m/>
    <s v="Hancock"/>
    <n v="39.924570000000003"/>
    <n v="-85.692149999999998"/>
    <s v="Transportation"/>
    <m/>
    <s v="No"/>
    <m/>
    <n v="1200"/>
    <n v="5600"/>
    <n v="1200"/>
    <s v="L"/>
    <s v="J"/>
    <m/>
    <m/>
    <m/>
    <m/>
    <m/>
    <m/>
    <s v="Corrected from permit to be WW EF"/>
  </r>
  <r>
    <x v="135"/>
    <s v="August"/>
    <n v="2021"/>
    <x v="2"/>
    <n v="-408"/>
    <x v="1"/>
    <n v="163200"/>
    <n v="229"/>
    <s v="Federal"/>
    <s v="Int"/>
    <n v="340"/>
    <s v="Crider and Crider"/>
    <s v="LRL-2020-815-MKD"/>
    <s v="2021-246-53-TMS-A"/>
    <m/>
    <s v="Monroe"/>
    <n v="39.196618999999998"/>
    <n v="-86.575967000000006"/>
    <s v="Development"/>
    <m/>
    <s v="No"/>
    <m/>
    <n v="24480"/>
    <n v="114240"/>
    <n v="24480"/>
    <s v="L"/>
    <s v="J"/>
    <m/>
    <m/>
    <m/>
    <m/>
    <m/>
    <m/>
    <m/>
  </r>
  <r>
    <x v="136"/>
    <s v="August"/>
    <n v="2021"/>
    <x v="0"/>
    <n v="-1.476"/>
    <x v="0"/>
    <n v="140220"/>
    <n v="233"/>
    <s v="Federal"/>
    <s v="PEM"/>
    <n v="25.08"/>
    <s v="NIPSCO"/>
    <s v="LRC-2020-490"/>
    <s v="2020-818-45-MTM-A"/>
    <m/>
    <s v="Lake and Porter"/>
    <n v="41.58399"/>
    <n v="-87.299000000000007"/>
    <s v="Energy Production"/>
    <m/>
    <s v="No"/>
    <m/>
    <n v="21033"/>
    <n v="98154"/>
    <n v="21033"/>
    <s v="C"/>
    <s v="J"/>
    <m/>
    <m/>
    <m/>
    <m/>
    <m/>
    <m/>
    <s v="Aetna to Tassinong Gas Transmission Upgrade Project"/>
  </r>
  <r>
    <x v="136"/>
    <s v="August"/>
    <n v="2021"/>
    <x v="0"/>
    <n v="-0.216"/>
    <x v="0"/>
    <n v="20520"/>
    <n v="233"/>
    <s v="Federal"/>
    <s v="PSS"/>
    <n v="0.73"/>
    <s v="NIPSCO"/>
    <s v="LRC-2020-490"/>
    <s v="2020-818-45-MTM-A"/>
    <m/>
    <s v="Lake and Porter"/>
    <n v="41.58399"/>
    <n v="-87.299000000000007"/>
    <s v="Energy Production"/>
    <m/>
    <s v="No"/>
    <m/>
    <n v="3078"/>
    <n v="14363.999999999998"/>
    <n v="3078"/>
    <s v="C"/>
    <s v="J"/>
    <m/>
    <m/>
    <m/>
    <m/>
    <m/>
    <m/>
    <s v="Aetna to Tassinong Gas Transmission Upgrade Project"/>
  </r>
  <r>
    <x v="136"/>
    <s v="August"/>
    <n v="2021"/>
    <x v="0"/>
    <n v="-0.13800000000000001"/>
    <x v="0"/>
    <n v="13110.000000000002"/>
    <n v="233"/>
    <s v="Federal"/>
    <s v="PFO"/>
    <n v="0.23"/>
    <s v="NIPSCO"/>
    <s v="LRC-2020-490"/>
    <s v="2020-818-45-MTM-A"/>
    <m/>
    <s v="Lake and Porter"/>
    <n v="41.58399"/>
    <n v="-87.299000000000007"/>
    <s v="Energy Production"/>
    <m/>
    <s v="No"/>
    <m/>
    <n v="1966.5000000000002"/>
    <n v="9177"/>
    <n v="1966.5000000000002"/>
    <s v="C"/>
    <s v="J"/>
    <m/>
    <m/>
    <m/>
    <m/>
    <m/>
    <m/>
    <s v="Aetna to Tassinong Gas Transmission Upgrade Project"/>
  </r>
  <r>
    <x v="137"/>
    <s v="August"/>
    <n v="2021"/>
    <x v="3"/>
    <n v="-0.96"/>
    <x v="0"/>
    <n v="76800"/>
    <n v="235"/>
    <s v="Federal"/>
    <s v="PFO"/>
    <n v="0.24"/>
    <s v="ANR Pipeline Company’s MP26.71 Integrity Dig"/>
    <s v="LRE-2021-00699-117"/>
    <s v="2021-520-17-WRH-X"/>
    <m/>
    <s v="DeKalb"/>
    <n v="41.484231999999999"/>
    <n v="-84.836512999999997"/>
    <s v="Energy Production"/>
    <m/>
    <s v="No"/>
    <m/>
    <n v="11520"/>
    <n v="53760"/>
    <n v="11520"/>
    <s v="D"/>
    <s v="J"/>
    <m/>
    <m/>
    <m/>
    <m/>
    <m/>
    <m/>
    <m/>
  </r>
  <r>
    <x v="137"/>
    <s v="August"/>
    <n v="2021"/>
    <x v="9"/>
    <n v="-7.4999999999999997E-2"/>
    <x v="0"/>
    <n v="6000"/>
    <n v="236"/>
    <s v="State Isolated"/>
    <s v="PFO"/>
    <n v="0.03"/>
    <s v="Park 100 Development"/>
    <s v="None"/>
    <s v="IWGP 2021-222-49-JWR-A"/>
    <m/>
    <s v="Marion"/>
    <n v="39.894840000000002"/>
    <n v="-86.266040000000004"/>
    <s v="Development"/>
    <m/>
    <s v="No"/>
    <m/>
    <n v="900"/>
    <n v="4200"/>
    <n v="900"/>
    <s v="L"/>
    <s v="COMB"/>
    <s v="2 F"/>
    <m/>
    <m/>
    <m/>
    <m/>
    <m/>
    <s v="401/404 credit sale issued separately.  Didn't submit this w the other permits related to the credit request.  Discovered during clarification with agencies on permit language. "/>
  </r>
  <r>
    <x v="138"/>
    <s v="September"/>
    <n v="2021"/>
    <x v="1"/>
    <n v="-215"/>
    <x v="1"/>
    <n v="107500"/>
    <n v="179"/>
    <s v="Federal"/>
    <s v="Int"/>
    <n v="289"/>
    <s v="INDOT"/>
    <s v=" LRC-2019-854 -DES 1401029"/>
    <s v="2020-574-64-MTM-A "/>
    <m/>
    <s v="Porter"/>
    <n v="41.420140000000004"/>
    <n v="-87.201599999999999"/>
    <s v="Transportation"/>
    <m/>
    <s v="No"/>
    <m/>
    <n v="16125"/>
    <n v="75250"/>
    <n v="16125"/>
    <s v="C"/>
    <s v="J"/>
    <m/>
    <m/>
    <m/>
    <m/>
    <m/>
    <m/>
    <s v="Emergent credits purchased elsewhere. "/>
  </r>
  <r>
    <x v="138"/>
    <s v="September"/>
    <n v="2021"/>
    <x v="1"/>
    <n v="-0.24640000000000001"/>
    <x v="0"/>
    <n v="23408"/>
    <n v="179"/>
    <s v="Federal"/>
    <s v="PSS"/>
    <n v="9.4E-2"/>
    <s v="INDOT"/>
    <s v=" LRC-2019-854 -DES 1401029"/>
    <s v="2020-574-64-MTM-A "/>
    <m/>
    <s v="Porter"/>
    <n v="41.420140000000004"/>
    <n v="-87.201599999999999"/>
    <s v="Transportation"/>
    <m/>
    <s v="No"/>
    <m/>
    <n v="3511.2"/>
    <n v="16385.599999999999"/>
    <n v="3511.2"/>
    <s v="C"/>
    <s v="J"/>
    <m/>
    <m/>
    <m/>
    <m/>
    <m/>
    <m/>
    <s v="Emergent credits purchased elsewhere. "/>
  </r>
  <r>
    <x v="138"/>
    <s v="September"/>
    <n v="2021"/>
    <x v="1"/>
    <n v="-0.10920000000000001"/>
    <x v="0"/>
    <n v="10374"/>
    <n v="179"/>
    <s v="Federal"/>
    <s v="PFO"/>
    <n v="2.5999999999999999E-2"/>
    <s v="INDOT"/>
    <s v=" LRC-2019-854 -DES 1401029"/>
    <s v="2020-574-64-MTM-A "/>
    <m/>
    <s v="Porter"/>
    <n v="41.420140000000004"/>
    <n v="-87.201599999999999"/>
    <s v="Transportation"/>
    <m/>
    <s v="No"/>
    <m/>
    <n v="1556.1"/>
    <n v="7261.7999999999993"/>
    <n v="1556.1"/>
    <s v="C"/>
    <s v="J"/>
    <m/>
    <m/>
    <m/>
    <m/>
    <m/>
    <m/>
    <s v="Emergent credits purchased elsewhere. "/>
  </r>
  <r>
    <x v="139"/>
    <s v="September"/>
    <n v="2021"/>
    <x v="0"/>
    <n v="-0.7"/>
    <x v="0"/>
    <n v="66500"/>
    <n v="247"/>
    <s v="State Isolated"/>
    <s v="PFO"/>
    <n v="0.54"/>
    <s v="Lennar Corporation"/>
    <s v="None"/>
    <s v="IWIP 2021-472-45-MTM-A"/>
    <m/>
    <s v="Lake"/>
    <n v="41.412514999999999"/>
    <n v="-87.261118999999994"/>
    <s v="Development"/>
    <m/>
    <s v="No"/>
    <m/>
    <n v="9975"/>
    <n v="46550"/>
    <n v="9975"/>
    <s v="C"/>
    <s v="SI"/>
    <s v="2 F"/>
    <m/>
    <m/>
    <m/>
    <m/>
    <m/>
    <s v="Aylesworth Farm"/>
  </r>
  <r>
    <x v="140"/>
    <s v="September"/>
    <n v="2021"/>
    <x v="8"/>
    <n v="-7.4999999999999997E-3"/>
    <x v="0"/>
    <n v="600"/>
    <n v="250"/>
    <s v="State Isolated"/>
    <s v="PFO"/>
    <n v="3.0000000000000001E-3"/>
    <s v="Oakmont Development"/>
    <s v="None"/>
    <s v="IWGP 2021-445-02-WRH-A"/>
    <m/>
    <s v="Allen"/>
    <n v="41.08502"/>
    <n v="-85.295559999999995"/>
    <s v="Development"/>
    <m/>
    <s v="No"/>
    <m/>
    <n v="90"/>
    <n v="420"/>
    <n v="90"/>
    <s v="D"/>
    <s v="SI"/>
    <s v="2 F"/>
    <m/>
    <m/>
    <m/>
    <m/>
    <m/>
    <s v="Orig Impacts permitted under IWGP 2020-974-02-WRH-A,these are addtl impacts. "/>
  </r>
  <r>
    <x v="141"/>
    <s v="September"/>
    <n v="2021"/>
    <x v="1"/>
    <n v="-1.2E-2"/>
    <x v="0"/>
    <n v="1140"/>
    <n v="251"/>
    <s v="Federal"/>
    <s v="PEM"/>
    <n v="0.02"/>
    <s v="Graythorne Development"/>
    <s v="LRC-2019-190"/>
    <s v="2021-92-45-MTM-A"/>
    <m/>
    <s v="Lake"/>
    <n v="41.315891999999998"/>
    <n v="-87.387343000000001"/>
    <s v="Development"/>
    <m/>
    <s v="No"/>
    <m/>
    <n v="171"/>
    <n v="798"/>
    <n v="171"/>
    <s v="C"/>
    <s v="COMB"/>
    <m/>
    <m/>
    <m/>
    <m/>
    <m/>
    <m/>
    <s v="Credit Sale Ltr Inadvertently sent later.  IDEM required 0 emergent. IDEM had wrong SA on permit, used Corps and IDEM noted this. "/>
  </r>
  <r>
    <x v="141"/>
    <s v="September"/>
    <n v="2021"/>
    <x v="1"/>
    <n v="-0.3"/>
    <x v="0"/>
    <n v="28500"/>
    <n v="251"/>
    <s v="Federal"/>
    <s v="PFO"/>
    <n v="0.63"/>
    <s v="Graythorne Development"/>
    <s v="LRC-2019-190"/>
    <s v="2021-92-45-MTM-A"/>
    <m/>
    <s v="Lake"/>
    <n v="41.315891999999998"/>
    <n v="-87.387343000000001"/>
    <s v="Development"/>
    <m/>
    <s v="No"/>
    <m/>
    <n v="4275"/>
    <n v="19950"/>
    <n v="4275"/>
    <s v="C"/>
    <s v="COMB"/>
    <m/>
    <m/>
    <m/>
    <m/>
    <m/>
    <m/>
    <s v="IDEM required 0.26 Forested. IDEM had wrong SA on permit, used Corps and IDEM noted this. "/>
  </r>
  <r>
    <x v="141"/>
    <s v="September"/>
    <n v="2021"/>
    <x v="1"/>
    <n v="-0.05"/>
    <x v="0"/>
    <n v="4750"/>
    <n v="251"/>
    <s v="State Isolated"/>
    <s v="PFO"/>
    <n v="0.14000000000000001"/>
    <s v="Graythorne Development"/>
    <s v="None"/>
    <s v="IWIP 2021-92-45-MTM-A"/>
    <m/>
    <s v="Lake"/>
    <n v="41.315891999999998"/>
    <n v="-87.387343000000001"/>
    <s v="Development"/>
    <m/>
    <s v="No"/>
    <m/>
    <n v="712.5"/>
    <n v="3325"/>
    <n v="712.5"/>
    <s v="C"/>
    <s v="COMB"/>
    <s v="3 F"/>
    <m/>
    <m/>
    <m/>
    <m/>
    <m/>
    <s v="IDEM had wrong SA on permit, used Corps and IDEM noted this. "/>
  </r>
  <r>
    <x v="141"/>
    <s v="September"/>
    <n v="2021"/>
    <x v="10"/>
    <n v="-478"/>
    <x v="1"/>
    <n v="191200"/>
    <n v="237"/>
    <s v="Federal"/>
    <s v="Per"/>
    <n v="398"/>
    <s v="Force Holdings - Project Husky"/>
    <s v="LRL-2021-277-sjk"/>
    <s v="2021-407-03-TMS-A"/>
    <m/>
    <s v="Bartholomew"/>
    <n v="39.144100000000002"/>
    <n v="-85.944559999999996"/>
    <s v="Development"/>
    <m/>
    <s v="No"/>
    <m/>
    <n v="28680"/>
    <n v="133840"/>
    <n v="28680"/>
    <s v="L"/>
    <s v="COMB"/>
    <m/>
    <m/>
    <m/>
    <m/>
    <m/>
    <m/>
    <s v="Requested invoice re-sent to diff recipient.  Corps requires more at 478 perennial, state 398. "/>
  </r>
  <r>
    <x v="141"/>
    <s v="September"/>
    <n v="2021"/>
    <x v="10"/>
    <n v="-1271"/>
    <x v="1"/>
    <n v="508400"/>
    <n v="237"/>
    <s v="Federal"/>
    <s v="Int"/>
    <n v="1059"/>
    <s v="Force Holdings - Project Husky"/>
    <s v="LRL-2021-277-sjk"/>
    <s v="2021-407-03-TMS-A"/>
    <m/>
    <s v="Bartholomew"/>
    <n v="39.144100000000002"/>
    <n v="-85.944559999999996"/>
    <s v="Development"/>
    <m/>
    <s v="No"/>
    <m/>
    <n v="76260"/>
    <n v="355880"/>
    <n v="76260"/>
    <s v="L"/>
    <s v="COMB"/>
    <m/>
    <m/>
    <m/>
    <m/>
    <m/>
    <m/>
    <s v="Corps is more at 1271 intermittent stream, State is 1059 intermittent stream. "/>
  </r>
  <r>
    <x v="141"/>
    <s v="September"/>
    <n v="2021"/>
    <x v="10"/>
    <n v="-0.61719999999999997"/>
    <x v="0"/>
    <n v="49376"/>
    <n v="237"/>
    <s v="Federal"/>
    <s v="PFO"/>
    <n v="0.15429999999999999"/>
    <s v="Force Holdings - Project Husky"/>
    <s v="LRL-2021-277-sjk"/>
    <s v="2021-407-03-TMS-A"/>
    <m/>
    <s v="Bartholomew"/>
    <n v="39.144100000000002"/>
    <n v="-85.944559999999996"/>
    <s v="Development"/>
    <m/>
    <s v="No"/>
    <m/>
    <n v="7406.4"/>
    <n v="34563.199999999997"/>
    <n v="7406.4"/>
    <s v="L"/>
    <s v="COMB"/>
    <m/>
    <m/>
    <m/>
    <m/>
    <m/>
    <m/>
    <s v="Corps is less at .56 forested wetland credits"/>
  </r>
  <r>
    <x v="141"/>
    <s v="September"/>
    <n v="2021"/>
    <x v="10"/>
    <n v="-0.30549999999999999"/>
    <x v="0"/>
    <n v="24440"/>
    <n v="237"/>
    <s v="State Isolated"/>
    <s v="PFO"/>
    <n v="0.1222"/>
    <s v="Force Holdings - Project Husky"/>
    <s v="LRL-2021-277-sjk"/>
    <s v="IWIP-2021-407-03-TMS-A"/>
    <m/>
    <s v="Bartholomew"/>
    <n v="39.144100000000002"/>
    <n v="-85.944559999999996"/>
    <s v="Development"/>
    <m/>
    <s v="No"/>
    <m/>
    <n v="3666"/>
    <n v="17108"/>
    <n v="3666"/>
    <s v="L"/>
    <s v="COMB"/>
    <s v="3 F"/>
    <m/>
    <m/>
    <m/>
    <m/>
    <m/>
    <s v="IWIP Class III Forested "/>
  </r>
  <r>
    <x v="142"/>
    <s v="September"/>
    <n v="2021"/>
    <x v="7"/>
    <n v="-0.29799999999999999"/>
    <x v="0"/>
    <n v="23840"/>
    <n v="252"/>
    <s v="Federal"/>
    <s v="PEM"/>
    <n v="0.10100000000000001"/>
    <s v="Stonecrest Development"/>
    <s v="LRL-2017-00451"/>
    <s v="2019-779-22-TMS-A"/>
    <m/>
    <s v="Floyd"/>
    <n v="38.355286"/>
    <s v="-85.81 8652"/>
    <s v="Development"/>
    <m/>
    <s v="No"/>
    <m/>
    <n v="3576"/>
    <n v="16688"/>
    <n v="3576"/>
    <s v="L"/>
    <s v="J"/>
    <m/>
    <m/>
    <m/>
    <m/>
    <m/>
    <m/>
    <s v="Corps requires .91 total wetland mitig - IDEM .202 emergent"/>
  </r>
  <r>
    <x v="142"/>
    <s v="September"/>
    <n v="2021"/>
    <x v="7"/>
    <n v="-0.38400000000000001"/>
    <x v="0"/>
    <n v="30720"/>
    <n v="252"/>
    <s v="Federal"/>
    <s v="PSS"/>
    <n v="0.10100000000000001"/>
    <s v="Stonecrest Development"/>
    <s v="LRL-2017-00451"/>
    <s v="2019-779-22-TMS-A"/>
    <m/>
    <s v="Floyd"/>
    <n v="38.355286"/>
    <s v="-85.81 8652"/>
    <s v="Development"/>
    <m/>
    <s v="No"/>
    <m/>
    <n v="4608"/>
    <n v="21504"/>
    <n v="4608"/>
    <s v="L"/>
    <s v="J"/>
    <m/>
    <m/>
    <m/>
    <m/>
    <m/>
    <m/>
    <s v="Corps requires .91 total wetland mitig - IDEM .384 shrub"/>
  </r>
  <r>
    <x v="142"/>
    <s v="September"/>
    <n v="2021"/>
    <x v="7"/>
    <n v="-0.22800000000000001"/>
    <x v="0"/>
    <n v="18240"/>
    <n v="252"/>
    <s v="Federal"/>
    <s v="PFO"/>
    <n v="0.10100000000000001"/>
    <s v="Stonecrest Development"/>
    <s v="LRL-2017-00451"/>
    <s v="2019-779-22-TMS-A"/>
    <m/>
    <s v="Floyd"/>
    <n v="38.355286"/>
    <s v="-85.81 8652"/>
    <s v="Development"/>
    <m/>
    <s v="No"/>
    <m/>
    <n v="2736"/>
    <n v="12768"/>
    <n v="2736"/>
    <s v="L"/>
    <s v="J"/>
    <m/>
    <m/>
    <m/>
    <m/>
    <m/>
    <m/>
    <s v="Corps requires .91 total wetland mitig - IDEM .228 forested"/>
  </r>
  <r>
    <x v="142"/>
    <s v="September"/>
    <n v="2021"/>
    <x v="9"/>
    <n v="-0.34"/>
    <x v="0"/>
    <n v="27200"/>
    <n v="204"/>
    <s v="State Isolated"/>
    <s v="PEM"/>
    <n v="0.34"/>
    <s v="INDOT"/>
    <s v="None"/>
    <s v="IWGP 2020-787-80-JBT-A"/>
    <m/>
    <s v="Tipton"/>
    <n v="40.289437"/>
    <n v="-86.127049"/>
    <s v="Transportation"/>
    <m/>
    <s v="No"/>
    <m/>
    <n v="4080"/>
    <n v="19040"/>
    <n v="4080"/>
    <s v="L"/>
    <s v="SI"/>
    <s v="1 NF"/>
    <m/>
    <m/>
    <m/>
    <m/>
    <m/>
    <s v="Class I Non-Forested (PEM) DES 1592421"/>
  </r>
  <r>
    <x v="143"/>
    <s v="October"/>
    <n v="2021"/>
    <x v="1"/>
    <n v="-0.99"/>
    <x v="0"/>
    <n v="94050"/>
    <n v="239"/>
    <s v="Federal"/>
    <s v="PFO"/>
    <n v="0.34100000000000003"/>
    <s v="INDOT"/>
    <s v="LRE-2020-1742-137-R21"/>
    <s v="2021-0231-37-JBT-A"/>
    <m/>
    <s v="Jasper"/>
    <n v="40.907580000000003"/>
    <n v="-87.210695999999999"/>
    <s v="Transportation"/>
    <m/>
    <s v="No"/>
    <m/>
    <n v="14107.5"/>
    <n v="65835"/>
    <n v="14107.5"/>
    <s v="L"/>
    <s v="J"/>
    <m/>
    <m/>
    <m/>
    <m/>
    <m/>
    <m/>
    <s v="1700378 - I-65 Unnamed Tributary to Iroquois Liner - Corps required no mitigation. "/>
  </r>
  <r>
    <x v="143"/>
    <s v="October"/>
    <n v="2021"/>
    <x v="2"/>
    <n v="-449.5"/>
    <x v="1"/>
    <n v="179800"/>
    <n v="241"/>
    <s v="Federal"/>
    <s v="Int"/>
    <n v="516.5"/>
    <s v="INDOT"/>
    <s v="LRL-2020-1097-scm"/>
    <s v="2021-110-42-JBT-A"/>
    <m/>
    <s v="Knox"/>
    <n v="38.867088000000003"/>
    <n v="-87.250826000000004"/>
    <s v="Transportation"/>
    <m/>
    <s v="No"/>
    <m/>
    <n v="26970"/>
    <n v="125859.99999999999"/>
    <n v="26970"/>
    <s v="L"/>
    <s v="J"/>
    <m/>
    <m/>
    <m/>
    <m/>
    <m/>
    <m/>
    <s v="Corps required no credits, confirmed - INDOT 1700156 &amp; 1700159"/>
  </r>
  <r>
    <x v="143"/>
    <s v="October"/>
    <n v="2021"/>
    <x v="2"/>
    <n v="-89.5"/>
    <x v="1"/>
    <n v="35800"/>
    <n v="241"/>
    <s v="Federal"/>
    <s v="Per"/>
    <n v="33"/>
    <s v="INDOT "/>
    <s v="LRL-2020-1097-scm"/>
    <s v="2021-110-42-JBT-A"/>
    <m/>
    <s v="Knox"/>
    <n v="38.867088000000003"/>
    <n v="-87.250826000000004"/>
    <s v="Transportation"/>
    <m/>
    <s v="No"/>
    <m/>
    <n v="5370"/>
    <n v="25060"/>
    <n v="5370"/>
    <s v="L"/>
    <s v="J"/>
    <m/>
    <m/>
    <m/>
    <m/>
    <m/>
    <m/>
    <s v="Corps required no credits, confirmed - INDOT 1700156 &amp; 1700159"/>
  </r>
  <r>
    <x v="143"/>
    <s v="October"/>
    <n v="2021"/>
    <x v="10"/>
    <n v="-1.36"/>
    <x v="0"/>
    <n v="108800.00000000001"/>
    <n v="244"/>
    <s v="Federal"/>
    <s v="PEM"/>
    <n v="0.56569999999999998"/>
    <s v="INDOT"/>
    <s v="LRL-2020-217-scm"/>
    <s v="2021-0106-73-JBT-A, IWGP"/>
    <m/>
    <s v="Shelby"/>
    <n v="39.588799999999999"/>
    <n v="-85.828999999999994"/>
    <s v="Transportation"/>
    <m/>
    <s v="No"/>
    <m/>
    <n v="16320.000000000002"/>
    <n v="76160"/>
    <n v="16320.000000000002"/>
    <s v="L"/>
    <s v="COMB"/>
    <m/>
    <m/>
    <m/>
    <m/>
    <m/>
    <m/>
    <s v="Requested credits - then asked to hold off due to IWGP - then replied to proceed on purchase.  Corps required more credits -IDEM 1.132, Corps 1.36, I-74 INDOT 1601973 1601974 1601978 1601980"/>
  </r>
  <r>
    <x v="143"/>
    <s v="October"/>
    <n v="2021"/>
    <x v="10"/>
    <n v="-0.29799999999999999"/>
    <x v="0"/>
    <n v="23840"/>
    <n v="244"/>
    <s v="State Isolated"/>
    <s v="PEM"/>
    <n v="0.29799999999999999"/>
    <s v="INDOT"/>
    <s v="LRL-2020-217-scm"/>
    <s v="IWGP 2021-106-73-JBT-A"/>
    <m/>
    <s v="Shelby"/>
    <n v="39.588799999999999"/>
    <n v="-85.828999999999994"/>
    <s v="Transportation"/>
    <m/>
    <s v="No"/>
    <m/>
    <n v="3576"/>
    <n v="16688"/>
    <n v="3576"/>
    <s v="L"/>
    <s v="COMB"/>
    <s v="1 NF"/>
    <m/>
    <m/>
    <m/>
    <m/>
    <m/>
    <s v="Requested credits - then asked to hold off due to IWGP - then replied to proceed on purchase.  Corps required more credits -IDEM 1.132, Corps 1.36, I-74 INDOT 1601973 1601974 1601978 1601980"/>
  </r>
  <r>
    <x v="143"/>
    <s v="October"/>
    <n v="2021"/>
    <x v="10"/>
    <n v="-4"/>
    <x v="1"/>
    <n v="1600"/>
    <n v="242"/>
    <s v="Federal"/>
    <s v="Per"/>
    <n v="300.3"/>
    <s v="INDOT"/>
    <s v="LRL-2020-44-djd"/>
    <s v="2020-649-03-JBT-A"/>
    <m/>
    <s v="Bartholomew"/>
    <n v="39.141649999999998"/>
    <n v="-85.957999999999998"/>
    <s v="Transportation"/>
    <m/>
    <s v="No"/>
    <m/>
    <n v="240"/>
    <n v="1120"/>
    <n v="240"/>
    <s v="L"/>
    <s v="COMB"/>
    <m/>
    <m/>
    <m/>
    <m/>
    <m/>
    <m/>
    <s v="Note 0.12 jurisdictional wetland credits and 296.3 stream credits were purchased under the original IDEM 401 WQC and Corps 404 permits and a credit sale letter was issued on April 6, 2021 when those credits were purchased.   "/>
  </r>
  <r>
    <x v="143"/>
    <s v="October"/>
    <n v="2021"/>
    <x v="10"/>
    <n v="-0.98"/>
    <x v="0"/>
    <n v="78400"/>
    <n v="242"/>
    <s v="State Isolated"/>
    <s v="PEM"/>
    <n v="0.06"/>
    <s v="INDOT "/>
    <s v="LRL-2020-44-djd"/>
    <s v="IWGP-2020-649-03-JBT-A"/>
    <m/>
    <s v="Bartholomew"/>
    <n v="39.141649999999998"/>
    <n v="-85.957999999999998"/>
    <s v="Transportation"/>
    <m/>
    <s v="No"/>
    <m/>
    <n v="11760"/>
    <n v="54880"/>
    <n v="11760"/>
    <s v="L"/>
    <s v="COMB"/>
    <s v="1 NF"/>
    <m/>
    <m/>
    <m/>
    <m/>
    <m/>
    <s v="Note 0.12 jurisdictional wetland credits and 296.3 stream credits were purchased under the original IDEM 401 WQC and Corps 404 permits and a credit sale letter was issued on April 6, 2021 when those credits were purchased.   "/>
  </r>
  <r>
    <x v="144"/>
    <s v="October"/>
    <n v="2021"/>
    <x v="2"/>
    <n v="-114"/>
    <x v="1"/>
    <n v="45600"/>
    <n v="215"/>
    <s v="Federal"/>
    <s v="Per"/>
    <n v="95"/>
    <s v="INDOT"/>
    <s v="LRL-2010-506-djd"/>
    <s v="2021-0083-60-JBT-X "/>
    <m/>
    <s v="Owen"/>
    <s v="39.289348°"/>
    <s v="86.779420°"/>
    <s v="Transportation"/>
    <m/>
    <s v="No"/>
    <m/>
    <n v="6840"/>
    <n v="31919.999999999996"/>
    <n v="6840"/>
    <s v="L"/>
    <s v="J"/>
    <m/>
    <m/>
    <m/>
    <m/>
    <m/>
    <m/>
    <s v="Des. No. 0014380 - Corps required more than IDEM required for mitigation. "/>
  </r>
  <r>
    <x v="145"/>
    <s v="October"/>
    <n v="2021"/>
    <x v="9"/>
    <n v="-3.6669999999999998"/>
    <x v="0"/>
    <n v="293360"/>
    <n v="256"/>
    <s v="State Isolated"/>
    <s v="PFO"/>
    <n v="1.837"/>
    <s v="Raindrop, LLC "/>
    <s v="None"/>
    <s v="IWIP 2021-558-32-ERL-A"/>
    <m/>
    <s v="Hendricks &amp; Morgan"/>
    <n v="39.623800000000003"/>
    <n v="-86.468000000000004"/>
    <s v="Development"/>
    <m/>
    <s v="No"/>
    <m/>
    <n v="44004"/>
    <n v="205352"/>
    <n v="44004"/>
    <s v="L"/>
    <s v="SI"/>
    <s v="2 F"/>
    <m/>
    <m/>
    <m/>
    <m/>
    <m/>
    <s v="Previously had permits IWGP 2020-985-32-ERL-A -rescinded, IWIP 2020-985-32-ERL-A- modified for no credit purchase.  IWIP 2021-558-32-ERL-A is a new permit on same project. "/>
  </r>
  <r>
    <x v="145"/>
    <s v="October"/>
    <n v="2021"/>
    <x v="9"/>
    <n v="-1.115"/>
    <x v="0"/>
    <n v="89200"/>
    <n v="256"/>
    <s v="State Isolated"/>
    <s v="PSS"/>
    <n v="0.82699999999999996"/>
    <s v="Raindrop, LLC "/>
    <s v="None"/>
    <s v="IWIP 2021-558-32-ERL-A"/>
    <m/>
    <s v="Hendricks &amp; Morgan"/>
    <n v="39.623800000000003"/>
    <n v="-86.468000000000004"/>
    <s v="Development"/>
    <m/>
    <s v="No"/>
    <m/>
    <n v="13380"/>
    <n v="62439.999999999993"/>
    <n v="13380"/>
    <s v="L"/>
    <s v="SI"/>
    <s v="2 NF"/>
    <m/>
    <m/>
    <m/>
    <m/>
    <m/>
    <s v="Previously had permits IWGP 2020-985-32-ERL-A -rescinded, IWIP 2020-985-32-ERL-A- modified for no credit purchase.  IWIP 2021-558-32-ERL-A is a new permit on same project. "/>
  </r>
  <r>
    <x v="145"/>
    <s v="October"/>
    <n v="2021"/>
    <x v="9"/>
    <n v="-0.83"/>
    <x v="0"/>
    <n v="66400"/>
    <n v="249"/>
    <s v="Federal"/>
    <s v="PFO"/>
    <n v="0.23"/>
    <s v="City of Indianapolis DPW"/>
    <s v="LRL-2021-477-sam"/>
    <s v="2021-348-49-MTM-A"/>
    <m/>
    <s v="Marion"/>
    <n v="39.887799999999999"/>
    <n v="86.300210000000007"/>
    <s v="Dam"/>
    <m/>
    <s v="No"/>
    <m/>
    <n v="9960"/>
    <n v="46480"/>
    <n v="9960"/>
    <s v="L"/>
    <s v="J"/>
    <m/>
    <m/>
    <m/>
    <m/>
    <m/>
    <m/>
    <s v="After the fact Credit Sale - Corps and IDEM required the same amounts. "/>
  </r>
  <r>
    <x v="145"/>
    <s v="October"/>
    <n v="2021"/>
    <x v="9"/>
    <n v="-0.98"/>
    <x v="0"/>
    <n v="78400"/>
    <n v="249"/>
    <s v="Federal"/>
    <s v="PEM"/>
    <n v="0.41"/>
    <s v="City of Indianapolis DPW"/>
    <s v="LRL-2021-477-sam"/>
    <s v="2021-348-49-MTM-A"/>
    <m/>
    <s v="Marion"/>
    <n v="39.887799999999999"/>
    <n v="86.300210000000007"/>
    <s v="Dam"/>
    <m/>
    <s v="No"/>
    <m/>
    <n v="11760"/>
    <n v="54880"/>
    <n v="11760"/>
    <s v="L"/>
    <s v="J"/>
    <m/>
    <m/>
    <m/>
    <m/>
    <m/>
    <m/>
    <s v="After the fact Credit Sale - Corps and IDEM required the same amounts. "/>
  </r>
  <r>
    <x v="146"/>
    <s v="October"/>
    <n v="2021"/>
    <x v="6"/>
    <n v="-0.84"/>
    <x v="0"/>
    <n v="100800"/>
    <n v="218"/>
    <s v="Federal"/>
    <s v="PEM"/>
    <n v="0.21"/>
    <s v="INDOT"/>
    <s v="LRE-2021-00232-144-R21"/>
    <s v="2021-0207-44-JBT-A"/>
    <m/>
    <s v="LaGrange"/>
    <n v="41.697600000000001"/>
    <n v="-85.581199999999995"/>
    <s v="Transportation"/>
    <m/>
    <s v="No"/>
    <m/>
    <n v="15120"/>
    <n v="70560"/>
    <n v="15120"/>
    <s v="D"/>
    <s v="J"/>
    <m/>
    <m/>
    <m/>
    <m/>
    <m/>
    <m/>
    <m/>
  </r>
  <r>
    <x v="147"/>
    <s v="October"/>
    <n v="2021"/>
    <x v="0"/>
    <n v="-0.27600000000000002"/>
    <x v="0"/>
    <n v="26220.000000000004"/>
    <n v="246"/>
    <s v="Federal"/>
    <s v="PEM"/>
    <n v="0.15"/>
    <s v="Boys and Girls Clubs of Greater Northwest Indiana"/>
    <s v="LRC-2020-01139"/>
    <s v="2021-527-64-MTM-X"/>
    <m/>
    <s v="Porter"/>
    <n v="41.447586000000001"/>
    <n v="-87.052993999999998"/>
    <s v="Development"/>
    <m/>
    <s v="No"/>
    <m/>
    <n v="3933.0000000000005"/>
    <n v="18354"/>
    <n v="3933.0000000000005"/>
    <s v="C"/>
    <s v="J"/>
    <m/>
    <m/>
    <m/>
    <m/>
    <m/>
    <m/>
    <s v="IDEM 0.23, Corps .276"/>
  </r>
  <r>
    <x v="147"/>
    <s v="October"/>
    <n v="2021"/>
    <x v="2"/>
    <n v="-0.25"/>
    <x v="0"/>
    <n v="20000"/>
    <n v="234"/>
    <s v="Federal"/>
    <s v="PEM"/>
    <n v="0.25"/>
    <s v="Bloomington Parks - Griffy Lake "/>
    <s v="None"/>
    <s v="2021-383-53-TMS-X"/>
    <m/>
    <s v="Monroe"/>
    <n v="39.198"/>
    <n v="-86.513000000000005"/>
    <s v="Transportation"/>
    <m/>
    <s v="No"/>
    <m/>
    <n v="3000"/>
    <n v="14000"/>
    <n v="3000"/>
    <s v="L"/>
    <s v="J"/>
    <m/>
    <m/>
    <m/>
    <m/>
    <m/>
    <m/>
    <s v="RGP"/>
  </r>
  <r>
    <x v="147"/>
    <s v="October"/>
    <n v="2021"/>
    <x v="2"/>
    <n v="-740"/>
    <x v="1"/>
    <n v="296000"/>
    <n v="259"/>
    <s v="Federal"/>
    <s v="Eph"/>
    <n v="1369"/>
    <s v="Monroe County Highway Departmentt"/>
    <s v="LRL-2020-00189"/>
    <s v="2020-197-53-TMS-A"/>
    <m/>
    <s v="Monroe"/>
    <s v="39.260854,"/>
    <n v="-86.51088"/>
    <s v="Transportation"/>
    <m/>
    <s v="No"/>
    <m/>
    <n v="44400"/>
    <n v="207200"/>
    <n v="44400"/>
    <s v="L"/>
    <s v="J"/>
    <m/>
    <m/>
    <m/>
    <m/>
    <m/>
    <m/>
    <s v="Corps did not require a credit purchase. "/>
  </r>
  <r>
    <x v="148"/>
    <s v="November "/>
    <n v="2021"/>
    <x v="0"/>
    <n v="-0.11"/>
    <x v="0"/>
    <n v="10450"/>
    <n v="189"/>
    <s v="State Isolated"/>
    <s v="PEM"/>
    <n v="0.11"/>
    <s v="Savannah Ridge"/>
    <s v="None"/>
    <s v="IWGP-2020-912-45-MTMA"/>
    <m/>
    <s v="Lake"/>
    <n v="41.47925"/>
    <n v="-87.358260000000001"/>
    <s v="Development"/>
    <m/>
    <s v="No"/>
    <m/>
    <n v="1567.5"/>
    <n v="7314.9999999999991"/>
    <n v="1567.5"/>
    <s v="C"/>
    <s v="SI"/>
    <s v="1 NF"/>
    <m/>
    <m/>
    <m/>
    <m/>
    <m/>
    <s v="Emailed - Credit receipt dated 1/25/2021 - letter inadvertently sent later.  "/>
  </r>
  <r>
    <x v="148"/>
    <s v="November "/>
    <n v="2021"/>
    <x v="2"/>
    <n v="-115.5"/>
    <x v="1"/>
    <n v="46200"/>
    <n v="255"/>
    <s v="Federal"/>
    <s v="Eph"/>
    <n v="345"/>
    <s v="INDOT"/>
    <s v="LRL-2019-699-dds"/>
    <s v="2019-506-28-JBT-A"/>
    <m/>
    <s v="Greene and Sullivan"/>
    <n v="39.015700000000002"/>
    <n v="-87.213310000000007"/>
    <s v="Transportation"/>
    <m/>
    <s v="No"/>
    <m/>
    <n v="6930"/>
    <n v="32339.999999999996"/>
    <n v="6930"/>
    <s v="L"/>
    <s v="J"/>
    <m/>
    <m/>
    <m/>
    <m/>
    <m/>
    <m/>
    <s v="Redbird recreational area -  Des. No. 1601178 - Corps required no mitigation"/>
  </r>
  <r>
    <x v="148"/>
    <s v="November "/>
    <n v="2021"/>
    <x v="2"/>
    <n v="-71"/>
    <x v="1"/>
    <n v="28400"/>
    <n v="255"/>
    <s v="Federal"/>
    <s v="Int"/>
    <n v="209.5"/>
    <s v="INDOT"/>
    <s v="LRL-2019-699-dds"/>
    <s v="2019-506-28-JBT-A"/>
    <m/>
    <s v="Greene and Sullivan"/>
    <n v="39.015700000000002"/>
    <n v="-87.213310000000007"/>
    <s v="Transportation"/>
    <m/>
    <s v="No"/>
    <m/>
    <n v="4260"/>
    <n v="19880"/>
    <n v="4260"/>
    <s v="L"/>
    <s v="J"/>
    <m/>
    <m/>
    <m/>
    <m/>
    <m/>
    <m/>
    <s v="Redbird recreational area -  Des. No. 1601178 - Corps required no mitigation"/>
  </r>
  <r>
    <x v="148"/>
    <s v="November "/>
    <n v="2021"/>
    <x v="2"/>
    <n v="-0.1"/>
    <x v="0"/>
    <n v="8000"/>
    <n v="255"/>
    <s v="Federal"/>
    <s v="PEM"/>
    <n v="0.05"/>
    <s v="INDOT"/>
    <s v="LRL-2019-699-dds"/>
    <s v="2019-506-28-JBT-A"/>
    <m/>
    <s v="Greene and Sullivan"/>
    <n v="39.015700000000002"/>
    <n v="-87.213310000000007"/>
    <s v="Transportation"/>
    <m/>
    <s v="No"/>
    <m/>
    <n v="1200"/>
    <n v="5600"/>
    <n v="1200"/>
    <s v="L"/>
    <s v="J"/>
    <m/>
    <m/>
    <m/>
    <m/>
    <m/>
    <m/>
    <s v="Redbird recreational area -  Des. No. 1601178 - Corps required no mitigation"/>
  </r>
  <r>
    <x v="148"/>
    <s v="November "/>
    <n v="2021"/>
    <x v="2"/>
    <n v="-0.08"/>
    <x v="0"/>
    <n v="6400"/>
    <n v="255"/>
    <s v="Federal"/>
    <s v="PFO"/>
    <n v="0.02"/>
    <s v="INDOT"/>
    <s v="LRL-2019-699-dds"/>
    <s v="2019-506-28-JBT-A"/>
    <m/>
    <s v="Greene and Sullivan"/>
    <n v="39.015700000000002"/>
    <n v="-87.213310000000007"/>
    <s v="Transportation"/>
    <m/>
    <s v="No"/>
    <m/>
    <n v="960"/>
    <n v="4480"/>
    <n v="960"/>
    <s v="L"/>
    <s v="J"/>
    <m/>
    <m/>
    <m/>
    <m/>
    <m/>
    <m/>
    <s v="Redbird recreational area -  Des. No. 1601178 - Corps required no mitigation"/>
  </r>
  <r>
    <x v="148"/>
    <s v="November "/>
    <n v="2021"/>
    <x v="6"/>
    <n v="-124"/>
    <x v="1"/>
    <n v="74400"/>
    <n v="253"/>
    <s v="Federal"/>
    <s v="Per"/>
    <n v="124"/>
    <s v="INDOT"/>
    <s v="LRE-2008-103-120--R21"/>
    <s v="2021-366-20-JBT-X"/>
    <m/>
    <s v="Elkhart"/>
    <n v="41.654051000000003"/>
    <n v="-85.670492999999993"/>
    <s v="Transportation"/>
    <m/>
    <s v="No"/>
    <m/>
    <n v="11160"/>
    <n v="52080"/>
    <n v="11160"/>
    <s v="D"/>
    <s v="J"/>
    <m/>
    <m/>
    <m/>
    <m/>
    <m/>
    <m/>
    <s v="Corps did not require any credit purchase - 1600421 US20"/>
  </r>
  <r>
    <x v="148"/>
    <s v="November "/>
    <n v="2021"/>
    <x v="6"/>
    <n v="-8.9999999999999993E-3"/>
    <x v="0"/>
    <n v="1080"/>
    <n v="253"/>
    <s v="Federal"/>
    <s v="PEM"/>
    <n v="4.4999999999999997E-3"/>
    <s v="INDOT"/>
    <s v="LRE-2008-103-120--R21"/>
    <s v="2021-366-20-JBT-X"/>
    <m/>
    <s v="Elkhart"/>
    <n v="41.654051000000003"/>
    <n v="-85.670492999999993"/>
    <s v="Transportation"/>
    <m/>
    <s v="No"/>
    <m/>
    <n v="162"/>
    <n v="756"/>
    <n v="162"/>
    <s v="D"/>
    <s v="J"/>
    <m/>
    <m/>
    <m/>
    <m/>
    <m/>
    <m/>
    <s v="Corps did not require any credit purchase - 1600421 US21"/>
  </r>
  <r>
    <x v="148"/>
    <s v="November "/>
    <n v="2021"/>
    <x v="6"/>
    <n v="-6.6E-3"/>
    <x v="0"/>
    <n v="792"/>
    <n v="253"/>
    <s v="Federal"/>
    <s v="PSS"/>
    <n v="2.2000000000000001E-3"/>
    <s v="INDOT"/>
    <s v="LRE-2008-103-120--R21"/>
    <s v="2021-366-20-JBT-X"/>
    <m/>
    <s v="Elkhart"/>
    <n v="41.654051000000003"/>
    <n v="-85.670492999999993"/>
    <s v="Transportation"/>
    <m/>
    <s v="No"/>
    <m/>
    <n v="118.8"/>
    <n v="554.4"/>
    <n v="118.8"/>
    <s v="D"/>
    <s v="J"/>
    <m/>
    <m/>
    <m/>
    <m/>
    <m/>
    <m/>
    <s v="Corps did not require any credit purchase - 1600421 US22"/>
  </r>
  <r>
    <x v="148"/>
    <s v="November "/>
    <n v="2021"/>
    <x v="6"/>
    <n v="-0.2954"/>
    <x v="0"/>
    <n v="35448"/>
    <n v="253"/>
    <s v="Federal"/>
    <s v="PFO"/>
    <n v="7.2599999999999998E-2"/>
    <s v="INDOT"/>
    <s v="LRE-2008-103-120--R21"/>
    <s v="2021-366-20-JBT-X"/>
    <m/>
    <s v="Elkhart"/>
    <n v="41.654051000000003"/>
    <n v="-85.670492999999993"/>
    <s v="Transportation"/>
    <m/>
    <s v="No"/>
    <m/>
    <n v="5317.2"/>
    <n v="24813.599999999999"/>
    <n v="5317.2"/>
    <s v="D"/>
    <s v="J"/>
    <m/>
    <m/>
    <m/>
    <m/>
    <m/>
    <m/>
    <s v="Corps did not require any credit purchase - 1600421 US23"/>
  </r>
  <r>
    <x v="148"/>
    <s v="November "/>
    <n v="2021"/>
    <x v="6"/>
    <n v="-52"/>
    <x v="1"/>
    <n v="31200"/>
    <n v="254"/>
    <s v="Federal"/>
    <s v="Per"/>
    <n v="100"/>
    <s v="INDOT"/>
    <s v="LRE-2010-00799-120-S20"/>
    <s v="2020-981-20-JBT-A"/>
    <m/>
    <s v="Elkhart &amp; Kosciusko"/>
    <n v="41.667400000000001"/>
    <n v="-85.821399999999997"/>
    <s v="Transportation"/>
    <m/>
    <s v="No"/>
    <m/>
    <n v="4680"/>
    <n v="21840"/>
    <n v="4680"/>
    <s v="D"/>
    <s v="J"/>
    <m/>
    <m/>
    <m/>
    <m/>
    <m/>
    <m/>
    <s v="IDEM 52 - INDOT 1600517 - Permit revision changing amounts"/>
  </r>
  <r>
    <x v="148"/>
    <s v="November "/>
    <n v="2021"/>
    <x v="6"/>
    <n v="-7.1829999999999998"/>
    <x v="0"/>
    <n v="861960"/>
    <n v="254"/>
    <s v="Federal"/>
    <s v="PEM"/>
    <n v="3.831"/>
    <s v="INDOT"/>
    <s v="LRE-2010-00799-120-S20"/>
    <s v="2020-981-20-JBT-A"/>
    <m/>
    <s v="Elkhart &amp; Kosciusko"/>
    <n v="41.667400000000001"/>
    <n v="-85.821399999999997"/>
    <s v="Transportation"/>
    <m/>
    <s v="No"/>
    <m/>
    <n v="129294"/>
    <n v="603372"/>
    <n v="129294"/>
    <s v="D"/>
    <s v="J"/>
    <m/>
    <m/>
    <m/>
    <m/>
    <m/>
    <m/>
    <s v="IDEM 7.183, Corps all wetland credits total of 7.705"/>
  </r>
  <r>
    <x v="148"/>
    <s v="November "/>
    <n v="2021"/>
    <x v="6"/>
    <n v="-0.28199999999999997"/>
    <x v="0"/>
    <n v="33840"/>
    <n v="254"/>
    <s v="Federal"/>
    <s v="PSS"/>
    <n v="9.4E-2"/>
    <s v="INDOT"/>
    <s v="LRE-2010-00799-120-S20"/>
    <s v="2020-981-20-JBT-A"/>
    <m/>
    <s v="Elkhart &amp; Kosciusko"/>
    <n v="41.667400000000001"/>
    <n v="-85.821399999999997"/>
    <s v="Transportation"/>
    <m/>
    <s v="No"/>
    <m/>
    <n v="5076"/>
    <n v="23688"/>
    <n v="5076"/>
    <s v="D"/>
    <s v="J"/>
    <m/>
    <m/>
    <m/>
    <m/>
    <m/>
    <m/>
    <s v="IDEM 0.282"/>
  </r>
  <r>
    <x v="148"/>
    <s v="November "/>
    <n v="2021"/>
    <x v="6"/>
    <n v="-0.24"/>
    <x v="0"/>
    <n v="28800"/>
    <n v="254"/>
    <s v="Federal"/>
    <s v="PFO"/>
    <n v="5.3999999999999999E-2"/>
    <s v="INDOT"/>
    <s v="LRE-2010-00799-120-S20"/>
    <s v="2020-981-20-JBT-A"/>
    <m/>
    <s v="Elkhart &amp; Kosciusko"/>
    <n v="41.667400000000001"/>
    <n v="-85.821399999999997"/>
    <s v="Transportation"/>
    <m/>
    <s v="No"/>
    <m/>
    <n v="4320"/>
    <n v="20160"/>
    <n v="4320"/>
    <s v="D"/>
    <s v="J"/>
    <m/>
    <m/>
    <m/>
    <m/>
    <m/>
    <m/>
    <s v="IDEM 0.24"/>
  </r>
  <r>
    <x v="149"/>
    <s v="November "/>
    <n v="2021"/>
    <x v="8"/>
    <n v="-65"/>
    <x v="1"/>
    <n v="26000"/>
    <n v="121"/>
    <s v="Federal"/>
    <s v="Per"/>
    <n v="65"/>
    <s v="Love's Travel Stops and Country Stores, Inc."/>
    <s v="LRL-2019-473-lcl"/>
    <s v="2020-293-79-ERL-A"/>
    <m/>
    <s v="Tippecanoe"/>
    <n v="40.4529"/>
    <n v="-86.850300000000004"/>
    <s v="Development"/>
    <m/>
    <s v="No"/>
    <m/>
    <n v="3900"/>
    <n v="18200"/>
    <n v="3900"/>
    <s v="L"/>
    <s v="J"/>
    <m/>
    <m/>
    <m/>
    <m/>
    <m/>
    <m/>
    <s v="IDEM required more ILF stream credit than the Corps"/>
  </r>
  <r>
    <x v="149"/>
    <s v="November "/>
    <n v="2021"/>
    <x v="8"/>
    <n v="-1.54"/>
    <x v="0"/>
    <n v="123200"/>
    <n v="121"/>
    <s v="Federal"/>
    <s v="PEM"/>
    <n v="0.64"/>
    <s v="Love's Travel Stops and Country Stores, Inc."/>
    <s v="LRL-2019-473-lcl"/>
    <s v="2020-293-79-ERL-A"/>
    <m/>
    <s v="Tippecanoe"/>
    <n v="40.4529"/>
    <n v="-86.850300000000004"/>
    <s v="Development"/>
    <m/>
    <s v="No"/>
    <m/>
    <n v="18480"/>
    <n v="86240"/>
    <n v="18480"/>
    <s v="L"/>
    <s v="J"/>
    <m/>
    <m/>
    <m/>
    <m/>
    <m/>
    <m/>
    <s v="Corps required more PEM ILF credit"/>
  </r>
  <r>
    <x v="149"/>
    <s v="November "/>
    <n v="2021"/>
    <x v="8"/>
    <n v="-0.34"/>
    <x v="0"/>
    <n v="27200"/>
    <n v="121"/>
    <s v="Federal"/>
    <s v="PSS"/>
    <n v="0.14000000000000001"/>
    <s v="Love's Travel Stops and Country Stores, Inc."/>
    <s v="LRL-2019-473-lcl"/>
    <s v="2020-293-79-ERL-A"/>
    <m/>
    <s v="Tippecanoe"/>
    <n v="40.4529"/>
    <n v="-86.850300000000004"/>
    <s v="Development"/>
    <m/>
    <s v="No"/>
    <m/>
    <n v="4080"/>
    <n v="19040"/>
    <n v="4080"/>
    <s v="L"/>
    <s v="J"/>
    <m/>
    <m/>
    <m/>
    <m/>
    <m/>
    <m/>
    <s v="IDEM required more PSS credit, but accepted the additional PSS for the compensation"/>
  </r>
  <r>
    <x v="149"/>
    <s v="November "/>
    <n v="2021"/>
    <x v="9"/>
    <n v="-429"/>
    <x v="1"/>
    <n v="193050"/>
    <n v="257"/>
    <s v="Federal"/>
    <s v="Per"/>
    <n v="357"/>
    <s v="Indy South Greenwood Airport"/>
    <s v="LRL-2019-1080-sjk"/>
    <s v="2021-397-41-TMS-A"/>
    <m/>
    <s v="Johnson"/>
    <n v="39.628300000000003"/>
    <n v="-86.090199999999996"/>
    <s v="Transportation"/>
    <m/>
    <s v="No"/>
    <m/>
    <n v="28957.5"/>
    <n v="135135"/>
    <n v="28957.5"/>
    <s v="L"/>
    <s v="J"/>
    <m/>
    <m/>
    <m/>
    <m/>
    <m/>
    <m/>
    <m/>
  </r>
  <r>
    <x v="149"/>
    <s v="November "/>
    <n v="2021"/>
    <x v="9"/>
    <n v="-0.43"/>
    <x v="0"/>
    <n v="34400"/>
    <n v="257"/>
    <s v="Federal"/>
    <s v="PEM"/>
    <n v="0.18"/>
    <s v="Indy South Greenwood Airport"/>
    <s v="LRL-2019-1080-sjk"/>
    <s v="2021-397-41-TMS-A"/>
    <m/>
    <s v="Johnson"/>
    <n v="39.628300000000003"/>
    <n v="-86.090199999999996"/>
    <s v="Transportation"/>
    <m/>
    <s v="No"/>
    <m/>
    <n v="5160"/>
    <n v="24080"/>
    <n v="5160"/>
    <s v="L"/>
    <s v="J"/>
    <m/>
    <m/>
    <m/>
    <m/>
    <m/>
    <m/>
    <m/>
  </r>
  <r>
    <x v="150"/>
    <s v="December"/>
    <n v="2021"/>
    <x v="0"/>
    <n v="-232"/>
    <x v="1"/>
    <n v="139200"/>
    <n v="258"/>
    <s v="Federal"/>
    <s v="Int"/>
    <n v="1060"/>
    <s v="Lake County"/>
    <s v="LRE 2000-1450751"/>
    <s v="2021-360-45-MTM-A"/>
    <m/>
    <s v="Lake"/>
    <n v="41.53716"/>
    <n v="-87.398420000000002"/>
    <s v="Transportation"/>
    <m/>
    <s v="No"/>
    <m/>
    <n v="20880"/>
    <n v="97440"/>
    <n v="20880"/>
    <s v="C"/>
    <s v="J"/>
    <m/>
    <m/>
    <m/>
    <m/>
    <m/>
    <m/>
    <s v="45th Avenue Phase IIIA and IIIB – Des. 9980080"/>
  </r>
  <r>
    <x v="150"/>
    <s v="December"/>
    <n v="2021"/>
    <x v="0"/>
    <n v="-0.93400000000000005"/>
    <x v="0"/>
    <n v="88730"/>
    <n v="258"/>
    <s v="Federal"/>
    <s v="PEM"/>
    <n v="0.42499999999999999"/>
    <s v="Lake County"/>
    <s v="LRE 2000-1450751"/>
    <s v="2021-360-45-MTM-A"/>
    <m/>
    <s v="Lake"/>
    <n v="41.53716"/>
    <n v="-87.398420000000002"/>
    <s v="Transportation"/>
    <m/>
    <s v="No"/>
    <m/>
    <n v="13309.5"/>
    <n v="62110.999999999993"/>
    <n v="13309.5"/>
    <s v="C"/>
    <s v="J"/>
    <m/>
    <m/>
    <m/>
    <m/>
    <m/>
    <m/>
    <s v="46th Avenue Phase IIIA and IIIB – Des. 9980080"/>
  </r>
  <r>
    <x v="150"/>
    <s v="December"/>
    <n v="2021"/>
    <x v="0"/>
    <n v="-0.01"/>
    <x v="0"/>
    <n v="950"/>
    <n v="258"/>
    <s v="Federal"/>
    <s v="PSS"/>
    <n v="3.0000000000000001E-3"/>
    <s v="Lake County"/>
    <s v="LRE 2000-1450751"/>
    <s v="2021-360-45-MTM-A"/>
    <m/>
    <s v="Lake"/>
    <n v="41.53716"/>
    <n v="-87.398420000000002"/>
    <s v="Transportation"/>
    <m/>
    <s v="No"/>
    <m/>
    <n v="142.5"/>
    <n v="665"/>
    <n v="142.5"/>
    <s v="C"/>
    <s v="J"/>
    <m/>
    <m/>
    <m/>
    <m/>
    <m/>
    <m/>
    <s v="47th Avenue Phase IIIA and IIIB – Des. 9980080"/>
  </r>
  <r>
    <x v="150"/>
    <s v="December"/>
    <n v="2021"/>
    <x v="0"/>
    <n v="-0.185"/>
    <x v="0"/>
    <n v="17575"/>
    <n v="258"/>
    <s v="Federal"/>
    <s v="PFO"/>
    <n v="4.3999999999999997E-2"/>
    <s v="Lake County"/>
    <s v="LRE 2000-1450751"/>
    <s v="2021-360-45-MTM-A"/>
    <m/>
    <s v="Lake"/>
    <n v="41.53716"/>
    <n v="-87.398420000000002"/>
    <s v="Transportation"/>
    <m/>
    <s v="No"/>
    <m/>
    <n v="2636.25"/>
    <n v="12302.5"/>
    <n v="2636.25"/>
    <s v="C"/>
    <s v="J"/>
    <m/>
    <m/>
    <m/>
    <m/>
    <m/>
    <m/>
    <s v="48th Avenue Phase IIIA and IIIB – Des. 9980080"/>
  </r>
  <r>
    <x v="150"/>
    <s v="December"/>
    <n v="2021"/>
    <x v="5"/>
    <n v="-0.16"/>
    <x v="0"/>
    <n v="12800"/>
    <n v="267"/>
    <s v="Federal"/>
    <s v="PEM"/>
    <n v="0.16"/>
    <s v="Old Dominion Road - Failed mitig - short time period"/>
    <s v="LRL-2019-152-jmb"/>
    <s v="2018-693-82"/>
    <m/>
    <s v="Vanderburgh"/>
    <n v="38.104962999999998"/>
    <n v="-87.512309999999999"/>
    <s v="Development"/>
    <m/>
    <s v="No"/>
    <m/>
    <n v="1920"/>
    <n v="8960"/>
    <n v="1920"/>
    <s v="L"/>
    <s v="J"/>
    <m/>
    <m/>
    <m/>
    <m/>
    <m/>
    <m/>
    <s v="Non-Compliance letter sent via IDEM 11/21 - Corps did not pursue as determined impacts pre-2014"/>
  </r>
  <r>
    <x v="150"/>
    <s v="December"/>
    <n v="2021"/>
    <x v="9"/>
    <n v="-2.1749999999999998"/>
    <x v="0"/>
    <n v="174000"/>
    <n v="266"/>
    <s v="State Isolated"/>
    <s v="PFO"/>
    <n v="0.87"/>
    <s v="Vail Properties"/>
    <s v="None"/>
    <s v="IWIP 2021-682-30-JBT-A"/>
    <m/>
    <s v="Hancock"/>
    <n v="39.869999999999997"/>
    <n v="-85.91"/>
    <s v="Development"/>
    <m/>
    <s v="No"/>
    <m/>
    <n v="26100"/>
    <n v="121799.99999999999"/>
    <n v="26100"/>
    <s v="L"/>
    <s v="SI"/>
    <s v="3 F"/>
    <m/>
    <m/>
    <m/>
    <m/>
    <m/>
    <m/>
  </r>
  <r>
    <x v="151"/>
    <s v="December"/>
    <n v="2021"/>
    <x v="9"/>
    <n v="-230"/>
    <x v="1"/>
    <n v="103500"/>
    <n v="194"/>
    <s v="Federal"/>
    <s v="Int"/>
    <n v="230"/>
    <s v="City of Greenwood"/>
    <s v="LRL-2020-01079-htm"/>
    <s v="2020-951-41-TMS-A"/>
    <m/>
    <s v="Johnson"/>
    <n v="39.581670000000003"/>
    <n v="-86.139799999999994"/>
    <s v="Transportation"/>
    <m/>
    <s v="No"/>
    <m/>
    <n v="15525"/>
    <n v="72450"/>
    <n v="15525"/>
    <s v="L"/>
    <s v="J"/>
    <m/>
    <m/>
    <m/>
    <m/>
    <m/>
    <m/>
    <s v="Corps RGP did not require ILF mitigation"/>
  </r>
  <r>
    <x v="151"/>
    <s v="December"/>
    <n v="2021"/>
    <x v="9"/>
    <n v="-4"/>
    <x v="0"/>
    <n v="320000"/>
    <n v="248"/>
    <s v="Federal"/>
    <s v="PFO"/>
    <n v="1"/>
    <s v="City of Indianapolis DPW"/>
    <s v="LRL-1991-119-sam"/>
    <s v="1995-304-49-HAK-A"/>
    <m/>
    <s v="Marion"/>
    <n v="39.865496"/>
    <n v="-86.045828"/>
    <s v="Development"/>
    <m/>
    <s v="No"/>
    <m/>
    <n v="48000"/>
    <n v="224000"/>
    <n v="48000"/>
    <s v="L"/>
    <s v="J"/>
    <m/>
    <m/>
    <m/>
    <m/>
    <m/>
    <m/>
    <s v="Failed mitigation - Shadeland Avenue over Fall Creek Mitigation Resolution - 90 days to complete purchase. "/>
  </r>
  <r>
    <x v="151"/>
    <s v="December"/>
    <n v="2021"/>
    <x v="8"/>
    <n v="-0.35"/>
    <x v="0"/>
    <n v="28000"/>
    <n v="263"/>
    <s v="State Isolated"/>
    <s v="PEM"/>
    <n v="0.18"/>
    <s v="AEP"/>
    <s v="None"/>
    <s v="IWIP 2021-629-05-WRH-A"/>
    <m/>
    <s v="Blackford and Jay"/>
    <n v="40.406025"/>
    <n v="-85.276526000000004"/>
    <s v="Transportation"/>
    <m/>
    <s v="No"/>
    <m/>
    <n v="4200"/>
    <n v="19600"/>
    <n v="4200"/>
    <s v="L"/>
    <s v="SI"/>
    <s v="2 F"/>
    <m/>
    <m/>
    <m/>
    <m/>
    <m/>
    <m/>
  </r>
  <r>
    <x v="152"/>
    <s v="December"/>
    <n v="2021"/>
    <x v="0"/>
    <n v="-126"/>
    <x v="1"/>
    <n v="75600"/>
    <n v="238"/>
    <s v="Federal"/>
    <s v="Int"/>
    <n v="101"/>
    <s v="INDOT"/>
    <s v="LRC-2021-00335"/>
    <s v="2020-804-45-JBT-A"/>
    <m/>
    <s v="Lake"/>
    <n v="41.42"/>
    <n v="-87.3215"/>
    <s v="Transportation"/>
    <m/>
    <s v="No"/>
    <m/>
    <n v="11340"/>
    <n v="52920"/>
    <n v="11340"/>
    <s v="C"/>
    <s v="J"/>
    <m/>
    <m/>
    <m/>
    <m/>
    <m/>
    <m/>
    <s v="Corps required more - IDEM 101, Corps 126 - INDOT DES 1801500"/>
  </r>
  <r>
    <x v="152"/>
    <s v="December"/>
    <n v="2021"/>
    <x v="0"/>
    <n v="-1.45"/>
    <x v="0"/>
    <n v="137750"/>
    <n v="238"/>
    <s v="Federal"/>
    <s v="PEM"/>
    <n v="0.66700000000000004"/>
    <s v="INDOT"/>
    <s v="LRC-2021-00335"/>
    <s v="2020-804-45-JBT-A"/>
    <m/>
    <s v="Lake"/>
    <n v="41.42"/>
    <n v="-87.3215"/>
    <s v="Transportation"/>
    <m/>
    <s v="No"/>
    <m/>
    <n v="20662.5"/>
    <n v="96425"/>
    <n v="20662.5"/>
    <s v="C"/>
    <s v="J"/>
    <m/>
    <m/>
    <m/>
    <m/>
    <m/>
    <m/>
    <s v="IDEM was 1.16, Corps was 1.45, Corps added surcharge for impacts while projects being planned/implemented"/>
  </r>
  <r>
    <x v="12"/>
    <m/>
    <m/>
    <x v="11"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</r>
  <r>
    <x v="153"/>
    <s v="January"/>
    <n v="2022"/>
    <x v="9"/>
    <n v="-0.5"/>
    <x v="0"/>
    <n v="40000"/>
    <n v="262"/>
    <s v="State Isolated"/>
    <s v="PFO"/>
    <n v="0.2"/>
    <s v="INDOT"/>
    <s v="LRL-2020-426-scm"/>
    <s v="IWIP 2020-407-29-JBT-A "/>
    <m/>
    <s v="Hamilton"/>
    <n v="40.131169999999997"/>
    <n v="86.128159999999994"/>
    <s v="Transportation"/>
    <m/>
    <s v="No"/>
    <m/>
    <n v="6000"/>
    <n v="28000"/>
    <n v="6000"/>
    <s v="L"/>
    <s v="SI"/>
    <s v="2 FO"/>
    <m/>
    <m/>
    <m/>
    <m/>
    <m/>
    <s v="Class II Forested  DES 1702149"/>
  </r>
  <r>
    <x v="153"/>
    <s v="January"/>
    <n v="2022"/>
    <x v="9"/>
    <n v="-1654"/>
    <x v="1"/>
    <n v="744300"/>
    <n v="262"/>
    <s v="Federal"/>
    <s v="Int"/>
    <n v="1654"/>
    <s v="INDOT"/>
    <s v="LRL-2020-426-scm"/>
    <s v="2020-407-29-JBT-A "/>
    <m/>
    <s v="Hamilton"/>
    <n v="40.131169999999997"/>
    <n v="86.128159999999994"/>
    <s v="Transportation"/>
    <m/>
    <s v="No"/>
    <m/>
    <n v="111645"/>
    <n v="521009.99999999994"/>
    <n v="111645"/>
    <s v="L"/>
    <s v="COMB"/>
    <m/>
    <m/>
    <m/>
    <m/>
    <m/>
    <m/>
    <s v="Corps required 526 lf int.  IDEM required more ILF stream credits than the Corps. IWGP Wetland credits 0.223, and .016 from 401, purchased from bank. 1702149"/>
  </r>
  <r>
    <x v="153"/>
    <s v="January"/>
    <n v="2022"/>
    <x v="9"/>
    <n v="-2.68"/>
    <x v="0"/>
    <n v="214400"/>
    <n v="260"/>
    <s v="Federal"/>
    <s v="PFO"/>
    <n v="1.8"/>
    <s v="Scannell Properties"/>
    <s v="LRL-2020-1066-lcl"/>
    <s v="2021-324-32-ERL-A"/>
    <m/>
    <s v="Hendricks"/>
    <n v="39.832799999999999"/>
    <n v="-86.349500000000006"/>
    <s v="Development"/>
    <m/>
    <s v="No"/>
    <m/>
    <n v="32160"/>
    <n v="150080"/>
    <n v="32160"/>
    <s v="L"/>
    <s v="J"/>
    <m/>
    <m/>
    <m/>
    <m/>
    <m/>
    <m/>
    <s v="WOSD revision issued - IWGP was rescinded, and IWIP was modified.  Held until mod final and revised credit amount."/>
  </r>
  <r>
    <x v="154"/>
    <s v="January"/>
    <n v="2022"/>
    <x v="5"/>
    <n v="-0.86"/>
    <x v="0"/>
    <n v="68800"/>
    <n v="230"/>
    <s v="Federal"/>
    <s v="PEM"/>
    <n v="0.35589999999999999"/>
    <s v="INDOT"/>
    <s v="LRL-2021-83-scm"/>
    <s v="2021-0297-82-JBT-A"/>
    <m/>
    <s v="Vanderburgh"/>
    <s v="38.004,"/>
    <n v="-87.538600000000002"/>
    <s v="Transportation"/>
    <m/>
    <s v="No"/>
    <m/>
    <n v="10320"/>
    <n v="48160"/>
    <n v="10320"/>
    <s v="L"/>
    <s v="J"/>
    <m/>
    <m/>
    <m/>
    <m/>
    <m/>
    <m/>
    <s v="US41 Pigeon Creek DES 2001766 &amp; 200514 - DNR no addtl mitigation - IDEM .96 as all emergent - Corps broke out emergent and forested and .97 total"/>
  </r>
  <r>
    <x v="154"/>
    <s v="January"/>
    <n v="2022"/>
    <x v="5"/>
    <n v="-0.11"/>
    <x v="0"/>
    <n v="8800"/>
    <n v="230"/>
    <s v="Federal"/>
    <s v="PFO"/>
    <n v="2.9000000000000001E-2"/>
    <s v="INDOT"/>
    <s v="LRL-2021-83-scm"/>
    <s v="2021-0297-82-JBT-A"/>
    <m/>
    <s v="Vanderburgh"/>
    <s v="38.004,"/>
    <n v="-87.538600000000002"/>
    <s v="Transportation"/>
    <m/>
    <s v="No"/>
    <m/>
    <n v="1320"/>
    <n v="6160"/>
    <n v="1320"/>
    <s v="L"/>
    <s v="J"/>
    <m/>
    <m/>
    <m/>
    <m/>
    <m/>
    <m/>
    <s v="US41 Pigeon Creek DES 2001766 &amp; 200514"/>
  </r>
  <r>
    <x v="155"/>
    <s v="January"/>
    <n v="2022"/>
    <x v="1"/>
    <n v="-0.46"/>
    <x v="0"/>
    <n v="43700"/>
    <n v="281"/>
    <s v="Federal"/>
    <s v="PEM"/>
    <n v="0.19"/>
    <s v="NIPSCO"/>
    <s v="LRC-2021-00964"/>
    <s v="2021-872-45-MTM-X"/>
    <m/>
    <s v="Lake"/>
    <n v="41.443241700000002"/>
    <n v="-87.488253999999998"/>
    <s v="Energy Production"/>
    <m/>
    <s v="No"/>
    <m/>
    <n v="6555"/>
    <n v="30589.999999999996"/>
    <n v="6555"/>
    <s v="C"/>
    <s v="J"/>
    <m/>
    <m/>
    <m/>
    <m/>
    <m/>
    <m/>
    <m/>
  </r>
  <r>
    <x v="156"/>
    <s v="January"/>
    <n v="2022"/>
    <x v="9"/>
    <n v="-1.8"/>
    <x v="0"/>
    <n v="144000"/>
    <n v="268"/>
    <s v="State Isolated"/>
    <s v="PFO"/>
    <n v="0.7"/>
    <s v="Point 70 Logistic Ventures"/>
    <s v="N/A"/>
    <s v="IWIP 2021-506-30-SLG-A"/>
    <m/>
    <s v="Hancock"/>
    <n v="39.820034999999997"/>
    <n v="-85.927935000000005"/>
    <s v="Development"/>
    <m/>
    <s v="No"/>
    <m/>
    <n v="21600"/>
    <n v="100800"/>
    <n v="21600"/>
    <s v="L"/>
    <s v="SI"/>
    <s v="2 FO"/>
    <m/>
    <m/>
    <m/>
    <m/>
    <m/>
    <s v="Bridge Replacement - INDOT DES 1701595"/>
  </r>
  <r>
    <x v="156"/>
    <s v="January"/>
    <n v="2022"/>
    <x v="10"/>
    <n v="-3.0000000000000001E-3"/>
    <x v="0"/>
    <n v="240"/>
    <n v="273"/>
    <s v="State Isolated"/>
    <s v="PEM"/>
    <n v="2E-3"/>
    <s v="INDOT"/>
    <s v="N/A"/>
    <s v="IWGP 2021-0060-30-JBT-A,"/>
    <m/>
    <s v="Hancock and Henry"/>
    <n v="39.8416"/>
    <n v="-85.551199999999994"/>
    <s v="Transportation"/>
    <m/>
    <s v="No"/>
    <m/>
    <n v="36"/>
    <n v="168"/>
    <n v="36"/>
    <s v="L"/>
    <s v="SI"/>
    <s v="2 NF"/>
    <m/>
    <m/>
    <m/>
    <m/>
    <m/>
    <s v="INDOT 1700897 - confirmed 401/404 did not require any mitigation"/>
  </r>
  <r>
    <x v="157"/>
    <s v="January"/>
    <n v="2022"/>
    <x v="4"/>
    <n v="-52"/>
    <x v="1"/>
    <n v="20800"/>
    <n v="271"/>
    <s v="Federal"/>
    <s v="Per"/>
    <n v="184.2"/>
    <s v="INDOT "/>
    <s v="LRL-2021-118"/>
    <s v="2021-505-60-JBT-A"/>
    <m/>
    <s v="Owen"/>
    <n v="39.353000000000002"/>
    <n v="-86.930999999999997"/>
    <s v="Transportation"/>
    <m/>
    <s v="No"/>
    <m/>
    <n v="3120"/>
    <n v="14559.999999999998"/>
    <n v="3120"/>
    <s v="L"/>
    <s v="J"/>
    <m/>
    <m/>
    <m/>
    <m/>
    <m/>
    <m/>
    <s v="Corps requires 52, IDEM 51.1 - INDOT 1701595 SR 46 Bridge Replacement - note table provides wrong SA. "/>
  </r>
  <r>
    <x v="157"/>
    <s v="January"/>
    <n v="2022"/>
    <x v="4"/>
    <n v="-0.755"/>
    <x v="0"/>
    <n v="60400"/>
    <n v="271"/>
    <s v="Federal"/>
    <s v="PFO"/>
    <n v="0.19"/>
    <s v="INDOT "/>
    <s v="LRL-2021-118"/>
    <s v="2021-505-60-JBT-A"/>
    <m/>
    <s v="Owen"/>
    <n v="39.353000000000002"/>
    <n v="-86.930999999999997"/>
    <s v="Transportation"/>
    <m/>
    <s v="No"/>
    <m/>
    <n v="9060"/>
    <n v="42280"/>
    <n v="9060"/>
    <s v="L"/>
    <s v="J"/>
    <m/>
    <m/>
    <m/>
    <m/>
    <m/>
    <m/>
    <s v="Corps requires 0.68, IDEM 0.755 INDOT 1701595 SR 46 Bridge Replacement - note table provides wrong SA. "/>
  </r>
  <r>
    <x v="158"/>
    <s v="January"/>
    <n v="2022"/>
    <x v="9"/>
    <n v="1.85"/>
    <x v="0"/>
    <n v="-125800"/>
    <n v="80"/>
    <s v="State Isolated"/>
    <s v="PEM"/>
    <n v="1.85"/>
    <s v="Raindrop, LLC"/>
    <s v="N/A"/>
    <s v="IWIP 2019-079-32-JMK-A "/>
    <m/>
    <s v="Hendricks"/>
    <n v="39.624200000000002"/>
    <n v="-86.468299999999999"/>
    <s v="Development"/>
    <m/>
    <s v="No"/>
    <m/>
    <n v="0"/>
    <n v="-103600"/>
    <n v="-22200"/>
    <s v="L"/>
    <s v="SI"/>
    <s v="1 NF"/>
    <m/>
    <m/>
    <m/>
    <m/>
    <m/>
    <s v="Refund 1/25/22 - Funds except for Admin.  1.85 Class 1 Wetlands refunded - rest of the  Credit Purchase is unaffected.  Original Invoice #80. "/>
  </r>
  <r>
    <x v="159"/>
    <s v="January"/>
    <n v="2022"/>
    <x v="9"/>
    <n v="-231"/>
    <x v="1"/>
    <n v="103950"/>
    <n v="275"/>
    <s v="Federal"/>
    <s v="Int"/>
    <n v="231"/>
    <s v="City of Fishers"/>
    <s v="LRL-2021-00711-DDC"/>
    <s v="2021-667-29-JBT-A"/>
    <m/>
    <s v="Hamilton"/>
    <n v="39.972700000000003"/>
    <n v="-85.908000000000001"/>
    <s v="Development"/>
    <m/>
    <s v="No"/>
    <m/>
    <n v="15592.5"/>
    <n v="72765"/>
    <n v="15592.5"/>
    <s v="L"/>
    <s v="J"/>
    <m/>
    <m/>
    <m/>
    <m/>
    <m/>
    <m/>
    <s v="Geist Trail"/>
  </r>
  <r>
    <x v="159"/>
    <s v="January"/>
    <n v="2022"/>
    <x v="9"/>
    <n v="-2.14"/>
    <x v="0"/>
    <n v="171200"/>
    <n v="275"/>
    <s v="Federal"/>
    <s v="PFO"/>
    <n v="0.53500000000000003"/>
    <s v="City of Fishers"/>
    <s v="LRL-2021-00711-DDC"/>
    <s v="2021-667-29-JBT-A"/>
    <m/>
    <s v="Hamilton"/>
    <n v="39.972700000000003"/>
    <n v="-85.908000000000001"/>
    <s v="Development"/>
    <m/>
    <s v="No"/>
    <m/>
    <n v="25680"/>
    <n v="119839.99999999999"/>
    <n v="25680"/>
    <s v="L"/>
    <s v="J"/>
    <m/>
    <m/>
    <m/>
    <m/>
    <m/>
    <m/>
    <s v="Geist Trail - Corps requires 1.926 PFO only "/>
  </r>
  <r>
    <x v="160"/>
    <s v="February"/>
    <n v="2022"/>
    <x v="0"/>
    <n v="-3.0000000000000001E-3"/>
    <x v="0"/>
    <n v="285"/>
    <n v="274"/>
    <s v="Federal"/>
    <s v="PEM"/>
    <n v="1.4E-3"/>
    <s v="INDOT "/>
    <s v="LRC-2021-00529"/>
    <s v="2021-0328-45-JBT-A"/>
    <m/>
    <s v="Lake"/>
    <n v="41.519300000000001"/>
    <n v="-87.259100000000004"/>
    <s v="Transportation"/>
    <m/>
    <s v="No"/>
    <m/>
    <n v="42.75"/>
    <n v="199.5"/>
    <n v="42.75"/>
    <s v="C"/>
    <s v="J"/>
    <m/>
    <m/>
    <m/>
    <m/>
    <m/>
    <m/>
    <s v="1701454 - Corps did not require mitigation. "/>
  </r>
  <r>
    <x v="160"/>
    <s v="February"/>
    <n v="2022"/>
    <x v="4"/>
    <n v="-6.8000000000000005E-2"/>
    <x v="0"/>
    <n v="5440"/>
    <n v="276"/>
    <s v="State Isolated"/>
    <s v="PEM"/>
    <n v="4.4999999999999998E-2"/>
    <s v="INDOT"/>
    <s v="N/A"/>
    <s v="IWIP-2021-681-86-JBT-A"/>
    <m/>
    <s v="Warren"/>
    <n v="40.454700000000003"/>
    <n v="-87.373999999999995"/>
    <s v="Transportation"/>
    <m/>
    <s v="No"/>
    <m/>
    <n v="816"/>
    <n v="3807.9999999999995"/>
    <n v="816"/>
    <s v="L"/>
    <s v="SI"/>
    <s v="2 NF"/>
    <m/>
    <m/>
    <m/>
    <m/>
    <m/>
    <s v="DES 1400249 State Road 26 Overlay - 401 and 404 did not require mitigation. "/>
  </r>
  <r>
    <x v="160"/>
    <s v="February"/>
    <n v="2022"/>
    <x v="8"/>
    <n v="-39"/>
    <x v="1"/>
    <n v="15600"/>
    <n v="289"/>
    <s v="Federal"/>
    <s v="Per"/>
    <n v="26"/>
    <s v="City of Kokomo"/>
    <s v="LRL-2021-00739"/>
    <s v="2019-602-00-JWR-A"/>
    <m/>
    <s v="Howard"/>
    <n v="40.433100000000003"/>
    <n v="86.140900000000002"/>
    <s v="Transportation"/>
    <m/>
    <s v="No"/>
    <m/>
    <n v="2340"/>
    <n v="10920"/>
    <n v="2340"/>
    <s v="L"/>
    <s v="J"/>
    <m/>
    <m/>
    <m/>
    <m/>
    <m/>
    <m/>
    <s v="IDEM not requiring mitigation"/>
  </r>
  <r>
    <x v="160"/>
    <s v="February"/>
    <n v="2022"/>
    <x v="9"/>
    <n v="-1.56"/>
    <x v="0"/>
    <n v="124800"/>
    <n v="287"/>
    <s v="State Isolated"/>
    <s v="PFO"/>
    <n v="0.78"/>
    <s v="421 Realty Corporation"/>
    <s v="N/A"/>
    <s v="IWIP 2021-787-49-JWR-A"/>
    <m/>
    <s v="Hamilton"/>
    <n v="39.899299999999997"/>
    <n v="-86.053600000000003"/>
    <s v="Development"/>
    <m/>
    <s v="No"/>
    <m/>
    <n v="18720"/>
    <n v="87360"/>
    <n v="18720"/>
    <s v="L"/>
    <s v="SI"/>
    <s v="2 FO"/>
    <m/>
    <m/>
    <m/>
    <m/>
    <m/>
    <s v="Permit mod 1/25/22 reduced credits from 3.87 to 1.56"/>
  </r>
  <r>
    <x v="161"/>
    <s v="February"/>
    <n v="2022"/>
    <x v="0"/>
    <n v="-93"/>
    <x v="1"/>
    <n v="55800"/>
    <n v="278"/>
    <s v="Federal"/>
    <s v="Int"/>
    <n v="93"/>
    <s v="INDOT"/>
    <s v="LRC-2021-00482"/>
    <s v="2021-0356-46-JBT-A"/>
    <m/>
    <s v="LaPorte"/>
    <n v="41.687600000000003"/>
    <n v="-86.7637"/>
    <s v="Transportation"/>
    <m/>
    <s v="No"/>
    <m/>
    <n v="8370"/>
    <n v="39060"/>
    <n v="8370"/>
    <s v="C"/>
    <s v="J"/>
    <m/>
    <m/>
    <m/>
    <m/>
    <m/>
    <m/>
    <s v="INDOT 1700021 US 20"/>
  </r>
  <r>
    <x v="161"/>
    <s v="February"/>
    <n v="2022"/>
    <x v="0"/>
    <n v="-0.24"/>
    <x v="0"/>
    <n v="22800"/>
    <n v="278"/>
    <s v="Federal"/>
    <s v="PEM"/>
    <n v="0.12"/>
    <s v="INDOT"/>
    <s v="LRC-2021-00482"/>
    <s v="2021-0356-46-JBT-A"/>
    <m/>
    <s v="LaPorte"/>
    <n v="41.687600000000003"/>
    <n v="-86.7637"/>
    <s v="Transportation"/>
    <m/>
    <s v="No"/>
    <m/>
    <n v="3420"/>
    <n v="15959.999999999998"/>
    <n v="3420"/>
    <s v="C"/>
    <s v="J"/>
    <m/>
    <m/>
    <m/>
    <m/>
    <m/>
    <m/>
    <s v="INDOT 1700021 US 20"/>
  </r>
  <r>
    <x v="161"/>
    <s v="February"/>
    <n v="2022"/>
    <x v="1"/>
    <n v="-63"/>
    <x v="1"/>
    <n v="31500"/>
    <n v="279"/>
    <s v="Federal"/>
    <s v="Int"/>
    <n v="63"/>
    <s v="INDOT"/>
    <s v="LRE-2020-01227-150-R20"/>
    <s v="2020-584-50-JBT-A"/>
    <m/>
    <s v="Marshall"/>
    <n v="41.1905"/>
    <n v="-86.251300000000001"/>
    <s v="Transportation"/>
    <m/>
    <s v="No"/>
    <m/>
    <n v="4725"/>
    <n v="22050"/>
    <n v="4725"/>
    <s v="L"/>
    <s v="J"/>
    <m/>
    <m/>
    <m/>
    <m/>
    <m/>
    <m/>
    <s v="1700331 - Corps did not require any mitigation. "/>
  </r>
  <r>
    <x v="161"/>
    <s v="February"/>
    <n v="2022"/>
    <x v="9"/>
    <n v="-5501.3"/>
    <x v="1"/>
    <n v="2475585"/>
    <n v="283"/>
    <s v="Federal"/>
    <s v="Int"/>
    <n v="9404.7000000000007"/>
    <s v="INDOT"/>
    <s v="LRL-2017-1021"/>
    <s v="2021-626-49-JBT-A"/>
    <m/>
    <s v="Marion"/>
    <n v="39.865000000000002"/>
    <n v="-86.046999999999997"/>
    <s v="Transportation"/>
    <m/>
    <s v="No"/>
    <m/>
    <n v="371337.75"/>
    <n v="1732909.5"/>
    <n v="371337.75"/>
    <s v="L"/>
    <s v="J"/>
    <m/>
    <m/>
    <m/>
    <m/>
    <m/>
    <m/>
    <s v="I-465 NE Clear Path -DES 1400075 - corps required 924 int stream credits"/>
  </r>
  <r>
    <x v="161"/>
    <s v="February"/>
    <n v="2022"/>
    <x v="9"/>
    <n v="-68.3"/>
    <x v="1"/>
    <n v="30735"/>
    <n v="283"/>
    <s v="Federal"/>
    <s v="Per"/>
    <n v="863.3"/>
    <s v="INDOT"/>
    <s v="LRL-2017-1021"/>
    <s v="2021-626-49-JBT-A"/>
    <m/>
    <s v="Marion"/>
    <n v="39.865000000000002"/>
    <n v="-86.046999999999997"/>
    <s v="Transportation"/>
    <m/>
    <s v="No"/>
    <m/>
    <n v="4610.25"/>
    <n v="21514.5"/>
    <n v="4610.25"/>
    <s v="L"/>
    <s v="J"/>
    <m/>
    <m/>
    <m/>
    <m/>
    <m/>
    <m/>
    <s v="I-465 NE Clear Path -DES 1400076 - Corps did not require any PER"/>
  </r>
  <r>
    <x v="161"/>
    <s v="February"/>
    <n v="2022"/>
    <x v="9"/>
    <n v="-4.0000000000000001E-3"/>
    <x v="0"/>
    <n v="320"/>
    <n v="283"/>
    <s v="Federal"/>
    <s v="PFO"/>
    <n v="1E-3"/>
    <s v="INDOT"/>
    <s v="LRL-2017-1021"/>
    <s v="2021-626-49-JBT-A"/>
    <m/>
    <s v="Marion"/>
    <n v="39.865000000000002"/>
    <n v="-86.046999999999997"/>
    <s v="Transportation"/>
    <m/>
    <s v="No"/>
    <m/>
    <n v="48"/>
    <n v="224"/>
    <n v="48"/>
    <s v="L"/>
    <s v="J"/>
    <m/>
    <m/>
    <m/>
    <m/>
    <m/>
    <m/>
    <s v="I-465 NE Clear Path -DES 1400076 - Corps did not require any wetland mitig other than emergent through a Bank. "/>
  </r>
  <r>
    <x v="162"/>
    <s v="February"/>
    <n v="2022"/>
    <x v="2"/>
    <n v="-1.2E-2"/>
    <x v="0"/>
    <n v="960"/>
    <n v="277"/>
    <s v="State Isolated"/>
    <s v="PEM"/>
    <n v="6.0000000000000001E-3"/>
    <s v="INDOT "/>
    <s v="N/A"/>
    <s v="IWGP 2021-169-47-JBT-A"/>
    <m/>
    <s v="Lawrence"/>
    <n v="38.724705999999998"/>
    <n v="-86.672685999999999"/>
    <s v="Transportation"/>
    <m/>
    <s v="No"/>
    <m/>
    <n v="144"/>
    <n v="672"/>
    <n v="144"/>
    <s v="L"/>
    <s v="SI"/>
    <s v="2 NF"/>
    <m/>
    <m/>
    <m/>
    <m/>
    <m/>
    <s v="1801377 &amp; 0400077 - IDEM 401 and 404 did not require any mitigation. "/>
  </r>
  <r>
    <x v="162"/>
    <s v="February"/>
    <n v="2022"/>
    <x v="2"/>
    <n v="-1.2E-2"/>
    <x v="0"/>
    <n v="960"/>
    <n v="277"/>
    <s v="State Isolated"/>
    <s v="PSS"/>
    <n v="6.0000000000000001E-3"/>
    <s v="INDOT"/>
    <s v="N/A"/>
    <s v="IWGP 2021-169-47-JBT-A"/>
    <m/>
    <s v="Lawrence"/>
    <n v="38.724705999999998"/>
    <n v="-86.672685999999999"/>
    <s v="Transportation"/>
    <m/>
    <s v="No"/>
    <m/>
    <n v="144"/>
    <n v="672"/>
    <n v="144"/>
    <s v="L"/>
    <s v="SI"/>
    <s v="2 NF"/>
    <m/>
    <m/>
    <m/>
    <m/>
    <m/>
    <s v="1801377 &amp; 0400077 - IDEM 401 and 404 did not require any mitigation. "/>
  </r>
  <r>
    <x v="162"/>
    <s v="February"/>
    <n v="2022"/>
    <x v="2"/>
    <n v="-0.1"/>
    <x v="0"/>
    <n v="8000"/>
    <n v="277"/>
    <s v="State Isolated"/>
    <s v="PFO"/>
    <n v="0.04"/>
    <s v="INDOT"/>
    <s v="N/A"/>
    <s v="IWGP 2021-169-47-JBT-A"/>
    <m/>
    <s v="Lawrence"/>
    <n v="38.724705999999998"/>
    <n v="-86.672685999999999"/>
    <s v="Transportation"/>
    <m/>
    <s v="No"/>
    <m/>
    <n v="1200"/>
    <n v="5600"/>
    <n v="1200"/>
    <s v="L"/>
    <s v="SI"/>
    <s v="2 FO"/>
    <m/>
    <m/>
    <m/>
    <m/>
    <m/>
    <s v="1801377 &amp; 0400077 - IDEM 401 and 404 did not require any mitigation. "/>
  </r>
  <r>
    <x v="163"/>
    <s v="February"/>
    <n v="2022"/>
    <x v="0"/>
    <n v="-2.5"/>
    <x v="0"/>
    <n v="237500"/>
    <n v="286"/>
    <s v="Federal"/>
    <s v="PEM"/>
    <n v="2.04"/>
    <s v="Northern Indiana Commuter Transportation District"/>
    <s v="LRC-2016-00529"/>
    <s v="2021-21-45-MTM-A"/>
    <m/>
    <s v="Lake"/>
    <n v="41.573615420000003"/>
    <n v="-87.518517250000002"/>
    <s v="Transportation"/>
    <m/>
    <s v="No"/>
    <m/>
    <n v="35625"/>
    <n v="166250"/>
    <n v="35625"/>
    <s v="C"/>
    <s v="J"/>
    <m/>
    <m/>
    <m/>
    <m/>
    <m/>
    <m/>
    <m/>
  </r>
  <r>
    <x v="163"/>
    <s v="February"/>
    <n v="2022"/>
    <x v="0"/>
    <n v="-3.6"/>
    <x v="0"/>
    <n v="342000"/>
    <n v="286"/>
    <s v="Federal"/>
    <s v="PFO"/>
    <n v="1.02"/>
    <s v="Northern Indiana Commuter Transportation District"/>
    <s v="LRC-2016-00529"/>
    <s v="2021-21-45-MTM-A"/>
    <m/>
    <s v="Lake"/>
    <n v="41.573615420000003"/>
    <n v="-87.518517250000002"/>
    <s v="Transportation"/>
    <m/>
    <s v="No"/>
    <m/>
    <n v="51300"/>
    <n v="239399.99999999997"/>
    <n v="51300"/>
    <s v="C"/>
    <s v="J"/>
    <m/>
    <m/>
    <m/>
    <m/>
    <m/>
    <m/>
    <m/>
  </r>
  <r>
    <x v="163"/>
    <s v="February"/>
    <n v="2022"/>
    <x v="10"/>
    <n v="-0.1"/>
    <x v="0"/>
    <n v="8000"/>
    <n v="68"/>
    <s v="Federal"/>
    <s v="PEM"/>
    <n v="4.3999999999999997E-2"/>
    <s v="Johnson County Board Commissioners"/>
    <s v="LRL-2019-866-sjk"/>
    <s v="2019-656-41-TMS-A"/>
    <m/>
    <s v="Johnson"/>
    <n v="39.47645"/>
    <n v="-86.076970000000003"/>
    <s v="Development"/>
    <m/>
    <s v="No"/>
    <m/>
    <n v="1200"/>
    <n v="5600"/>
    <n v="1200"/>
    <s v="L"/>
    <s v="J"/>
    <m/>
    <m/>
    <m/>
    <m/>
    <m/>
    <m/>
    <m/>
  </r>
  <r>
    <x v="163"/>
    <s v="February"/>
    <n v="2022"/>
    <x v="10"/>
    <n v="-340"/>
    <x v="1"/>
    <n v="136000"/>
    <n v="68"/>
    <s v="Federal"/>
    <s v="Int"/>
    <n v="348"/>
    <s v="Johnson County Board Commissioners"/>
    <s v="LRL-2019-866-sjk"/>
    <s v="2019-656-41-TMS-A"/>
    <m/>
    <s v="Johnson"/>
    <n v="39.47645"/>
    <n v="-86.076970000000003"/>
    <s v="Development"/>
    <m/>
    <s v="No"/>
    <m/>
    <n v="20400"/>
    <n v="95200"/>
    <n v="20400"/>
    <s v="L"/>
    <s v="J"/>
    <m/>
    <m/>
    <m/>
    <m/>
    <m/>
    <m/>
    <m/>
  </r>
  <r>
    <x v="164"/>
    <s v="March "/>
    <n v="2022"/>
    <x v="9"/>
    <n v="-0.8"/>
    <x v="0"/>
    <n v="64000"/>
    <n v="284"/>
    <s v="State Isolated"/>
    <s v="PEM"/>
    <n v="0.54"/>
    <s v="M/I Homes"/>
    <s v="N/A"/>
    <s v="IWIP 2021-952-29-SCF-A"/>
    <m/>
    <s v="Hamilton"/>
    <n v="40.040506000000001"/>
    <n v="-86.096855000000005"/>
    <s v="Development"/>
    <m/>
    <s v="No"/>
    <m/>
    <n v="9600"/>
    <n v="44800"/>
    <n v="9600"/>
    <s v="L"/>
    <s v="SI"/>
    <s v="2 NF"/>
    <m/>
    <m/>
    <m/>
    <m/>
    <m/>
    <m/>
  </r>
  <r>
    <x v="164"/>
    <s v="March"/>
    <n v="2022"/>
    <x v="10"/>
    <n v="-53"/>
    <x v="1"/>
    <n v="21200"/>
    <n v="290"/>
    <s v="Federal"/>
    <s v="Per"/>
    <n v="44"/>
    <s v="Bartholomew County"/>
    <s v="LRL-2021-806-sjk"/>
    <s v="2019-602-00-JWR-A "/>
    <m/>
    <s v="Bartholomew"/>
    <n v="39.115299999999998"/>
    <n v="-85.985699999999994"/>
    <s v="Transportation"/>
    <m/>
    <s v="No"/>
    <m/>
    <n v="3180"/>
    <n v="14839.999999999998"/>
    <n v="3180"/>
    <s v="L"/>
    <s v="J"/>
    <m/>
    <m/>
    <m/>
    <m/>
    <m/>
    <m/>
    <s v="IDEM and Corps same amounts"/>
  </r>
  <r>
    <x v="164"/>
    <s v="March"/>
    <n v="2022"/>
    <x v="10"/>
    <n v="-0.6"/>
    <x v="0"/>
    <n v="48000"/>
    <n v="290"/>
    <s v="Federal"/>
    <s v="PEM"/>
    <n v="0.25"/>
    <s v="Bartholomew County"/>
    <s v="LRL-2021-806-sjk"/>
    <s v="2019-602-00-JWR-A "/>
    <m/>
    <s v="Bartholomew"/>
    <n v="39.115299999999998"/>
    <n v="-85.985699999999994"/>
    <s v="Transportation"/>
    <m/>
    <s v="No"/>
    <m/>
    <n v="7200"/>
    <n v="33600"/>
    <n v="7200"/>
    <s v="L"/>
    <s v="J"/>
    <m/>
    <m/>
    <m/>
    <m/>
    <m/>
    <m/>
    <s v="IDEM and Corps same amounts"/>
  </r>
  <r>
    <x v="164"/>
    <s v="March"/>
    <n v="2022"/>
    <x v="10"/>
    <n v="-0.08"/>
    <x v="1"/>
    <n v="6400"/>
    <n v="290"/>
    <s v="Federal"/>
    <s v="Per"/>
    <n v="0.02"/>
    <s v="Bartholomew County"/>
    <s v="LRL-2021-806-sjk"/>
    <s v="2019-602-00-JWR-A "/>
    <m/>
    <s v="Bartholomew"/>
    <n v="39.115299999999998"/>
    <n v="-85.985699999999994"/>
    <s v="Transportation"/>
    <m/>
    <s v="No"/>
    <m/>
    <n v="960"/>
    <n v="4480"/>
    <n v="960"/>
    <s v="L"/>
    <s v="J"/>
    <m/>
    <m/>
    <m/>
    <m/>
    <m/>
    <m/>
    <s v="IDEM 0.08 forested wetland - Corps 0.07 "/>
  </r>
  <r>
    <x v="165"/>
    <s v="March"/>
    <n v="2022"/>
    <x v="6"/>
    <n v="-91.27"/>
    <x v="1"/>
    <n v="54762"/>
    <n v="269"/>
    <s v="Federal"/>
    <s v="Per"/>
    <n v="91.27"/>
    <s v="INDOT"/>
    <s v="LRE-1998-1200250-R21"/>
    <s v="2021-432-20-JBT-X"/>
    <m/>
    <s v="Elkhart"/>
    <n v="41.574416999999997"/>
    <n v="-85.838414999999998"/>
    <s v="Transportation"/>
    <m/>
    <s v="No"/>
    <m/>
    <n v="8214.2999999999993"/>
    <n v="38333.399999999994"/>
    <n v="8214.2999999999993"/>
    <s v="D"/>
    <s v="J"/>
    <m/>
    <m/>
    <m/>
    <m/>
    <m/>
    <m/>
    <s v=" INDOT 1602099 SR 119 Elkhart River Bridge Replacement - Corps required 0 "/>
  </r>
  <r>
    <x v="165"/>
    <s v="March"/>
    <n v="2022"/>
    <x v="6"/>
    <n v="-0.28360000000000002"/>
    <x v="0"/>
    <n v="34032"/>
    <n v="269"/>
    <s v="Federal"/>
    <s v="PFO"/>
    <n v="7.0900000000000005E-2"/>
    <s v="INDOT"/>
    <s v="LRE-1998-1200250-R22"/>
    <s v="2021-432-20-JBT-X"/>
    <m/>
    <s v="Elkhart"/>
    <n v="41.574416999999997"/>
    <n v="-85.838414999999998"/>
    <s v="Transportation"/>
    <m/>
    <s v="No"/>
    <m/>
    <n v="5104.8"/>
    <n v="23822.399999999998"/>
    <n v="5104.8"/>
    <s v="D"/>
    <s v="J"/>
    <m/>
    <m/>
    <m/>
    <m/>
    <m/>
    <m/>
    <s v="INDOT 1602099 SR 119 Elkhart River Bridge Replacement - Corps required 0 "/>
  </r>
  <r>
    <x v="165"/>
    <s v="March"/>
    <n v="2022"/>
    <x v="8"/>
    <n v="-3.98"/>
    <x v="0"/>
    <n v="318400"/>
    <n v="297"/>
    <s v="Federal"/>
    <s v="PEM"/>
    <n v="1.81"/>
    <s v="Pioneer Packaging, LLC"/>
    <s v="LRL-2021-1079-SAM"/>
    <s v="2021-954-38-WLR"/>
    <m/>
    <s v="Jay"/>
    <n v="40.448405000000001"/>
    <n v="-84.971175000000002"/>
    <s v="Development"/>
    <m/>
    <s v="No"/>
    <m/>
    <n v="47760"/>
    <n v="222880"/>
    <n v="47760"/>
    <s v="L"/>
    <s v="J"/>
    <m/>
    <m/>
    <m/>
    <m/>
    <m/>
    <m/>
    <s v="After the fact credit sale. "/>
  </r>
  <r>
    <x v="166"/>
    <s v="March"/>
    <n v="2022"/>
    <x v="8"/>
    <n v="-0.94"/>
    <x v="0"/>
    <n v="75200"/>
    <n v="291"/>
    <s v="Federal"/>
    <s v="PFO"/>
    <n v="0.23499999999999999"/>
    <s v="Autumn Woods"/>
    <s v="LRE-2021-00600-102"/>
    <s v="2021-960-2-WLR-A"/>
    <m/>
    <s v="Allen"/>
    <n v="41.082974"/>
    <n v="-85.332701"/>
    <s v="Development"/>
    <m/>
    <s v="No"/>
    <m/>
    <n v="11280"/>
    <n v="52640"/>
    <n v="11280"/>
    <s v="D"/>
    <s v="J"/>
    <m/>
    <m/>
    <m/>
    <m/>
    <m/>
    <m/>
    <s v="After the fact credit sale. "/>
  </r>
  <r>
    <x v="167"/>
    <s v="March"/>
    <n v="2022"/>
    <x v="0"/>
    <n v="-0.27"/>
    <x v="0"/>
    <n v="25650"/>
    <n v="172"/>
    <s v="State Isolated"/>
    <s v="PEM"/>
    <n v="0.18"/>
    <s v="Franciscan Health"/>
    <s v="N/A"/>
    <s v="IWIP 2020-715-45-MTM-A"/>
    <m/>
    <s v="Lake"/>
    <n v="41.384070000000001"/>
    <n v="-87.323250000000002"/>
    <s v="Development"/>
    <m/>
    <s v="No"/>
    <m/>
    <n v="3847.5"/>
    <n v="17955"/>
    <n v="3847.5"/>
    <s v="C"/>
    <s v="SI"/>
    <s v="1 NF"/>
    <m/>
    <m/>
    <m/>
    <m/>
    <m/>
    <s v="Class I Non-Forested Wetland impacts"/>
  </r>
  <r>
    <x v="167"/>
    <s v="March"/>
    <n v="2022"/>
    <x v="9"/>
    <n v="-5.26"/>
    <x v="0"/>
    <n v="420800"/>
    <n v="270"/>
    <s v="State Isolated"/>
    <s v="PFO"/>
    <n v="2.63"/>
    <s v="Red Rocks Developments - Hancock Industrial"/>
    <s v="N/A"/>
    <s v="IWIP 2021-611-30-SLG-A"/>
    <m/>
    <s v="Hancock"/>
    <n v="39.817"/>
    <n v="-85.95"/>
    <s v="Development"/>
    <m/>
    <s v="No"/>
    <m/>
    <n v="63120"/>
    <n v="294560"/>
    <n v="63120"/>
    <s v="L"/>
    <s v="SI"/>
    <s v="2 FO"/>
    <m/>
    <m/>
    <m/>
    <m/>
    <m/>
    <s v="Class II Forested Wetland Impacts"/>
  </r>
  <r>
    <x v="167"/>
    <s v="March"/>
    <n v="2022"/>
    <x v="9"/>
    <n v="-1.71"/>
    <x v="0"/>
    <n v="136800"/>
    <n v="270"/>
    <s v="State Isolated"/>
    <s v="PEM"/>
    <n v="1.1399999999999999"/>
    <s v="Red Rocks Developments - Hancock Industrial"/>
    <s v="N/A"/>
    <s v="IWIP 2021-611-30-SLG-A"/>
    <m/>
    <s v="Hancock"/>
    <n v="39.817"/>
    <n v="-85.95"/>
    <s v="Development"/>
    <m/>
    <s v="No"/>
    <m/>
    <n v="20520"/>
    <n v="95760"/>
    <n v="20520"/>
    <s v="L"/>
    <s v="SI"/>
    <s v="2 NF"/>
    <m/>
    <m/>
    <m/>
    <m/>
    <m/>
    <s v="Class II Non-Forested Wetland Impacts"/>
  </r>
  <r>
    <x v="168"/>
    <s v="March"/>
    <n v="2022"/>
    <x v="7"/>
    <n v="-402"/>
    <x v="1"/>
    <n v="160800"/>
    <n v="285"/>
    <s v="Federal"/>
    <s v="Eph"/>
    <n v="335"/>
    <s v="Amazon.com Services"/>
    <s v="LRL-2021-655-MKD"/>
    <s v="2021-908-31-TMS-A"/>
    <m/>
    <s v="Harrison"/>
    <n v="38.267583999999999"/>
    <n v="-86.005077999999997"/>
    <s v="Development"/>
    <m/>
    <s v="No"/>
    <m/>
    <n v="24120"/>
    <n v="112560"/>
    <n v="24120"/>
    <s v="L"/>
    <s v="J"/>
    <m/>
    <m/>
    <m/>
    <m/>
    <m/>
    <m/>
    <s v="Corps required 402, IDEM required 335"/>
  </r>
  <r>
    <x v="168"/>
    <s v="March"/>
    <n v="2022"/>
    <x v="9"/>
    <n v="-1.18"/>
    <x v="0"/>
    <n v="94400"/>
    <n v="282"/>
    <s v="Federal"/>
    <s v="PEM"/>
    <n v="0.49"/>
    <s v="Pulte Homes of Indiana"/>
    <s v="LRL-2020-89-sjk"/>
    <s v="2021-848-29-WLR-A"/>
    <m/>
    <s v="Hamilton"/>
    <s v="40.0057"/>
    <n v="-86.210599999999999"/>
    <s v="Development"/>
    <m/>
    <s v="No"/>
    <m/>
    <n v="14160"/>
    <n v="66080"/>
    <n v="14160"/>
    <s v="L"/>
    <s v="J"/>
    <m/>
    <m/>
    <m/>
    <m/>
    <m/>
    <m/>
    <m/>
  </r>
  <r>
    <x v="169"/>
    <s v="March"/>
    <n v="2022"/>
    <x v="4"/>
    <n v="-0.25"/>
    <x v="0"/>
    <n v="20000"/>
    <n v="296"/>
    <s v="State Isolated"/>
    <s v="PFO"/>
    <n v="0.1"/>
    <s v="Tippecanoe Development"/>
    <s v="N/A"/>
    <s v="IWP 2021-943-79-ERL"/>
    <m/>
    <s v="Tippecanoe"/>
    <n v="40.475900000000003"/>
    <s v=" -86.8967."/>
    <s v="Development"/>
    <m/>
    <s v="No"/>
    <m/>
    <n v="3000"/>
    <n v="14000"/>
    <n v="3000"/>
    <s v="L"/>
    <s v="SI"/>
    <s v="3 FO"/>
    <m/>
    <m/>
    <m/>
    <m/>
    <m/>
    <m/>
  </r>
  <r>
    <x v="169"/>
    <s v="March"/>
    <n v="2022"/>
    <x v="8"/>
    <n v="-0.62"/>
    <x v="0"/>
    <n v="49600"/>
    <n v="288"/>
    <s v="Federal"/>
    <s v="PFO"/>
    <n v="0.13"/>
    <s v="City of Portland "/>
    <s v="LRL-2008-267-sam"/>
    <s v="2007-728-38-SSA-V"/>
    <m/>
    <s v="Jay"/>
    <n v="40.457900000000002"/>
    <n v="-84.964799999999997"/>
    <s v="Development"/>
    <m/>
    <s v="No"/>
    <m/>
    <n v="7440"/>
    <n v="34720"/>
    <n v="7440"/>
    <s v="L"/>
    <s v="J"/>
    <m/>
    <m/>
    <m/>
    <m/>
    <m/>
    <m/>
    <s v="Permit mod after mitigation failed. "/>
  </r>
  <r>
    <x v="169"/>
    <s v="March"/>
    <n v="2022"/>
    <x v="9"/>
    <n v="-0.53"/>
    <x v="0"/>
    <n v="42400"/>
    <n v="293"/>
    <s v="Federal"/>
    <s v="PEM"/>
    <n v="5.0999999999999997E-2"/>
    <s v="CRG Residential"/>
    <s v="LRL-2018-469-sjk"/>
    <s v="2021-631-29-JBT-A"/>
    <m/>
    <s v="Hamilton"/>
    <n v="39.93"/>
    <n v="-86.07"/>
    <s v="Development"/>
    <m/>
    <s v="No"/>
    <m/>
    <n v="6360"/>
    <n v="29679.999999999996"/>
    <n v="6360"/>
    <s v="L"/>
    <s v="J"/>
    <m/>
    <m/>
    <m/>
    <m/>
    <m/>
    <m/>
    <s v="Corps Rev permit required .0.53, 0.482 IDEM"/>
  </r>
  <r>
    <x v="169"/>
    <s v="March"/>
    <n v="2022"/>
    <x v="9"/>
    <n v="-0.18"/>
    <x v="0"/>
    <n v="14400"/>
    <n v="293"/>
    <s v="Federal"/>
    <s v="PSS"/>
    <n v="0.219"/>
    <s v="CRG Residential"/>
    <s v="LRL-2018-469-sjk"/>
    <s v="2021-631-29-JBT-A"/>
    <m/>
    <s v="Hamilton"/>
    <n v="39.93"/>
    <n v="-86.07"/>
    <s v="Development"/>
    <m/>
    <s v="No"/>
    <m/>
    <n v="2160"/>
    <n v="10080"/>
    <n v="2160"/>
    <s v="L"/>
    <s v="J"/>
    <m/>
    <m/>
    <m/>
    <m/>
    <m/>
    <m/>
    <s v="Corps REV permit 0.18, IDEM 0.163 "/>
  </r>
  <r>
    <x v="169"/>
    <s v="March"/>
    <n v="2022"/>
    <x v="9"/>
    <n v="-96"/>
    <x v="1"/>
    <n v="43200"/>
    <n v="293"/>
    <s v="Federal"/>
    <s v="Int"/>
    <n v="791"/>
    <s v="CRG Residential"/>
    <s v="LRL-2018-469-sjk"/>
    <s v="2021-631-29-JBT-A"/>
    <m/>
    <s v="Hamilton"/>
    <n v="39.93"/>
    <n v="-86.07"/>
    <s v="Development"/>
    <m/>
    <s v="No"/>
    <m/>
    <n v="6480"/>
    <n v="30239.999999999996"/>
    <n v="6480"/>
    <s v="L"/>
    <s v="J"/>
    <m/>
    <m/>
    <m/>
    <m/>
    <m/>
    <m/>
    <s v="IDEM table is incorrect and they do require stream credits. Both require 96."/>
  </r>
  <r>
    <x v="169"/>
    <s v="March"/>
    <n v="2022"/>
    <x v="9"/>
    <n v="-282"/>
    <x v="1"/>
    <n v="126900"/>
    <n v="294"/>
    <s v="Federal"/>
    <s v="Int"/>
    <n v="414"/>
    <s v="Gradison Land Development"/>
    <s v="LRL-2021-583-sjk"/>
    <s v="2021-869-29-JBT-A"/>
    <m/>
    <s v="Hamilton"/>
    <n v="39.936799999999998"/>
    <n v="-86.186599999999999"/>
    <s v="Development"/>
    <m/>
    <s v="No"/>
    <m/>
    <n v="19035"/>
    <n v="88830"/>
    <n v="19035"/>
    <s v="L"/>
    <s v="J"/>
    <m/>
    <m/>
    <m/>
    <m/>
    <m/>
    <m/>
    <s v="Corps requires 282 and IDEM 235"/>
  </r>
  <r>
    <x v="169"/>
    <s v="March"/>
    <n v="2022"/>
    <x v="9"/>
    <n v="-0.32"/>
    <x v="0"/>
    <n v="25600"/>
    <n v="294"/>
    <s v="Federal"/>
    <s v="PEM"/>
    <n v="0.26900000000000002"/>
    <s v="Gradison Land Development"/>
    <s v="LRL-2021-583-sjk"/>
    <s v="2021-869-29-JBT-A"/>
    <m/>
    <s v="Hamilton"/>
    <n v="39.936799999999998"/>
    <n v="-86.186599999999999"/>
    <s v="Development"/>
    <m/>
    <s v="No"/>
    <m/>
    <n v="3840"/>
    <n v="17920"/>
    <n v="3840"/>
    <s v="L"/>
    <s v="J"/>
    <m/>
    <m/>
    <m/>
    <m/>
    <m/>
    <m/>
    <s v="Both require 0.32"/>
  </r>
  <r>
    <x v="170"/>
    <s v="April"/>
    <n v="2022"/>
    <x v="9"/>
    <n v="-3000"/>
    <x v="1"/>
    <n v="1350000"/>
    <n v="299"/>
    <s v="Federal"/>
    <s v="Int"/>
    <n v="1834"/>
    <s v="INDOT"/>
    <s v="LRL-2008-1418-djd"/>
    <s v="2009-509-49-JWR-A"/>
    <m/>
    <s v="Marion"/>
    <n v="39.865000000000002"/>
    <n v="-86.046999999999997"/>
    <s v="Transportation"/>
    <m/>
    <s v="No"/>
    <m/>
    <n v="202500"/>
    <n v="944999.99999999988"/>
    <n v="202500"/>
    <s v="L"/>
    <s v="J"/>
    <m/>
    <m/>
    <m/>
    <m/>
    <m/>
    <m/>
    <s v="Sent as one CS Letter with same Des #.  This is the modified total - Corps at 2384 and IDEM at 3000 eff 7/23/21.  All related to Pleasant Run Golf Course and one new DES # DES 1383193 .  Modified Permit Numbers -orig permittee responsibility - IDEM email changing all mitig to INT."/>
  </r>
  <r>
    <x v="170"/>
    <s v="April"/>
    <n v="2022"/>
    <x v="9"/>
    <n v="-640"/>
    <x v="1"/>
    <n v="288000"/>
    <n v="299"/>
    <s v="Federal"/>
    <s v="Int"/>
    <n v="273"/>
    <s v="INDOT"/>
    <s v="LRL-2010-74-sam"/>
    <s v="2010-259-32-JWR-A"/>
    <m/>
    <s v="Hendricks"/>
    <n v="39.750999999999998"/>
    <n v="-86.528000000000006"/>
    <s v="Transportation"/>
    <m/>
    <s v="No"/>
    <m/>
    <n v="43200"/>
    <n v="201600"/>
    <n v="43200"/>
    <s v="L"/>
    <s v="J"/>
    <m/>
    <m/>
    <m/>
    <m/>
    <m/>
    <m/>
    <s v="Sent as one CS Letter with same Des #. All related to Pleasant Run Golf Course and one new DES # DES 1383193 .  Modified Permit Numbers -orig permittee responsibility - IDEM email changing all mitig to INT."/>
  </r>
  <r>
    <x v="170"/>
    <s v="April"/>
    <n v="2022"/>
    <x v="9"/>
    <n v="-960"/>
    <x v="1"/>
    <n v="432000"/>
    <n v="299"/>
    <s v="Federal"/>
    <s v="Int"/>
    <n v="389"/>
    <s v="INDOT"/>
    <s v="LRL-2012-89-sjk"/>
    <s v="2012-066-06-JWR-A"/>
    <m/>
    <s v="Boone"/>
    <n v="40.040529999999997"/>
    <n v="-86.312359999999998"/>
    <s v="Transportation"/>
    <m/>
    <s v="No"/>
    <m/>
    <n v="64800"/>
    <n v="302400"/>
    <n v="64800"/>
    <s v="L"/>
    <s v="J "/>
    <m/>
    <m/>
    <m/>
    <m/>
    <m/>
    <m/>
    <s v="Sent as one CS Letter with same Des #. Per INDOT IDEM 778 Corps 960. All related to Pleasant Run Golf Course and one new DES # DES 1383193 .  Modified Permit Numbers -orig permittee responsibility -IDEM email changing all mitig to INT."/>
  </r>
  <r>
    <x v="171"/>
    <s v="April"/>
    <n v="2022"/>
    <x v="9"/>
    <n v="-0.41"/>
    <x v="0"/>
    <n v="32800"/>
    <n v="298"/>
    <s v="Federal"/>
    <s v="PEM"/>
    <n v="0.34"/>
    <s v="Midwest Logistics"/>
    <s v="LRL-2012-820-sjk"/>
    <s v="2021-1026-49-JWR"/>
    <m/>
    <s v="Marion"/>
    <n v="39.684100000000001"/>
    <n v="-86.317800000000005"/>
    <s v="Development"/>
    <m/>
    <s v="No"/>
    <m/>
    <n v="4920"/>
    <n v="22960"/>
    <n v="4920"/>
    <s v="L"/>
    <s v="J"/>
    <m/>
    <m/>
    <m/>
    <m/>
    <m/>
    <m/>
    <s v="This is the second half of project"/>
  </r>
  <r>
    <x v="172"/>
    <s v="April"/>
    <n v="2022"/>
    <x v="9"/>
    <n v="-2.33"/>
    <x v="0"/>
    <n v="186400"/>
    <n v="306"/>
    <s v="State Isolated"/>
    <s v="PFO"/>
    <n v="0.93"/>
    <s v="OMPI"/>
    <s v="N/A"/>
    <s v="IWiP-2022-117-29-EKB"/>
    <m/>
    <s v="Hamilton"/>
    <n v="39.967770999999999"/>
    <n v="-85.994855999999999"/>
    <s v="Development"/>
    <m/>
    <s v="No"/>
    <m/>
    <n v="27960"/>
    <n v="130479.99999999999"/>
    <n v="27960"/>
    <s v="L"/>
    <s v="SI"/>
    <s v="2 FO"/>
    <m/>
    <m/>
    <m/>
    <m/>
    <m/>
    <m/>
  </r>
  <r>
    <x v="172"/>
    <s v="April"/>
    <n v="2022"/>
    <x v="9"/>
    <n v="-0.66"/>
    <x v="0"/>
    <n v="52800"/>
    <n v="295"/>
    <s v="State Isolated"/>
    <s v="PEM"/>
    <n v="0.44"/>
    <s v="Duke Energy"/>
    <s v="N/A"/>
    <s v="IWIP 2022-15-32-ERL-A"/>
    <m/>
    <s v="Hendricks"/>
    <n v="39.832500000000003"/>
    <n v="-86.342399999999998"/>
    <s v="Development"/>
    <m/>
    <s v="No"/>
    <m/>
    <n v="7920"/>
    <n v="36960"/>
    <n v="7920"/>
    <s v="L"/>
    <s v="SI"/>
    <s v="2 NF"/>
    <m/>
    <m/>
    <m/>
    <m/>
    <m/>
    <m/>
  </r>
  <r>
    <x v="172"/>
    <s v="April"/>
    <n v="2022"/>
    <x v="9"/>
    <n v="-0.32"/>
    <x v="0"/>
    <n v="25600"/>
    <n v="295"/>
    <s v="State Isolated"/>
    <s v="PFO"/>
    <n v="0.16"/>
    <s v="Duke Energy"/>
    <s v="N/A"/>
    <s v="IWIP 2022-15-32-ERL-A"/>
    <m/>
    <s v="Hendricks"/>
    <n v="39.832500000000003"/>
    <n v="-86.342399999999998"/>
    <s v="Development"/>
    <m/>
    <s v="No"/>
    <m/>
    <n v="3840"/>
    <n v="17920"/>
    <n v="3840"/>
    <s v="L"/>
    <s v="SI"/>
    <s v="2 FO"/>
    <m/>
    <m/>
    <m/>
    <m/>
    <m/>
    <m/>
  </r>
  <r>
    <x v="173"/>
    <s v="May"/>
    <n v="2022"/>
    <x v="0"/>
    <n v="-0.05"/>
    <x v="0"/>
    <n v="4750"/>
    <n v="307"/>
    <s v="State Isolated"/>
    <s v="PFO"/>
    <n v="0.05"/>
    <s v="NIPSCO"/>
    <s v="N/A"/>
    <s v="IWIP-2022-26-45-MTM"/>
    <m/>
    <s v="Lake"/>
    <s v="41.420329     "/>
    <n v="-87.451724999999996"/>
    <s v="Energy Production"/>
    <m/>
    <s v="No"/>
    <m/>
    <n v="712.5"/>
    <n v="3325"/>
    <n v="712.5"/>
    <s v="C"/>
    <s v="SI"/>
    <s v="2 FO"/>
    <m/>
    <m/>
    <m/>
    <m/>
    <m/>
    <m/>
  </r>
  <r>
    <x v="173"/>
    <s v="May"/>
    <n v="2022"/>
    <x v="1"/>
    <n v="-123"/>
    <x v="1"/>
    <n v="61500"/>
    <n v="302"/>
    <s v="Federal"/>
    <s v="Per"/>
    <n v="123"/>
    <s v="INDOT"/>
    <s v="LRE-2008-01048-156-R21"/>
    <s v="2021-712-56-JBT-A"/>
    <m/>
    <s v="Newton"/>
    <n v="40.865900000000003"/>
    <n v="-87.281000000000006"/>
    <s v="Transportation"/>
    <s v="Credit Refund to INDOT 1/31/2023"/>
    <s v="Yes"/>
    <d v="2023-01-31T00:00:00"/>
    <n v="9225"/>
    <n v="43050"/>
    <n v="9225"/>
    <s v="D"/>
    <s v="J"/>
    <m/>
    <m/>
    <s v="Credit Refund to INDOT"/>
    <m/>
    <m/>
    <m/>
    <s v="Corps verified no mitigation required. *Refund 1/31/24"/>
  </r>
  <r>
    <x v="173"/>
    <s v="May"/>
    <n v="2022"/>
    <x v="1"/>
    <n v="-1.7999999999999999E-2"/>
    <x v="0"/>
    <n v="1710"/>
    <n v="302"/>
    <s v="Federal"/>
    <s v="PEM"/>
    <n v="8.9999999999999993E-3"/>
    <s v="INDOT"/>
    <s v="LRE-2008-01048-156-R21"/>
    <s v="2021-712-56-JBT-A"/>
    <m/>
    <s v="Newton"/>
    <n v="40.865900000000003"/>
    <n v="-87.281000000000006"/>
    <s v="Transportation"/>
    <s v="Credit Refund to INDOT 1/31/2023"/>
    <s v="Yes"/>
    <d v="2023-01-31T00:00:00"/>
    <n v="256.5"/>
    <n v="1197"/>
    <n v="256.5"/>
    <s v="D"/>
    <s v="J"/>
    <m/>
    <m/>
    <s v="Credit Refund to INDOT"/>
    <m/>
    <m/>
    <m/>
    <s v="Corps verified no mitigation required. *Refund 1/31/24"/>
  </r>
  <r>
    <x v="173"/>
    <s v="May"/>
    <n v="2022"/>
    <x v="7"/>
    <n v="-17.68"/>
    <x v="0"/>
    <n v="1414400"/>
    <n v="301"/>
    <s v="Federal"/>
    <s v="PFO"/>
    <n v="17.68"/>
    <s v="INDOT"/>
    <s v="LRL-1990-568"/>
    <s v="1991-001-10-GPN-A"/>
    <s v="91-085"/>
    <s v="Clark"/>
    <n v="38.3459"/>
    <n v="-85.723299999999995"/>
    <s v="Transportation"/>
    <m/>
    <s v="No"/>
    <m/>
    <n v="212160"/>
    <n v="990079.99999999988"/>
    <n v="212160"/>
    <s v="L"/>
    <s v="J"/>
    <m/>
    <m/>
    <m/>
    <m/>
    <m/>
    <m/>
    <s v="INDOT Interstate-265 Mitigation - IDEM verified permits are one and the same and only using LRL-1990-568 now. . 1991-001-10-GPN-A had referenced a Corps permit number of 91-085.  However, the Corps permit I have for the I-265 project is LRL-1990-568-djd.  1902145"/>
  </r>
  <r>
    <x v="174"/>
    <s v="May"/>
    <n v="2022"/>
    <x v="8"/>
    <n v="-0.4"/>
    <x v="0"/>
    <n v="32000"/>
    <n v="304"/>
    <s v="Federal"/>
    <s v="PFO"/>
    <n v="0.1"/>
    <s v="INDOT"/>
    <s v="LRL-2021-1089-scm"/>
    <s v="2019-602-00-JWR-A"/>
    <m/>
    <s v="Delaware"/>
    <n v="40.283152999999999"/>
    <n v="-85.309426000000002"/>
    <s v="Transportation"/>
    <m/>
    <s v="No"/>
    <m/>
    <n v="4800"/>
    <n v="22400"/>
    <n v="4800"/>
    <s v="L"/>
    <s v="J"/>
    <m/>
    <m/>
    <m/>
    <m/>
    <m/>
    <m/>
    <s v="1701336 - Corps required no mitigation "/>
  </r>
  <r>
    <x v="174"/>
    <s v="May"/>
    <n v="2022"/>
    <x v="10"/>
    <n v="-110"/>
    <x v="1"/>
    <n v="44000"/>
    <n v="305"/>
    <s v="Federal"/>
    <s v="Int"/>
    <n v="796"/>
    <s v="INDOT"/>
    <s v="LRL-2020-973-scm"/>
    <s v="2021-477-30-JBT-A"/>
    <m/>
    <s v="Hancock"/>
    <s v="39.81146 to 39.82161"/>
    <s v="85.93942 to  -85.74089 "/>
    <s v="Transportation"/>
    <m/>
    <s v="No"/>
    <m/>
    <n v="6600"/>
    <n v="30799.999999999996"/>
    <n v="6600"/>
    <s v="L"/>
    <s v="COMB"/>
    <m/>
    <m/>
    <m/>
    <m/>
    <m/>
    <m/>
    <s v="Corps 0 - INDOT 1702919 - I 70 add travel lanes - INDOT 1702919"/>
  </r>
  <r>
    <x v="174"/>
    <s v="May"/>
    <n v="2022"/>
    <x v="10"/>
    <n v="-359"/>
    <x v="1"/>
    <n v="143600"/>
    <n v="305"/>
    <s v="Federal"/>
    <s v="Per"/>
    <n v="399"/>
    <s v="INDOT"/>
    <s v="LRL-2020-973-scm"/>
    <s v="2021-477-30-JBT-A"/>
    <m/>
    <s v="Hancock"/>
    <s v="39.81146 to 39.82161"/>
    <s v="85.93942 to  -85.74089 "/>
    <s v="Transportation"/>
    <m/>
    <s v="No"/>
    <m/>
    <n v="21540"/>
    <n v="100520"/>
    <n v="21540"/>
    <s v="L"/>
    <s v="COMB"/>
    <m/>
    <m/>
    <m/>
    <m/>
    <m/>
    <m/>
    <s v="Corps 0 - INDOT 1702919 - I 70 add travel lanes - INDOT 1702919"/>
  </r>
  <r>
    <x v="174"/>
    <s v="May"/>
    <n v="2022"/>
    <x v="10"/>
    <n v="-7.86"/>
    <x v="0"/>
    <n v="628800"/>
    <n v="305"/>
    <s v="Federal"/>
    <s v="PEM"/>
    <n v="3.93"/>
    <s v="INDOT"/>
    <s v="LRL-2020-973-scm"/>
    <s v="2021-477-30-JBT-A"/>
    <m/>
    <s v="Hancock"/>
    <s v="39.81146 to 39.82161"/>
    <s v="85.93942 to  -85.74089 "/>
    <s v="Transportation"/>
    <m/>
    <s v="No"/>
    <m/>
    <n v="94320"/>
    <n v="440160"/>
    <n v="94320"/>
    <s v="L"/>
    <s v="SOMB"/>
    <m/>
    <m/>
    <m/>
    <m/>
    <m/>
    <m/>
    <s v="Corps 3.7 - INDOT 1702919 - I 70 add travel lanes - INDOT 1702919"/>
  </r>
  <r>
    <x v="174"/>
    <s v="May"/>
    <n v="2022"/>
    <x v="10"/>
    <n v="-1.6559999999999999"/>
    <x v="0"/>
    <n v="132480"/>
    <n v="305"/>
    <s v="Federal"/>
    <s v="PSS"/>
    <n v="0.55200000000000005"/>
    <s v="INDOT"/>
    <s v="LRL-2020-973-scm"/>
    <s v="2021-477-30-JBT-A"/>
    <m/>
    <s v="Hancock"/>
    <s v="39.81146 to 39.82161"/>
    <s v="85.93942 to  -85.74089 "/>
    <s v="Transportation"/>
    <m/>
    <s v="No"/>
    <m/>
    <n v="19872"/>
    <n v="92736"/>
    <n v="19872"/>
    <s v="L"/>
    <s v="COMB"/>
    <m/>
    <m/>
    <m/>
    <m/>
    <m/>
    <m/>
    <s v="Corps 1.33 - INDOT 1702919 - I 70 add travel lanes - INDOT 1702919"/>
  </r>
  <r>
    <x v="174"/>
    <s v="May"/>
    <n v="2022"/>
    <x v="10"/>
    <n v="-11.32"/>
    <x v="0"/>
    <n v="905600"/>
    <n v="305"/>
    <s v="State Isolated"/>
    <s v="PEM"/>
    <n v="7.5469999999999997"/>
    <s v="INDOT"/>
    <s v="N/A"/>
    <s v="IWGP 2021-477-30-JBT-A"/>
    <m/>
    <s v="Hancock"/>
    <s v="39.81146 to 39.82161"/>
    <s v="85.93942 to  -85.74089 "/>
    <s v="Transportation"/>
    <m/>
    <s v="No"/>
    <m/>
    <n v="135840"/>
    <n v="633920"/>
    <n v="135840"/>
    <s v="L"/>
    <s v="COMB"/>
    <s v="1 NF"/>
    <m/>
    <m/>
    <m/>
    <m/>
    <m/>
    <s v="INDOT 1702919 - I 70 add travel lanes - INDOT 1702919"/>
  </r>
  <r>
    <x v="174"/>
    <s v="May"/>
    <n v="2022"/>
    <x v="10"/>
    <n v="-1.06"/>
    <x v="0"/>
    <n v="84800"/>
    <n v="305"/>
    <s v="State Isolated"/>
    <s v="PFO"/>
    <n v="0.53"/>
    <s v="INDOT"/>
    <s v="N/A"/>
    <s v="IWGP 2021-477-30-JBT-A"/>
    <m/>
    <s v="Hancock"/>
    <s v="39.81146 to 39.82161"/>
    <s v="85.93942 to  -85.74089 "/>
    <s v="Transportation"/>
    <m/>
    <s v="No"/>
    <m/>
    <n v="12720"/>
    <n v="59359.999999999993"/>
    <n v="12720"/>
    <s v="L"/>
    <s v="COMB"/>
    <s v="1 FO"/>
    <m/>
    <m/>
    <m/>
    <m/>
    <m/>
    <s v="INDOT 1702919 - I 70 add travel lanes - INDOT 1702919"/>
  </r>
  <r>
    <x v="175"/>
    <s v="June"/>
    <n v="2022"/>
    <x v="1"/>
    <n v="-0.48599999999999999"/>
    <x v="0"/>
    <n v="46170"/>
    <n v="314"/>
    <s v="Federal"/>
    <s v="PFO"/>
    <n v="0.20899999999999999"/>
    <s v="TC Energy"/>
    <s v="LRC-2020-128"/>
    <s v="2020-228-45-MTM-A, 2020-229-45-MTM-A"/>
    <m/>
    <s v="Lake"/>
    <n v="41.428739999999998"/>
    <n v="-87.508480000000006"/>
    <s v="Energy Production"/>
    <m/>
    <s v="No"/>
    <m/>
    <n v="6925.5"/>
    <n v="32318.999999999996"/>
    <n v="6925.5"/>
    <s v="C"/>
    <s v="J"/>
    <m/>
    <m/>
    <m/>
    <m/>
    <m/>
    <m/>
    <s v="Corps P1 required 0.209, P2 0.26 required (total 0.469)total,  IDEM required 0.26 in mod permit - but per Marty it’s a $26,315 which would be 0.277 credit purchase - consultant requested a purchase of 0.43.  Modified IDEM Permits for P1 and 2, so greatest total is P1 Corps at 0.209 and P2 0.277 IDEM. "/>
  </r>
  <r>
    <x v="175"/>
    <s v="June "/>
    <n v="2022"/>
    <x v="5"/>
    <n v="-0.93"/>
    <x v="0"/>
    <n v="74400"/>
    <n v="101"/>
    <s v="Federal"/>
    <s v="PEM"/>
    <n v="1.44"/>
    <s v="Sun Energy"/>
    <s v="LRL-2019-645"/>
    <s v="General WQC NWP49"/>
    <s v="Mining Permit S-00376"/>
    <s v="Spencer"/>
    <n v="38.162215000000003"/>
    <n v="-86.951781999999994"/>
    <s v="Energy Production"/>
    <m/>
    <s v="No"/>
    <m/>
    <n v="11160"/>
    <n v="52080"/>
    <n v="11160"/>
    <s v="L"/>
    <s v="J"/>
    <m/>
    <m/>
    <m/>
    <m/>
    <m/>
    <m/>
    <s v=".51 of required Corps credit purchase is open water but to be classified under Emergent. IDEM did not require a credit purchase. "/>
  </r>
  <r>
    <x v="175"/>
    <s v="June"/>
    <n v="2022"/>
    <x v="9"/>
    <n v="-0.68"/>
    <x v="0"/>
    <n v="54400.000000000007"/>
    <n v="309"/>
    <s v="State Isolated"/>
    <s v="PFO"/>
    <n v="0.34"/>
    <s v="COA Avon Landings"/>
    <s v="N/A"/>
    <s v="IWIP 2022-289-32-ERL-A"/>
    <m/>
    <s v="Hendricks"/>
    <n v="39.802050999999999"/>
    <n v="-86.352631000000002"/>
    <s v="Development"/>
    <m/>
    <s v="No"/>
    <m/>
    <n v="8160.0000000000009"/>
    <n v="38080"/>
    <n v="8160.0000000000009"/>
    <s v="L"/>
    <s v="SI "/>
    <s v="2 FO"/>
    <m/>
    <m/>
    <m/>
    <m/>
    <m/>
    <m/>
  </r>
  <r>
    <x v="175"/>
    <s v="June"/>
    <n v="2022"/>
    <x v="10"/>
    <n v="-0.28000000000000003"/>
    <x v="0"/>
    <n v="22400.000000000004"/>
    <s v="313 C"/>
    <s v="Federal"/>
    <s v="PEM"/>
    <n v="0.14000000000000001"/>
    <s v="Arbor Homes"/>
    <s v="LRL-2022-110-sam"/>
    <s v="2022-311-49"/>
    <m/>
    <s v="Marion"/>
    <n v="39.743665"/>
    <n v="-85.971991000000003"/>
    <s v="Development"/>
    <m/>
    <s v="No"/>
    <m/>
    <n v="3360.0000000000005"/>
    <n v="15680.000000000002"/>
    <n v="3360.0000000000005"/>
    <s v="L"/>
    <s v="J"/>
    <m/>
    <m/>
    <m/>
    <m/>
    <m/>
    <m/>
    <s v="Corps did not require a credit purchase. "/>
  </r>
  <r>
    <x v="175"/>
    <s v="June"/>
    <n v="2022"/>
    <x v="10"/>
    <n v="-0.06"/>
    <x v="0"/>
    <n v="4800"/>
    <s v="317 C"/>
    <s v="Federal"/>
    <s v="PEM"/>
    <n v="0.03"/>
    <s v="Arbor Homes"/>
    <s v="LRL-2022-110-sam"/>
    <s v="2022-311-49"/>
    <m/>
    <s v="Marion"/>
    <n v="39.743665"/>
    <n v="-85.971991000000003"/>
    <s v="Development"/>
    <m/>
    <s v="No"/>
    <m/>
    <n v="720"/>
    <n v="3360"/>
    <n v="720"/>
    <s v="L"/>
    <s v="J"/>
    <m/>
    <m/>
    <m/>
    <m/>
    <m/>
    <m/>
    <s v="Additional amount related to original credit purchase reflecting the increased amount of Corps over the required IDEM amount (0.34-0.28) Invoice changed to reflect incorrect SA identification in permit. "/>
  </r>
  <r>
    <x v="176"/>
    <s v="June"/>
    <n v="2022"/>
    <x v="4"/>
    <n v="-0.04"/>
    <x v="0"/>
    <n v="3200"/>
    <n v="308"/>
    <s v="Federal"/>
    <s v="PEM"/>
    <n v="0.02"/>
    <s v="City of West Lafayette"/>
    <s v="LRL-2020-976-sjk"/>
    <s v="2021-268-79"/>
    <m/>
    <s v="Tippecanoe"/>
    <n v="40.453299999999999"/>
    <n v="-86.895799999999994"/>
    <s v="Transportation"/>
    <m/>
    <s v="No"/>
    <m/>
    <n v="480"/>
    <n v="2240"/>
    <n v="480"/>
    <s v="L"/>
    <s v="J"/>
    <m/>
    <m/>
    <m/>
    <m/>
    <m/>
    <m/>
    <s v="Corps did not require mitigation"/>
  </r>
  <r>
    <x v="176"/>
    <s v="June"/>
    <n v="2022"/>
    <x v="4"/>
    <n v="-228"/>
    <x v="1"/>
    <n v="91200"/>
    <n v="308"/>
    <s v="Federal"/>
    <s v="Int"/>
    <n v="228"/>
    <s v="City of West Lafayette"/>
    <s v="LRL-2020-976-sjk"/>
    <s v="2021-268-79"/>
    <m/>
    <s v="Tippecanoe"/>
    <n v="40.453299999999999"/>
    <n v="-86.895799999999994"/>
    <s v="Transportation"/>
    <m/>
    <s v="No"/>
    <m/>
    <n v="13680"/>
    <n v="63839.999999999993"/>
    <n v="13680"/>
    <s v="L"/>
    <s v="J"/>
    <m/>
    <m/>
    <m/>
    <m/>
    <m/>
    <m/>
    <s v="Corps did not require mitigation"/>
  </r>
  <r>
    <x v="176"/>
    <s v="June"/>
    <n v="2022"/>
    <x v="10"/>
    <n v="-2153"/>
    <x v="1"/>
    <n v="861200"/>
    <n v="318"/>
    <s v="Federal"/>
    <s v="Int"/>
    <n v="1794"/>
    <s v="Arbor Homes"/>
    <s v="LRL-2021-845-sjk"/>
    <s v="2022-198-30-EKB-A"/>
    <m/>
    <s v="Hancock"/>
    <n v="39.789845"/>
    <n v="-85.818917999999996"/>
    <s v="Development"/>
    <m/>
    <s v="No"/>
    <m/>
    <n v="129180"/>
    <n v="602840"/>
    <n v="129180"/>
    <s v="L"/>
    <s v="J"/>
    <m/>
    <m/>
    <m/>
    <m/>
    <m/>
    <m/>
    <s v="IDEM Permit mod to change SA. Corps required 2153 and IDEM required 1794 INT. "/>
  </r>
  <r>
    <x v="177"/>
    <s v="June"/>
    <n v="2022"/>
    <x v="8"/>
    <n v="-0.78"/>
    <x v="0"/>
    <n v="62400"/>
    <n v="315"/>
    <s v="State Isolated"/>
    <s v="PFO"/>
    <n v="0.39"/>
    <s v="Oakmont Development"/>
    <s v="N/A"/>
    <s v="2022-261-2-WLR"/>
    <m/>
    <s v="Allen"/>
    <n v="41.065807999999997"/>
    <n v="-85.303758999999999"/>
    <s v="Development"/>
    <m/>
    <s v="No"/>
    <m/>
    <n v="9360"/>
    <n v="43680"/>
    <n v="9360"/>
    <s v="D"/>
    <s v="SI"/>
    <s v="2 FO"/>
    <m/>
    <m/>
    <m/>
    <m/>
    <m/>
    <m/>
  </r>
  <r>
    <x v="177"/>
    <s v="June"/>
    <n v="2022"/>
    <x v="10"/>
    <n v="-0.375"/>
    <x v="0"/>
    <n v="30000"/>
    <n v="320"/>
    <s v="State Isolated"/>
    <s v="PFO"/>
    <n v="0.15"/>
    <s v="Arbor Homes"/>
    <s v="N/A"/>
    <s v="IWIP-2022-311-49"/>
    <m/>
    <s v="Marion"/>
    <n v="39.743665"/>
    <n v="-85.971991000000003"/>
    <s v="Development"/>
    <m/>
    <s v="No"/>
    <m/>
    <n v="4500"/>
    <n v="21000"/>
    <n v="4500"/>
    <s v="L"/>
    <s v="SI"/>
    <s v="3 FO"/>
    <m/>
    <m/>
    <m/>
    <m/>
    <m/>
    <s v="Changed SA Upper White to WWEF in Permit "/>
  </r>
  <r>
    <x v="178"/>
    <s v="July"/>
    <n v="2022"/>
    <x v="3"/>
    <n v="-3"/>
    <x v="0"/>
    <n v="240000"/>
    <n v="311"/>
    <s v="Federal"/>
    <s v="PFO"/>
    <n v="1.29"/>
    <s v="AEP"/>
    <s v="LRE-2021-01169-117-N21"/>
    <s v="2022-3-17-WLR-A"/>
    <m/>
    <s v="Dekalb"/>
    <n v="41.427"/>
    <n v="-84.861999999999995"/>
    <s v="Energy Production"/>
    <m/>
    <s v="No"/>
    <m/>
    <n v="36000"/>
    <n v="168000"/>
    <n v="36000"/>
    <s v="D"/>
    <s v="J"/>
    <m/>
    <m/>
    <m/>
    <m/>
    <m/>
    <m/>
    <s v="Corps did not require any credit purchase"/>
  </r>
  <r>
    <x v="179"/>
    <s v="July"/>
    <n v="2022"/>
    <x v="10"/>
    <n v="-0.41899999999999998"/>
    <x v="0"/>
    <n v="33520"/>
    <n v="321"/>
    <s v="State Isolated"/>
    <s v="PFO"/>
    <n v="0.27900000000000003"/>
    <s v="AEP  "/>
    <s v="N/A"/>
    <s v="IWIP-2022-210-68-EKB-A"/>
    <m/>
    <s v="Randolph"/>
    <n v="40.077447999999997"/>
    <n v="-84.955867999999995"/>
    <s v="Energy Production"/>
    <m/>
    <s v="No"/>
    <m/>
    <n v="5028"/>
    <n v="23464"/>
    <n v="5028"/>
    <s v="L"/>
    <s v="SI"/>
    <s v="3 FO"/>
    <m/>
    <m/>
    <m/>
    <m/>
    <m/>
    <s v="Initiatlly recorded as being in Upper White SA. GPS points check put it in Whitewater. Confirmation with IDEM as Whitewater so it was changed."/>
  </r>
  <r>
    <x v="180"/>
    <s v="July"/>
    <n v="2022"/>
    <x v="4"/>
    <n v="-0.12"/>
    <x v="0"/>
    <n v="9600"/>
    <n v="325"/>
    <s v="State Isolated"/>
    <s v="PEM"/>
    <n v="0.08"/>
    <s v="D.R. Horton"/>
    <s v="N/A"/>
    <s v="IWIP-2022-339-32-ERL"/>
    <m/>
    <s v="Hendricks"/>
    <n v="39.767499999999998"/>
    <n v="-86.546000000000006"/>
    <s v="Development"/>
    <m/>
    <s v="No"/>
    <m/>
    <n v="1440"/>
    <n v="6720"/>
    <n v="1440"/>
    <s v="L"/>
    <s v="SI"/>
    <s v="2 NF"/>
    <m/>
    <m/>
    <m/>
    <m/>
    <m/>
    <m/>
  </r>
  <r>
    <x v="180"/>
    <s v="July"/>
    <n v="2022"/>
    <x v="9"/>
    <n v="-1255"/>
    <x v="1"/>
    <n v="564750"/>
    <n v="325"/>
    <s v="Federal"/>
    <s v="Eph"/>
    <n v="1045"/>
    <s v="D.R. Horton"/>
    <s v="LRL-2021-1093"/>
    <s v="2022-339-32-ERL"/>
    <m/>
    <s v="Hendricks"/>
    <n v="39.763013999999998"/>
    <n v="-86.539390999999995"/>
    <s v="Development"/>
    <m/>
    <s v="No"/>
    <m/>
    <n v="84712.5"/>
    <n v="395325"/>
    <n v="84712.5"/>
    <s v="L"/>
    <s v="J"/>
    <m/>
    <m/>
    <m/>
    <m/>
    <m/>
    <m/>
    <s v="IDEM required 1045 and Corps 1255"/>
  </r>
  <r>
    <x v="181"/>
    <s v="August"/>
    <n v="2022"/>
    <x v="10"/>
    <n v="-520"/>
    <x v="1"/>
    <n v="208000"/>
    <n v="322"/>
    <s v="Federal"/>
    <s v="Eph"/>
    <n v="580"/>
    <s v="City of Seymour"/>
    <s v="LRL-2018-970-scm"/>
    <s v="2019-382-36-TMS-A"/>
    <m/>
    <s v="Jackson"/>
    <n v="38.946480000000001"/>
    <n v="-85.887319000000005"/>
    <s v="Transportation"/>
    <m/>
    <s v="No"/>
    <m/>
    <n v="31200"/>
    <n v="145600"/>
    <n v="31200"/>
    <s v="L"/>
    <s v="J"/>
    <m/>
    <m/>
    <m/>
    <m/>
    <m/>
    <m/>
    <s v="Burkhart Bypass - Corps required 312 EPH, state required 520 EPH and 691 INT. Note incorrect CORPS permit number listed on IDEM permit.  Correct Corps number verified.  DES 1600743 and 1601943"/>
  </r>
  <r>
    <x v="181"/>
    <s v="August"/>
    <n v="2022"/>
    <x v="10"/>
    <n v="-1.27"/>
    <x v="0"/>
    <n v="101600"/>
    <n v="322"/>
    <s v="Federal"/>
    <s v="PEM"/>
    <n v="0.61199999999999999"/>
    <s v="City of Seymour"/>
    <s v="LRL-2018-970-scm"/>
    <s v="2019-382-36-TMS-A"/>
    <m/>
    <s v="Jackson"/>
    <n v="38.946480000000001"/>
    <n v="-85.887319000000005"/>
    <s v="Transportation"/>
    <m/>
    <s v="No"/>
    <m/>
    <n v="15240"/>
    <n v="71120"/>
    <n v="15240"/>
    <s v="L"/>
    <s v="J"/>
    <m/>
    <m/>
    <m/>
    <m/>
    <m/>
    <m/>
    <s v="Burkhart Bypass -Corps required 1.27 PEM -  state required 1.224 PEM and .004 FOR"/>
  </r>
  <r>
    <x v="181"/>
    <s v="August"/>
    <n v="2022"/>
    <x v="10"/>
    <n v="-691"/>
    <x v="1"/>
    <n v="276400"/>
    <n v="322"/>
    <s v="Federal"/>
    <s v="Int"/>
    <n v="691"/>
    <s v="City of Seymour"/>
    <s v="LRL-2018-970-scm"/>
    <s v="2019-382-36-TMS-A"/>
    <m/>
    <s v="Jackson"/>
    <n v="38.946480000000001"/>
    <n v="-85.887319000000005"/>
    <s v="Transportation"/>
    <m/>
    <s v="No"/>
    <m/>
    <n v="41460"/>
    <n v="193480"/>
    <n v="41460"/>
    <s v="L"/>
    <s v="J"/>
    <m/>
    <m/>
    <m/>
    <m/>
    <m/>
    <m/>
    <s v="Burkhart Bypass - Corps required 312 EPH, state required 520 EPH and 691 INT"/>
  </r>
  <r>
    <x v="181"/>
    <s v="August"/>
    <n v="2022"/>
    <x v="10"/>
    <n v="-4.0000000000000001E-3"/>
    <x v="0"/>
    <n v="320"/>
    <n v="322"/>
    <s v="Federal"/>
    <s v="PFO"/>
    <n v="1E-3"/>
    <s v="City of Seymour"/>
    <s v="LRL-2018-970-scm"/>
    <s v="2019-382-36-TMS-A"/>
    <m/>
    <s v="Jackson"/>
    <n v="38.946480000000001"/>
    <n v="-85.887319000000005"/>
    <s v="Transportation"/>
    <m/>
    <s v="No"/>
    <m/>
    <n v="48"/>
    <n v="224"/>
    <n v="48"/>
    <s v="L"/>
    <s v="J"/>
    <m/>
    <m/>
    <m/>
    <m/>
    <m/>
    <m/>
    <s v="Burkhart Bypass -Corps required 1.27 PEM -  state required 1.224 PEM and .004 FOR"/>
  </r>
  <r>
    <x v="182"/>
    <s v="August"/>
    <n v="2022"/>
    <x v="6"/>
    <n v="-0.23"/>
    <x v="0"/>
    <n v="27600"/>
    <n v="300"/>
    <s v="Federal"/>
    <s v="PEM"/>
    <n v="0.23"/>
    <s v="AEP"/>
    <s v="LRE-2012-00268-120-N21"/>
    <s v="2021-693-20-JWR-A"/>
    <m/>
    <s v="Elkhart"/>
    <n v="41.693517"/>
    <n v="-85.965565999999995"/>
    <s v="Energy Production"/>
    <m/>
    <s v="No"/>
    <m/>
    <n v="4140"/>
    <n v="19320"/>
    <n v="4140"/>
    <s v="D"/>
    <s v="J"/>
    <m/>
    <m/>
    <m/>
    <m/>
    <m/>
    <m/>
    <s v="Open Water Impacts - Emergent wetland credits"/>
  </r>
  <r>
    <x v="182"/>
    <s v="August"/>
    <n v="2022"/>
    <x v="9"/>
    <n v="-275"/>
    <x v="1"/>
    <n v="123750"/>
    <n v="303"/>
    <s v="Federal"/>
    <s v="Per"/>
    <n v="229"/>
    <s v="Lennar Homes "/>
    <s v="LRL-2017-334-sjk"/>
    <s v="2021-907-29-SCF-A"/>
    <m/>
    <s v="Hamilton"/>
    <n v="40.069056000000003"/>
    <n v="-86.065216000000007"/>
    <s v="Development"/>
    <m/>
    <s v="No"/>
    <m/>
    <n v="18562.5"/>
    <n v="86625"/>
    <n v="18562.5"/>
    <s v="L"/>
    <s v="J"/>
    <m/>
    <m/>
    <m/>
    <m/>
    <m/>
    <m/>
    <s v="IDEM 229 Corps 275"/>
  </r>
  <r>
    <x v="182"/>
    <s v="August"/>
    <n v="2022"/>
    <x v="9"/>
    <n v="-0.216"/>
    <x v="0"/>
    <n v="17280"/>
    <n v="303"/>
    <s v="Federal"/>
    <s v="PFO"/>
    <n v="5.3999999999999999E-2"/>
    <s v="Lennar Homes "/>
    <s v="LRL-2017-334-sjk"/>
    <s v="2021-907-29-SCF-A"/>
    <m/>
    <s v="Hamilton"/>
    <n v="40.069056000000003"/>
    <n v="-86.065216000000007"/>
    <s v="Development"/>
    <m/>
    <s v="No"/>
    <m/>
    <n v="2592"/>
    <n v="12096"/>
    <n v="2592"/>
    <s v="L"/>
    <s v="J"/>
    <m/>
    <m/>
    <m/>
    <m/>
    <m/>
    <m/>
    <s v="IDEM .216 and Corps 0.19"/>
  </r>
  <r>
    <x v="183"/>
    <s v="August "/>
    <n v="2022"/>
    <x v="9"/>
    <n v="-98"/>
    <x v="1"/>
    <n v="44100"/>
    <n v="324"/>
    <s v="Federal"/>
    <s v="Eph"/>
    <n v="98"/>
    <s v="Hendricks County Highway Department"/>
    <s v="LRL-2019-1083-jlt"/>
    <s v="2020-294-32-ERL-A"/>
    <m/>
    <s v="Hendricks"/>
    <n v="39.651600000000002"/>
    <n v="-86.462500000000006"/>
    <s v="Transportation"/>
    <m/>
    <s v="No"/>
    <m/>
    <n v="6615"/>
    <n v="30869.999999999996"/>
    <n v="6615"/>
    <s v="L"/>
    <s v="J"/>
    <m/>
    <m/>
    <m/>
    <m/>
    <m/>
    <m/>
    <m/>
  </r>
  <r>
    <x v="184"/>
    <s v="August"/>
    <n v="2022"/>
    <x v="9"/>
    <n v="-6.0999999999999999E-2"/>
    <x v="0"/>
    <n v="4880"/>
    <n v="330"/>
    <s v="Federal"/>
    <s v="PEM"/>
    <n v="1.7999999999999999E-2"/>
    <s v="Indianapolis Department of Public Works"/>
    <s v="LRL-2019-22-sjk"/>
    <s v="2022-401-49-EKB-A"/>
    <m/>
    <s v="Marion"/>
    <n v="39.872276999999997"/>
    <n v="-86.308274999999995"/>
    <s v="Development"/>
    <m/>
    <s v="No"/>
    <m/>
    <n v="732"/>
    <n v="3416"/>
    <n v="732"/>
    <s v="L"/>
    <s v="J"/>
    <m/>
    <m/>
    <m/>
    <m/>
    <m/>
    <m/>
    <s v="Corps did not require mitigation"/>
  </r>
  <r>
    <x v="185"/>
    <s v="August"/>
    <n v="2022"/>
    <x v="5"/>
    <n v="-671"/>
    <x v="1"/>
    <n v="268400"/>
    <s v="326C"/>
    <s v="Federal"/>
    <s v="Int"/>
    <n v="671"/>
    <s v="Center Point"/>
    <s v="N/A"/>
    <s v="2022-449-82-TMS"/>
    <m/>
    <s v="Vanderburgh"/>
    <n v="38.003590000000003"/>
    <n v="-87.628496999999996"/>
    <s v="Energy Production"/>
    <m/>
    <s v="No"/>
    <m/>
    <n v="40260"/>
    <n v="187880"/>
    <n v="40260"/>
    <s v="L"/>
    <s v="J"/>
    <m/>
    <m/>
    <m/>
    <m/>
    <m/>
    <m/>
    <s v="No Corps Permit Issued"/>
  </r>
  <r>
    <x v="185"/>
    <s v="August"/>
    <n v="2022"/>
    <x v="5"/>
    <n v="-0.1"/>
    <x v="0"/>
    <n v="8000"/>
    <s v="326C"/>
    <s v="Federal"/>
    <s v="PEM"/>
    <n v="0.05"/>
    <s v="Center Point"/>
    <s v="N/A"/>
    <s v="2022-449-82-TMS"/>
    <m/>
    <s v="Vanderburgh"/>
    <n v="38.003590000000003"/>
    <n v="-87.628496999999996"/>
    <s v="Energy Production"/>
    <m/>
    <s v="No"/>
    <m/>
    <n v="1200"/>
    <n v="5600"/>
    <n v="1200"/>
    <s v="L"/>
    <s v="J"/>
    <m/>
    <m/>
    <m/>
    <m/>
    <m/>
    <m/>
    <s v="No Corps Permit Issued"/>
  </r>
  <r>
    <x v="186"/>
    <s v="August"/>
    <n v="2022"/>
    <x v="1"/>
    <n v="-40.5"/>
    <x v="1"/>
    <n v="20250"/>
    <n v="329"/>
    <s v="Federal"/>
    <s v="Per"/>
    <n v="75.5"/>
    <s v="INDOT"/>
    <s v="LRE-2022-00212-146"/>
    <s v="2022-362-46-JBT"/>
    <m/>
    <s v="LaPorte"/>
    <n v="41.317303000000003"/>
    <n v="-86.896017000000001"/>
    <s v="Transportation"/>
    <m/>
    <s v="No"/>
    <m/>
    <n v="3037.5"/>
    <n v="14175"/>
    <n v="3037.5"/>
    <s v="C"/>
    <s v="J"/>
    <m/>
    <m/>
    <m/>
    <m/>
    <m/>
    <m/>
    <s v="Corps did not require mitigation. DES 1703002"/>
  </r>
  <r>
    <x v="187"/>
    <s v="August"/>
    <n v="2022"/>
    <x v="5"/>
    <n v="-0.45"/>
    <x v="0"/>
    <n v="36000"/>
    <n v="333"/>
    <s v="Federal"/>
    <s v="PEM"/>
    <n v="0.187"/>
    <s v="INDOT"/>
    <s v="LRL-2018-840"/>
    <s v="2022-247-88-JBT"/>
    <m/>
    <s v="Vanderburgh"/>
    <n v="37.976823000000003"/>
    <n v="-87.444322999999997"/>
    <s v="Transportation"/>
    <m/>
    <s v="No"/>
    <m/>
    <n v="5400"/>
    <n v="25200"/>
    <n v="5400"/>
    <s v="L"/>
    <s v="J"/>
    <m/>
    <m/>
    <m/>
    <m/>
    <m/>
    <m/>
    <s v="INDOT DES 1400195 - Corps required 0.45 Emergent, IDEM 0.374 "/>
  </r>
  <r>
    <x v="187"/>
    <s v="August"/>
    <n v="2022"/>
    <x v="5"/>
    <n v="-310"/>
    <x v="1"/>
    <n v="124000"/>
    <n v="333"/>
    <s v="Federal"/>
    <s v="Int"/>
    <n v="766"/>
    <s v="INDOT"/>
    <s v="LRL-2018-840"/>
    <s v="2022-247-88-JBT"/>
    <m/>
    <s v="Vanderburgh"/>
    <n v="37.976823000000003"/>
    <n v="-87.444322999999997"/>
    <s v="Transportation"/>
    <m/>
    <s v="No"/>
    <m/>
    <n v="18600"/>
    <n v="86800"/>
    <n v="18600"/>
    <s v="L"/>
    <s v="J"/>
    <m/>
    <m/>
    <m/>
    <m/>
    <m/>
    <m/>
    <s v="INDOT DES 1400195 - Corps required 284, IDEM required 310"/>
  </r>
  <r>
    <x v="187"/>
    <s v="August"/>
    <n v="2022"/>
    <x v="10"/>
    <n v="-166"/>
    <x v="1"/>
    <n v="74700"/>
    <n v="334"/>
    <s v="Federal"/>
    <s v="Int"/>
    <n v="313"/>
    <s v="INDOT"/>
    <s v="LRL-2022-92-djd"/>
    <s v="2022-86-68-SCF-X"/>
    <m/>
    <s v="Randolph"/>
    <n v="40.04862"/>
    <n v="-84.968459999999993"/>
    <s v="Transportation"/>
    <m/>
    <s v="No"/>
    <m/>
    <n v="11205"/>
    <n v="52290"/>
    <n v="11205"/>
    <s v="L"/>
    <s v="J"/>
    <m/>
    <m/>
    <m/>
    <m/>
    <m/>
    <m/>
    <s v="INDOT DES 1702882, amount not in permit in email from IDEM. "/>
  </r>
  <r>
    <x v="188"/>
    <s v="September"/>
    <n v="2022"/>
    <x v="4"/>
    <n v="-0.26"/>
    <x v="0"/>
    <n v="20800"/>
    <n v="336"/>
    <s v="Federal"/>
    <s v="PEM"/>
    <n v="0.11"/>
    <s v="Duke Energy"/>
    <s v="LRL-2022-708-sjk"/>
    <s v="2022-726-79-ERL-X"/>
    <m/>
    <s v="Tippecanoe"/>
    <n v="40.432400000000001"/>
    <n v="-86.943200000000004"/>
    <s v="Transportation"/>
    <m/>
    <s v="No"/>
    <m/>
    <n v="3120"/>
    <n v="14560"/>
    <n v="3120"/>
    <s v="L"/>
    <s v="J"/>
    <m/>
    <m/>
    <m/>
    <m/>
    <m/>
    <m/>
    <m/>
  </r>
  <r>
    <x v="189"/>
    <s v="September"/>
    <n v="2022"/>
    <x v="7"/>
    <n v="-3908"/>
    <x v="1"/>
    <n v="1563200"/>
    <s v="280C"/>
    <s v="Federal"/>
    <s v="Int"/>
    <n v="1496"/>
    <s v="Harrison County"/>
    <s v="LRL-2021-30-MKD"/>
    <s v="2021-729-31-TMS-A"/>
    <m/>
    <s v="Harrison"/>
    <n v="38.293999999999997"/>
    <n v="-86.013999999999996"/>
    <s v="Transportation"/>
    <m/>
    <s v="No"/>
    <m/>
    <n v="234480"/>
    <n v="1094240"/>
    <n v="234480"/>
    <s v="L"/>
    <s v="J"/>
    <m/>
    <m/>
    <m/>
    <m/>
    <m/>
    <m/>
    <s v="INDOT DES 1702960 - Corps required more ILF mitigation credits than IDEM"/>
  </r>
  <r>
    <x v="190"/>
    <s v="September"/>
    <n v="2022"/>
    <x v="7"/>
    <n v="-576"/>
    <x v="1"/>
    <n v="230400"/>
    <n v="338"/>
    <s v="Federal"/>
    <s v="Eph"/>
    <n v="1554"/>
    <s v="Clark County Board of Commissioners (Landfill)"/>
    <s v="LRL-2013-00374"/>
    <s v="2021-189-10-TMS-A"/>
    <m/>
    <s v="Clark"/>
    <n v="38.457000000000001"/>
    <n v="-85.847740000000002"/>
    <s v="Development"/>
    <m/>
    <s v="No"/>
    <m/>
    <n v="34560"/>
    <n v="161280"/>
    <n v="34560"/>
    <s v="L"/>
    <m/>
    <m/>
    <m/>
    <m/>
    <m/>
    <m/>
    <m/>
    <s v="Purchase 1 of 7 scheduled credit purchases per the 404 and 401"/>
  </r>
  <r>
    <x v="190"/>
    <s v="September"/>
    <n v="2022"/>
    <x v="7"/>
    <n v="-1.3"/>
    <x v="0"/>
    <n v="104000"/>
    <n v="338"/>
    <s v="Federal"/>
    <s v="PEM"/>
    <n v="1.59"/>
    <s v="Clark County Board of Commissioners (Landfill)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m/>
    <m/>
    <m/>
    <m/>
    <m/>
    <m/>
    <m/>
    <s v="Purchase 1 of 7 scheduled credit purchases per the 404 and 401"/>
  </r>
  <r>
    <x v="191"/>
    <s v="September"/>
    <n v="2022"/>
    <x v="3"/>
    <n v="-37.549999999999997"/>
    <x v="1"/>
    <n v="16898"/>
    <n v="332"/>
    <s v="Federal"/>
    <s v="Per"/>
    <n v="37.549999999999997"/>
    <s v="Steuben County Highway Department"/>
    <s v="LRE-2021-00264-176"/>
    <s v="2021-129-76-WRH-A"/>
    <m/>
    <s v="Steuben"/>
    <n v="41.645215999999998"/>
    <n v="-84.840986000000001"/>
    <s v="Transportation"/>
    <m/>
    <s v="No"/>
    <m/>
    <n v="2534.6999999999998"/>
    <n v="11828.599999999999"/>
    <n v="2534.6999999999998"/>
    <s v="D"/>
    <s v="J"/>
    <m/>
    <m/>
    <m/>
    <m/>
    <m/>
    <m/>
    <m/>
  </r>
  <r>
    <x v="191"/>
    <s v="September"/>
    <n v="2022"/>
    <x v="7"/>
    <n v="-150"/>
    <x v="1"/>
    <n v="60000"/>
    <n v="335"/>
    <s v="Federal"/>
    <s v="Eph"/>
    <n v="250"/>
    <s v="Clayton Properties"/>
    <s v="LRL-2021-949-MKD"/>
    <s v="2022-430-22-JWR-A"/>
    <m/>
    <s v="Floyd"/>
    <n v="38.313028000000003"/>
    <n v="-85.902213000000003"/>
    <s v="Development"/>
    <m/>
    <s v="No"/>
    <m/>
    <n v="9000"/>
    <n v="42000"/>
    <n v="9000"/>
    <s v="L"/>
    <s v="J"/>
    <m/>
    <m/>
    <m/>
    <m/>
    <m/>
    <m/>
    <m/>
  </r>
  <r>
    <x v="191"/>
    <s v="September"/>
    <n v="2022"/>
    <x v="7"/>
    <n v="-600"/>
    <x v="1"/>
    <n v="240000"/>
    <n v="335"/>
    <s v="Federal"/>
    <s v="Int"/>
    <n v="434"/>
    <s v="Clayton Properties"/>
    <s v="LRL-2021-949-MKD"/>
    <s v="2022-430-22-JWR-A"/>
    <m/>
    <s v="Floyd"/>
    <n v="38.313028000000003"/>
    <n v="-85.902213000000003"/>
    <s v="Development"/>
    <m/>
    <s v="No"/>
    <m/>
    <n v="36000"/>
    <n v="168000"/>
    <n v="36000"/>
    <s v="L"/>
    <s v="J"/>
    <m/>
    <m/>
    <m/>
    <m/>
    <m/>
    <m/>
    <m/>
  </r>
  <r>
    <x v="191"/>
    <s v="September"/>
    <n v="2022"/>
    <x v="7"/>
    <n v="-4.1000000000000002E-2"/>
    <x v="0"/>
    <n v="3280"/>
    <n v="335"/>
    <s v="Federal"/>
    <s v="PEM"/>
    <n v="1.6E-2"/>
    <s v="Clayton Properties"/>
    <s v="LRL-2021-949-MKD"/>
    <s v="2022-430-22-JWR-A"/>
    <m/>
    <s v="Floyd"/>
    <n v="38.313028000000003"/>
    <n v="-85.902213000000003"/>
    <s v="Development"/>
    <m/>
    <s v="No"/>
    <m/>
    <n v="492"/>
    <n v="2296"/>
    <n v="492"/>
    <s v="L"/>
    <s v="J"/>
    <m/>
    <m/>
    <m/>
    <m/>
    <m/>
    <m/>
    <m/>
  </r>
  <r>
    <x v="191"/>
    <s v="September"/>
    <n v="2022"/>
    <x v="7"/>
    <n v="-5.8999999999999997E-2"/>
    <x v="0"/>
    <n v="4720"/>
    <n v="335"/>
    <s v="Federal"/>
    <s v="PSS"/>
    <n v="0.02"/>
    <s v="Clayton Properties"/>
    <s v="LRL-2021-949-MKD"/>
    <s v="2022-430-22-JWR-A"/>
    <m/>
    <s v="Floyd"/>
    <n v="38.313028000000003"/>
    <n v="-85.902213000000003"/>
    <s v="Development"/>
    <m/>
    <s v="No"/>
    <m/>
    <n v="708"/>
    <n v="3304"/>
    <n v="708"/>
    <s v="L"/>
    <s v="J"/>
    <m/>
    <m/>
    <m/>
    <m/>
    <m/>
    <m/>
    <m/>
  </r>
  <r>
    <x v="191"/>
    <s v="September"/>
    <n v="2022"/>
    <x v="9"/>
    <n v="-0.34100000000000003"/>
    <x v="0"/>
    <n v="27280"/>
    <s v="86C"/>
    <s v="State Isolated"/>
    <s v="PEM"/>
    <n v="0.34100000000000003"/>
    <s v="The Club at Holiday Farms, LLP"/>
    <s v="N/A"/>
    <s v="IWIP 2018-728-06-JMK"/>
    <m/>
    <s v="Boone"/>
    <n v="39.983576999999997"/>
    <n v="-86.265264999999999"/>
    <s v="Development"/>
    <m/>
    <s v="No"/>
    <m/>
    <n v="4092"/>
    <n v="19096"/>
    <n v="4092"/>
    <s v="L"/>
    <s v="SI"/>
    <s v="1 NF"/>
    <m/>
    <m/>
    <m/>
    <m/>
    <m/>
    <s v="Revised Permit and Invoice - new invoice 86C 0 Class I Non-Forested (PEM)"/>
  </r>
  <r>
    <x v="191"/>
    <s v="September"/>
    <n v="2022"/>
    <x v="9"/>
    <n v="-0.51500000000000001"/>
    <x v="0"/>
    <n v="41200"/>
    <s v="86C"/>
    <s v="State Isolated"/>
    <s v="PFO"/>
    <n v="0.25700000000000001"/>
    <s v="The Club at Holiday Farms, LLP"/>
    <s v="N/A"/>
    <s v="IWIP 2018-728-06-JMK"/>
    <m/>
    <s v="Boone"/>
    <n v="39.983576999999997"/>
    <n v="-86.265264999999999"/>
    <s v="Development"/>
    <m/>
    <s v="No"/>
    <m/>
    <n v="6180"/>
    <n v="28839.999999999996"/>
    <n v="6180"/>
    <s v="L"/>
    <s v="SI"/>
    <s v="2 FO"/>
    <m/>
    <m/>
    <m/>
    <m/>
    <m/>
    <s v="Revised Permit and Invoice - new invoice 86C- Class II Forested - Revised amount"/>
  </r>
  <r>
    <x v="191"/>
    <s v="September"/>
    <n v="2022"/>
    <x v="9"/>
    <n v="-1309"/>
    <x v="1"/>
    <n v="589050"/>
    <s v="86C"/>
    <s v="Federal"/>
    <s v="Int"/>
    <n v="1091"/>
    <s v="The Club at Holiday Farms, LLP"/>
    <s v="LRL-2017-1101-lcl"/>
    <s v="2018-728-06-JMK-A"/>
    <m/>
    <s v="Boone"/>
    <n v="39.983576999999997"/>
    <n v="-86.265264999999999"/>
    <s v="Development"/>
    <m/>
    <s v="No"/>
    <m/>
    <n v="88357.5"/>
    <n v="412335"/>
    <n v="88357.5"/>
    <s v="L"/>
    <s v="J"/>
    <m/>
    <m/>
    <m/>
    <m/>
    <m/>
    <m/>
    <s v="Revised Permit and Invoice - new invoice 86C- Revised Permit - 401 Requirements same as the Corps"/>
  </r>
  <r>
    <x v="191"/>
    <s v="September"/>
    <n v="2022"/>
    <x v="9"/>
    <n v="-2.87"/>
    <x v="0"/>
    <n v="229600"/>
    <s v="86C"/>
    <s v="Federal"/>
    <s v="PFO"/>
    <n v="1.64"/>
    <s v="The Club at Holiday Farms, LLP"/>
    <s v="LRL-2017-1101-lcl"/>
    <s v="2018-728-06-JMK-A"/>
    <m/>
    <s v="Boone"/>
    <n v="39.983576999999997"/>
    <n v="-86.265264999999999"/>
    <s v="Development"/>
    <m/>
    <s v="No"/>
    <m/>
    <n v="34440"/>
    <n v="160720"/>
    <n v="34440"/>
    <s v="L"/>
    <s v="J"/>
    <m/>
    <m/>
    <m/>
    <m/>
    <m/>
    <m/>
    <s v="Revised Permit and Invoice - new invoice 86C- Revised Permit - 401 Requirements same as the Corps"/>
  </r>
  <r>
    <x v="191"/>
    <s v="September"/>
    <n v="2022"/>
    <x v="9"/>
    <n v="-2.161"/>
    <x v="0"/>
    <n v="172880"/>
    <n v="337"/>
    <s v="Federal"/>
    <s v="PSS"/>
    <n v="0.76400000000000001"/>
    <s v="Pulte Homes of Indiana"/>
    <s v="LRL-2022-467"/>
    <s v="2022-411-32"/>
    <m/>
    <s v="Hendricks"/>
    <n v="39.667650000000002"/>
    <n v="-86.410212999999999"/>
    <s v="Development"/>
    <m/>
    <s v="No"/>
    <m/>
    <n v="25932"/>
    <n v="121015.99999999999"/>
    <n v="25932"/>
    <s v="L"/>
    <s v="J"/>
    <m/>
    <m/>
    <m/>
    <m/>
    <m/>
    <m/>
    <s v="IDEM Required 2.161, Corps 1.82"/>
  </r>
  <r>
    <x v="192"/>
    <s v="September"/>
    <n v="2022"/>
    <x v="7"/>
    <n v="-1.1000000000000001"/>
    <x v="0"/>
    <n v="88000"/>
    <n v="346"/>
    <s v="Federal"/>
    <s v="PEM"/>
    <n v="0.629"/>
    <s v="New Albany Senior Partners, LLC"/>
    <s v="LRL-2017-94-MKD"/>
    <s v="2022-471-22-TMS-A"/>
    <m/>
    <s v="Floyd"/>
    <n v="38.358026000000002"/>
    <n v="-85.815745000000007"/>
    <s v="Development"/>
    <m/>
    <s v="No"/>
    <m/>
    <n v="13200"/>
    <n v="61599.999999999993"/>
    <n v="13200"/>
    <s v="L"/>
    <s v="J"/>
    <m/>
    <m/>
    <m/>
    <m/>
    <m/>
    <m/>
    <m/>
  </r>
  <r>
    <x v="192"/>
    <s v="September"/>
    <n v="2022"/>
    <x v="7"/>
    <n v="-74.400000000000006"/>
    <x v="1"/>
    <n v="29760.000000000004"/>
    <n v="346"/>
    <s v="Federal"/>
    <s v="Eph"/>
    <n v="124"/>
    <s v="New Albany Senior Partners, LLC"/>
    <s v="LRL-2017-94-MKD"/>
    <s v="2022-471-22-TMS-A"/>
    <m/>
    <s v="Floyd"/>
    <n v="38.358026000000002"/>
    <n v="-85.815745000000007"/>
    <s v="Development"/>
    <m/>
    <s v="No"/>
    <m/>
    <n v="4464"/>
    <n v="20832"/>
    <n v="4464"/>
    <s v="L"/>
    <s v="J"/>
    <m/>
    <m/>
    <m/>
    <m/>
    <m/>
    <m/>
    <m/>
  </r>
  <r>
    <x v="193"/>
    <s v="September"/>
    <n v="2022"/>
    <x v="9"/>
    <n v="-0.15"/>
    <x v="0"/>
    <n v="12000"/>
    <n v="340"/>
    <s v="State Isolated"/>
    <s v="PFO"/>
    <n v="0.15"/>
    <s v="Browning Investment, Inc."/>
    <s v="N/A"/>
    <s v="IWIP 2022-549-32-ERL-A"/>
    <m/>
    <s v="Hendricks"/>
    <n v="39.852600000000002"/>
    <n v="-86.418139999999994"/>
    <s v="Development"/>
    <m/>
    <s v="No"/>
    <m/>
    <n v="1800"/>
    <n v="8400"/>
    <n v="1800"/>
    <s v="L"/>
    <s v="SI"/>
    <s v="3 FO"/>
    <m/>
    <m/>
    <m/>
    <m/>
    <m/>
    <m/>
  </r>
  <r>
    <x v="194"/>
    <s v="October"/>
    <n v="2022"/>
    <x v="1"/>
    <n v="-2.2000000000000002"/>
    <x v="0"/>
    <n v="209000"/>
    <n v="347"/>
    <s v="State Isolated"/>
    <s v="PEM"/>
    <n v="2.2000000000000002"/>
    <s v="CDS Mixers &amp; Parts"/>
    <s v="N/A"/>
    <s v="IWIP 2022-871-50-SCF-A"/>
    <m/>
    <s v="Marshall"/>
    <n v="41.364803999999999"/>
    <n v="-86.319647000000003"/>
    <s v="Development"/>
    <m/>
    <s v="No"/>
    <m/>
    <n v="31350"/>
    <n v="146300"/>
    <n v="31350"/>
    <s v="D"/>
    <s v="SI"/>
    <s v="2 NF"/>
    <m/>
    <m/>
    <m/>
    <m/>
    <m/>
    <m/>
  </r>
  <r>
    <x v="194"/>
    <s v="October"/>
    <n v="2022"/>
    <x v="9"/>
    <n v="-0.499"/>
    <x v="0"/>
    <n v="39320"/>
    <n v="327"/>
    <s v="Federal"/>
    <s v="PEM"/>
    <n v="0.499"/>
    <s v="City of Noblesville"/>
    <s v="LRL-2022-108-sjk"/>
    <s v="2022-444-29-EJW-A"/>
    <m/>
    <s v="Hamilton"/>
    <n v="40.090819000000003"/>
    <n v="-86.071279000000004"/>
    <s v="Transportation"/>
    <m/>
    <s v="No"/>
    <m/>
    <n v="5898"/>
    <n v="27524"/>
    <n v="5898"/>
    <s v="L"/>
    <s v="J"/>
    <m/>
    <m/>
    <m/>
    <m/>
    <m/>
    <m/>
    <s v="Corps did not require mitigation"/>
  </r>
  <r>
    <x v="195"/>
    <s v="October"/>
    <n v="2022"/>
    <x v="0"/>
    <n v="-0.40649999999999997"/>
    <x v="0"/>
    <n v="38617.51"/>
    <n v="349"/>
    <s v="State Isolated"/>
    <s v="PEM"/>
    <n v="0.27100000000000002"/>
    <s v="Maple Leaf Crossing, LLC"/>
    <s v="N/A"/>
    <s v="IWIP 2022-689-45-MTM-A"/>
    <m/>
    <s v="Lake"/>
    <n v="41.543187000000003"/>
    <n v="-87.511863000000005"/>
    <s v="Development"/>
    <m/>
    <s v="No"/>
    <m/>
    <n v="5792.63"/>
    <n v="27032.25"/>
    <n v="5792.63"/>
    <s v="C"/>
    <s v="SI"/>
    <s v="2 NF"/>
    <m/>
    <m/>
    <m/>
    <m/>
    <m/>
    <m/>
  </r>
  <r>
    <x v="196"/>
    <s v="November "/>
    <n v="2022"/>
    <x v="0"/>
    <n v="-1.39"/>
    <x v="0"/>
    <n v="132050"/>
    <n v="331"/>
    <s v="State Isolated"/>
    <s v="PEM"/>
    <n v="0.86"/>
    <s v="VJW Basin, Inc."/>
    <s v="N/A"/>
    <s v="IWIP 2019-871-64-MTM-A"/>
    <m/>
    <s v="Porter"/>
    <n v="41.496250000000003"/>
    <n v="-87.080566000000005"/>
    <s v="Development"/>
    <m/>
    <s v="No"/>
    <m/>
    <n v="19807.5"/>
    <n v="92435"/>
    <n v="19807.5"/>
    <s v="C"/>
    <s v="SI"/>
    <s v="2 NF"/>
    <m/>
    <m/>
    <m/>
    <m/>
    <m/>
    <m/>
  </r>
  <r>
    <x v="196"/>
    <s v="November "/>
    <n v="2022"/>
    <x v="0"/>
    <n v="-418"/>
    <x v="1"/>
    <n v="250800"/>
    <n v="331"/>
    <s v="Federal"/>
    <s v="Per"/>
    <n v="275"/>
    <s v="VJW Basin, Inc."/>
    <s v="LRC-2018-217"/>
    <s v="2019-871-64-MTM-A"/>
    <m/>
    <s v="Porter"/>
    <n v="41.496250000000003"/>
    <n v="-87.080566000000005"/>
    <s v="Development"/>
    <m/>
    <s v="No"/>
    <m/>
    <n v="37620"/>
    <n v="175560"/>
    <n v="37620"/>
    <s v="C"/>
    <m/>
    <m/>
    <m/>
    <m/>
    <m/>
    <m/>
    <m/>
    <m/>
  </r>
  <r>
    <x v="196"/>
    <s v="November "/>
    <n v="2022"/>
    <x v="5"/>
    <n v="-58"/>
    <x v="1"/>
    <n v="23200"/>
    <n v="342"/>
    <s v="Federal"/>
    <s v="Int"/>
    <n v="56"/>
    <s v="CenterPoint Energy Indiana South"/>
    <s v="N/A"/>
    <s v="2022-795-82-TMS-X"/>
    <m/>
    <s v="Vanderburgh"/>
    <n v="38.012479999999996"/>
    <n v="-87.640253999999999"/>
    <s v="Energy Production"/>
    <m/>
    <s v="No"/>
    <m/>
    <n v="3480"/>
    <n v="16239.999999999998"/>
    <n v="3480"/>
    <s v="L"/>
    <s v="J"/>
    <m/>
    <m/>
    <m/>
    <m/>
    <m/>
    <m/>
    <s v="NWP - Corps did not require mitigation - No Corps 404 No."/>
  </r>
  <r>
    <x v="196"/>
    <s v="November "/>
    <n v="2022"/>
    <x v="8"/>
    <n v="-210"/>
    <x v="1"/>
    <n v="84000"/>
    <n v="350"/>
    <s v="Federal"/>
    <s v="Int"/>
    <n v="175"/>
    <s v="INDOT"/>
    <s v="LRL-2022-285-djd"/>
    <s v="2022-556-08-JBT-A"/>
    <m/>
    <s v="Carroll"/>
    <n v="40.464647999999997"/>
    <n v="-86.636566000000002"/>
    <s v="Transportation"/>
    <m/>
    <s v="No"/>
    <m/>
    <n v="12600"/>
    <n v="58799.999999999993"/>
    <n v="12600"/>
    <s v="L"/>
    <s v="J"/>
    <m/>
    <m/>
    <m/>
    <m/>
    <m/>
    <m/>
    <m/>
  </r>
  <r>
    <x v="196"/>
    <s v="November "/>
    <n v="2022"/>
    <x v="8"/>
    <n v="-66"/>
    <x v="1"/>
    <n v="26400"/>
    <n v="350"/>
    <s v="Federal"/>
    <s v="Per"/>
    <n v="101"/>
    <s v="INDOT"/>
    <s v="LRL-2022-285-djd"/>
    <s v="2022-556-08-JBT-A"/>
    <m/>
    <s v="Carroll"/>
    <n v="40.464647999999997"/>
    <n v="-86.636566000000002"/>
    <s v="Transportation"/>
    <m/>
    <s v="No"/>
    <m/>
    <n v="3960"/>
    <n v="18480"/>
    <n v="3960"/>
    <s v="L"/>
    <s v="J"/>
    <m/>
    <m/>
    <m/>
    <m/>
    <m/>
    <m/>
    <m/>
  </r>
  <r>
    <x v="196"/>
    <s v="November "/>
    <n v="2022"/>
    <x v="8"/>
    <n v="-0.18"/>
    <x v="0"/>
    <n v="14400"/>
    <n v="350"/>
    <s v="Federal"/>
    <s v="PEM"/>
    <n v="7.5999999999999998E-2"/>
    <s v="INDOT"/>
    <s v="LRL-2022-285-djd"/>
    <s v="2022-556-08-JBT-A"/>
    <m/>
    <s v="Carroll"/>
    <n v="40.464647999999997"/>
    <n v="-86.636566000000002"/>
    <s v="Transportation"/>
    <m/>
    <s v="No"/>
    <m/>
    <n v="2160"/>
    <n v="10080"/>
    <n v="2160"/>
    <s v="L"/>
    <s v="J"/>
    <m/>
    <m/>
    <m/>
    <m/>
    <m/>
    <m/>
    <m/>
  </r>
  <r>
    <x v="196"/>
    <s v="November "/>
    <n v="2022"/>
    <x v="8"/>
    <n v="-0.14000000000000001"/>
    <x v="0"/>
    <n v="11200"/>
    <n v="350"/>
    <s v="Federal"/>
    <s v="PFO"/>
    <n v="0.04"/>
    <s v="INDOT"/>
    <s v="LRL-2022-285-djd"/>
    <s v="2022-556-08-JBT-A"/>
    <m/>
    <s v="Carroll"/>
    <n v="40.464647999999997"/>
    <n v="-86.636566000000002"/>
    <s v="Transportation"/>
    <m/>
    <s v="No"/>
    <m/>
    <n v="1680"/>
    <n v="7839.9999999999991"/>
    <n v="1680"/>
    <s v="L"/>
    <s v="J"/>
    <m/>
    <m/>
    <m/>
    <m/>
    <m/>
    <m/>
    <m/>
  </r>
  <r>
    <x v="196"/>
    <s v="November "/>
    <n v="2022"/>
    <x v="10"/>
    <n v="-1.431"/>
    <x v="0"/>
    <n v="114480"/>
    <n v="341"/>
    <s v="State Isolated"/>
    <s v="PEM"/>
    <n v="0.95399999999999996"/>
    <s v="Lennar Homes of Indiana "/>
    <s v="N/A"/>
    <s v="IWIP 2022-681-41-JWR-A"/>
    <m/>
    <s v="Johnson"/>
    <n v="39.591644000000002"/>
    <n v="-86.077051999999995"/>
    <s v="Development"/>
    <m/>
    <s v="No"/>
    <m/>
    <n v="17172"/>
    <n v="80136"/>
    <n v="17172"/>
    <s v="L"/>
    <s v="SI"/>
    <s v="2 NF"/>
    <m/>
    <m/>
    <m/>
    <m/>
    <m/>
    <m/>
  </r>
  <r>
    <x v="196"/>
    <s v="November "/>
    <n v="2022"/>
    <x v="10"/>
    <n v="-0.13400000000000001"/>
    <x v="0"/>
    <n v="10720"/>
    <n v="341"/>
    <s v="State Isolated"/>
    <s v="PFO"/>
    <n v="6.7000000000000004E-2"/>
    <s v="Lennar Homes of Indiana "/>
    <s v="N/A"/>
    <s v="IWIP 2022-681-41-JWR-A"/>
    <m/>
    <s v="Johnson"/>
    <n v="39.591644000000002"/>
    <n v="-86.077051999999995"/>
    <s v="Development"/>
    <m/>
    <s v="No"/>
    <m/>
    <n v="1608"/>
    <n v="7503.9999999999991"/>
    <n v="1608"/>
    <s v="L"/>
    <s v="SI"/>
    <s v="2 FO"/>
    <m/>
    <m/>
    <m/>
    <m/>
    <m/>
    <m/>
  </r>
  <r>
    <x v="197"/>
    <s v="November "/>
    <n v="2022"/>
    <x v="7"/>
    <n v="-0.54"/>
    <x v="0"/>
    <n v="43200"/>
    <n v="354"/>
    <s v="State Isolated"/>
    <s v="PEM"/>
    <n v="0.35899999999999999"/>
    <s v="Holmans Crossing, LLC"/>
    <s v="N/A"/>
    <s v="IWIP 2022-826-10-JWR-A"/>
    <m/>
    <s v="Clark"/>
    <n v="38.328194000000003"/>
    <n v="-85.718721000000002"/>
    <s v="Development"/>
    <m/>
    <s v="No"/>
    <m/>
    <n v="6480"/>
    <n v="30239.999999999996"/>
    <n v="6480"/>
    <s v="L"/>
    <s v="SI"/>
    <s v="2 NF"/>
    <m/>
    <m/>
    <m/>
    <m/>
    <m/>
    <m/>
  </r>
  <r>
    <x v="197"/>
    <s v="November "/>
    <n v="2022"/>
    <x v="9"/>
    <n v="-1271"/>
    <x v="1"/>
    <n v="571950"/>
    <n v="339"/>
    <s v="Federal"/>
    <s v="Int"/>
    <n v="1059"/>
    <s v="Lawrence Central High School"/>
    <s v="LRL-2021-444-sjk"/>
    <s v="2022-421-49-JWR-A"/>
    <m/>
    <s v="Marion"/>
    <n v="39.859699999999997"/>
    <n v="-86.039199999999994"/>
    <s v="Development"/>
    <m/>
    <s v="No"/>
    <m/>
    <n v="85792.5"/>
    <n v="400365"/>
    <n v="85792.5"/>
    <s v="L"/>
    <s v="J"/>
    <m/>
    <m/>
    <m/>
    <m/>
    <m/>
    <m/>
    <s v="IDEM - 1059, Corps 1271"/>
  </r>
  <r>
    <x v="197"/>
    <s v="November "/>
    <n v="2022"/>
    <x v="9"/>
    <n v="-315"/>
    <x v="1"/>
    <n v="141750"/>
    <n v="339"/>
    <s v="Federal"/>
    <s v="Eph"/>
    <n v="263"/>
    <s v="Lawrence Central High School"/>
    <s v="LRL-2021-444-sjk"/>
    <s v="2022-421-49-JWR-A"/>
    <m/>
    <s v="Marion"/>
    <n v="39.859699999999997"/>
    <n v="-86.039199999999994"/>
    <s v="Development"/>
    <m/>
    <s v="No"/>
    <m/>
    <n v="21262.5"/>
    <n v="99225"/>
    <n v="21262.5"/>
    <s v="L"/>
    <s v="J"/>
    <m/>
    <m/>
    <m/>
    <m/>
    <m/>
    <m/>
    <s v="IDEM -263, Corps - 315"/>
  </r>
  <r>
    <x v="197"/>
    <s v="November "/>
    <n v="2022"/>
    <x v="9"/>
    <n v="-0.2"/>
    <x v="0"/>
    <n v="16000"/>
    <n v="352"/>
    <s v="State Isolated"/>
    <s v="PEM"/>
    <n v="0.2"/>
    <s v="Commercial Links, LLC"/>
    <s v="N/A"/>
    <s v="IWGP 2020-691-29-ALF-A"/>
    <m/>
    <s v="Hamilton"/>
    <n v="40.042999999999999"/>
    <n v="-86.161900000000003"/>
    <s v="Development"/>
    <m/>
    <s v="No"/>
    <m/>
    <n v="2400"/>
    <n v="11200"/>
    <n v="2400"/>
    <s v="L"/>
    <s v="SI"/>
    <s v="1 NF"/>
    <m/>
    <m/>
    <m/>
    <m/>
    <m/>
    <m/>
  </r>
  <r>
    <x v="198"/>
    <s v="December"/>
    <n v="2022"/>
    <x v="4"/>
    <n v="-80.5"/>
    <x v="1"/>
    <n v="32200"/>
    <n v="344"/>
    <s v="Federal"/>
    <s v="Eph"/>
    <n v="80.5"/>
    <s v="Duke Energy"/>
    <s v="LRL-2019-576-MKD "/>
    <s v="2019-559-84-ALF-A "/>
    <m/>
    <s v="Vigo"/>
    <n v="39.557079999999999"/>
    <n v="-87.438710999999998"/>
    <s v="Energy Production"/>
    <m/>
    <s v="No"/>
    <m/>
    <n v="4830"/>
    <n v="22540"/>
    <n v="4830"/>
    <s v="L"/>
    <s v="J"/>
    <m/>
    <m/>
    <m/>
    <m/>
    <m/>
    <m/>
    <s v="Corps did not require mitigation"/>
  </r>
  <r>
    <x v="198"/>
    <s v="December"/>
    <n v="2022"/>
    <x v="4"/>
    <n v="-0.53"/>
    <x v="0"/>
    <n v="42400"/>
    <n v="344"/>
    <s v="Federal"/>
    <s v="PEM"/>
    <n v="0.53"/>
    <s v="Duke Energy"/>
    <s v="LRL-2019-576-MKD "/>
    <s v="2019-559-84-ALF-A "/>
    <m/>
    <s v="Vigo"/>
    <n v="39.557079999999999"/>
    <n v="-87.438710999999998"/>
    <s v="Energy Production"/>
    <m/>
    <s v="No"/>
    <m/>
    <n v="6360"/>
    <n v="29679.999999999996"/>
    <n v="6360"/>
    <s v="L"/>
    <s v="J"/>
    <m/>
    <m/>
    <m/>
    <m/>
    <m/>
    <m/>
    <s v="Corps did not require mitigation"/>
  </r>
  <r>
    <x v="199"/>
    <s v="December"/>
    <n v="2022"/>
    <x v="3"/>
    <n v="-6.9420000000000002"/>
    <x v="0"/>
    <n v="555360"/>
    <n v="365"/>
    <s v="State Isolated"/>
    <s v="PFO"/>
    <n v="3.4710000000000001"/>
    <s v="Auburn Holdings, LLC"/>
    <s v="N/A"/>
    <s v="IWIP 2022-905-17-EJW-A"/>
    <m/>
    <s v="DeKalb"/>
    <n v="41.368189000000001"/>
    <n v="-85.079463000000004"/>
    <s v="Development"/>
    <m/>
    <s v="No"/>
    <m/>
    <n v="83304"/>
    <n v="388752"/>
    <n v="83304"/>
    <s v="D"/>
    <s v="SI"/>
    <s v="2 FO"/>
    <m/>
    <m/>
    <m/>
    <m/>
    <m/>
    <m/>
  </r>
  <r>
    <x v="200"/>
    <s v="December"/>
    <n v="2022"/>
    <x v="9"/>
    <n v="-1.875"/>
    <x v="0"/>
    <n v="150000"/>
    <n v="359"/>
    <s v="State Isolated"/>
    <s v="PFO"/>
    <n v="0.75"/>
    <s v="D.R. Horton"/>
    <s v="N/A"/>
    <s v="IWIP 2022-852-49-EKB-A"/>
    <m/>
    <s v="Marion"/>
    <n v="39.679664000000002"/>
    <n v="-86.277248"/>
    <s v="Development"/>
    <m/>
    <s v="No"/>
    <m/>
    <n v="22500"/>
    <n v="105000"/>
    <n v="22500"/>
    <s v="L"/>
    <s v="SI"/>
    <s v="3 FO"/>
    <m/>
    <m/>
    <m/>
    <m/>
    <m/>
    <m/>
  </r>
  <r>
    <x v="200"/>
    <s v="December"/>
    <n v="2022"/>
    <x v="9"/>
    <n v="-158"/>
    <x v="1"/>
    <n v="71100"/>
    <n v="359"/>
    <s v="Federal"/>
    <s v="Eph"/>
    <n v="132"/>
    <s v="D.R. Horton"/>
    <s v="LRL-2021-681-sam"/>
    <s v="2022-852-49-EKB-A"/>
    <m/>
    <s v="Marion"/>
    <n v="39.673189999999998"/>
    <n v="-86.279008000000005"/>
    <s v="Development"/>
    <m/>
    <s v="No"/>
    <m/>
    <n v="10665"/>
    <n v="49770"/>
    <n v="10665"/>
    <s v="L"/>
    <s v="J"/>
    <m/>
    <m/>
    <m/>
    <m/>
    <m/>
    <m/>
    <m/>
  </r>
  <r>
    <x v="200"/>
    <s v="December"/>
    <n v="2022"/>
    <x v="9"/>
    <n v="-0.31"/>
    <x v="0"/>
    <n v="24800"/>
    <n v="359"/>
    <s v="Federal"/>
    <s v="PEM"/>
    <n v="0.13"/>
    <s v="D.R. Horton"/>
    <s v="LRL-2021-681-sam"/>
    <s v="2022-852-49-EKB-A"/>
    <m/>
    <s v="Marion"/>
    <n v="39.673189999999998"/>
    <n v="-86.279008000000005"/>
    <s v="Development"/>
    <m/>
    <s v="No"/>
    <m/>
    <n v="3720"/>
    <n v="17360"/>
    <n v="3720"/>
    <s v="L"/>
    <s v="J"/>
    <m/>
    <m/>
    <m/>
    <m/>
    <m/>
    <m/>
    <m/>
  </r>
  <r>
    <x v="200"/>
    <s v="December"/>
    <n v="2022"/>
    <x v="9"/>
    <n v="-0.14399999999999999"/>
    <x v="0"/>
    <n v="11520"/>
    <n v="358"/>
    <s v="Federal"/>
    <s v="PFO"/>
    <n v="3.5999999999999997E-2"/>
    <s v="Hamilton County Highway Department"/>
    <s v="LRL-2022-362-sam"/>
    <s v="2022-437-29-EKB-A"/>
    <m/>
    <s v="Hamilton"/>
    <n v="40.000300000000003"/>
    <n v="-86.019300000000001"/>
    <s v="Transportation"/>
    <m/>
    <s v="No"/>
    <m/>
    <n v="1728"/>
    <n v="8063.9999999999991"/>
    <n v="1728"/>
    <s v="L"/>
    <s v="J"/>
    <m/>
    <m/>
    <m/>
    <m/>
    <m/>
    <m/>
    <m/>
  </r>
  <r>
    <x v="200"/>
    <s v="December"/>
    <n v="2022"/>
    <x v="9"/>
    <n v="-61"/>
    <x v="1"/>
    <n v="27450"/>
    <n v="358"/>
    <s v="Federal"/>
    <s v="Per"/>
    <n v="51"/>
    <s v="Hamilton County Highway Department"/>
    <s v="LRL-2022-362-sam"/>
    <s v="2022-437-29-EKB-A"/>
    <m/>
    <s v="Hamilton"/>
    <n v="40.000300000000003"/>
    <n v="-86.019300000000001"/>
    <s v="Transportation"/>
    <m/>
    <s v="No"/>
    <m/>
    <n v="4117.5"/>
    <n v="19215"/>
    <n v="4117.5"/>
    <s v="L"/>
    <s v="J"/>
    <m/>
    <m/>
    <m/>
    <m/>
    <m/>
    <m/>
    <m/>
  </r>
  <r>
    <x v="201"/>
    <s v="December"/>
    <n v="2022"/>
    <x v="4"/>
    <n v="-0.42"/>
    <x v="0"/>
    <n v="33600"/>
    <n v="360"/>
    <s v="Federal"/>
    <s v="PEM"/>
    <n v="0.36"/>
    <s v="City of Lafayette"/>
    <s v="LRL-2000-864-sam"/>
    <s v="2000-201-79-MTM-A"/>
    <m/>
    <s v="Tippecanoe"/>
    <n v="40.441000000000003"/>
    <n v="-86.885599999999997"/>
    <s v="Transportation"/>
    <m/>
    <s v="No"/>
    <m/>
    <n v="5040"/>
    <n v="23520"/>
    <n v="5040"/>
    <s v="L"/>
    <s v="J"/>
    <m/>
    <m/>
    <m/>
    <m/>
    <m/>
    <m/>
    <m/>
  </r>
  <r>
    <x v="202"/>
    <s v="December"/>
    <n v="2022"/>
    <x v="0"/>
    <n v="-0.62"/>
    <x v="0"/>
    <n v="58900"/>
    <n v="362"/>
    <s v="Federal"/>
    <s v="PEM"/>
    <n v="0.31"/>
    <s v="INDOT"/>
    <s v="LRC-2022-00418"/>
    <s v="2022-1052-64-JBT-X"/>
    <m/>
    <s v="Porter"/>
    <n v="41.616900000000001"/>
    <n v="-87.041520000000006"/>
    <s v="Transportation"/>
    <m/>
    <s v="No"/>
    <m/>
    <n v="8835"/>
    <n v="41230"/>
    <n v="8835"/>
    <s v="C"/>
    <s v="J"/>
    <m/>
    <m/>
    <m/>
    <m/>
    <m/>
    <m/>
    <s v="IDEM required more mitgation than the Corps"/>
  </r>
  <r>
    <x v="202"/>
    <s v="December"/>
    <n v="2022"/>
    <x v="7"/>
    <n v="-1370"/>
    <x v="1"/>
    <n v="548000"/>
    <n v="364"/>
    <s v="Federal"/>
    <s v="Per"/>
    <n v="1370"/>
    <s v="INDOT"/>
    <s v="LRL-2022-223-scm"/>
    <s v="2022-477-78-SCF-A"/>
    <m/>
    <s v="Switzerland"/>
    <n v="38.792222000000002"/>
    <n v="-84.902221999999995"/>
    <s v="Transportation"/>
    <m/>
    <s v="No"/>
    <m/>
    <n v="82200"/>
    <n v="383600"/>
    <n v="82200"/>
    <s v="L"/>
    <s v="J"/>
    <m/>
    <m/>
    <m/>
    <m/>
    <m/>
    <m/>
    <s v="Corps did not require mitigation"/>
  </r>
  <r>
    <x v="202"/>
    <s v="December"/>
    <n v="2022"/>
    <x v="8"/>
    <n v="-50"/>
    <x v="1"/>
    <n v="20000"/>
    <n v="355"/>
    <s v="Federal"/>
    <s v="Eph"/>
    <n v="50"/>
    <s v="INDOT"/>
    <s v="LRL-2021-608-djd"/>
    <s v="2022-482-27-SCF-A"/>
    <m/>
    <s v="Grant"/>
    <n v="40.449575000000003"/>
    <n v="-85.546802999999997"/>
    <s v="Transportation"/>
    <m/>
    <s v="No"/>
    <m/>
    <n v="3000"/>
    <n v="14000"/>
    <n v="3000"/>
    <s v="L"/>
    <s v="J"/>
    <m/>
    <m/>
    <m/>
    <m/>
    <m/>
    <m/>
    <m/>
  </r>
  <r>
    <x v="202"/>
    <s v="December"/>
    <n v="2022"/>
    <x v="9"/>
    <n v="-50"/>
    <x v="1"/>
    <n v="22500"/>
    <n v="363"/>
    <s v="Federal"/>
    <s v="Per"/>
    <n v="50"/>
    <s v="INDOT"/>
    <s v="LRL-2022-749-scm"/>
    <s v="2022-836-55-JBT-A"/>
    <m/>
    <s v="Morgan"/>
    <n v="39.566926000000002"/>
    <n v="-86.255801000000005"/>
    <s v="Transportation"/>
    <m/>
    <s v="No"/>
    <m/>
    <n v="3375"/>
    <n v="15749.999999999998"/>
    <n v="3375"/>
    <s v="L"/>
    <s v="J"/>
    <m/>
    <m/>
    <m/>
    <m/>
    <m/>
    <m/>
    <m/>
  </r>
  <r>
    <x v="202"/>
    <s v="December"/>
    <n v="2022"/>
    <x v="9"/>
    <n v="-1.46"/>
    <x v="0"/>
    <n v="116800"/>
    <n v="363"/>
    <s v="Federal"/>
    <s v="PEM"/>
    <n v="0.60499999999999998"/>
    <s v="INDOT"/>
    <s v="LRL-2022-749-scm"/>
    <s v="2022-836-55-JBT-A"/>
    <m/>
    <s v="Morgan"/>
    <n v="39.566926000000002"/>
    <n v="-86.255801000000005"/>
    <s v="Transportation"/>
    <m/>
    <s v="No"/>
    <m/>
    <n v="17520"/>
    <n v="81760"/>
    <n v="17520"/>
    <s v="L"/>
    <s v="J"/>
    <m/>
    <m/>
    <m/>
    <m/>
    <m/>
    <m/>
    <m/>
  </r>
  <r>
    <x v="202"/>
    <s v="December"/>
    <n v="2022"/>
    <x v="9"/>
    <n v="-1.004"/>
    <x v="0"/>
    <n v="80320"/>
    <n v="363"/>
    <s v="Federal"/>
    <s v="PFO"/>
    <n v="0.251"/>
    <s v="INDOT"/>
    <s v="LRL-2022-749-scm"/>
    <s v="2022-836-55-JBT-A"/>
    <m/>
    <s v="Morgan"/>
    <n v="39.566926000000002"/>
    <n v="-86.255801000000005"/>
    <s v="Transportation"/>
    <m/>
    <s v="No"/>
    <m/>
    <n v="12048"/>
    <n v="56224"/>
    <n v="12048"/>
    <s v="L"/>
    <s v="J"/>
    <m/>
    <m/>
    <m/>
    <m/>
    <m/>
    <m/>
    <m/>
  </r>
  <r>
    <x v="202"/>
    <s v="December"/>
    <n v="2022"/>
    <x v="10"/>
    <n v="-110"/>
    <x v="1"/>
    <n v="44000"/>
    <n v="357"/>
    <s v="Federal"/>
    <s v="Per"/>
    <n v="110"/>
    <s v="INDOT"/>
    <s v="LRL-2022-869-djd"/>
    <s v="2022-965-15-JBT-X"/>
    <m/>
    <s v="Dearborn"/>
    <n v="39.280039000000002"/>
    <n v="-84.874027999999996"/>
    <s v="Transportation"/>
    <m/>
    <s v="No"/>
    <m/>
    <n v="6600"/>
    <n v="30799.999999999996"/>
    <n v="6600"/>
    <s v="L"/>
    <s v="J"/>
    <m/>
    <m/>
    <m/>
    <m/>
    <m/>
    <m/>
    <s v="Corps did not require mitigation"/>
  </r>
  <r>
    <x v="12"/>
    <m/>
    <m/>
    <x v="11"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03"/>
    <s v="January"/>
    <n v="2023"/>
    <x v="9"/>
    <n v="-330.5"/>
    <x v="1"/>
    <n v="148725"/>
    <n v="356"/>
    <s v="Federal"/>
    <s v="Per"/>
    <n v="330.5"/>
    <s v="City of Noblesville"/>
    <s v="LRL-2020-699-sjk"/>
    <s v="2021-0428-29-JBT-A"/>
    <m/>
    <s v="Hamilton"/>
    <n v="40.040700000000001"/>
    <n v="-86.025099999999995"/>
    <s v="Transportation"/>
    <m/>
    <s v="No"/>
    <m/>
    <n v="22308.75"/>
    <n v="104107.5"/>
    <n v="22308.75"/>
    <s v="L"/>
    <s v="J"/>
    <m/>
    <m/>
    <m/>
    <m/>
    <m/>
    <m/>
    <s v="Corps did not require mitigation"/>
  </r>
  <r>
    <x v="204"/>
    <s v="January"/>
    <n v="2023"/>
    <x v="0"/>
    <n v="-0.15"/>
    <x v="0"/>
    <n v="14250"/>
    <n v="367"/>
    <s v="State Isolated"/>
    <s v="PFO"/>
    <n v="0.14699999999999999"/>
    <s v="ANR Pipeline Company"/>
    <s v="N/A"/>
    <s v="IWIP 2022-1040-46-MTM-A"/>
    <m/>
    <s v="LaPorte"/>
    <n v="41.653461"/>
    <n v="-86.894983999999994"/>
    <s v="Energy Production"/>
    <m/>
    <s v="No"/>
    <m/>
    <n v="2137.5"/>
    <n v="9975"/>
    <n v="2137.5"/>
    <s v="C"/>
    <s v="SI"/>
    <s v="2 FO"/>
    <m/>
    <m/>
    <m/>
    <m/>
    <m/>
    <m/>
  </r>
  <r>
    <x v="205"/>
    <s v="February"/>
    <n v="2023"/>
    <x v="9"/>
    <n v="-0.02"/>
    <x v="0"/>
    <n v="1600"/>
    <n v="292"/>
    <s v="State Isolated"/>
    <s v="PEM"/>
    <n v="0.02"/>
    <s v="Strategic Capital Partners, LLC"/>
    <s v="N/A"/>
    <s v="IWGP 2021-327-06-ERL-A"/>
    <m/>
    <s v="Boone"/>
    <n v="39.954666000000003"/>
    <n v="-86.358998999999997"/>
    <s v="Development"/>
    <m/>
    <s v="No"/>
    <m/>
    <n v="240"/>
    <n v="1120"/>
    <n v="240"/>
    <s v="L"/>
    <s v="SI"/>
    <s v="1 NF"/>
    <m/>
    <m/>
    <m/>
    <m/>
    <m/>
    <m/>
  </r>
  <r>
    <x v="206"/>
    <s v="February"/>
    <n v="2023"/>
    <x v="0"/>
    <n v="-2"/>
    <x v="0"/>
    <n v="190000"/>
    <n v="316"/>
    <s v="Federal"/>
    <s v="PEM"/>
    <n v="2"/>
    <s v="USACE Chicago District"/>
    <s v="N/A"/>
    <s v="2004-354-45-MTM-A"/>
    <m/>
    <s v="Lake"/>
    <n v="-87.417884000000001"/>
    <n v="41.560015999999997"/>
    <s v="Dam"/>
    <m/>
    <s v="No"/>
    <m/>
    <n v="28500"/>
    <n v="133000"/>
    <n v="28500"/>
    <s v="C"/>
    <s v="J"/>
    <m/>
    <m/>
    <m/>
    <m/>
    <m/>
    <m/>
    <s v="401 Modification"/>
  </r>
  <r>
    <x v="207"/>
    <s v="February"/>
    <n v="2023"/>
    <x v="5"/>
    <n v="-151"/>
    <x v="1"/>
    <n v="60400"/>
    <n v="343"/>
    <s v="Federal"/>
    <s v="Int"/>
    <n v="126"/>
    <s v="Evansville Water and Sewer Utility"/>
    <s v="LRL-2021-00537"/>
    <s v="2022-552-82-TMS-A"/>
    <m/>
    <s v="Vanderburg"/>
    <n v="38.010286000000001"/>
    <n v="-87.548895999999999"/>
    <s v="Energy Production"/>
    <m/>
    <s v="No"/>
    <m/>
    <n v="9060"/>
    <n v="42280"/>
    <n v="9060"/>
    <s v="L"/>
    <s v="J"/>
    <m/>
    <m/>
    <m/>
    <m/>
    <m/>
    <m/>
    <s v="Corps required more mitigation than IDEM"/>
  </r>
  <r>
    <x v="207"/>
    <s v="February"/>
    <n v="2023"/>
    <x v="5"/>
    <n v="-48"/>
    <x v="1"/>
    <n v="19200"/>
    <n v="343"/>
    <s v="Federal"/>
    <s v="Per"/>
    <n v="40"/>
    <s v="Evansville Water and Sewer Utility"/>
    <s v="LRL-2021-00537"/>
    <s v="2022-552-82-TMS-A"/>
    <m/>
    <s v="Vanderburg"/>
    <n v="38.010286000000001"/>
    <n v="-87.548895999999999"/>
    <s v="Energy Production"/>
    <m/>
    <s v="No"/>
    <m/>
    <n v="2880"/>
    <n v="13440"/>
    <n v="2880"/>
    <s v="L"/>
    <s v="J"/>
    <m/>
    <m/>
    <m/>
    <m/>
    <m/>
    <m/>
    <s v="Corps required more mitigation than IDEM"/>
  </r>
  <r>
    <x v="208"/>
    <s v="February"/>
    <n v="2023"/>
    <x v="9"/>
    <n v="-5.3999999999999999E-2"/>
    <x v="0"/>
    <n v="4320"/>
    <n v="378"/>
    <s v="State Isolated"/>
    <s v="PFO"/>
    <n v="2.7E-2"/>
    <s v="Argo Family Stoarage"/>
    <s v="N/A"/>
    <s v="IWIP 2022-1108-30-EKB-A"/>
    <m/>
    <s v="Hancock"/>
    <n v="39.831012000000001"/>
    <n v="-85.952631999999994"/>
    <s v="Development"/>
    <m/>
    <s v="No"/>
    <m/>
    <n v="648"/>
    <n v="3024"/>
    <n v="648"/>
    <s v="L"/>
    <s v="SI"/>
    <s v="2 FO"/>
    <m/>
    <m/>
    <m/>
    <m/>
    <m/>
    <m/>
  </r>
  <r>
    <x v="208"/>
    <s v="February"/>
    <n v="2023"/>
    <x v="9"/>
    <n v="-0.1095"/>
    <x v="0"/>
    <n v="8760"/>
    <n v="378"/>
    <s v="State Isolated"/>
    <s v="PEM"/>
    <n v="7.2999999999999995E-2"/>
    <s v="Argo Family Stoarage"/>
    <s v="N/A"/>
    <s v="IWIP 2022-1108-30-EKB-A"/>
    <m/>
    <s v="Hancock"/>
    <n v="39.831012000000001"/>
    <n v="-85.952631999999994"/>
    <s v="Development"/>
    <m/>
    <s v="No"/>
    <m/>
    <n v="1314"/>
    <n v="6132"/>
    <n v="1314"/>
    <s v="L"/>
    <s v="SI"/>
    <s v="2 NF"/>
    <m/>
    <m/>
    <m/>
    <m/>
    <m/>
    <m/>
  </r>
  <r>
    <x v="209"/>
    <s v="February"/>
    <n v="2023"/>
    <x v="2"/>
    <n v="-79"/>
    <x v="1"/>
    <n v="31600"/>
    <n v="369"/>
    <s v="Federal"/>
    <s v="Int"/>
    <n v="79"/>
    <s v="INDOT"/>
    <s v="LRL-2021-374-scm"/>
    <s v="2022-120-36-SCF-X"/>
    <m/>
    <s v="Jackson"/>
    <n v="39.008249999999997"/>
    <n v="-86.090530000000001"/>
    <s v="Transportation"/>
    <m/>
    <s v="No"/>
    <m/>
    <n v="4740"/>
    <n v="22120"/>
    <n v="4740"/>
    <s v="L"/>
    <s v="J"/>
    <m/>
    <m/>
    <m/>
    <m/>
    <m/>
    <m/>
    <m/>
  </r>
  <r>
    <x v="209"/>
    <s v="February"/>
    <n v="2023"/>
    <x v="2"/>
    <n v="-16"/>
    <x v="1"/>
    <n v="6400"/>
    <n v="369"/>
    <s v="Federal"/>
    <s v="Eph"/>
    <n v="16"/>
    <s v="INDOT"/>
    <s v="LRL-2021-374-scm"/>
    <s v="2022-120-36-SCF-X"/>
    <m/>
    <s v="Jackson"/>
    <n v="39.008249999999997"/>
    <n v="-86.090530000000001"/>
    <s v="Transportation"/>
    <m/>
    <s v="No"/>
    <m/>
    <n v="960"/>
    <n v="4480"/>
    <n v="960"/>
    <s v="L"/>
    <s v="J"/>
    <m/>
    <m/>
    <m/>
    <m/>
    <m/>
    <m/>
    <m/>
  </r>
  <r>
    <x v="209"/>
    <s v="February"/>
    <n v="2023"/>
    <x v="2"/>
    <n v="-266"/>
    <x v="1"/>
    <n v="106400"/>
    <n v="376"/>
    <s v="Federal"/>
    <s v="Eph"/>
    <n v="266"/>
    <s v="INDOT"/>
    <s v="LRL-2022-170-scm"/>
    <s v="2022-942-19-JBT-A"/>
    <m/>
    <s v="Dubois"/>
    <n v="38.285024999999997"/>
    <n v="-86.959277"/>
    <s v="Transportation"/>
    <m/>
    <s v="No"/>
    <m/>
    <n v="15960"/>
    <n v="74480"/>
    <n v="15960"/>
    <s v="L"/>
    <s v="J"/>
    <m/>
    <m/>
    <m/>
    <m/>
    <m/>
    <m/>
    <m/>
  </r>
  <r>
    <x v="209"/>
    <s v="February"/>
    <n v="2023"/>
    <x v="8"/>
    <n v="-918"/>
    <x v="1"/>
    <n v="367200"/>
    <n v="370"/>
    <s v="Federal"/>
    <s v="Int"/>
    <n v="918"/>
    <s v="INDOT"/>
    <s v="LRL-2022-395-dds"/>
    <s v="2022-766-35-JBT-A"/>
    <m/>
    <s v="Huntington"/>
    <n v="40.919710000000002"/>
    <n v="-85.533929999999998"/>
    <s v="Transportation"/>
    <m/>
    <s v="No"/>
    <m/>
    <n v="55080"/>
    <n v="257039.99999999997"/>
    <n v="55080"/>
    <s v="L"/>
    <s v="J"/>
    <m/>
    <m/>
    <m/>
    <m/>
    <m/>
    <m/>
    <m/>
  </r>
  <r>
    <x v="209"/>
    <s v="February"/>
    <n v="2023"/>
    <x v="8"/>
    <n v="-199.4"/>
    <x v="1"/>
    <n v="79760"/>
    <n v="370"/>
    <s v="Federal"/>
    <s v="Per"/>
    <n v="250.6"/>
    <s v="INDOT"/>
    <s v="LRL-2022-395-dds"/>
    <s v="2022-766-35-JBT-A"/>
    <m/>
    <s v="Huntington"/>
    <n v="40.919710000000002"/>
    <n v="-85.533929999999998"/>
    <s v="Transportation"/>
    <m/>
    <s v="No"/>
    <m/>
    <n v="11964"/>
    <n v="55832"/>
    <n v="11964"/>
    <s v="L"/>
    <s v="J"/>
    <m/>
    <m/>
    <m/>
    <m/>
    <m/>
    <m/>
    <m/>
  </r>
  <r>
    <x v="209"/>
    <s v="February"/>
    <n v="2023"/>
    <x v="8"/>
    <n v="-3.55"/>
    <x v="0"/>
    <n v="284000"/>
    <n v="370"/>
    <s v="Federal"/>
    <s v="PFO"/>
    <n v="0.89"/>
    <s v="INDOT"/>
    <s v="LRL-2022-395-dds"/>
    <s v="2022-766-35-JBT-A"/>
    <m/>
    <s v="Huntington"/>
    <n v="40.919710000000002"/>
    <n v="-85.533929999999998"/>
    <s v="Transportation"/>
    <m/>
    <s v="No"/>
    <m/>
    <n v="42600"/>
    <n v="198800"/>
    <n v="42600"/>
    <s v="L"/>
    <s v="J"/>
    <m/>
    <m/>
    <m/>
    <m/>
    <m/>
    <m/>
    <m/>
  </r>
  <r>
    <x v="209"/>
    <s v="February"/>
    <n v="2023"/>
    <x v="9"/>
    <n v="-0.153"/>
    <x v="0"/>
    <n v="12240"/>
    <n v="368"/>
    <s v="State Isolated"/>
    <s v="PEM"/>
    <n v="0.10199999999999999"/>
    <s v="INDOT"/>
    <s v="N/A"/>
    <s v="IWIP 2022-918-29-SCF-A"/>
    <m/>
    <s v="Hamilton"/>
    <n v="40.118119999999998"/>
    <n v="-86.123689999999996"/>
    <s v="Transportation"/>
    <m/>
    <s v="No"/>
    <m/>
    <n v="1836"/>
    <n v="8568"/>
    <n v="1836"/>
    <s v="L"/>
    <s v="SI"/>
    <s v="2 NF"/>
    <m/>
    <m/>
    <m/>
    <m/>
    <m/>
    <m/>
  </r>
  <r>
    <x v="209"/>
    <s v="February"/>
    <n v="2023"/>
    <x v="10"/>
    <n v="-320"/>
    <x v="1"/>
    <n v="128000"/>
    <n v="375"/>
    <s v="Federal"/>
    <s v="Int"/>
    <n v="382"/>
    <s v="INDOT"/>
    <s v="LRL-2022-874-scm"/>
    <s v="2022-923-36-JBT-A"/>
    <m/>
    <s v="Jackson"/>
    <n v="38.851390000000002"/>
    <n v="-85.885660000000001"/>
    <s v="Transportation"/>
    <m/>
    <s v="No"/>
    <m/>
    <n v="19200"/>
    <n v="89600"/>
    <n v="19200"/>
    <s v="L"/>
    <s v="J"/>
    <m/>
    <m/>
    <m/>
    <m/>
    <m/>
    <m/>
    <m/>
  </r>
  <r>
    <x v="209"/>
    <s v="February"/>
    <n v="2023"/>
    <x v="10"/>
    <n v="-0.51"/>
    <x v="0"/>
    <n v="40800"/>
    <n v="375"/>
    <s v="Federal"/>
    <s v="PEM"/>
    <n v="0.21"/>
    <s v="INDOT"/>
    <s v="LRL-2022-874-scm"/>
    <s v="2022-923-36-JBT-A"/>
    <m/>
    <s v="Jackson"/>
    <n v="38.851390000000002"/>
    <n v="-85.885660000000001"/>
    <s v="Transportation"/>
    <m/>
    <s v="No"/>
    <m/>
    <n v="6120"/>
    <n v="28560"/>
    <n v="6120"/>
    <s v="L"/>
    <s v="J"/>
    <m/>
    <m/>
    <m/>
    <m/>
    <m/>
    <m/>
    <m/>
  </r>
  <r>
    <x v="209"/>
    <s v="February"/>
    <n v="2023"/>
    <x v="10"/>
    <n v="-0.21"/>
    <x v="0"/>
    <n v="16800"/>
    <n v="375"/>
    <s v="Federal"/>
    <s v="PFO"/>
    <n v="5.6000000000000001E-2"/>
    <s v="INDOT"/>
    <s v="LRL-2022-874-scm"/>
    <s v="2022-923-36-JBT-A"/>
    <m/>
    <s v="Jackson"/>
    <n v="38.851390000000002"/>
    <n v="-85.885660000000001"/>
    <s v="Transportation"/>
    <m/>
    <s v="No"/>
    <m/>
    <n v="2520"/>
    <n v="11760"/>
    <n v="2520"/>
    <s v="L"/>
    <s v="J"/>
    <m/>
    <m/>
    <m/>
    <m/>
    <m/>
    <m/>
    <m/>
  </r>
  <r>
    <x v="210"/>
    <s v="February"/>
    <n v="2023"/>
    <x v="4"/>
    <n v="-0.20300000000000001"/>
    <x v="0"/>
    <n v="16240"/>
    <n v="384"/>
    <s v="State Isolated"/>
    <s v="PEM"/>
    <n v="0.13500000000000001"/>
    <s v="INDOT"/>
    <s v="N/A"/>
    <s v="IWIP 2022-789-79-JBT-A"/>
    <m/>
    <s v="Tippecanoe and Montgomery"/>
    <n v="40.224794000000003"/>
    <n v="-86.904089999999997"/>
    <s v="Transportation"/>
    <m/>
    <s v="No"/>
    <m/>
    <n v="2436"/>
    <n v="11368"/>
    <n v="2436"/>
    <s v="L"/>
    <s v="SI"/>
    <s v="2 NF"/>
    <m/>
    <m/>
    <m/>
    <m/>
    <m/>
    <m/>
  </r>
  <r>
    <x v="210"/>
    <s v="February"/>
    <n v="2023"/>
    <x v="5"/>
    <n v="-139"/>
    <x v="1"/>
    <n v="55600"/>
    <n v="383"/>
    <s v="Federal"/>
    <s v="Eph"/>
    <n v="139"/>
    <s v="INDOT"/>
    <s v="LRL-2022-39-djd"/>
    <s v="2022-233-87-JBT-A"/>
    <m/>
    <s v="Warrick"/>
    <n v="38.039859999999997"/>
    <n v="-87.192059999999998"/>
    <s v="Transportation"/>
    <m/>
    <s v="No"/>
    <m/>
    <n v="8340"/>
    <n v="38920"/>
    <n v="8340"/>
    <s v="L"/>
    <s v="J"/>
    <m/>
    <m/>
    <m/>
    <m/>
    <m/>
    <m/>
    <s v="USACE did not require mitigation"/>
  </r>
  <r>
    <x v="210"/>
    <s v="February"/>
    <n v="2023"/>
    <x v="5"/>
    <n v="-41"/>
    <x v="1"/>
    <n v="16400"/>
    <n v="383"/>
    <s v="Federal"/>
    <s v="Int"/>
    <n v="41"/>
    <s v="INDOT"/>
    <s v="LRL-2022-39-djd"/>
    <s v="2022-233-87-JBT-A"/>
    <m/>
    <s v="Warrick"/>
    <n v="38.039859999999997"/>
    <n v="-87.192059999999998"/>
    <s v="Transportation"/>
    <m/>
    <s v="No"/>
    <m/>
    <n v="2460"/>
    <n v="11480"/>
    <n v="2460"/>
    <s v="L"/>
    <s v="J"/>
    <m/>
    <m/>
    <m/>
    <m/>
    <m/>
    <m/>
    <s v="USACE did not require mitigation"/>
  </r>
  <r>
    <x v="210"/>
    <s v="February"/>
    <n v="2023"/>
    <x v="9"/>
    <n v="-0.20399999999999999"/>
    <x v="0"/>
    <n v="16320"/>
    <n v="379"/>
    <s v="Federal"/>
    <s v="PSS"/>
    <n v="6.8000000000000005E-2"/>
    <s v="Meijer"/>
    <s v="LRL-2023-00072-jde"/>
    <s v="2022-1330-29-EKB-X"/>
    <m/>
    <s v="Hamilton"/>
    <n v="40.045099999999998"/>
    <n v="-86.069100000000006"/>
    <s v="Development"/>
    <m/>
    <s v="No"/>
    <m/>
    <n v="2448"/>
    <n v="11424"/>
    <n v="2448"/>
    <s v="L"/>
    <s v="J"/>
    <m/>
    <m/>
    <m/>
    <m/>
    <m/>
    <m/>
    <m/>
  </r>
  <r>
    <x v="210"/>
    <s v="February"/>
    <n v="2023"/>
    <x v="10"/>
    <n v="-0.22500000000000001"/>
    <x v="0"/>
    <n v="18000"/>
    <n v="386"/>
    <s v="State Isolated"/>
    <s v="PFO"/>
    <n v="0.09"/>
    <s v="Shear GF1, LLC"/>
    <s v="N/A"/>
    <s v="IWIP 2022-955-30-EKB-A"/>
    <m/>
    <s v="Hancock"/>
    <n v="39.822262000000002"/>
    <n v="-85.790085000000005"/>
    <s v="Development"/>
    <m/>
    <s v="No"/>
    <m/>
    <n v="2700"/>
    <n v="12600"/>
    <n v="2700"/>
    <s v="L"/>
    <s v="SI"/>
    <s v="3 FO"/>
    <m/>
    <m/>
    <m/>
    <m/>
    <m/>
    <m/>
  </r>
  <r>
    <x v="211"/>
    <s v="March"/>
    <n v="2023"/>
    <x v="10"/>
    <n v="-0.16200000000000001"/>
    <x v="0"/>
    <n v="12960"/>
    <n v="381"/>
    <s v="Federal"/>
    <s v="PEM"/>
    <n v="8.1000000000000003E-2"/>
    <s v="INDOT"/>
    <s v="LRL-2022-815-djd"/>
    <s v="2022-1065-36-JBT-A"/>
    <m/>
    <s v="Jackson"/>
    <n v="38.979213000000001"/>
    <n v="-86.021602000000001"/>
    <s v="Transportation"/>
    <m/>
    <s v="No"/>
    <m/>
    <n v="1944"/>
    <n v="9072"/>
    <n v="1944"/>
    <s v="L"/>
    <s v="J"/>
    <m/>
    <m/>
    <m/>
    <m/>
    <m/>
    <m/>
    <m/>
  </r>
  <r>
    <x v="211"/>
    <s v="March"/>
    <n v="2023"/>
    <x v="10"/>
    <n v="-780"/>
    <x v="1"/>
    <n v="312000"/>
    <n v="381"/>
    <s v="Federal"/>
    <s v="Eph"/>
    <n v="780"/>
    <s v="INDOT"/>
    <s v="LRL-2022-815-djd"/>
    <s v="2022-1065-36-JBT-A"/>
    <m/>
    <s v="Jackson"/>
    <n v="38.979213000000001"/>
    <n v="-86.021602000000001"/>
    <s v="Transportation"/>
    <m/>
    <s v="No"/>
    <m/>
    <n v="46800"/>
    <n v="218400"/>
    <n v="46800"/>
    <s v="L"/>
    <s v="J"/>
    <m/>
    <m/>
    <m/>
    <m/>
    <m/>
    <m/>
    <m/>
  </r>
  <r>
    <x v="211"/>
    <s v="March"/>
    <n v="2023"/>
    <x v="10"/>
    <n v="-17"/>
    <x v="1"/>
    <n v="6800"/>
    <n v="381"/>
    <s v="Federal"/>
    <s v="Per"/>
    <n v="17"/>
    <s v="INDOT"/>
    <s v="LRL-2022-815-djd"/>
    <s v="2022-1065-36-JBT-A"/>
    <m/>
    <s v="Jackson"/>
    <n v="38.979213000000001"/>
    <n v="-86.021602000000001"/>
    <s v="Transportation"/>
    <m/>
    <s v="No"/>
    <m/>
    <n v="1020"/>
    <n v="4760"/>
    <n v="1020"/>
    <s v="L"/>
    <s v="J"/>
    <m/>
    <m/>
    <m/>
    <m/>
    <m/>
    <m/>
    <m/>
  </r>
  <r>
    <x v="212"/>
    <s v="March"/>
    <n v="2023"/>
    <x v="7"/>
    <n v="-0.38"/>
    <x v="0"/>
    <n v="30400"/>
    <n v="372"/>
    <s v="Federal"/>
    <s v="PEM"/>
    <n v="0.19"/>
    <s v="Floyd County"/>
    <s v="N/A"/>
    <s v="2022-691-22-JWR-X"/>
    <m/>
    <s v="Floyd"/>
    <n v="38.316153"/>
    <n v="-85.901615000000007"/>
    <s v="Development"/>
    <m/>
    <s v="No"/>
    <m/>
    <n v="4560"/>
    <n v="21280"/>
    <n v="4560"/>
    <s v="L"/>
    <s v="J"/>
    <m/>
    <m/>
    <m/>
    <m/>
    <m/>
    <m/>
    <m/>
  </r>
  <r>
    <x v="213"/>
    <s v="March"/>
    <n v="2023"/>
    <x v="0"/>
    <n v="-0.93799999999999994"/>
    <x v="0"/>
    <n v="89110"/>
    <n v="348"/>
    <s v="Federal"/>
    <s v="PEM"/>
    <n v="0.93799999999999994"/>
    <s v="North Porter County Conservation Club"/>
    <s v="LRC-2021-130"/>
    <s v="2022-305-64-MTM-A"/>
    <m/>
    <s v="Porter"/>
    <n v="41.569047126842499"/>
    <n v="87.042424098139605"/>
    <s v="Development"/>
    <m/>
    <s v="No"/>
    <m/>
    <n v="13366.5"/>
    <n v="62376.999999999993"/>
    <n v="13366.5"/>
    <s v="C"/>
    <s v="J"/>
    <m/>
    <m/>
    <m/>
    <m/>
    <m/>
    <m/>
    <s v="Required ILF credit purchased over two (2) payment instrallments - authorized by Corps and IDEM($50,000 paid in 2022, and 39,110 paid in 2023)"/>
  </r>
  <r>
    <x v="214"/>
    <s v="March"/>
    <n v="2023"/>
    <x v="9"/>
    <n v="-385"/>
    <x v="1"/>
    <n v="173250"/>
    <n v="265"/>
    <s v="Federal"/>
    <s v="Int"/>
    <n v="321"/>
    <s v="Schoolcraft Development Company"/>
    <s v="LRL-2014-608-lcl"/>
    <s v="2020-767-49-ALF-A"/>
    <m/>
    <s v="Marion"/>
    <n v="39.640099999999997"/>
    <n v="-86.130799999999994"/>
    <s v="Development"/>
    <m/>
    <s v="No"/>
    <m/>
    <n v="25987.5"/>
    <n v="121274.99999999999"/>
    <n v="25987.5"/>
    <s v="L"/>
    <s v="J"/>
    <m/>
    <m/>
    <m/>
    <m/>
    <m/>
    <m/>
    <s v="Corps required more ILF stream credit than IDEM - IDEM 321"/>
  </r>
  <r>
    <x v="214"/>
    <s v="March"/>
    <n v="2023"/>
    <x v="9"/>
    <n v="-0.42"/>
    <x v="0"/>
    <n v="33600"/>
    <n v="265"/>
    <s v="Federal"/>
    <s v="PSS"/>
    <n v="0.14000000000000001"/>
    <s v="Schoolcraft Development Company"/>
    <s v="LRL-2014-608-lcl"/>
    <s v="2020-767-49-ALF-A"/>
    <m/>
    <s v="Marion"/>
    <n v="39.640099999999997"/>
    <n v="-86.130799999999994"/>
    <s v="Development"/>
    <m/>
    <s v="No"/>
    <m/>
    <n v="5040"/>
    <n v="23520"/>
    <n v="5040"/>
    <s v="L"/>
    <s v="J"/>
    <m/>
    <m/>
    <m/>
    <m/>
    <m/>
    <m/>
    <s v="IDEM required more ILF wetland credit than Corps - corps required .34 SS"/>
  </r>
  <r>
    <x v="214"/>
    <s v="March"/>
    <n v="2023"/>
    <x v="9"/>
    <n v="-0.52"/>
    <x v="0"/>
    <n v="41600"/>
    <n v="265"/>
    <s v="Federal"/>
    <s v="PEM"/>
    <n v="0.14000000000000001"/>
    <s v="Schoolcraft Development Company"/>
    <s v="LRL-2014-608-lcl"/>
    <s v="2020-767-49-ALF-A"/>
    <m/>
    <s v="Marion"/>
    <n v="39.640099999999997"/>
    <n v="-86.130799999999994"/>
    <s v="Development"/>
    <m/>
    <s v="No"/>
    <m/>
    <n v="6240"/>
    <n v="29119.999999999996"/>
    <n v="6240"/>
    <s v="L"/>
    <s v="J"/>
    <m/>
    <m/>
    <m/>
    <m/>
    <m/>
    <m/>
    <s v="Corps didn't require any PEM - ILF required for 0.14 open water impacts? - not listed in table. "/>
  </r>
  <r>
    <x v="214"/>
    <s v="March"/>
    <n v="2023"/>
    <x v="9"/>
    <n v="-245"/>
    <x v="1"/>
    <n v="110250"/>
    <n v="389"/>
    <s v="Federal"/>
    <s v="Int"/>
    <n v="329"/>
    <s v="Old Town Development"/>
    <s v="LRL-2021-00804-ddc"/>
    <s v="2021-746-29-JBT-A"/>
    <m/>
    <s v="Hamilton"/>
    <n v="40.042230000000004"/>
    <n v="-86.128630000000001"/>
    <s v="Development"/>
    <m/>
    <s v="No"/>
    <m/>
    <n v="16537.5"/>
    <n v="77175"/>
    <n v="16537.5"/>
    <s v="L"/>
    <s v="J"/>
    <m/>
    <m/>
    <m/>
    <m/>
    <m/>
    <m/>
    <s v="Corps did not require mitigation"/>
  </r>
  <r>
    <x v="215"/>
    <s v="April"/>
    <n v="2023"/>
    <x v="0"/>
    <n v="-1"/>
    <x v="0"/>
    <n v="95000"/>
    <n v="337"/>
    <s v="Federal"/>
    <s v="PEM"/>
    <n v="8.3000000000000004E-2"/>
    <s v="Atlantic Richfield Company"/>
    <s v="LRC-2022-00195"/>
    <s v="2022-904-45-MTM-A"/>
    <m/>
    <s v="Lake"/>
    <n v="41.646259000000001"/>
    <n v="-87.484943000000001"/>
    <s v="Development"/>
    <m/>
    <s v="No"/>
    <m/>
    <n v="14250"/>
    <n v="66500"/>
    <n v="14250"/>
    <s v="C"/>
    <s v="J"/>
    <m/>
    <m/>
    <m/>
    <m/>
    <m/>
    <m/>
    <m/>
  </r>
  <r>
    <x v="215"/>
    <s v="April"/>
    <n v="2023"/>
    <x v="0"/>
    <n v="-0.48599999999999999"/>
    <x v="0"/>
    <n v="46170"/>
    <n v="402"/>
    <s v="Federal"/>
    <s v="PEM"/>
    <n v="0.27"/>
    <s v="Porter County"/>
    <s v="LRC-2022-00039"/>
    <s v="2022-13-64-MTM-A"/>
    <m/>
    <s v="Porter"/>
    <n v="41.560267000000003"/>
    <n v="-87.104940999999997"/>
    <s v="Development"/>
    <m/>
    <s v="No"/>
    <m/>
    <n v="6925.5"/>
    <n v="32318.999999999996"/>
    <n v="6925.5"/>
    <s v="C"/>
    <s v="J"/>
    <m/>
    <m/>
    <m/>
    <m/>
    <m/>
    <m/>
    <s v="IDEM 0.405 Corps .486"/>
  </r>
  <r>
    <x v="215"/>
    <s v="April"/>
    <n v="2023"/>
    <x v="0"/>
    <n v="-0.14399999999999999"/>
    <x v="0"/>
    <n v="13680"/>
    <n v="402"/>
    <s v="Federal"/>
    <s v="PSS"/>
    <n v="0.14399999999999999"/>
    <s v="Porter County"/>
    <s v="LRC-2022-00039"/>
    <s v="2022-13-64-MTM-A"/>
    <m/>
    <s v="Porter"/>
    <n v="41.560267000000003"/>
    <n v="-87.104940999999997"/>
    <s v="Development"/>
    <m/>
    <s v="No"/>
    <m/>
    <n v="2052"/>
    <n v="9576"/>
    <n v="2052"/>
    <s v="C"/>
    <s v="J"/>
    <m/>
    <m/>
    <m/>
    <m/>
    <m/>
    <m/>
    <s v="IDEM 0.182 Corps 0.144"/>
  </r>
  <r>
    <x v="215"/>
    <s v="April"/>
    <n v="2023"/>
    <x v="0"/>
    <n v="-0.22"/>
    <x v="0"/>
    <n v="20900"/>
    <n v="380"/>
    <s v="Federal"/>
    <s v="PEM"/>
    <n v="0.12"/>
    <s v="SP/DSP Portage Owner, LLC"/>
    <s v="LRC-2021-00756"/>
    <s v="2022-1088-64-MTM-A"/>
    <m/>
    <s v="Porter"/>
    <n v="41.598882000000003"/>
    <n v="-87.191326000000004"/>
    <s v="Development"/>
    <m/>
    <s v="No"/>
    <m/>
    <n v="3135"/>
    <n v="14629.999999999998"/>
    <n v="3135"/>
    <s v="C"/>
    <s v="J"/>
    <m/>
    <m/>
    <m/>
    <m/>
    <m/>
    <m/>
    <m/>
  </r>
  <r>
    <x v="215"/>
    <s v="April"/>
    <n v="2023"/>
    <x v="0"/>
    <n v="-1.33"/>
    <x v="0"/>
    <n v="126350"/>
    <n v="380"/>
    <s v="Federal"/>
    <s v="PFO"/>
    <n v="0.37"/>
    <s v="SP/DSP Portage Owner, LLC"/>
    <s v="LRC-2021-00756"/>
    <s v="2022-1088-64-MTM-A"/>
    <m/>
    <s v="Porter"/>
    <n v="41.598882000000003"/>
    <n v="-87.191326000000004"/>
    <s v="Development"/>
    <m/>
    <s v="No"/>
    <m/>
    <n v="18952.5"/>
    <n v="88445"/>
    <n v="18952.5"/>
    <s v="C"/>
    <s v="J"/>
    <m/>
    <m/>
    <m/>
    <m/>
    <m/>
    <m/>
    <m/>
  </r>
  <r>
    <x v="215"/>
    <s v="April"/>
    <n v="2023"/>
    <x v="5"/>
    <n v="-494"/>
    <x v="1"/>
    <n v="197600"/>
    <n v="398"/>
    <s v="Federal"/>
    <s v="Int"/>
    <n v="412"/>
    <s v="Evansville-Vanderburgh Airport Authority"/>
    <s v="LRL-2022-547-tmb"/>
    <s v="2022-640-82-TMS"/>
    <m/>
    <s v="Vanderburgh"/>
    <n v="38.045692000000003"/>
    <n v="-87.529272000000006"/>
    <s v="Development"/>
    <m/>
    <s v="No"/>
    <m/>
    <n v="29640"/>
    <n v="138320"/>
    <n v="29640"/>
    <s v="L"/>
    <s v="J"/>
    <m/>
    <m/>
    <m/>
    <m/>
    <m/>
    <m/>
    <s v="Corps required 494, IDEM 412"/>
  </r>
  <r>
    <x v="215"/>
    <s v="April"/>
    <n v="2023"/>
    <x v="7"/>
    <n v="-288"/>
    <x v="1"/>
    <n v="115200"/>
    <n v="400"/>
    <s v="Federal"/>
    <s v="Eph"/>
    <n v="288"/>
    <s v="Clark County Board of Commissioners"/>
    <s v="LRL-2013-00374"/>
    <s v="2021-189-10-TMS-A"/>
    <m/>
    <s v="Clark"/>
    <n v="38.457000000000001"/>
    <n v="-85.847740000000002"/>
    <s v="Development"/>
    <m/>
    <s v="No"/>
    <m/>
    <n v="17280"/>
    <n v="80640"/>
    <n v="17280"/>
    <s v="L"/>
    <s v="J"/>
    <m/>
    <m/>
    <m/>
    <m/>
    <m/>
    <m/>
    <s v="Purchase 2 of 7 required by 404 and 401"/>
  </r>
  <r>
    <x v="215"/>
    <s v="April"/>
    <n v="2023"/>
    <x v="7"/>
    <n v="-1.3"/>
    <x v="0"/>
    <n v="104000"/>
    <n v="400"/>
    <s v="Federal"/>
    <s v="PEM"/>
    <n v="1.3"/>
    <s v="Clark County Board of Commissioners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s v="J"/>
    <m/>
    <m/>
    <m/>
    <m/>
    <m/>
    <m/>
    <s v="Purchase 2 of 7 required by 404 and 401"/>
  </r>
  <r>
    <x v="215"/>
    <s v="April"/>
    <n v="2023"/>
    <x v="9"/>
    <n v="-17"/>
    <x v="1"/>
    <n v="7650"/>
    <n v="387"/>
    <s v="Federal"/>
    <s v="Int"/>
    <n v="14"/>
    <s v="GSR Ground A, LLC"/>
    <s v="LRL-2022-942-DDC"/>
    <s v="2022-1034-49-EKB-X"/>
    <m/>
    <s v="Marion"/>
    <n v="39.757373000000001"/>
    <n v="-86.294821999999996"/>
    <s v="Development"/>
    <m/>
    <s v="No"/>
    <m/>
    <n v="1147.5"/>
    <n v="5355"/>
    <n v="1147.5"/>
    <s v="L"/>
    <s v="J"/>
    <m/>
    <m/>
    <m/>
    <m/>
    <m/>
    <m/>
    <m/>
  </r>
  <r>
    <x v="215"/>
    <s v="April"/>
    <n v="2023"/>
    <x v="9"/>
    <n v="-0.32400000000000001"/>
    <x v="0"/>
    <n v="25920"/>
    <n v="387"/>
    <s v="Federal"/>
    <s v="PSS"/>
    <n v="0.09"/>
    <s v="GSR Ground A, LLC"/>
    <s v="LRL-2022-942-DDC"/>
    <s v="2022-1034-49-EKB-X"/>
    <m/>
    <s v="Marion"/>
    <n v="39.757373000000001"/>
    <n v="-86.294821999999996"/>
    <s v="Development"/>
    <m/>
    <s v="No"/>
    <m/>
    <n v="3888"/>
    <n v="18144"/>
    <n v="3888"/>
    <s v="L"/>
    <s v="J"/>
    <m/>
    <m/>
    <m/>
    <m/>
    <m/>
    <m/>
    <m/>
  </r>
  <r>
    <x v="215"/>
    <s v="April"/>
    <n v="2023"/>
    <x v="9"/>
    <n v="-7.6799999999999993E-2"/>
    <x v="0"/>
    <n v="6144"/>
    <n v="387"/>
    <s v="Federal"/>
    <s v="PFO"/>
    <n v="1.6E-2"/>
    <s v="GSR Ground A, LLC"/>
    <s v="LRL-2022-942-DDC"/>
    <s v="2022-1034-49-EKB-X"/>
    <m/>
    <s v="Marion"/>
    <n v="39.757373000000001"/>
    <n v="-86.294821999999996"/>
    <s v="Development"/>
    <m/>
    <s v="No"/>
    <m/>
    <n v="921.59999999999991"/>
    <n v="4300.7999999999993"/>
    <n v="921.59999999999991"/>
    <s v="L"/>
    <s v="J"/>
    <m/>
    <m/>
    <m/>
    <m/>
    <m/>
    <m/>
    <m/>
  </r>
  <r>
    <x v="215"/>
    <s v="April"/>
    <n v="2023"/>
    <x v="9"/>
    <n v="-3.42"/>
    <x v="0"/>
    <n v="273600"/>
    <s v="391 and 399"/>
    <s v="State Isolated"/>
    <s v="PEM"/>
    <n v="2.13"/>
    <s v="Henke Development Group, LLC"/>
    <s v="N/A"/>
    <s v="IWIP 2023-35-29-SCF-A"/>
    <m/>
    <s v="Hamilton"/>
    <n v="40.078893000000001"/>
    <n v="-86.129283999999998"/>
    <s v="Development"/>
    <m/>
    <s v="No"/>
    <m/>
    <n v="41040"/>
    <n v="191520"/>
    <n v="41040"/>
    <s v="L"/>
    <s v="SI"/>
    <s v="2 NF"/>
    <m/>
    <m/>
    <m/>
    <m/>
    <m/>
    <m/>
  </r>
  <r>
    <x v="216"/>
    <s v="April"/>
    <n v="2023"/>
    <x v="8"/>
    <n v="-0.7"/>
    <x v="0"/>
    <n v="56000"/>
    <n v="403"/>
    <s v="Federal"/>
    <s v="PFO"/>
    <n v="0.2"/>
    <s v="New Venture Development Corp"/>
    <s v="LRE-2022-00515-102-N22"/>
    <s v="2022-1018-EJW-X"/>
    <m/>
    <s v="Allen"/>
    <n v="41.199486999999998"/>
    <n v="-85.202242999999996"/>
    <s v="Development"/>
    <m/>
    <s v="No"/>
    <m/>
    <n v="8400"/>
    <n v="39200"/>
    <n v="8400"/>
    <s v="D"/>
    <s v="J"/>
    <m/>
    <m/>
    <m/>
    <m/>
    <m/>
    <m/>
    <m/>
  </r>
  <r>
    <x v="217"/>
    <s v="April"/>
    <n v="2023"/>
    <x v="7"/>
    <n v="-0.72"/>
    <x v="0"/>
    <n v="57600"/>
    <n v="388"/>
    <s v="Federal"/>
    <s v="PEM"/>
    <n v="0.29799999999999999"/>
    <s v="The Flats on 10th, LLC"/>
    <s v="LRL-2022-0823-kjs"/>
    <s v="2022-936-10-JWR-A"/>
    <m/>
    <s v="Clark"/>
    <n v="38.338082999999997"/>
    <n v="-85.712626"/>
    <s v="Development"/>
    <m/>
    <s v="No"/>
    <m/>
    <n v="8640"/>
    <n v="40320"/>
    <n v="8640"/>
    <s v="L"/>
    <s v="J"/>
    <m/>
    <m/>
    <m/>
    <m/>
    <m/>
    <m/>
    <m/>
  </r>
  <r>
    <x v="218"/>
    <s v="April"/>
    <n v="2023"/>
    <x v="1"/>
    <n v="-1.74"/>
    <x v="0"/>
    <n v="165300"/>
    <n v="396"/>
    <s v="State Isolated"/>
    <s v="PFO"/>
    <n v="0.57999999999999996"/>
    <s v="NIPSCO"/>
    <s v="N/A"/>
    <s v="IWIP 2022-813-37-MTM-A"/>
    <m/>
    <s v="Jasper"/>
    <n v="41.217205"/>
    <n v="-87.005990999999995"/>
    <s v="Energy Production"/>
    <m/>
    <s v="No"/>
    <m/>
    <n v="24795"/>
    <n v="115709.99999999999"/>
    <n v="24795"/>
    <s v="D"/>
    <s v="SI"/>
    <s v="3 FO"/>
    <m/>
    <m/>
    <m/>
    <m/>
    <m/>
    <m/>
  </r>
  <r>
    <x v="218"/>
    <s v="April"/>
    <n v="2023"/>
    <x v="4"/>
    <n v="-0.6"/>
    <x v="0"/>
    <n v="48000"/>
    <n v="408"/>
    <s v="Federal"/>
    <s v="PEM"/>
    <n v="0.25"/>
    <s v="Duke Energy"/>
    <s v="LRL-2022-0051-jde"/>
    <s v="2023-279-84-ERL-X"/>
    <m/>
    <s v="Vigo"/>
    <n v="39.397624"/>
    <n v="-87.479951"/>
    <s v="Transportation"/>
    <m/>
    <s v="No"/>
    <m/>
    <n v="7200"/>
    <n v="33600"/>
    <n v="7200"/>
    <s v="L"/>
    <s v="J"/>
    <m/>
    <m/>
    <m/>
    <m/>
    <m/>
    <m/>
    <m/>
  </r>
  <r>
    <x v="218"/>
    <s v="April"/>
    <n v="2023"/>
    <x v="7"/>
    <n v="-113"/>
    <x v="1"/>
    <n v="45200"/>
    <n v="406"/>
    <s v="Federal"/>
    <s v="Int"/>
    <n v="113"/>
    <s v="INDOT"/>
    <s v="LRL-2022-1041-djd"/>
    <s v="2023-91-78-SCF-A"/>
    <m/>
    <s v="Switzerland"/>
    <n v="38.892364999999998"/>
    <n v="-84.811717999999999"/>
    <s v="Transportation"/>
    <m/>
    <s v="No"/>
    <m/>
    <n v="6780"/>
    <n v="31639.999999999996"/>
    <n v="6780"/>
    <s v="L"/>
    <s v="J"/>
    <m/>
    <m/>
    <m/>
    <m/>
    <m/>
    <m/>
    <m/>
  </r>
  <r>
    <x v="218"/>
    <s v="April"/>
    <n v="2023"/>
    <x v="7"/>
    <n v="-488"/>
    <x v="1"/>
    <n v="195200"/>
    <n v="406"/>
    <s v="Federal"/>
    <s v="Per"/>
    <n v="488"/>
    <s v="INDOT"/>
    <s v="LRL-2022-1041-djd"/>
    <s v="2023-91-78-SCF-A"/>
    <m/>
    <s v="Switzerland"/>
    <n v="38.892364999999998"/>
    <n v="-84.811717999999999"/>
    <s v="Transportation"/>
    <m/>
    <s v="No"/>
    <m/>
    <n v="29280"/>
    <n v="136640"/>
    <n v="29280"/>
    <s v="L"/>
    <s v="J"/>
    <m/>
    <m/>
    <m/>
    <m/>
    <m/>
    <m/>
    <m/>
  </r>
  <r>
    <x v="218"/>
    <s v="April"/>
    <n v="2023"/>
    <x v="7"/>
    <n v="-6.8000000000000005E-2"/>
    <x v="0"/>
    <n v="5440"/>
    <n v="406"/>
    <s v="Federal"/>
    <s v="PFO"/>
    <n v="1.7000000000000001E-2"/>
    <s v="INDOT"/>
    <s v="LRL-2022-1041-djd"/>
    <s v="2023-91-78-SCF-A"/>
    <m/>
    <s v="Switzerland"/>
    <n v="38.892364999999998"/>
    <n v="-84.811717999999999"/>
    <s v="Transportation"/>
    <m/>
    <s v="No"/>
    <m/>
    <n v="816"/>
    <n v="3807.9999999999995"/>
    <n v="816"/>
    <s v="L"/>
    <s v="J"/>
    <m/>
    <m/>
    <m/>
    <m/>
    <m/>
    <m/>
    <m/>
  </r>
  <r>
    <x v="218"/>
    <s v="April"/>
    <n v="2023"/>
    <x v="8"/>
    <n v="-0.63"/>
    <x v="0"/>
    <n v="50400"/>
    <n v="345"/>
    <s v="Federal"/>
    <s v="PEM"/>
    <n v="0.26"/>
    <s v="City of Delphi"/>
    <s v="LRL-2022-318-sjk"/>
    <s v="2022-204-8-SCF"/>
    <m/>
    <s v="Carroll"/>
    <n v="40.580204000000002"/>
    <n v="-86.679981999999995"/>
    <s v="Development"/>
    <m/>
    <s v="No"/>
    <m/>
    <n v="7560"/>
    <n v="35280"/>
    <n v="7560"/>
    <s v="L"/>
    <s v="J"/>
    <m/>
    <m/>
    <m/>
    <m/>
    <m/>
    <m/>
    <s v="0.52 IDEM, 0.63 Corps"/>
  </r>
  <r>
    <x v="218"/>
    <s v="April"/>
    <n v="2023"/>
    <x v="8"/>
    <n v="-0.36"/>
    <x v="0"/>
    <n v="28800"/>
    <n v="345"/>
    <s v="Federal"/>
    <s v="PFO"/>
    <n v="0.09"/>
    <s v="City of Delphi"/>
    <s v="LRL-2022-318-sjk"/>
    <s v="2022-204-8-SCF"/>
    <m/>
    <s v="Carroll"/>
    <n v="40.580204000000002"/>
    <n v="-86.679981999999995"/>
    <s v="Development"/>
    <m/>
    <s v="No"/>
    <m/>
    <n v="4320"/>
    <n v="20160"/>
    <n v="4320"/>
    <s v="L"/>
    <s v="J"/>
    <m/>
    <m/>
    <m/>
    <m/>
    <m/>
    <m/>
    <s v="0.36 IDEM, 0.32 Corps"/>
  </r>
  <r>
    <x v="218"/>
    <s v="April"/>
    <n v="2023"/>
    <x v="9"/>
    <n v="-0.28749999999999998"/>
    <x v="0"/>
    <n v="23000"/>
    <n v="405"/>
    <s v="State Isolated"/>
    <s v="PFO"/>
    <n v="0.115"/>
    <s v="MSD of Wayne Township"/>
    <s v="N/A"/>
    <s v="IWIP 2023-105-49-EKB-A"/>
    <m/>
    <s v="Marion"/>
    <n v="39.774169999999998"/>
    <n v="-86.273200000000003"/>
    <s v="Development"/>
    <m/>
    <s v="No"/>
    <m/>
    <n v="3450"/>
    <n v="16099.999999999998"/>
    <n v="3450"/>
    <s v="L"/>
    <s v="SI"/>
    <s v="3 FO"/>
    <m/>
    <m/>
    <m/>
    <m/>
    <m/>
    <m/>
  </r>
  <r>
    <x v="218"/>
    <s v="April"/>
    <n v="2023"/>
    <x v="9"/>
    <n v="-498"/>
    <x v="1"/>
    <n v="224100"/>
    <n v="393"/>
    <s v="Federal"/>
    <s v="Eph"/>
    <n v="415"/>
    <s v="Rise Commercial District"/>
    <s v="LRL-2022-536-sam"/>
    <s v="2022-742-32-ERL-A"/>
    <m/>
    <s v="Hendricks"/>
    <n v="39.739699999999999"/>
    <n v="-86.337599999999995"/>
    <s v="Development"/>
    <m/>
    <s v="No"/>
    <m/>
    <n v="33615"/>
    <n v="156870"/>
    <n v="33615"/>
    <s v="L"/>
    <s v="J"/>
    <m/>
    <m/>
    <m/>
    <m/>
    <m/>
    <m/>
    <s v="Corps required more stream"/>
  </r>
  <r>
    <x v="218"/>
    <s v="April"/>
    <n v="2023"/>
    <x v="9"/>
    <n v="-7.0000000000000007E-2"/>
    <x v="0"/>
    <n v="5600"/>
    <n v="393"/>
    <s v="Federal"/>
    <s v="PEM"/>
    <n v="0.03"/>
    <s v="Rise Commercial District"/>
    <s v="LRL-2022-536-sam"/>
    <s v="2022-742-32-ERL-A"/>
    <m/>
    <s v="Hendricks"/>
    <n v="39.739699999999999"/>
    <n v="-86.337599999999995"/>
    <s v="Development"/>
    <m/>
    <s v="No"/>
    <m/>
    <n v="840"/>
    <n v="3919.9999999999995"/>
    <n v="840"/>
    <s v="L"/>
    <s v="J"/>
    <m/>
    <m/>
    <m/>
    <m/>
    <m/>
    <m/>
    <s v="Corps required more for PEM credit"/>
  </r>
  <r>
    <x v="218"/>
    <s v="April"/>
    <n v="2023"/>
    <x v="9"/>
    <n v="-4.8000000000000001E-2"/>
    <x v="0"/>
    <n v="3840"/>
    <n v="393"/>
    <s v="Federal"/>
    <s v="PSS"/>
    <n v="1.6E-2"/>
    <s v="Rise Commercial District"/>
    <s v="LRL-2022-536-sam"/>
    <s v="2022-742-32-ERL-A"/>
    <m/>
    <s v="Hendricks"/>
    <n v="39.739699999999999"/>
    <n v="-86.337599999999995"/>
    <s v="Development"/>
    <m/>
    <s v="No"/>
    <m/>
    <n v="576"/>
    <n v="2688"/>
    <n v="576"/>
    <s v="L"/>
    <s v="J"/>
    <m/>
    <m/>
    <m/>
    <m/>
    <m/>
    <m/>
    <s v="IDEM required more for PSS credit"/>
  </r>
  <r>
    <x v="218"/>
    <s v="April"/>
    <n v="2023"/>
    <x v="9"/>
    <n v="-0.26"/>
    <x v="0"/>
    <n v="20800"/>
    <n v="393"/>
    <s v="Federal"/>
    <s v="PFO"/>
    <n v="6.5000000000000002E-2"/>
    <s v="Rise Commercial District"/>
    <s v="LRL-2022-536-sam"/>
    <s v="2022-742-32-ERL-A"/>
    <m/>
    <s v="Hendricks"/>
    <n v="39.739699999999999"/>
    <n v="-86.337599999999995"/>
    <s v="Development"/>
    <m/>
    <s v="No"/>
    <m/>
    <n v="3120"/>
    <n v="14559.999999999998"/>
    <n v="3120"/>
    <s v="L"/>
    <s v="J"/>
    <m/>
    <m/>
    <m/>
    <m/>
    <m/>
    <m/>
    <s v="IDEM required more for PFO credit"/>
  </r>
  <r>
    <x v="218"/>
    <s v="April"/>
    <n v="2023"/>
    <x v="9"/>
    <n v="-22"/>
    <x v="1"/>
    <n v="9900"/>
    <n v="407"/>
    <s v="Federal"/>
    <s v="Eph"/>
    <n v="22"/>
    <s v="INDOT"/>
    <s v="LRL-2022-946-scm"/>
    <s v="2022-1372-55-JBT-X"/>
    <m/>
    <s v="Morgan"/>
    <n v="39.53875"/>
    <n v="-86.383160000000004"/>
    <s v="Transportation"/>
    <m/>
    <s v="No"/>
    <m/>
    <n v="1485"/>
    <n v="6930"/>
    <n v="1485"/>
    <s v="L"/>
    <s v="J"/>
    <m/>
    <m/>
    <m/>
    <m/>
    <m/>
    <m/>
    <m/>
  </r>
  <r>
    <x v="219"/>
    <s v="April"/>
    <n v="2023"/>
    <x v="6"/>
    <n v="-0.26"/>
    <x v="0"/>
    <n v="31200"/>
    <n v="394"/>
    <s v="Federal"/>
    <s v="PFO"/>
    <n v="0.22"/>
    <s v="NIPSCO"/>
    <s v="LRE-2022-00816-176-N22"/>
    <s v="2022-1148-76-EJW-X"/>
    <m/>
    <s v="Steuben"/>
    <n v="41.656427999999998"/>
    <n v="-85.101192999999995"/>
    <s v="Energy Production"/>
    <m/>
    <s v="No"/>
    <m/>
    <n v="4680"/>
    <n v="21840"/>
    <n v="4680"/>
    <s v="D"/>
    <s v="J"/>
    <m/>
    <m/>
    <m/>
    <m/>
    <m/>
    <m/>
    <m/>
  </r>
  <r>
    <x v="220"/>
    <s v="May"/>
    <n v="2023"/>
    <x v="1"/>
    <n v="-0.39"/>
    <x v="0"/>
    <n v="97050"/>
    <n v="418"/>
    <s v="Federal"/>
    <s v="PSS"/>
    <n v="0.13"/>
    <s v="NIPSCO"/>
    <s v="LRE-2011-00199-137-S22"/>
    <s v="2022-813-37-MTM-A"/>
    <m/>
    <s v="Jasper"/>
    <n v="41.217205"/>
    <n v="-87.005990999999995"/>
    <s v="Energy Production"/>
    <m/>
    <s v="No"/>
    <m/>
    <n v="14557.5"/>
    <n v="67935"/>
    <n v="14557.5"/>
    <s v="D"/>
    <s v="J"/>
    <m/>
    <m/>
    <m/>
    <m/>
    <m/>
    <m/>
    <m/>
  </r>
  <r>
    <x v="221"/>
    <s v="May"/>
    <n v="2023"/>
    <x v="9"/>
    <n v="-7"/>
    <x v="1"/>
    <n v="3150"/>
    <n v="413"/>
    <s v="Federal"/>
    <s v="Eph"/>
    <n v="6"/>
    <s v="Epcon Communities"/>
    <s v="LRL-2023-24-sjk"/>
    <s v="2023-130-29-GCW-A"/>
    <m/>
    <s v="Hamilton"/>
    <n v="39.956277"/>
    <n v="-85.874542000000005"/>
    <s v="Development"/>
    <m/>
    <s v="No"/>
    <m/>
    <n v="472.5"/>
    <n v="2205"/>
    <n v="472.5"/>
    <s v="L"/>
    <s v="J"/>
    <m/>
    <m/>
    <m/>
    <m/>
    <m/>
    <m/>
    <m/>
  </r>
  <r>
    <x v="221"/>
    <s v="May"/>
    <n v="2023"/>
    <x v="9"/>
    <n v="-0.36"/>
    <x v="0"/>
    <n v="28800"/>
    <n v="413"/>
    <s v="Federal"/>
    <s v="PEM"/>
    <n v="0.11"/>
    <s v="Epcon Communities"/>
    <s v="LRL-2023-24-sjk"/>
    <s v="2023-130-29-GCW-A"/>
    <m/>
    <s v="Hamilton"/>
    <n v="39.956277"/>
    <n v="-85.874542000000005"/>
    <s v="Development"/>
    <m/>
    <s v="No"/>
    <m/>
    <n v="4320"/>
    <n v="20160"/>
    <n v="4320"/>
    <s v="L"/>
    <s v="J"/>
    <m/>
    <m/>
    <m/>
    <m/>
    <m/>
    <m/>
    <m/>
  </r>
  <r>
    <x v="221"/>
    <s v="May"/>
    <n v="2023"/>
    <x v="9"/>
    <n v="-3"/>
    <x v="0"/>
    <n v="240000"/>
    <n v="413"/>
    <s v="Federal"/>
    <s v="PFO"/>
    <n v="0.75"/>
    <s v="Epcon Communities"/>
    <s v="LRL-2023-24-sjk"/>
    <s v="2023-130-29-GCW-A"/>
    <m/>
    <s v="Hamilton"/>
    <n v="39.956277"/>
    <n v="-85.874542000000005"/>
    <s v="Development"/>
    <m/>
    <s v="No"/>
    <m/>
    <n v="36000"/>
    <n v="168000"/>
    <n v="36000"/>
    <s v="L"/>
    <s v="J"/>
    <m/>
    <m/>
    <m/>
    <m/>
    <m/>
    <m/>
    <m/>
  </r>
  <r>
    <x v="222"/>
    <s v="June"/>
    <n v="2023"/>
    <x v="3"/>
    <n v="-0.216"/>
    <x v="0"/>
    <n v="17280"/>
    <n v="401"/>
    <s v="Federal"/>
    <s v="PFO"/>
    <n v="0.09"/>
    <s v="DeKalb County Board of Commissioners"/>
    <s v="LRE-2005-1170220-N23"/>
    <s v="2023-24-17-EJW-X"/>
    <m/>
    <s v="DeKalb"/>
    <n v="41.323115999999999"/>
    <n v="-85.124328000000006"/>
    <s v="Transportation"/>
    <m/>
    <s v="No"/>
    <m/>
    <n v="2592"/>
    <n v="12096"/>
    <n v="2592"/>
    <s v="D"/>
    <s v="J"/>
    <m/>
    <m/>
    <m/>
    <m/>
    <m/>
    <m/>
    <m/>
  </r>
  <r>
    <x v="222"/>
    <s v="June"/>
    <n v="2023"/>
    <x v="9"/>
    <n v="-1.575"/>
    <x v="0"/>
    <n v="126000"/>
    <n v="404"/>
    <s v="State Isolated"/>
    <s v="PFO"/>
    <n v="0.63"/>
    <s v="Hoosier Valley Development, LLC"/>
    <s v="N/A"/>
    <s v="IWIP 2022-986-32-ERL-A"/>
    <m/>
    <s v="Hendricks"/>
    <n v="39.820008000000001"/>
    <n v="-86.371840000000006"/>
    <s v="Development"/>
    <m/>
    <s v="No"/>
    <m/>
    <n v="18900"/>
    <n v="88200"/>
    <n v="18900"/>
    <s v="L"/>
    <s v="SI"/>
    <s v="3 FO"/>
    <m/>
    <m/>
    <m/>
    <m/>
    <m/>
    <m/>
  </r>
  <r>
    <x v="223"/>
    <s v="June"/>
    <n v="2023"/>
    <x v="1"/>
    <n v="-0.121"/>
    <x v="0"/>
    <n v="11495"/>
    <n v="420"/>
    <s v="Federal"/>
    <s v="PEM"/>
    <n v="0.121"/>
    <s v="Graythorne Development"/>
    <s v="LRC-2019-190"/>
    <s v="2021-92-45-MTM-A"/>
    <m/>
    <s v="Lake"/>
    <n v="41.315891999999998"/>
    <n v="-87.387343000000001"/>
    <s v="Development"/>
    <m/>
    <s v="No"/>
    <m/>
    <n v="1724.25"/>
    <n v="8046.4999999999991"/>
    <n v="1724.25"/>
    <s v="C"/>
    <s v="J"/>
    <m/>
    <m/>
    <m/>
    <m/>
    <m/>
    <m/>
    <m/>
  </r>
  <r>
    <x v="223"/>
    <s v="June"/>
    <n v="2023"/>
    <x v="3"/>
    <n v="-12.5"/>
    <x v="1"/>
    <n v="5625"/>
    <n v="416"/>
    <s v="Federal"/>
    <s v="Int"/>
    <n v="500"/>
    <s v="INDOT"/>
    <s v="LRE-2022-00697-176-N22"/>
    <s v="2022-954-76-JBT-A"/>
    <m/>
    <s v="Steuben"/>
    <n v="41.558332999999998"/>
    <n v="-84.859443999999996"/>
    <s v="Transportation"/>
    <m/>
    <s v="No"/>
    <m/>
    <n v="843.75"/>
    <n v="3937.4999999999995"/>
    <n v="843.75"/>
    <s v="D"/>
    <s v="J"/>
    <m/>
    <m/>
    <m/>
    <m/>
    <m/>
    <m/>
    <m/>
  </r>
  <r>
    <x v="223"/>
    <s v="June"/>
    <n v="2023"/>
    <x v="3"/>
    <n v="-111"/>
    <x v="1"/>
    <n v="49950"/>
    <n v="416"/>
    <s v="Federal"/>
    <s v="Per"/>
    <n v="200"/>
    <s v="INDOT"/>
    <s v="LRE-2022-00697-176-N22"/>
    <s v="2022-954-76-JBT-A"/>
    <m/>
    <s v="Steuben"/>
    <n v="41.558332999999998"/>
    <n v="-84.859443999999996"/>
    <s v="Transportation"/>
    <m/>
    <s v="No"/>
    <m/>
    <n v="7492.5"/>
    <n v="34965"/>
    <n v="7492.5"/>
    <s v="D"/>
    <s v="J"/>
    <m/>
    <m/>
    <m/>
    <m/>
    <m/>
    <m/>
    <m/>
  </r>
  <r>
    <x v="223"/>
    <s v="June"/>
    <n v="2023"/>
    <x v="3"/>
    <n v="-2.5"/>
    <x v="0"/>
    <n v="200000"/>
    <n v="414"/>
    <s v="State Isolated"/>
    <s v="PFO"/>
    <n v="1"/>
    <s v="INDOT"/>
    <s v="N/A"/>
    <s v="IWIP 2022-736-2-SCF-A"/>
    <m/>
    <s v="Allen"/>
    <n v="41.084394000000003"/>
    <n v="-84.995245999999995"/>
    <s v="Transportation"/>
    <m/>
    <s v="No"/>
    <m/>
    <n v="30000"/>
    <n v="140000"/>
    <n v="30000"/>
    <s v="D"/>
    <s v="SI"/>
    <s v="2 FO"/>
    <m/>
    <m/>
    <m/>
    <m/>
    <m/>
    <m/>
  </r>
  <r>
    <x v="223"/>
    <s v="June"/>
    <n v="2023"/>
    <x v="4"/>
    <n v="-305"/>
    <x v="1"/>
    <n v="122000"/>
    <n v="417"/>
    <s v="Federal"/>
    <s v="Int"/>
    <n v="305"/>
    <s v="INDOT"/>
    <s v="LRL-2022-701-djd"/>
    <s v="2023-153-55-SCF-A"/>
    <m/>
    <s v="Morgan"/>
    <n v="39.578830000000004"/>
    <n v="-86.504829999999998"/>
    <s v="Transportation"/>
    <m/>
    <s v="No"/>
    <m/>
    <n v="18300"/>
    <n v="85400"/>
    <n v="18300"/>
    <s v="L"/>
    <s v="J"/>
    <m/>
    <m/>
    <m/>
    <m/>
    <m/>
    <m/>
    <m/>
  </r>
  <r>
    <x v="223"/>
    <s v="June"/>
    <n v="2023"/>
    <x v="4"/>
    <n v="-98"/>
    <x v="1"/>
    <n v="39200"/>
    <n v="417"/>
    <s v="Federal"/>
    <s v="Per"/>
    <n v="98"/>
    <s v="INDOT"/>
    <s v="LRL-2022-701-djd"/>
    <s v="2023-153-55-SCF-A"/>
    <m/>
    <s v="Morgan"/>
    <n v="39.578830000000004"/>
    <n v="-86.504829999999998"/>
    <s v="Transportation"/>
    <m/>
    <s v="No"/>
    <m/>
    <n v="5880"/>
    <n v="27440"/>
    <n v="5880"/>
    <s v="L"/>
    <s v="J"/>
    <m/>
    <m/>
    <m/>
    <m/>
    <m/>
    <m/>
    <m/>
  </r>
  <r>
    <x v="223"/>
    <s v="June"/>
    <n v="2023"/>
    <x v="4"/>
    <n v="-4.0000000000000001E-3"/>
    <x v="0"/>
    <n v="320"/>
    <n v="417"/>
    <s v="Federal"/>
    <s v="PEM"/>
    <n v="2E-3"/>
    <s v="INDOT"/>
    <s v="LRL-2022-701-djd"/>
    <s v="2023-153-55-SCF-A"/>
    <m/>
    <s v="Morgan"/>
    <n v="39.578830000000004"/>
    <n v="-86.504829999999998"/>
    <s v="Transportation"/>
    <m/>
    <s v="No"/>
    <m/>
    <n v="48"/>
    <n v="224"/>
    <n v="48"/>
    <s v="L"/>
    <s v="J"/>
    <m/>
    <m/>
    <m/>
    <m/>
    <m/>
    <m/>
    <m/>
  </r>
  <r>
    <x v="223"/>
    <s v="June"/>
    <n v="2023"/>
    <x v="4"/>
    <n v="-2.4E-2"/>
    <x v="0"/>
    <n v="1920"/>
    <n v="417"/>
    <s v="State Isolated"/>
    <s v="PEM"/>
    <n v="1.6E-2"/>
    <s v="INDOT"/>
    <s v="N/A"/>
    <s v="IWIP 2023-153-55-SCF-A"/>
    <m/>
    <s v="Morgan"/>
    <n v="39.578830000000004"/>
    <n v="-86.504829999999998"/>
    <s v="Transportation"/>
    <m/>
    <s v="No"/>
    <m/>
    <n v="288"/>
    <n v="1344"/>
    <n v="288"/>
    <s v="L"/>
    <s v="SI"/>
    <s v="2 NF"/>
    <m/>
    <m/>
    <m/>
    <m/>
    <m/>
    <m/>
  </r>
  <r>
    <x v="224"/>
    <s v="June"/>
    <n v="2023"/>
    <x v="10"/>
    <n v="-2.42"/>
    <x v="0"/>
    <n v="193600"/>
    <n v="421"/>
    <s v="Federal"/>
    <s v="PEM"/>
    <n v="1.01"/>
    <s v="INDOT"/>
    <s v="LRL-2014-621-sam"/>
    <s v="2022-858-40-SCF-A"/>
    <m/>
    <s v="Jennings"/>
    <n v="39.021799999999999"/>
    <n v="-85.620199999999997"/>
    <s v="Transportation"/>
    <m/>
    <s v="No"/>
    <m/>
    <n v="29040"/>
    <n v="135520"/>
    <n v="29040"/>
    <s v="L"/>
    <s v="J"/>
    <m/>
    <m/>
    <m/>
    <m/>
    <m/>
    <m/>
    <m/>
  </r>
  <r>
    <x v="224"/>
    <s v="June"/>
    <n v="2023"/>
    <x v="10"/>
    <n v="-0.57999999999999996"/>
    <x v="0"/>
    <n v="46400"/>
    <n v="421"/>
    <s v="Federal"/>
    <s v="PFO"/>
    <n v="0.16"/>
    <s v="INDOT"/>
    <s v="LRL-2014-621-sam"/>
    <s v="2022-858-40-SCF-A"/>
    <m/>
    <s v="Jennings"/>
    <n v="39.021799999999999"/>
    <n v="-85.620199999999997"/>
    <s v="Transportation"/>
    <m/>
    <s v="No"/>
    <m/>
    <n v="6960"/>
    <n v="32479.999999999996"/>
    <n v="6960"/>
    <s v="L"/>
    <s v="J"/>
    <m/>
    <m/>
    <m/>
    <m/>
    <m/>
    <m/>
    <m/>
  </r>
  <r>
    <x v="225"/>
    <s v="June"/>
    <n v="2023"/>
    <x v="9"/>
    <n v="-114"/>
    <x v="1"/>
    <n v="51300"/>
    <n v="412"/>
    <s v="Federal"/>
    <s v="Int"/>
    <n v="114"/>
    <s v="Town of Plainfield"/>
    <s v="LRL-2021-01015-DDC"/>
    <s v="2021-990-32-ERL-A"/>
    <m/>
    <s v="Hendricks"/>
    <n v="39.771281999999999"/>
    <n v="-86.463390000000004"/>
    <s v="Transportation"/>
    <m/>
    <s v="No"/>
    <m/>
    <n v="7695"/>
    <n v="35910"/>
    <n v="7695"/>
    <s v="L"/>
    <s v="J"/>
    <m/>
    <m/>
    <m/>
    <m/>
    <m/>
    <m/>
    <m/>
  </r>
  <r>
    <x v="226"/>
    <s v="June"/>
    <n v="2023"/>
    <x v="1"/>
    <n v="-2.9000000000000001E-2"/>
    <x v="0"/>
    <n v="2755"/>
    <n v="423"/>
    <s v="Federal"/>
    <s v="PEM"/>
    <n v="2.9000000000000001E-2"/>
    <s v="Graythorne Development"/>
    <s v="LRC-2019-190"/>
    <s v="2021-92-45-MTM-A"/>
    <m/>
    <s v="Lake"/>
    <n v="41.315891999999998"/>
    <n v="-87.387343000000001"/>
    <s v="Development"/>
    <m/>
    <s v="No"/>
    <m/>
    <n v="413.25"/>
    <n v="1928.4999999999998"/>
    <n v="413.25"/>
    <s v="C"/>
    <s v="J"/>
    <m/>
    <m/>
    <m/>
    <m/>
    <m/>
    <m/>
    <m/>
  </r>
  <r>
    <x v="227"/>
    <s v="July"/>
    <n v="2023"/>
    <x v="4"/>
    <n v="-0.158"/>
    <x v="0"/>
    <n v="12640"/>
    <n v="419"/>
    <s v="State Isolated"/>
    <s v="PEM"/>
    <n v="0.105"/>
    <s v="INDOT"/>
    <s v="N/A"/>
    <s v="IWIP 2023-160-06-JBT-A"/>
    <m/>
    <s v="Boone"/>
    <n v="40.158392999999997"/>
    <n v="-86.539592999999996"/>
    <s v="Transportation"/>
    <m/>
    <s v="No"/>
    <m/>
    <n v="1896"/>
    <n v="8848"/>
    <n v="1896"/>
    <s v="L"/>
    <s v="SI"/>
    <s v="2 NF"/>
    <m/>
    <m/>
    <m/>
    <m/>
    <m/>
    <m/>
  </r>
  <r>
    <x v="227"/>
    <s v="July"/>
    <n v="2023"/>
    <x v="4"/>
    <n v="-0.12"/>
    <x v="0"/>
    <n v="9600"/>
    <n v="353"/>
    <s v="Federal"/>
    <s v="PEM"/>
    <n v="5.3999999999999999E-2"/>
    <s v="T.J. Cole"/>
    <s v="LRL-2022-361-sam"/>
    <s v="2022-777-32-ERL-A"/>
    <m/>
    <s v="Hendricks"/>
    <n v="39.832208000000001"/>
    <n v="-86.664096999999998"/>
    <s v="Development"/>
    <m/>
    <s v="No"/>
    <m/>
    <n v="1440"/>
    <n v="6720"/>
    <n v="1440"/>
    <s v="L"/>
    <s v="J"/>
    <m/>
    <m/>
    <m/>
    <m/>
    <m/>
    <m/>
    <m/>
  </r>
  <r>
    <x v="227"/>
    <s v="July"/>
    <n v="2023"/>
    <x v="4"/>
    <n v="-1.02"/>
    <x v="0"/>
    <n v="81600"/>
    <n v="353"/>
    <s v="Federal"/>
    <s v="PFO"/>
    <n v="0.255"/>
    <s v="T.J. Cole"/>
    <s v="LRL-2022-361-sam"/>
    <s v="2022-777-32-ERL-A"/>
    <m/>
    <s v="Hendricks"/>
    <n v="39.832208000000001"/>
    <n v="-86.664096999999998"/>
    <s v="Development"/>
    <m/>
    <s v="No"/>
    <m/>
    <n v="12240"/>
    <n v="57120"/>
    <n v="12240"/>
    <s v="L"/>
    <s v="J"/>
    <m/>
    <m/>
    <m/>
    <m/>
    <m/>
    <m/>
    <m/>
  </r>
  <r>
    <x v="228"/>
    <s v="July"/>
    <n v="2023"/>
    <x v="9"/>
    <n v="-2.15"/>
    <x v="0"/>
    <n v="172000"/>
    <n v="422"/>
    <s v="State Isolated"/>
    <s v="PFO"/>
    <n v="0.86"/>
    <s v="Pedcor Community Development Corporation"/>
    <s v="N/A"/>
    <s v="IWIP 2023-367-29-GCW-A"/>
    <m/>
    <s v="Hamilton"/>
    <n v="39.951985999999998"/>
    <n v="-86.152573000000004"/>
    <s v="Development"/>
    <m/>
    <s v="No"/>
    <m/>
    <n v="25800"/>
    <n v="120399.99999999999"/>
    <n v="25800"/>
    <s v="L"/>
    <s v="SI"/>
    <s v="3 FO"/>
    <m/>
    <m/>
    <m/>
    <m/>
    <m/>
    <m/>
  </r>
  <r>
    <x v="229"/>
    <s v="August"/>
    <n v="2023"/>
    <x v="8"/>
    <n v="-0.4"/>
    <x v="0"/>
    <n v="32000"/>
    <n v="409"/>
    <s v="State Isolated"/>
    <s v="PFO"/>
    <n v="0.16"/>
    <s v="Wildcat Resources, LLC"/>
    <s v="N/A"/>
    <s v="IWIP 2022-1000-12-ERL-A"/>
    <m/>
    <s v="Clinton"/>
    <n v="40.271099999999997"/>
    <n v="-86.492800000000003"/>
    <s v="Development"/>
    <m/>
    <s v="No"/>
    <m/>
    <n v="4800"/>
    <n v="22400"/>
    <n v="4800"/>
    <s v="L"/>
    <s v="SI"/>
    <s v="3 FO"/>
    <m/>
    <m/>
    <m/>
    <m/>
    <m/>
    <m/>
  </r>
  <r>
    <x v="230"/>
    <s v="August"/>
    <n v="2023"/>
    <x v="7"/>
    <n v="-0.4"/>
    <x v="0"/>
    <n v="32000"/>
    <n v="426"/>
    <s v="Federal"/>
    <s v="PEM"/>
    <n v="0.34200000000000003"/>
    <s v="Blue Lick Development LLC"/>
    <s v="LRL-2022-00133"/>
    <s v="2023-396-10-ERL-A"/>
    <m/>
    <s v="Clark"/>
    <n v="38.423999999999999"/>
    <n v="-85.671000000000006"/>
    <s v="Development"/>
    <m/>
    <s v="No"/>
    <m/>
    <n v="4800"/>
    <n v="22400"/>
    <n v="4800"/>
    <s v="L"/>
    <s v="J"/>
    <m/>
    <m/>
    <m/>
    <m/>
    <m/>
    <m/>
    <m/>
  </r>
  <r>
    <x v="230"/>
    <s v="August"/>
    <n v="2023"/>
    <x v="9"/>
    <n v="-0.6"/>
    <x v="0"/>
    <n v="48000"/>
    <n v="431"/>
    <s v="State Isolated"/>
    <s v="PEM"/>
    <n v="0.4"/>
    <s v="Strategic Capital Partners, LLC"/>
    <s v="N/A"/>
    <s v="IWIP 2023-76-49-EKB-A"/>
    <m/>
    <s v="Marion"/>
    <n v="39.665360999999997"/>
    <n v="-86.302817000000005"/>
    <s v="Development"/>
    <m/>
    <s v="No"/>
    <m/>
    <n v="7200"/>
    <n v="33600"/>
    <n v="7200"/>
    <s v="L"/>
    <s v="SI"/>
    <s v="2 NF"/>
    <m/>
    <m/>
    <m/>
    <m/>
    <m/>
    <m/>
  </r>
  <r>
    <x v="231"/>
    <s v="August"/>
    <n v="2023"/>
    <x v="7"/>
    <n v="-0.2"/>
    <x v="0"/>
    <n v="16000"/>
    <n v="425"/>
    <s v="Federal"/>
    <s v="PSS"/>
    <n v="0.51100000000000001"/>
    <s v="Clark County Board of Commissioners"/>
    <s v="LRL-1994-01330-A"/>
    <s v="2023-422-10-JWR-A"/>
    <m/>
    <s v="Clark"/>
    <n v="38.458959999999998"/>
    <n v="-85.843382000000005"/>
    <s v="Development"/>
    <m/>
    <s v="No"/>
    <m/>
    <n v="2400"/>
    <n v="11200"/>
    <n v="2400"/>
    <s v="L"/>
    <s v="J"/>
    <m/>
    <m/>
    <m/>
    <m/>
    <m/>
    <m/>
    <s v="Phase I of 2 purchase requirements"/>
  </r>
  <r>
    <x v="231"/>
    <s v="August"/>
    <n v="2023"/>
    <x v="7"/>
    <n v="-5.7"/>
    <x v="0"/>
    <n v="456000"/>
    <n v="425"/>
    <s v="Federal"/>
    <s v="PFO"/>
    <n v="1.4259999999999999"/>
    <s v="Clark County Board of Commissioners"/>
    <s v="LRL-1994-01330-A"/>
    <s v="2023-422-10-JWR-A"/>
    <m/>
    <s v="Clark"/>
    <n v="38.458959999999998"/>
    <n v="-85.843382000000005"/>
    <s v="Development"/>
    <m/>
    <s v="No"/>
    <m/>
    <n v="68400"/>
    <n v="319200"/>
    <n v="68400"/>
    <s v="L"/>
    <s v="J"/>
    <m/>
    <m/>
    <m/>
    <m/>
    <m/>
    <m/>
    <s v="Phase I of 2 purchase requirements"/>
  </r>
  <r>
    <x v="232"/>
    <s v="August"/>
    <n v="2023"/>
    <x v="3"/>
    <n v="-76"/>
    <x v="1"/>
    <n v="34200"/>
    <n v="424"/>
    <s v="Federal"/>
    <s v="Int"/>
    <n v="76"/>
    <s v="Allen County Highway Department"/>
    <s v="LRE-2022-00332-102"/>
    <s v="2021-963-2-WLR-X"/>
    <m/>
    <s v="Allen"/>
    <n v="41.200370999999997"/>
    <n v="-85.068593000000007"/>
    <s v="Transportation"/>
    <m/>
    <s v="No"/>
    <m/>
    <n v="5130"/>
    <n v="23940"/>
    <n v="5130"/>
    <s v="D"/>
    <s v="J"/>
    <m/>
    <m/>
    <m/>
    <m/>
    <m/>
    <m/>
    <m/>
  </r>
  <r>
    <x v="232"/>
    <s v="August"/>
    <n v="2023"/>
    <x v="3"/>
    <n v="-0.28000000000000003"/>
    <x v="0"/>
    <n v="22400.000000000004"/>
    <n v="424"/>
    <s v="Federal"/>
    <s v="PEM"/>
    <n v="0.14000000000000001"/>
    <s v="Allen County Highway Department"/>
    <s v="LRE-2022-00332-102"/>
    <s v="2021-963-2-WLR-X"/>
    <m/>
    <s v="Allen"/>
    <n v="41.200370999999997"/>
    <n v="-85.068593000000007"/>
    <s v="Transportation"/>
    <m/>
    <s v="No"/>
    <m/>
    <n v="3360.0000000000005"/>
    <n v="15680.000000000002"/>
    <n v="3360.0000000000005"/>
    <s v="D"/>
    <s v="J"/>
    <m/>
    <m/>
    <m/>
    <m/>
    <m/>
    <m/>
    <m/>
  </r>
  <r>
    <x v="232"/>
    <s v="August"/>
    <n v="2023"/>
    <x v="3"/>
    <n v="-0.32"/>
    <x v="0"/>
    <n v="25600"/>
    <n v="424"/>
    <s v="Federal"/>
    <s v="PFO"/>
    <n v="0.08"/>
    <s v="Allen County Highway Department"/>
    <s v="LRE-2022-00332-102"/>
    <s v="2021-963-2-WLR-X"/>
    <m/>
    <s v="Allen"/>
    <n v="41.200370999999997"/>
    <n v="-85.068593000000007"/>
    <s v="Transportation"/>
    <m/>
    <s v="No"/>
    <m/>
    <n v="3840"/>
    <n v="17920"/>
    <n v="3840"/>
    <s v="D"/>
    <s v="J"/>
    <m/>
    <m/>
    <m/>
    <m/>
    <m/>
    <m/>
    <m/>
  </r>
  <r>
    <x v="233"/>
    <s v="August"/>
    <n v="2023"/>
    <x v="8"/>
    <n v="-88"/>
    <x v="1"/>
    <n v="35200"/>
    <n v="428"/>
    <s v="Federal"/>
    <s v="Per"/>
    <n v="88"/>
    <s v="INDOT"/>
    <s v="LRL-2023-303-djd"/>
    <s v="2023-327-90-MPY-A"/>
    <m/>
    <s v="Wells"/>
    <n v="40.654705999999997"/>
    <n v="-85.191113000000001"/>
    <s v="Transportation"/>
    <m/>
    <s v="No"/>
    <m/>
    <n v="5280"/>
    <n v="24640"/>
    <n v="5280"/>
    <s v="L"/>
    <s v="J"/>
    <m/>
    <m/>
    <m/>
    <m/>
    <m/>
    <m/>
    <m/>
  </r>
  <r>
    <x v="234"/>
    <s v="September"/>
    <n v="2023"/>
    <x v="10"/>
    <n v="-1.48"/>
    <x v="0"/>
    <n v="118400"/>
    <n v="437"/>
    <s v="Federal"/>
    <s v="PEM"/>
    <n v="1.23"/>
    <s v="CGS Services, Incorporated"/>
    <s v="LRL-2022-1015-sam"/>
    <s v="2023-226-73-ERL-A"/>
    <m/>
    <s v="Shelby"/>
    <n v="39.681652999999997"/>
    <n v="-85.719256999999999"/>
    <s v="Development"/>
    <m/>
    <s v="No"/>
    <m/>
    <n v="17760"/>
    <n v="82880"/>
    <n v="17760"/>
    <s v="L"/>
    <s v="J"/>
    <m/>
    <m/>
    <m/>
    <m/>
    <m/>
    <m/>
    <m/>
  </r>
  <r>
    <x v="235"/>
    <s v="October"/>
    <n v="2023"/>
    <x v="9"/>
    <n v="-522"/>
    <x v="1"/>
    <n v="234900"/>
    <n v="453"/>
    <s v="Federal"/>
    <s v="Int"/>
    <n v="870"/>
    <s v="Harris &amp; Ford LLC"/>
    <s v="LRL-2021-00027-sjk"/>
    <s v="2021-183-49-ALF-A"/>
    <m/>
    <s v="Marion"/>
    <n v="39.854599999999998"/>
    <n v="-86.001599999999996"/>
    <s v="Development"/>
    <m/>
    <s v="No"/>
    <m/>
    <n v="35235"/>
    <n v="164430"/>
    <n v="35235"/>
    <s v="L"/>
    <s v="J"/>
    <m/>
    <m/>
    <m/>
    <m/>
    <m/>
    <m/>
    <m/>
  </r>
  <r>
    <x v="236"/>
    <s v="October"/>
    <n v="2023"/>
    <x v="6"/>
    <n v="-49.5"/>
    <x v="1"/>
    <n v="29700"/>
    <n v="429"/>
    <s v="Federal"/>
    <s v="Per"/>
    <n v="49.5"/>
    <s v="INDOT"/>
    <s v="LRE-2023-00201-176-N23"/>
    <s v="2023-559-76-JBT-A"/>
    <m/>
    <s v="Steuben"/>
    <n v="41.664169000000001"/>
    <n v="-85.030517000000003"/>
    <s v="Transportation"/>
    <m/>
    <s v="No"/>
    <m/>
    <n v="4455"/>
    <n v="20790"/>
    <n v="4455"/>
    <s v="D"/>
    <s v="J"/>
    <m/>
    <m/>
    <m/>
    <m/>
    <m/>
    <m/>
    <m/>
  </r>
  <r>
    <x v="236"/>
    <s v="October"/>
    <n v="2023"/>
    <x v="6"/>
    <n v="-2.8000000000000001E-2"/>
    <x v="0"/>
    <n v="3360"/>
    <n v="429"/>
    <s v="Federal"/>
    <s v="PEM"/>
    <n v="1.4E-2"/>
    <s v="INDOT"/>
    <s v="LRE-2023-00201-176-N23"/>
    <s v="2023-559-76-JBT-A"/>
    <m/>
    <s v="Steuben"/>
    <n v="41.664169000000001"/>
    <n v="-85.030517000000003"/>
    <s v="Transportation"/>
    <m/>
    <s v="No"/>
    <m/>
    <n v="504"/>
    <n v="2352"/>
    <n v="504"/>
    <s v="D"/>
    <s v="J"/>
    <m/>
    <m/>
    <m/>
    <m/>
    <m/>
    <m/>
    <m/>
  </r>
  <r>
    <x v="236"/>
    <s v="October"/>
    <n v="2023"/>
    <x v="10"/>
    <n v="-0.16400000000000001"/>
    <x v="0"/>
    <n v="13120"/>
    <n v="430"/>
    <s v="State Isolated"/>
    <s v="PEM"/>
    <n v="8.2000000000000003E-2"/>
    <s v="INDOT"/>
    <s v="N/A"/>
    <s v="IWIP 2023-380-41-JBT-A"/>
    <m/>
    <s v="Johnson"/>
    <n v="39.463856"/>
    <n v="-86.053636999999995"/>
    <s v="Transportation"/>
    <m/>
    <s v="No"/>
    <m/>
    <n v="1968"/>
    <n v="9184"/>
    <n v="1968"/>
    <s v="L"/>
    <s v="SI"/>
    <s v="2 NF"/>
    <m/>
    <m/>
    <m/>
    <m/>
    <m/>
    <s v="INDOT DES No. 1800082"/>
  </r>
  <r>
    <x v="237"/>
    <s v="November"/>
    <n v="2023"/>
    <x v="0"/>
    <n v="-1.22"/>
    <x v="0"/>
    <n v="115900"/>
    <n v="374"/>
    <s v="Federal"/>
    <s v="PFO"/>
    <n v="0.45"/>
    <s v="Viking Built Homes, LLC"/>
    <s v="LRC-2017-00132"/>
    <s v="2021-622-64-MTM-A"/>
    <m/>
    <s v="Porter"/>
    <n v="41.605400000000003"/>
    <n v="-87.028000000000006"/>
    <s v="Development"/>
    <m/>
    <s v="No"/>
    <m/>
    <n v="17385"/>
    <n v="81130"/>
    <n v="17385"/>
    <s v="C"/>
    <s v="J"/>
    <m/>
    <m/>
    <m/>
    <m/>
    <m/>
    <m/>
    <m/>
  </r>
  <r>
    <x v="237"/>
    <s v="November"/>
    <n v="2023"/>
    <x v="3"/>
    <n v="-52"/>
    <x v="1"/>
    <n v="23400"/>
    <n v="433"/>
    <s v="Federal"/>
    <s v="Int"/>
    <n v="52"/>
    <s v="INDOT"/>
    <s v="LRE-2023-00289-157-N23"/>
    <s v="2023-563-57-JWR-X"/>
    <m/>
    <s v="Noble"/>
    <n v="41.366273999999997"/>
    <n v="-85.221453999999994"/>
    <s v="Transportation"/>
    <m/>
    <s v="No"/>
    <m/>
    <n v="3510"/>
    <n v="16379.999999999998"/>
    <n v="3510"/>
    <s v="D"/>
    <s v="J"/>
    <m/>
    <m/>
    <m/>
    <m/>
    <m/>
    <m/>
    <s v="INDOT DES 2002226"/>
  </r>
  <r>
    <x v="237"/>
    <s v="November"/>
    <n v="2023"/>
    <x v="5"/>
    <n v="-0.38"/>
    <x v="0"/>
    <n v="30400"/>
    <n v="371"/>
    <s v="Federal"/>
    <s v="PEM"/>
    <n v="0.38"/>
    <s v="INDOT"/>
    <s v="LRL-2008-00889-goc"/>
    <s v="2008-404-87-JWR-A "/>
    <m/>
    <s v="Warrick"/>
    <n v="38.194000000000003"/>
    <n v="-87.295000000000002"/>
    <s v="Transportation"/>
    <m/>
    <s v="No"/>
    <m/>
    <n v="4560"/>
    <n v="21280"/>
    <n v="4560"/>
    <s v="L"/>
    <s v="J"/>
    <m/>
    <m/>
    <m/>
    <m/>
    <m/>
    <m/>
    <m/>
  </r>
  <r>
    <x v="237"/>
    <s v="November"/>
    <n v="2023"/>
    <x v="8"/>
    <n v="-67"/>
    <x v="1"/>
    <n v="26800"/>
    <n v="432"/>
    <s v="Federal"/>
    <s v="Int"/>
    <n v="371"/>
    <s v="INDOT"/>
    <s v="LRL-2023-115-dds"/>
    <s v="2023-315-52-JBT-A"/>
    <m/>
    <s v="Miami"/>
    <n v="40.804890999999998"/>
    <n v="-86.023870000000002"/>
    <s v="Transportation"/>
    <m/>
    <s v="No"/>
    <m/>
    <n v="4020"/>
    <n v="18760"/>
    <n v="4020"/>
    <s v="L"/>
    <s v="J"/>
    <m/>
    <m/>
    <m/>
    <m/>
    <m/>
    <m/>
    <s v="INDOT DES 1900079"/>
  </r>
  <r>
    <x v="237"/>
    <s v="November"/>
    <n v="2023"/>
    <x v="8"/>
    <n v="-0.1"/>
    <x v="0"/>
    <n v="8000"/>
    <n v="432"/>
    <s v="Federal"/>
    <s v="PFO"/>
    <n v="2.5000000000000001E-2"/>
    <s v="INDOT"/>
    <s v="LRL-2023-115-dds"/>
    <s v="2023-315-52-JBT-A"/>
    <m/>
    <s v="Miami"/>
    <n v="40.804890999999998"/>
    <n v="-86.023870000000002"/>
    <s v="Transportation"/>
    <m/>
    <s v="No"/>
    <m/>
    <n v="1200"/>
    <n v="5600"/>
    <n v="1200"/>
    <s v="L"/>
    <s v="J"/>
    <m/>
    <m/>
    <m/>
    <m/>
    <m/>
    <m/>
    <s v="INDOT DES 1900079"/>
  </r>
  <r>
    <x v="238"/>
    <s v="November"/>
    <n v="2023"/>
    <x v="9"/>
    <n v="-0.13500000000000001"/>
    <x v="0"/>
    <n v="10800"/>
    <n v="427"/>
    <s v="State Isolated"/>
    <s v="PFO"/>
    <n v="5.3999999999999999E-2"/>
    <s v="Secure Holdings, LLC"/>
    <s v="N/A"/>
    <s v="IWIP 2023-551-29-WLR-A"/>
    <m/>
    <s v="Hamilton"/>
    <n v="40.04"/>
    <n v="-86.07"/>
    <s v="Development"/>
    <m/>
    <s v="No"/>
    <m/>
    <n v="1620"/>
    <n v="7559.9999999999991"/>
    <n v="1620"/>
    <s v="L"/>
    <s v="SI"/>
    <s v="3 FO"/>
    <m/>
    <m/>
    <m/>
    <m/>
    <m/>
    <m/>
  </r>
  <r>
    <x v="238"/>
    <s v="November"/>
    <n v="2023"/>
    <x v="9"/>
    <n v="-0.45600000000000002"/>
    <x v="0"/>
    <n v="36000"/>
    <n v="434"/>
    <s v="State Isolated"/>
    <s v="PFO"/>
    <n v="0.18"/>
    <s v="Pulte Homes of Indiana"/>
    <s v="N/A"/>
    <s v="IWIP 2023-576-32-MPY-A"/>
    <m/>
    <s v="Hendricks"/>
    <n v="39.87256"/>
    <n v="-86.383250000000004"/>
    <s v="Development"/>
    <m/>
    <s v="No"/>
    <m/>
    <n v="5400"/>
    <n v="25200"/>
    <n v="5400"/>
    <s v="L"/>
    <s v="SI"/>
    <s v="3 FO"/>
    <m/>
    <m/>
    <m/>
    <m/>
    <m/>
    <m/>
  </r>
  <r>
    <x v="239"/>
    <s v="November"/>
    <n v="2023"/>
    <x v="0"/>
    <n v="-0.39800000000000002"/>
    <x v="0"/>
    <n v="37810"/>
    <n v="382"/>
    <s v="Federal"/>
    <s v="PEM"/>
    <n v="0.33200000000000002"/>
    <s v="City of Hobart - US 30"/>
    <s v="LRC-2021-1116"/>
    <s v="2021-529-45-MTM-A"/>
    <m/>
    <s v="Lake"/>
    <n v="41.470463000000002"/>
    <n v="-87.297078999999997"/>
    <s v="Transportation"/>
    <m/>
    <s v="No"/>
    <m/>
    <n v="5671.5"/>
    <n v="26467"/>
    <n v="5671.5"/>
    <s v="C"/>
    <s v="J"/>
    <m/>
    <m/>
    <m/>
    <m/>
    <m/>
    <m/>
    <m/>
  </r>
  <r>
    <x v="239"/>
    <s v="November"/>
    <n v="2023"/>
    <x v="2"/>
    <n v="-2E-3"/>
    <x v="0"/>
    <n v="160"/>
    <n v="444"/>
    <s v="Federal"/>
    <s v="PEM"/>
    <n v="2E-3"/>
    <s v="Monroe County Highway Department"/>
    <s v="LRL-2022-139-sjk"/>
    <s v="2022-131-53-TMS-X"/>
    <m/>
    <s v="Monroe"/>
    <n v="39.122239999999998"/>
    <n v="-86.544452000000007"/>
    <s v="Transportation"/>
    <m/>
    <s v="No"/>
    <m/>
    <n v="24"/>
    <n v="112"/>
    <n v="24"/>
    <s v="L"/>
    <s v="J"/>
    <m/>
    <m/>
    <m/>
    <m/>
    <m/>
    <m/>
    <m/>
  </r>
  <r>
    <x v="239"/>
    <s v="November"/>
    <n v="2023"/>
    <x v="2"/>
    <n v="-6.3E-2"/>
    <x v="0"/>
    <n v="5040"/>
    <n v="444"/>
    <s v="Federal"/>
    <s v="PSS"/>
    <n v="0.02"/>
    <s v="Monroe County Highway Department"/>
    <s v="LRL-2022-139-sjk"/>
    <s v="2022-131-53-TMS-X"/>
    <m/>
    <s v="Monroe"/>
    <n v="39.122239999999998"/>
    <n v="-86.544452000000007"/>
    <s v="Transportation"/>
    <m/>
    <s v="No"/>
    <m/>
    <n v="756"/>
    <n v="3528"/>
    <n v="756"/>
    <s v="L"/>
    <s v="J"/>
    <m/>
    <m/>
    <m/>
    <m/>
    <m/>
    <m/>
    <m/>
  </r>
  <r>
    <x v="239"/>
    <s v="November"/>
    <n v="2023"/>
    <x v="3"/>
    <n v="-108"/>
    <x v="1"/>
    <n v="48600"/>
    <n v="439"/>
    <s v="Federal"/>
    <s v="Per"/>
    <n v="379"/>
    <s v="INDOT"/>
    <s v="LRE-2023-00345-157-N23"/>
    <s v="2023-681-57-JWR-X"/>
    <m/>
    <s v="Noble"/>
    <n v="41.372635000000002"/>
    <n v="-85.221468000000002"/>
    <s v="Transportation"/>
    <m/>
    <s v="No"/>
    <m/>
    <n v="7290"/>
    <n v="34020"/>
    <n v="7290"/>
    <s v="D"/>
    <s v="J"/>
    <m/>
    <m/>
    <m/>
    <m/>
    <m/>
    <m/>
    <s v="INDOT DES 2002217"/>
  </r>
  <r>
    <x v="239"/>
    <s v="November"/>
    <n v="2023"/>
    <x v="4"/>
    <n v="-222"/>
    <x v="1"/>
    <n v="88800"/>
    <n v="411"/>
    <s v="Federal"/>
    <s v="Eph"/>
    <n v="222"/>
    <s v="INDOT"/>
    <s v="LRL-2023-66-djd"/>
    <s v="2023-107-79-WLR-A"/>
    <m/>
    <s v="Tippecanoe"/>
    <n v="40.445473999999997"/>
    <n v="-87.024084999999999"/>
    <s v="Transportation"/>
    <m/>
    <s v="No"/>
    <m/>
    <n v="13320"/>
    <n v="62159.999999999993"/>
    <n v="13320"/>
    <s v="L"/>
    <s v="J"/>
    <m/>
    <m/>
    <m/>
    <m/>
    <m/>
    <m/>
    <m/>
  </r>
  <r>
    <x v="239"/>
    <s v="November"/>
    <n v="2023"/>
    <x v="4"/>
    <n v="-270"/>
    <x v="1"/>
    <n v="108000"/>
    <n v="411"/>
    <s v="Federal"/>
    <s v="Int"/>
    <n v="270"/>
    <s v="INDOT"/>
    <s v="LRL-2023-66-djd"/>
    <s v="2023-107-79-WLR-A"/>
    <m/>
    <s v="Tippecanoe"/>
    <n v="40.445473999999997"/>
    <n v="-87.024084999999999"/>
    <s v="Transportation"/>
    <m/>
    <s v="No"/>
    <m/>
    <n v="16200"/>
    <n v="75600"/>
    <n v="16200"/>
    <s v="L"/>
    <s v="J"/>
    <m/>
    <m/>
    <m/>
    <m/>
    <m/>
    <m/>
    <m/>
  </r>
  <r>
    <x v="239"/>
    <s v="November"/>
    <n v="2023"/>
    <x v="4"/>
    <n v="-120"/>
    <x v="1"/>
    <n v="48000"/>
    <n v="411"/>
    <s v="Federal"/>
    <s v="Per"/>
    <n v="120"/>
    <s v="INDOT"/>
    <s v="LRL-2023-66-djd"/>
    <s v="2023-107-79-WLR-A"/>
    <m/>
    <s v="Tippecanoe"/>
    <n v="40.445473999999997"/>
    <n v="-87.024084999999999"/>
    <s v="Transportation"/>
    <m/>
    <s v="No"/>
    <m/>
    <n v="7200"/>
    <n v="33600"/>
    <n v="7200"/>
    <s v="L"/>
    <s v="J"/>
    <m/>
    <m/>
    <m/>
    <m/>
    <m/>
    <m/>
    <m/>
  </r>
  <r>
    <x v="239"/>
    <s v="November"/>
    <n v="2023"/>
    <x v="5"/>
    <n v="-0.95"/>
    <x v="0"/>
    <n v="76000"/>
    <n v="443"/>
    <s v="Federal"/>
    <s v="PEM"/>
    <n v="0.39"/>
    <s v="Duke Energy"/>
    <s v="LRL-2022-00905"/>
    <s v="2023-444-26-WLR-A"/>
    <m/>
    <s v="Gibson"/>
    <n v="38.334499999999998"/>
    <n v="-87.787700000000001"/>
    <s v="Energy Production"/>
    <m/>
    <s v="No"/>
    <m/>
    <n v="11400"/>
    <n v="53200"/>
    <n v="11400"/>
    <s v="L"/>
    <s v="J"/>
    <m/>
    <m/>
    <m/>
    <m/>
    <m/>
    <m/>
    <m/>
  </r>
  <r>
    <x v="239"/>
    <s v="November"/>
    <n v="2023"/>
    <x v="8"/>
    <n v="-83"/>
    <x v="1"/>
    <n v="33200"/>
    <n v="438"/>
    <s v="Federal"/>
    <s v="Per"/>
    <n v="348"/>
    <s v="INDOT"/>
    <s v="LRE-2023-00342-102-N23"/>
    <s v="2023-663-2-JWR-X"/>
    <m/>
    <s v="Allen"/>
    <n v="41.013164000000003"/>
    <n v="-85.255988000000002"/>
    <s v="Transportation"/>
    <m/>
    <s v="No"/>
    <m/>
    <n v="4980"/>
    <n v="23240"/>
    <n v="4980"/>
    <s v="D"/>
    <s v="J"/>
    <m/>
    <m/>
    <m/>
    <m/>
    <m/>
    <m/>
    <s v="INDOT DES 2002214"/>
  </r>
  <r>
    <x v="239"/>
    <s v="November"/>
    <n v="2023"/>
    <x v="9"/>
    <n v="-0.14000000000000001"/>
    <x v="0"/>
    <n v="11200"/>
    <n v="410"/>
    <s v="Federal"/>
    <s v="PEM"/>
    <n v="7.0000000000000007E-2"/>
    <s v="Indianapolis Department of Public Works"/>
    <s v="N/A"/>
    <s v="2023-170-49-GCW-X"/>
    <m/>
    <s v="Marion"/>
    <n v="39.759799999999998"/>
    <n v="-86.173699999999997"/>
    <s v="Transportation"/>
    <m/>
    <s v="No"/>
    <m/>
    <n v="1680"/>
    <n v="7839.9999999999991"/>
    <n v="1680"/>
    <s v="L"/>
    <s v="J"/>
    <m/>
    <m/>
    <m/>
    <m/>
    <m/>
    <m/>
    <m/>
  </r>
  <r>
    <x v="239"/>
    <s v="November"/>
    <n v="2023"/>
    <x v="9"/>
    <n v="-0.96"/>
    <x v="0"/>
    <n v="76800"/>
    <n v="436"/>
    <s v="State Isolated"/>
    <s v="PFO"/>
    <n v="0.64"/>
    <s v="Citimark Realty Partners, LLC"/>
    <s v="N/A"/>
    <s v="IWIP 2023-554-06-ERL-A"/>
    <m/>
    <s v="Boone"/>
    <n v="39.991"/>
    <n v="-86.388000000000005"/>
    <s v="Development"/>
    <m/>
    <s v="No"/>
    <m/>
    <n v="11520"/>
    <n v="53760"/>
    <n v="11520"/>
    <s v="L"/>
    <s v="SI"/>
    <s v="3 FO"/>
    <m/>
    <m/>
    <m/>
    <m/>
    <m/>
    <m/>
  </r>
  <r>
    <x v="239"/>
    <s v="November"/>
    <n v="2023"/>
    <x v="9"/>
    <n v="-257"/>
    <x v="1"/>
    <n v="115650"/>
    <n v="446"/>
    <s v="Federal"/>
    <s v="Int"/>
    <n v="413"/>
    <s v="INDOT"/>
    <s v="LRL-2022-953-sam"/>
    <s v="2022-1064-32-ERL-A"/>
    <m/>
    <s v="Hendricks"/>
    <n v="39.741576000000002"/>
    <n v="-86.380613999999994"/>
    <s v="Transportation"/>
    <m/>
    <s v="No"/>
    <m/>
    <n v="17347.5"/>
    <n v="80955"/>
    <n v="17347.5"/>
    <s v="L"/>
    <s v="J"/>
    <m/>
    <m/>
    <m/>
    <m/>
    <m/>
    <m/>
    <m/>
  </r>
  <r>
    <x v="239"/>
    <s v="November"/>
    <n v="2023"/>
    <x v="9"/>
    <n v="-6.5000000000000002E-2"/>
    <x v="0"/>
    <n v="5200"/>
    <n v="446"/>
    <s v="Federal"/>
    <s v="PSS"/>
    <n v="1.7999999999999999E-2"/>
    <s v="INDOT"/>
    <s v="LRL-2022-953-sam"/>
    <s v="2022-1064-32-ERL-A"/>
    <m/>
    <s v="Hendricks"/>
    <n v="39.741576000000002"/>
    <n v="-86.380613999999994"/>
    <s v="Transportation"/>
    <m/>
    <s v="No"/>
    <m/>
    <n v="780"/>
    <n v="3639.9999999999995"/>
    <n v="780"/>
    <s v="L"/>
    <s v="J"/>
    <m/>
    <m/>
    <m/>
    <m/>
    <m/>
    <m/>
    <m/>
  </r>
  <r>
    <x v="239"/>
    <s v="November"/>
    <n v="2023"/>
    <x v="9"/>
    <n v="-5.7999999999999996E-3"/>
    <x v="0"/>
    <n v="464"/>
    <n v="446"/>
    <s v="Federal"/>
    <s v="PFO"/>
    <n v="1.1999999999999999E-3"/>
    <s v="INDOT"/>
    <s v="LRL-2022-953-sam"/>
    <s v="2022-1064-32-ERL-A"/>
    <m/>
    <s v="Hendricks"/>
    <n v="39.741576000000002"/>
    <n v="-86.380613999999994"/>
    <s v="Transportation"/>
    <m/>
    <s v="No"/>
    <m/>
    <n v="69.599999999999994"/>
    <n v="324.79999999999995"/>
    <n v="69.599999999999994"/>
    <s v="L"/>
    <s v="J"/>
    <m/>
    <m/>
    <m/>
    <m/>
    <m/>
    <m/>
    <m/>
  </r>
  <r>
    <x v="239"/>
    <s v="November"/>
    <n v="2023"/>
    <x v="10"/>
    <n v="-0.14699999999999999"/>
    <x v="0"/>
    <n v="11760"/>
    <n v="435"/>
    <s v="Federal"/>
    <s v="PEM"/>
    <n v="0.14699999999999999"/>
    <s v="INDOT"/>
    <s v="LRL-2015-76-sam"/>
    <s v="2015-032-15-JWR-A"/>
    <m/>
    <s v="Dearborn"/>
    <n v="39.293591999999997"/>
    <n v="-84.878966000000005"/>
    <s v="Transportation"/>
    <m/>
    <s v="No"/>
    <m/>
    <n v="1764"/>
    <n v="8232"/>
    <n v="1764"/>
    <s v="L"/>
    <s v="J"/>
    <m/>
    <m/>
    <m/>
    <m/>
    <m/>
    <m/>
    <s v="For failed mitigation"/>
  </r>
  <r>
    <x v="240"/>
    <s v="November"/>
    <n v="2023"/>
    <x v="0"/>
    <n v="-46.8"/>
    <x v="1"/>
    <n v="28080"/>
    <n v="445"/>
    <s v="Federal"/>
    <s v="Int"/>
    <n v="39"/>
    <s v="Town of Chesterton"/>
    <s v="LRC-2021-107"/>
    <s v="2023-69-64-MTM-X"/>
    <m/>
    <s v="Porter"/>
    <n v="41.593614000000002"/>
    <n v="-87.053072999999998"/>
    <s v="Transportation"/>
    <m/>
    <s v="No"/>
    <m/>
    <n v="4212"/>
    <n v="19656"/>
    <n v="4212"/>
    <s v="C"/>
    <s v="J"/>
    <m/>
    <m/>
    <m/>
    <m/>
    <m/>
    <m/>
    <m/>
  </r>
  <r>
    <x v="240"/>
    <s v="November"/>
    <n v="2023"/>
    <x v="0"/>
    <n v="-6"/>
    <x v="1"/>
    <n v="3600"/>
    <n v="445"/>
    <s v="Federal"/>
    <s v="Per"/>
    <n v="5"/>
    <s v="Town of Chesterton"/>
    <s v="LRC-2021-107"/>
    <s v="2023-69-64-MTM-X"/>
    <m/>
    <s v="Porter"/>
    <n v="41.593614000000002"/>
    <n v="-87.053072999999998"/>
    <s v="Transportation"/>
    <m/>
    <s v="No"/>
    <m/>
    <n v="540"/>
    <n v="2520"/>
    <n v="540"/>
    <s v="C"/>
    <s v="J"/>
    <m/>
    <m/>
    <m/>
    <m/>
    <m/>
    <m/>
    <m/>
  </r>
  <r>
    <x v="240"/>
    <s v="November"/>
    <n v="2023"/>
    <x v="0"/>
    <n v="-6.5280000000000005E-2"/>
    <x v="0"/>
    <n v="6202"/>
    <n v="445"/>
    <s v="Federal"/>
    <s v="PEM"/>
    <n v="2.7199999999999998E-2"/>
    <s v="Town of Chesterton"/>
    <s v="LRC-2021-107"/>
    <s v="2023-69-64-MTM-X"/>
    <m/>
    <s v="Porter"/>
    <n v="41.593614000000002"/>
    <n v="-87.053072999999998"/>
    <s v="Transportation"/>
    <m/>
    <s v="No"/>
    <m/>
    <n v="930.3"/>
    <n v="4341.3999999999996"/>
    <n v="930.3"/>
    <s v="C"/>
    <s v="J"/>
    <m/>
    <m/>
    <m/>
    <m/>
    <m/>
    <m/>
    <m/>
  </r>
  <r>
    <x v="240"/>
    <s v="November"/>
    <n v="2023"/>
    <x v="0"/>
    <n v="-0.39410000000000001"/>
    <x v="0"/>
    <n v="37440"/>
    <n v="445"/>
    <s v="Federal"/>
    <s v="PFO"/>
    <n v="0.39410000000000001"/>
    <s v="Town of Chesterton"/>
    <s v="LRC-2021-107"/>
    <s v="2023-69-64-MTM-X"/>
    <m/>
    <s v="Porter"/>
    <n v="41.593614000000002"/>
    <n v="-87.053072999999998"/>
    <s v="Transportation"/>
    <m/>
    <s v="No"/>
    <m/>
    <n v="5616"/>
    <n v="26208"/>
    <n v="5616"/>
    <s v="C"/>
    <s v="J"/>
    <m/>
    <m/>
    <m/>
    <m/>
    <m/>
    <m/>
    <m/>
  </r>
  <r>
    <x v="241"/>
    <s v="November"/>
    <n v="2023"/>
    <x v="0"/>
    <n v="-0.77"/>
    <x v="0"/>
    <n v="73150"/>
    <n v="366"/>
    <s v="State Isolated"/>
    <s v="PFO"/>
    <n v="0.38500000000000001"/>
    <s v="SPIN Munster"/>
    <s v="N/A"/>
    <s v="IWIP-2022-725-45-MTM-A"/>
    <m/>
    <s v="Lake"/>
    <n v="41.549857000000003"/>
    <n v="-87.520040100000003"/>
    <s v="Development"/>
    <m/>
    <s v="No"/>
    <m/>
    <n v="10972.5"/>
    <n v="51205"/>
    <n v="10972.5"/>
    <s v="C"/>
    <s v="SI"/>
    <s v="2 F"/>
    <m/>
    <m/>
    <m/>
    <m/>
    <m/>
    <m/>
  </r>
  <r>
    <x v="241"/>
    <s v="November"/>
    <n v="2023"/>
    <x v="0"/>
    <n v="-2.0710000000000002"/>
    <x v="0"/>
    <n v="196745"/>
    <n v="366"/>
    <s v="State Isolated"/>
    <s v="PEM"/>
    <n v="1.381"/>
    <s v="SPIN Munster"/>
    <s v="N/A"/>
    <s v="IWIP-2022-725-45-MTM-A"/>
    <m/>
    <s v="Lake"/>
    <n v="41.549857000000003"/>
    <n v="-87.520040100000003"/>
    <s v="Development"/>
    <m/>
    <s v="No"/>
    <m/>
    <n v="29511.75"/>
    <n v="137721.5"/>
    <n v="29511.75"/>
    <s v="C"/>
    <s v="SI"/>
    <s v="2 NF"/>
    <m/>
    <m/>
    <m/>
    <m/>
    <m/>
    <m/>
  </r>
  <r>
    <x v="242"/>
    <s v="November"/>
    <n v="2023"/>
    <x v="3"/>
    <n v="-1.4339999999999999"/>
    <x v="0"/>
    <n v="114720"/>
    <n v="440"/>
    <s v="Federal"/>
    <s v="PFO"/>
    <n v="0.47799999999999998"/>
    <s v="M.A. Mortenson Company"/>
    <s v="LRE-2023-00194-102-N23"/>
    <s v="2023-350-2-EJW-A"/>
    <m/>
    <s v="Allen"/>
    <n v="41.168756999999999"/>
    <n v="-85.095179999999999"/>
    <s v="Transportation"/>
    <m/>
    <s v="No"/>
    <m/>
    <n v="17208"/>
    <n v="80304"/>
    <n v="17208"/>
    <s v="D"/>
    <s v="J"/>
    <m/>
    <m/>
    <m/>
    <m/>
    <m/>
    <m/>
    <s v="Service Corridor"/>
  </r>
  <r>
    <x v="242"/>
    <s v="November"/>
    <n v="2023"/>
    <x v="3"/>
    <n v="-6.0000000000000001E-3"/>
    <x v="0"/>
    <n v="480"/>
    <n v="440"/>
    <s v="Federal"/>
    <s v="PEM"/>
    <n v="3.0000000000000001E-3"/>
    <s v="M.A. Mortenson Company"/>
    <s v="LRE-2023-00194-102-N23"/>
    <s v="2023-350-2-EJW-A"/>
    <m/>
    <s v="Allen"/>
    <n v="41.168756999999999"/>
    <n v="-85.095179999999999"/>
    <s v="Transportation"/>
    <m/>
    <s v="No"/>
    <m/>
    <n v="72"/>
    <n v="336"/>
    <n v="72"/>
    <s v="D"/>
    <s v="J"/>
    <m/>
    <m/>
    <m/>
    <m/>
    <m/>
    <m/>
    <s v="Service Corridor"/>
  </r>
  <r>
    <x v="242"/>
    <s v="November"/>
    <n v="2023"/>
    <x v="7"/>
    <n v="-76"/>
    <x v="1"/>
    <n v="30400"/>
    <n v="454"/>
    <s v="Federal"/>
    <s v="Eph"/>
    <n v="127"/>
    <s v="Clark County Board of Commissioners"/>
    <s v="LRL-1994-1330-gjd"/>
    <s v="2023-422-10-JWR-A"/>
    <m/>
    <s v="Clark"/>
    <n v="38.46"/>
    <n v="-85.831199999999995"/>
    <s v="Development"/>
    <m/>
    <s v="No"/>
    <m/>
    <n v="4560"/>
    <n v="21280"/>
    <n v="4560"/>
    <s v="L"/>
    <s v="J"/>
    <m/>
    <m/>
    <m/>
    <m/>
    <m/>
    <m/>
    <m/>
  </r>
  <r>
    <x v="242"/>
    <s v="November"/>
    <n v="2023"/>
    <x v="7"/>
    <n v="-1.67"/>
    <x v="0"/>
    <n v="133600"/>
    <n v="454"/>
    <s v="Federal"/>
    <s v="PSS"/>
    <n v="0.623"/>
    <s v="Clark County Board of Commissioners"/>
    <s v="LRL-1994-1330-gjd"/>
    <s v="2023-422-10-JWR-A"/>
    <m/>
    <s v="Clark"/>
    <n v="38.46"/>
    <n v="-85.831199999999995"/>
    <s v="Development"/>
    <m/>
    <s v="No"/>
    <m/>
    <n v="20040"/>
    <n v="93520"/>
    <n v="20040"/>
    <s v="L"/>
    <s v="J"/>
    <m/>
    <m/>
    <m/>
    <m/>
    <m/>
    <m/>
    <m/>
  </r>
  <r>
    <x v="242"/>
    <s v="November"/>
    <n v="2023"/>
    <x v="7"/>
    <n v="-1.63"/>
    <x v="0"/>
    <n v="130400"/>
    <n v="454"/>
    <s v="Federal"/>
    <s v="PEM"/>
    <n v="0.77300000000000002"/>
    <s v="Clark County Board of Commissioners"/>
    <s v="LRL-1994-1330-gjd"/>
    <s v="2023-422-10-JWR-A"/>
    <m/>
    <s v="Clark"/>
    <n v="38.46"/>
    <n v="-85.831199999999995"/>
    <s v="Development"/>
    <m/>
    <s v="No"/>
    <m/>
    <n v="19560"/>
    <n v="91280"/>
    <n v="19560"/>
    <s v="L"/>
    <s v="J"/>
    <m/>
    <m/>
    <m/>
    <m/>
    <m/>
    <m/>
    <m/>
  </r>
  <r>
    <x v="242"/>
    <s v="November"/>
    <n v="2023"/>
    <x v="10"/>
    <n v="-0.248"/>
    <x v="0"/>
    <n v="19840"/>
    <n v="456"/>
    <s v="State Isolated"/>
    <s v="PFO"/>
    <n v="0.124"/>
    <s v="Shelby County Higthway Department"/>
    <s v="N/A"/>
    <s v="IWIP 2023-303-73-WLR-A"/>
    <m/>
    <s v="Shelby"/>
    <n v="39.652476"/>
    <n v="-85.942843999999994"/>
    <s v="Transportation"/>
    <m/>
    <s v="No"/>
    <m/>
    <n v="2976"/>
    <n v="13888"/>
    <n v="2976"/>
    <s v="L"/>
    <s v="SI"/>
    <s v="2 FO"/>
    <m/>
    <m/>
    <m/>
    <m/>
    <m/>
    <m/>
  </r>
  <r>
    <x v="243"/>
    <s v="December"/>
    <n v="2023"/>
    <x v="1"/>
    <n v="-456.6"/>
    <x v="1"/>
    <n v="273960"/>
    <n v="449"/>
    <s v="Federal"/>
    <s v="Per"/>
    <n v="456.6"/>
    <s v="INDOT"/>
    <s v="LRC-2022-818"/>
    <s v="2022-1359-64-JBT-X"/>
    <m/>
    <s v="Porter"/>
    <n v="41.439463000000003"/>
    <n v="-86.962601000000006"/>
    <s v="Transportation"/>
    <m/>
    <s v="No"/>
    <m/>
    <n v="41094"/>
    <n v="191772"/>
    <n v="41094"/>
    <s v="C"/>
    <s v="J"/>
    <m/>
    <m/>
    <m/>
    <m/>
    <m/>
    <m/>
    <s v="1703005 Was sold as Calumet-Dunes - needs to be corrected in INRF and determine either refund or credit with INDOT"/>
  </r>
  <r>
    <x v="243"/>
    <s v="December"/>
    <n v="2023"/>
    <x v="1"/>
    <n v="-0.312"/>
    <x v="0"/>
    <n v="29640"/>
    <n v="449"/>
    <s v="Federal"/>
    <s v="PEM"/>
    <n v="0.13"/>
    <s v="INDOT"/>
    <s v="LRC-2022-818"/>
    <s v="2022-1359-64-JBT-X"/>
    <m/>
    <s v="Porter"/>
    <n v="41.439463000000003"/>
    <n v="-86.962601000000006"/>
    <s v="Transportation"/>
    <m/>
    <s v="No"/>
    <m/>
    <n v="4446"/>
    <n v="20748"/>
    <n v="4446"/>
    <s v="C"/>
    <s v="J"/>
    <m/>
    <m/>
    <m/>
    <m/>
    <m/>
    <m/>
    <s v="1703005 Same credit price as Calumet-Dunes, so just need to fix in INRF record as with above"/>
  </r>
  <r>
    <x v="243"/>
    <s v="December"/>
    <n v="2023"/>
    <x v="8"/>
    <n v="-129"/>
    <x v="1"/>
    <n v="51600"/>
    <n v="448"/>
    <s v="Federal"/>
    <s v="Int"/>
    <n v="129"/>
    <s v="INDOT"/>
    <s v="LRL-2022-936"/>
    <s v="2022-1007-35-JBT-X"/>
    <m/>
    <s v="Huntington"/>
    <n v="40.741500000000002"/>
    <n v="-85.565899999999999"/>
    <s v="Transportation"/>
    <m/>
    <s v="No"/>
    <m/>
    <n v="7740"/>
    <n v="36120"/>
    <n v="7740"/>
    <s v="L"/>
    <s v="J"/>
    <m/>
    <m/>
    <m/>
    <m/>
    <m/>
    <m/>
    <s v="1900242 and 1900241"/>
  </r>
  <r>
    <x v="243"/>
    <s v="December"/>
    <n v="2023"/>
    <x v="9"/>
    <n v="-0.74"/>
    <x v="0"/>
    <n v="59200"/>
    <n v="459"/>
    <s v="State Isolated"/>
    <s v="PEM"/>
    <n v="0.49"/>
    <s v="Bastian Solutions LLC"/>
    <s v="N/A"/>
    <s v="IWIP 2023-781-29-GCW-A"/>
    <m/>
    <s v="Hamilton"/>
    <n v="39.997776999999999"/>
    <n v="-85.956790999999996"/>
    <s v="Development"/>
    <m/>
    <s v="No"/>
    <m/>
    <n v="8880"/>
    <n v="41440"/>
    <n v="8880"/>
    <s v="L"/>
    <s v="I"/>
    <s v="2 NF"/>
    <m/>
    <m/>
    <m/>
    <m/>
    <m/>
    <m/>
  </r>
  <r>
    <x v="244"/>
    <s v="December"/>
    <n v="2023"/>
    <x v="0"/>
    <n v="-88"/>
    <x v="1"/>
    <n v="52800"/>
    <n v="450"/>
    <s v="Federal"/>
    <s v="Per"/>
    <n v="88"/>
    <s v="INDOT"/>
    <s v="LRC-2023-0054"/>
    <s v="2023-111-45-GCW-X"/>
    <m/>
    <s v="Lake"/>
    <n v="41.499713"/>
    <n v="-87.258708999999996"/>
    <s v="Transportation"/>
    <m/>
    <s v="No"/>
    <m/>
    <n v="7920"/>
    <n v="36960"/>
    <n v="7920"/>
    <s v="C"/>
    <s v="J"/>
    <m/>
    <m/>
    <m/>
    <m/>
    <m/>
    <m/>
    <n v="1703043"/>
  </r>
  <r>
    <x v="244"/>
    <s v="December"/>
    <n v="2023"/>
    <x v="0"/>
    <n v="-0.16600000000000001"/>
    <x v="0"/>
    <n v="15770"/>
    <n v="450"/>
    <s v="Federal"/>
    <s v="PEM"/>
    <n v="8.2799999999999999E-2"/>
    <s v="INDOT"/>
    <s v="LRC-2023-0054"/>
    <s v="2023-111-45-GCW-X"/>
    <m/>
    <s v="Lake"/>
    <n v="41.499713"/>
    <n v="-87.258708999999996"/>
    <s v="Transportation"/>
    <m/>
    <s v="No"/>
    <m/>
    <n v="2365.5"/>
    <n v="11039"/>
    <n v="2365.5"/>
    <s v="C"/>
    <s v="J"/>
    <m/>
    <m/>
    <m/>
    <m/>
    <m/>
    <m/>
    <n v="1703043"/>
  </r>
  <r>
    <x v="244"/>
    <s v="December"/>
    <n v="2023"/>
    <x v="6"/>
    <n v="-313"/>
    <x v="1"/>
    <n v="187800"/>
    <n v="461"/>
    <s v="Federal"/>
    <s v="Int"/>
    <n v="261"/>
    <s v="INDOT"/>
    <s v="LRE-2022-00522-157-N23"/>
    <s v="2023-684-57-JWR-A"/>
    <m/>
    <s v="Noble"/>
    <n v="41.425072999999998"/>
    <n v="-85.268182999999993"/>
    <s v="Transportation"/>
    <m/>
    <s v="No"/>
    <m/>
    <n v="28170"/>
    <n v="131460"/>
    <n v="28170"/>
    <s v="D"/>
    <s v="J"/>
    <m/>
    <m/>
    <m/>
    <m/>
    <m/>
    <m/>
    <s v="DES No. 1900138"/>
  </r>
  <r>
    <x v="244"/>
    <s v="December"/>
    <n v="2023"/>
    <x v="6"/>
    <n v="-0.7"/>
    <x v="0"/>
    <n v="84000"/>
    <n v="461"/>
    <s v="Federal"/>
    <s v="PEM"/>
    <n v="0.28999999999999998"/>
    <s v="INDOT"/>
    <s v="LRE-2022-00522-157-N23"/>
    <s v="2023-684-57-JWR-A"/>
    <m/>
    <s v="Noble"/>
    <n v="41.425072999999998"/>
    <n v="-85.268182999999993"/>
    <s v="Transportation"/>
    <m/>
    <s v="No"/>
    <m/>
    <n v="12600"/>
    <n v="58799.999999999993"/>
    <n v="12600"/>
    <s v="D"/>
    <s v="J"/>
    <m/>
    <m/>
    <m/>
    <m/>
    <m/>
    <m/>
    <s v="DES No. 1900138"/>
  </r>
  <r>
    <x v="244"/>
    <s v="December"/>
    <n v="2023"/>
    <x v="7"/>
    <n v="-104"/>
    <x v="1"/>
    <n v="41600"/>
    <n v="455"/>
    <s v="Federal"/>
    <s v="Eph"/>
    <n v="890"/>
    <s v="INDOT"/>
    <s v="LRL-2023-200-dds"/>
    <s v="2023-190-15-JBT-A"/>
    <m/>
    <s v="Dearborn, Ripley, Crawford"/>
    <n v="39.107306000000001"/>
    <n v="-85.047321999999994"/>
    <s v="Transportation"/>
    <m/>
    <s v="No"/>
    <m/>
    <n v="6240"/>
    <n v="29119.999999999996"/>
    <n v="6240"/>
    <s v="L"/>
    <s v="J"/>
    <m/>
    <m/>
    <m/>
    <m/>
    <m/>
    <m/>
    <s v="Linear project with several points. DES No. 2000516"/>
  </r>
  <r>
    <x v="244"/>
    <s v="December"/>
    <n v="2023"/>
    <x v="8"/>
    <n v="-0.04"/>
    <x v="0"/>
    <n v="3200"/>
    <n v="451"/>
    <s v="Federal"/>
    <s v="PFO"/>
    <n v="0.01"/>
    <s v="INDOT"/>
    <s v="LRL-2022-118"/>
    <s v="2021-168-27-JBT-A"/>
    <m/>
    <s v="Grant "/>
    <n v="40.614331"/>
    <n v="-85.693918999999994"/>
    <s v="Transportation"/>
    <m/>
    <s v="No"/>
    <m/>
    <n v="480"/>
    <n v="2240"/>
    <n v="480"/>
    <s v="L"/>
    <s v="J"/>
    <m/>
    <m/>
    <m/>
    <m/>
    <m/>
    <m/>
    <s v="DES 2001581"/>
  </r>
  <r>
    <x v="244"/>
    <s v="December"/>
    <n v="2023"/>
    <x v="8"/>
    <n v="-178"/>
    <x v="1"/>
    <n v="71200"/>
    <n v="451"/>
    <s v="Federal"/>
    <s v="Int"/>
    <n v="175"/>
    <s v="INDOT"/>
    <s v="LRL-2022-118"/>
    <s v="2021-168-27-JBT-A"/>
    <m/>
    <s v="Grant "/>
    <n v="40.614331"/>
    <n v="-85.693918999999994"/>
    <s v="Transportation"/>
    <m/>
    <s v="No"/>
    <m/>
    <n v="10680"/>
    <n v="49840"/>
    <n v="10680"/>
    <s v="L"/>
    <s v="J"/>
    <m/>
    <m/>
    <m/>
    <m/>
    <m/>
    <m/>
    <s v="DES 2001581"/>
  </r>
  <r>
    <x v="244"/>
    <s v="December"/>
    <n v="2023"/>
    <x v="10"/>
    <n v="-4"/>
    <x v="1"/>
    <n v="1600"/>
    <n v="447"/>
    <s v="Federal"/>
    <s v="Eph"/>
    <n v="4"/>
    <s v="INDOT"/>
    <s v="LRL-2022-898-scm"/>
    <s v="2022-1112-15-JBT-A"/>
    <m/>
    <s v="Dearborn"/>
    <s v="39.277158,"/>
    <n v="-84.903295"/>
    <s v="Transportation"/>
    <m/>
    <s v="No"/>
    <m/>
    <n v="240"/>
    <n v="1120"/>
    <n v="240"/>
    <s v="L"/>
    <s v="J"/>
    <m/>
    <m/>
    <m/>
    <m/>
    <m/>
    <m/>
    <n v="1600539"/>
  </r>
  <r>
    <x v="244"/>
    <s v="December"/>
    <n v="2023"/>
    <x v="10"/>
    <n v="-314"/>
    <x v="1"/>
    <n v="125600"/>
    <n v="447"/>
    <s v="Federal"/>
    <s v="Per"/>
    <n v="314"/>
    <s v="INDOT"/>
    <s v="LRL-2022-898-scm"/>
    <s v="2022-1112-15-JBT-A"/>
    <m/>
    <s v="Dearborn"/>
    <s v="39.277158,"/>
    <n v="-84.903295"/>
    <s v="Transportation"/>
    <m/>
    <s v="No"/>
    <m/>
    <n v="18840"/>
    <n v="87920"/>
    <n v="18840"/>
    <s v="L"/>
    <s v="J"/>
    <m/>
    <m/>
    <m/>
    <m/>
    <m/>
    <m/>
    <n v="1600539"/>
  </r>
  <r>
    <x v="245"/>
    <s v="December"/>
    <n v="2023"/>
    <x v="8"/>
    <n v="-5.5999999999999999E-3"/>
    <x v="0"/>
    <n v="448"/>
    <n v="441"/>
    <s v="Federal"/>
    <s v="PEM"/>
    <n v="2.8E-3"/>
    <s v="Kiewit Power Constructors Co."/>
    <s v="LRL-2023-00195-jde"/>
    <s v="2023-203-27-EJW-A"/>
    <m/>
    <s v="Grant"/>
    <n v="40.574525999999999"/>
    <n v="-85.655218000000005"/>
    <s v="Transportation"/>
    <m/>
    <s v="No"/>
    <m/>
    <n v="67.2"/>
    <n v="313.59999999999997"/>
    <n v="67.2"/>
    <s v="L"/>
    <s v="J"/>
    <m/>
    <m/>
    <m/>
    <m/>
    <m/>
    <m/>
    <s v="Lat/Long start location of linear project"/>
  </r>
  <r>
    <x v="245"/>
    <s v="December"/>
    <n v="2023"/>
    <x v="8"/>
    <n v="-2.3999999999999998E-3"/>
    <x v="0"/>
    <n v="192"/>
    <n v="441"/>
    <s v="Federal"/>
    <s v="PSS"/>
    <n v="8.0000000000000004E-4"/>
    <s v="Kiewit Power Constructors Co."/>
    <s v="LRL-2023-00195-jde"/>
    <s v="2023-203-27-EJW-A"/>
    <m/>
    <s v="Grant"/>
    <n v="40.574525999999999"/>
    <n v="-85.655218000000005"/>
    <s v="Transportation"/>
    <m/>
    <s v="No"/>
    <m/>
    <n v="28.799999999999997"/>
    <n v="134.39999999999998"/>
    <n v="28.799999999999997"/>
    <s v="L"/>
    <s v="J"/>
    <m/>
    <m/>
    <m/>
    <m/>
    <m/>
    <m/>
    <s v="Lat/Long start location of linear project"/>
  </r>
  <r>
    <x v="245"/>
    <s v="December"/>
    <n v="2023"/>
    <x v="8"/>
    <n v="-1.26"/>
    <x v="0"/>
    <n v="100800"/>
    <n v="441"/>
    <s v="Federal"/>
    <s v="PFO"/>
    <n v="0.42"/>
    <s v="Kiewit Power Constructors Co."/>
    <s v="LRL-2023-00195-jde"/>
    <s v="2023-203-27-EJW-A"/>
    <m/>
    <s v="Grant"/>
    <n v="40.574525999999999"/>
    <n v="-85.655218000000005"/>
    <s v="Transportation"/>
    <m/>
    <s v="No"/>
    <m/>
    <n v="15120"/>
    <n v="70560"/>
    <n v="15120"/>
    <s v="L"/>
    <s v="J"/>
    <m/>
    <m/>
    <m/>
    <m/>
    <m/>
    <m/>
    <s v="Lat/Long start location of linear project"/>
  </r>
  <r>
    <x v="246"/>
    <s v="December"/>
    <n v="2023"/>
    <x v="5"/>
    <n v="-180"/>
    <x v="1"/>
    <n v="72000"/>
    <n v="457"/>
    <s v="Federal"/>
    <s v="Eph"/>
    <n v="471"/>
    <s v="Vanderburgh County"/>
    <s v="LRL-2022-1077-tmb"/>
    <s v="2022-1362-82-JWR"/>
    <m/>
    <s v="Vanderburgh"/>
    <n v="38.042512000000002"/>
    <n v="-87.509769000000006"/>
    <s v="Transportation"/>
    <m/>
    <s v="No"/>
    <m/>
    <n v="10800"/>
    <n v="50400"/>
    <n v="10800"/>
    <s v="L"/>
    <s v="J"/>
    <m/>
    <m/>
    <m/>
    <m/>
    <m/>
    <m/>
    <m/>
  </r>
  <r>
    <x v="246"/>
    <s v="December"/>
    <n v="2023"/>
    <x v="5"/>
    <n v="-154"/>
    <x v="1"/>
    <n v="61600"/>
    <n v="457"/>
    <s v="Federal"/>
    <s v="Int"/>
    <n v="593"/>
    <s v="Vanderburgh County"/>
    <s v="LRL-2022-1077-tmb"/>
    <s v="2022-1362-82-JWR"/>
    <m/>
    <s v="Vanderburgh"/>
    <n v="38.042512000000002"/>
    <n v="-87.509769000000006"/>
    <s v="Transportation"/>
    <m/>
    <s v="No"/>
    <m/>
    <n v="9240"/>
    <n v="43120"/>
    <n v="9240"/>
    <s v="L"/>
    <s v="J"/>
    <m/>
    <m/>
    <m/>
    <m/>
    <m/>
    <m/>
    <m/>
  </r>
  <r>
    <x v="246"/>
    <s v="December"/>
    <n v="2023"/>
    <x v="5"/>
    <n v="-257.5"/>
    <x v="1"/>
    <n v="103000"/>
    <n v="458"/>
    <s v="Federal"/>
    <s v="Eph"/>
    <n v="896.5"/>
    <s v="Vanderburgh County"/>
    <s v="LRL-2023-00275-dsp "/>
    <s v="2023-445-82-WLR-A"/>
    <m/>
    <s v="Vanderburgh"/>
    <n v="38.085591999999998"/>
    <n v="-87.505643000000006"/>
    <s v="Transportation"/>
    <m/>
    <s v="No"/>
    <m/>
    <n v="15450"/>
    <n v="72100"/>
    <n v="15450"/>
    <s v="L"/>
    <s v="J"/>
    <m/>
    <m/>
    <m/>
    <m/>
    <m/>
    <m/>
    <m/>
  </r>
  <r>
    <x v="246"/>
    <s v="December"/>
    <n v="2023"/>
    <x v="5"/>
    <n v="-258"/>
    <x v="1"/>
    <n v="103200"/>
    <n v="458"/>
    <s v="Federal"/>
    <s v="Int"/>
    <n v="335"/>
    <s v="Vanderburgh County"/>
    <s v="LRL-2023-00275-dsp "/>
    <s v="2023-445-82-WLR-A"/>
    <m/>
    <s v="Vanderburgh"/>
    <n v="38.085591999999998"/>
    <n v="-87.505643000000006"/>
    <s v="Transportation"/>
    <m/>
    <s v="No"/>
    <m/>
    <n v="15480"/>
    <n v="72240"/>
    <n v="15480"/>
    <s v="L"/>
    <s v="J"/>
    <m/>
    <m/>
    <m/>
    <m/>
    <m/>
    <m/>
    <m/>
  </r>
  <r>
    <x v="246"/>
    <s v="December"/>
    <n v="2023"/>
    <x v="5"/>
    <n v="-0.16900000000000001"/>
    <x v="0"/>
    <n v="13520"/>
    <n v="458"/>
    <s v="Federal"/>
    <s v="PEM"/>
    <n v="8.4500000000000006E-2"/>
    <s v="Vanderburgh County"/>
    <s v="LRL-2023-00275-dsp "/>
    <s v="2023-445-82-WLR-A"/>
    <m/>
    <s v="Vanderburgh"/>
    <n v="38.085591999999998"/>
    <n v="-87.505643000000006"/>
    <s v="Transportation"/>
    <m/>
    <s v="No"/>
    <m/>
    <n v="2028"/>
    <n v="9464"/>
    <n v="2028"/>
    <s v="L"/>
    <s v="J"/>
    <m/>
    <m/>
    <m/>
    <m/>
    <m/>
    <m/>
    <m/>
  </r>
  <r>
    <x v="246"/>
    <s v="December"/>
    <n v="2023"/>
    <x v="7"/>
    <n v="-68"/>
    <x v="1"/>
    <n v="27200"/>
    <n v="467"/>
    <s v="Federal"/>
    <s v="Eph"/>
    <n v="68"/>
    <s v="Clark County Board of Commissioners"/>
    <s v="LRL-2013-00374"/>
    <s v="2021-189-10-TMS-A"/>
    <m/>
    <s v="Clark"/>
    <n v="38.457000000000001"/>
    <n v="-85.847740000000002"/>
    <s v="Development"/>
    <m/>
    <s v="No"/>
    <m/>
    <n v="4080"/>
    <n v="19040"/>
    <n v="4080"/>
    <s v="L"/>
    <s v="SI"/>
    <m/>
    <m/>
    <m/>
    <m/>
    <m/>
    <m/>
    <s v="3 of 7"/>
  </r>
  <r>
    <x v="246"/>
    <s v="December"/>
    <n v="2023"/>
    <x v="7"/>
    <n v="-220"/>
    <x v="1"/>
    <n v="88000"/>
    <n v="467"/>
    <s v="Federal"/>
    <s v="Int"/>
    <n v="220"/>
    <s v="Clark County Board of Commissioners"/>
    <s v="LRL-2013-00374"/>
    <s v="2021-189-10-TMS-A"/>
    <m/>
    <s v="Clark"/>
    <n v="38.457000000000001"/>
    <n v="-85.847740000000002"/>
    <s v="Development"/>
    <m/>
    <s v="No"/>
    <m/>
    <n v="13200"/>
    <n v="61599.999999999993"/>
    <n v="13200"/>
    <s v="L"/>
    <s v="SI"/>
    <m/>
    <m/>
    <m/>
    <m/>
    <m/>
    <m/>
    <s v="3 of 7"/>
  </r>
  <r>
    <x v="246"/>
    <s v="December"/>
    <n v="2023"/>
    <x v="7"/>
    <n v="-1.2"/>
    <x v="0"/>
    <n v="96000"/>
    <n v="467"/>
    <s v="Federal"/>
    <s v="PEM"/>
    <n v="1.2"/>
    <s v="Clark County Board of Commissioners"/>
    <s v="LRL-2013-00374"/>
    <s v="2021-189-10-TMS-A"/>
    <m/>
    <s v="Clark"/>
    <n v="38.457000000000001"/>
    <n v="-85.847740000000002"/>
    <s v="Development"/>
    <m/>
    <s v="No"/>
    <m/>
    <n v="14400"/>
    <n v="67200"/>
    <n v="14400"/>
    <s v="L"/>
    <s v="SI"/>
    <m/>
    <m/>
    <m/>
    <m/>
    <m/>
    <m/>
    <s v="3 of 7"/>
  </r>
  <r>
    <x v="246"/>
    <s v="December"/>
    <n v="2023"/>
    <x v="7"/>
    <n v="-0.1"/>
    <x v="0"/>
    <n v="8000"/>
    <n v="467"/>
    <s v="Federal"/>
    <s v="PFO"/>
    <n v="0.1"/>
    <s v="Clark County Board of Commissioners"/>
    <s v="LRL-2013-00374"/>
    <s v="2021-189-10-TMS-A"/>
    <m/>
    <s v="Clark"/>
    <n v="38.457000000000001"/>
    <n v="-85.847740000000002"/>
    <s v="Development"/>
    <m/>
    <s v="No"/>
    <m/>
    <n v="1200"/>
    <n v="5600"/>
    <n v="1200"/>
    <s v="L"/>
    <s v="SI"/>
    <m/>
    <m/>
    <m/>
    <m/>
    <m/>
    <m/>
    <s v="3 of 7"/>
  </r>
  <r>
    <x v="246"/>
    <s v="December"/>
    <n v="2023"/>
    <x v="8"/>
    <n v="-37"/>
    <x v="1"/>
    <n v="14800"/>
    <n v="462"/>
    <s v="Federal"/>
    <s v="Int"/>
    <n v="37"/>
    <s v="INDOT"/>
    <s v="LRL-2023-00493-DDC "/>
    <s v="2023-613-85-JWR-X "/>
    <m/>
    <s v="Wabash"/>
    <n v="40.803916000000001"/>
    <n v="-85.903412000000003"/>
    <s v="Transportation"/>
    <m/>
    <s v="No"/>
    <m/>
    <n v="2220"/>
    <n v="10360"/>
    <n v="2220"/>
    <s v="L"/>
    <s v="J"/>
    <m/>
    <m/>
    <m/>
    <m/>
    <m/>
    <m/>
    <n v="1900080"/>
  </r>
  <r>
    <x v="246"/>
    <s v="December"/>
    <n v="2023"/>
    <x v="9"/>
    <n v="-0.02"/>
    <x v="0"/>
    <n v="160"/>
    <n v="452"/>
    <s v="State Isolated"/>
    <s v="PEM"/>
    <n v="1E-3"/>
    <s v="INDOT"/>
    <s v="N/A"/>
    <s v="IWIP 2023-460-35-JBT-A"/>
    <m/>
    <s v="Hendricks"/>
    <n v="39.7577"/>
    <n v="-86.457887999999997"/>
    <s v="Transportation"/>
    <m/>
    <s v="No"/>
    <m/>
    <n v="24"/>
    <n v="112"/>
    <n v="24"/>
    <s v="L"/>
    <s v="I"/>
    <m/>
    <m/>
    <m/>
    <m/>
    <m/>
    <m/>
    <n v="1900357"/>
  </r>
  <r>
    <x v="12"/>
    <m/>
    <m/>
    <x v="11"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47"/>
    <s v="January"/>
    <n v="2024"/>
    <x v="0"/>
    <n v="-1.38"/>
    <x v="0"/>
    <n v="131100"/>
    <n v="460"/>
    <s v="Federal"/>
    <s v="PEM"/>
    <n v="0.9"/>
    <s v="Mississippi Parkway Partners"/>
    <s v="LRC-2022-00250"/>
    <s v="2022-662-45-MTM-A"/>
    <m/>
    <s v="Lake"/>
    <n v="41.375649000000003"/>
    <n v="-87.312011999999996"/>
    <s v="Development"/>
    <m/>
    <s v="No"/>
    <m/>
    <n v="19665"/>
    <n v="91770"/>
    <n v="19665"/>
    <s v="C"/>
    <s v="J"/>
    <m/>
    <m/>
    <m/>
    <m/>
    <m/>
    <m/>
    <m/>
  </r>
  <r>
    <x v="247"/>
    <s v="January"/>
    <n v="2024"/>
    <x v="0"/>
    <n v="-0.65"/>
    <x v="0"/>
    <n v="61750"/>
    <n v="465"/>
    <s v="State Isolated"/>
    <s v="PEM"/>
    <n v="0.65"/>
    <s v="Gary Material Supply"/>
    <s v="N/A"/>
    <s v="IWIP 2022-32-45-MTM-A"/>
    <m/>
    <s v="Lake"/>
    <n v="41.592683000000001"/>
    <n v="-87.425911999999997"/>
    <s v="Development"/>
    <m/>
    <s v="No"/>
    <m/>
    <n v="9262.5"/>
    <n v="43225"/>
    <n v="9262.5"/>
    <s v="C"/>
    <s v="SI"/>
    <s v="3 NF"/>
    <m/>
    <m/>
    <m/>
    <m/>
    <m/>
    <m/>
  </r>
  <r>
    <x v="247"/>
    <s v="January"/>
    <n v="2024"/>
    <x v="8"/>
    <n v="-0.5"/>
    <x v="0"/>
    <n v="40000"/>
    <n v="466"/>
    <s v="Federal"/>
    <s v="PFO"/>
    <n v="0.5"/>
    <s v="Taylor University"/>
    <s v="LRL-2013-00869-sjk"/>
    <s v="2013-506-27-HAP-V"/>
    <m/>
    <s v="Grant"/>
    <n v="40.452800000000003"/>
    <n v="-85.499099999999999"/>
    <s v="Development"/>
    <m/>
    <s v="No"/>
    <m/>
    <n v="6000"/>
    <n v="28000"/>
    <n v="6000"/>
    <s v="L"/>
    <s v="J"/>
    <m/>
    <m/>
    <m/>
    <m/>
    <m/>
    <m/>
    <m/>
  </r>
  <r>
    <x v="247"/>
    <s v="January"/>
    <n v="2024"/>
    <x v="9"/>
    <n v="-1.7250000000000001"/>
    <x v="0"/>
    <n v="138000"/>
    <n v="468"/>
    <s v="State Isolated"/>
    <s v="PFO"/>
    <n v="1.7250000000000001"/>
    <s v="Chill Land, LLC"/>
    <s v="N/A"/>
    <s v="IWIP 2023-280-6-ERL-A"/>
    <m/>
    <s v="Boone"/>
    <n v="39.947789"/>
    <n v="-86.384957"/>
    <s v="Development"/>
    <m/>
    <s v="No"/>
    <m/>
    <n v="20700"/>
    <n v="96600"/>
    <n v="20700"/>
    <s v="L"/>
    <s v="SI"/>
    <s v="3 FO"/>
    <m/>
    <m/>
    <m/>
    <m/>
    <m/>
    <m/>
  </r>
  <r>
    <x v="248"/>
    <s v="January"/>
    <n v="2024"/>
    <x v="9"/>
    <n v="-153.5"/>
    <x v="1"/>
    <n v="69075"/>
    <n v="469"/>
    <s v="Federal"/>
    <s v="Per"/>
    <n v="155"/>
    <s v="Epcon Communities"/>
    <s v="LRL-2016-00893-jde"/>
    <s v="2023-509-6-MRP-A"/>
    <m/>
    <s v="Boone"/>
    <n v="39.947549000000002"/>
    <n v="-86.294589000000002"/>
    <s v="Development"/>
    <m/>
    <s v="No"/>
    <m/>
    <n v="10361.25"/>
    <n v="48352.5"/>
    <n v="10361.25"/>
    <s v="L"/>
    <s v="J"/>
    <m/>
    <m/>
    <m/>
    <m/>
    <m/>
    <m/>
    <m/>
  </r>
  <r>
    <x v="249"/>
    <s v="January"/>
    <n v="2024"/>
    <x v="1"/>
    <n v="123"/>
    <x v="1"/>
    <n v="-61500"/>
    <n v="302"/>
    <s v="Federal"/>
    <s v="Per"/>
    <n v="123"/>
    <s v="INDOT"/>
    <s v="LRE-2008-01048-156-R21"/>
    <s v="2021-712-56-JBT-A"/>
    <m/>
    <s v="Newton"/>
    <n v="40.865900000000003"/>
    <n v="-87.281000000000006"/>
    <s v="Transportation"/>
    <s v="Credit Refund to INDOT 1/31/2023"/>
    <s v="n/a"/>
    <d v="2023-01-31T00:00:00"/>
    <n v="-9225"/>
    <n v="-43050"/>
    <n v="-9225"/>
    <s v="D"/>
    <s v="J"/>
    <m/>
    <m/>
    <s v="Credit Refund to INDOT"/>
    <m/>
    <m/>
    <m/>
    <s v="Corps verified no mitigation required. *Refund 1/31/24"/>
  </r>
  <r>
    <x v="249"/>
    <s v="January"/>
    <n v="2024"/>
    <x v="1"/>
    <n v="1.7999999999999999E-2"/>
    <x v="0"/>
    <n v="-1710"/>
    <n v="302"/>
    <s v="Federal"/>
    <s v="PEM"/>
    <n v="8.9999999999999993E-3"/>
    <s v="INDOT"/>
    <s v="LRE-2008-01048-156-R21"/>
    <s v="2021-712-56-JBT-A"/>
    <m/>
    <s v="Newton"/>
    <n v="40.865900000000003"/>
    <n v="-87.281000000000006"/>
    <s v="Transportation"/>
    <s v="Credit Refund to INDOT 1/31/2023"/>
    <s v="n/a"/>
    <d v="2023-01-31T00:00:00"/>
    <n v="-256.5"/>
    <n v="-1197"/>
    <n v="-256.5"/>
    <s v="D"/>
    <s v="J"/>
    <m/>
    <m/>
    <s v="Credit Refund to INDOT"/>
    <m/>
    <m/>
    <m/>
    <s v="Corps verified no mitigation required. *Refund 1/31/24"/>
  </r>
  <r>
    <x v="250"/>
    <s v="February"/>
    <n v="2024"/>
    <x v="9"/>
    <n v="-1.36"/>
    <x v="0"/>
    <n v="108800"/>
    <n v="477"/>
    <s v="State Isolated"/>
    <s v="PEM"/>
    <n v="0.68"/>
    <s v="BHI Senior Living"/>
    <s v="N/A"/>
    <s v="IWIP 2023-800-6-MPY-A"/>
    <m/>
    <s v="Boone"/>
    <n v="39.930031"/>
    <n v="-86.247806999999995"/>
    <s v="Development"/>
    <m/>
    <s v="No"/>
    <m/>
    <n v="16320"/>
    <n v="76160"/>
    <n v="16320"/>
    <s v="L"/>
    <s v="SI"/>
    <s v="3 FO"/>
    <m/>
    <m/>
    <m/>
    <m/>
    <m/>
    <m/>
  </r>
  <r>
    <x v="250"/>
    <s v="February"/>
    <n v="2024"/>
    <x v="9"/>
    <n v="-0.67"/>
    <x v="0"/>
    <n v="53600"/>
    <n v="477"/>
    <s v="State Isolated"/>
    <s v="PFO"/>
    <n v="0.27"/>
    <s v="BHI Senior Living"/>
    <s v="N/A"/>
    <s v="IWIP 2023-800-6-MPY-A"/>
    <m/>
    <s v="Boone"/>
    <n v="39.930031"/>
    <n v="-86.247806999999995"/>
    <s v="Development"/>
    <m/>
    <s v="No"/>
    <m/>
    <n v="8040"/>
    <n v="37520"/>
    <n v="8040"/>
    <s v="L"/>
    <s v="SI"/>
    <s v="3 FO"/>
    <m/>
    <m/>
    <m/>
    <m/>
    <m/>
    <m/>
  </r>
  <r>
    <x v="251"/>
    <s v="February"/>
    <n v="2024"/>
    <x v="8"/>
    <n v="-47"/>
    <x v="1"/>
    <n v="18800"/>
    <n v="471"/>
    <s v="Federal"/>
    <s v="Int"/>
    <n v="47"/>
    <s v="INDOT"/>
    <s v="LRL-2023-915-djd"/>
    <s v="2023-1098-90-GCW-X"/>
    <m/>
    <s v="Wells"/>
    <n v="40.822166000000003"/>
    <n v="-85.311150999999995"/>
    <s v="Transportation"/>
    <m/>
    <s v="No"/>
    <m/>
    <n v="2820"/>
    <n v="13160"/>
    <n v="2820"/>
    <s v="L"/>
    <s v="J"/>
    <m/>
    <m/>
    <m/>
    <m/>
    <m/>
    <m/>
    <m/>
  </r>
  <r>
    <x v="251"/>
    <s v="February"/>
    <n v="2024"/>
    <x v="8"/>
    <n v="-0.64"/>
    <x v="0"/>
    <n v="51200"/>
    <n v="471"/>
    <s v="Federal"/>
    <s v="PFO"/>
    <n v="0.16"/>
    <s v="INDOT"/>
    <s v="LRL-2023-915-djd"/>
    <s v="2023-1098-90-GCW-X"/>
    <m/>
    <s v="Wells"/>
    <n v="40.822166000000003"/>
    <n v="-85.311150999999995"/>
    <s v="Transportation"/>
    <m/>
    <s v="No"/>
    <m/>
    <n v="7680"/>
    <n v="35840"/>
    <n v="7680"/>
    <s v="L"/>
    <s v="J"/>
    <m/>
    <m/>
    <m/>
    <m/>
    <m/>
    <m/>
    <m/>
  </r>
  <r>
    <x v="252"/>
    <s v="February"/>
    <n v="2024"/>
    <x v="8"/>
    <n v="-1.5"/>
    <x v="0"/>
    <n v="120000"/>
    <n v="463"/>
    <s v="State Isolated"/>
    <s v="PEM"/>
    <n v="1.5"/>
    <s v="Van Rooy Properties"/>
    <s v="N/A"/>
    <s v="IWIP 2023-644-79-MPY-A"/>
    <m/>
    <s v="Tippecanoe"/>
    <n v="40.411695999999999"/>
    <n v="-86.825644999999994"/>
    <s v="Development"/>
    <m/>
    <s v="No"/>
    <m/>
    <n v="18000"/>
    <n v="84000"/>
    <n v="18000"/>
    <s v="L"/>
    <s v="SI"/>
    <m/>
    <m/>
    <m/>
    <m/>
    <m/>
    <m/>
    <m/>
  </r>
  <r>
    <x v="253"/>
    <s v="February"/>
    <n v="2024"/>
    <x v="9"/>
    <n v="-8.4250000000000007"/>
    <x v="0"/>
    <n v="674000"/>
    <n v="482"/>
    <s v="State Isolated"/>
    <s v="PFO"/>
    <n v="3.37"/>
    <s v="Gershman Partners"/>
    <s v="N/A"/>
    <s v="IWIP 2023-430-49-WLR-A"/>
    <m/>
    <s v="Marion"/>
    <n v="39.641040699999998"/>
    <n v="-86.066323299999993"/>
    <s v="Development"/>
    <m/>
    <s v="No"/>
    <m/>
    <n v="101100"/>
    <n v="471799.99999999994"/>
    <n v="101100"/>
    <s v="L"/>
    <s v="SI"/>
    <s v="3 FO"/>
    <m/>
    <m/>
    <m/>
    <m/>
    <m/>
    <m/>
  </r>
  <r>
    <x v="253"/>
    <s v="February"/>
    <n v="2024"/>
    <x v="10"/>
    <n v="-12"/>
    <x v="1"/>
    <n v="4800"/>
    <n v="472"/>
    <s v="Federal"/>
    <s v="Int"/>
    <n v="10"/>
    <s v="Heritage Estates, LLC"/>
    <s v="LRL:2023-00969-sea"/>
    <s v="2023-865-40-JLB-A"/>
    <m/>
    <s v="Jennings"/>
    <n v="38.997250000000001"/>
    <n v="-85.650336999999993"/>
    <s v="Development"/>
    <m/>
    <s v="No"/>
    <m/>
    <n v="720"/>
    <n v="3360"/>
    <n v="720"/>
    <s v="L"/>
    <s v="J"/>
    <m/>
    <m/>
    <m/>
    <m/>
    <m/>
    <m/>
    <m/>
  </r>
  <r>
    <x v="253"/>
    <s v="February"/>
    <n v="2024"/>
    <x v="10"/>
    <n v="-1.2"/>
    <x v="0"/>
    <n v="96000"/>
    <n v="472"/>
    <s v="Federal"/>
    <s v="PSS"/>
    <n v="0.48"/>
    <s v="Heritage Estates, LLC"/>
    <s v="LRL:2023-00969-sea"/>
    <s v="2023-865-40-JLB-A"/>
    <m/>
    <s v="Jennings"/>
    <n v="38.997250000000001"/>
    <n v="-85.650336999999993"/>
    <s v="Development"/>
    <m/>
    <s v="No"/>
    <m/>
    <n v="14400"/>
    <n v="67200"/>
    <n v="14400"/>
    <s v="L"/>
    <s v="J"/>
    <m/>
    <m/>
    <m/>
    <m/>
    <m/>
    <m/>
    <m/>
  </r>
  <r>
    <x v="254"/>
    <s v="February"/>
    <n v="2024"/>
    <x v="9"/>
    <n v="-3.9350000000000001"/>
    <x v="0"/>
    <n v="314800"/>
    <n v="475"/>
    <s v="Federal"/>
    <s v="PFO"/>
    <n v="0.67800000000000005"/>
    <s v="City of Noblesville"/>
    <s v="LRL-2021-01807-DDC"/>
    <s v="2022-784-29-EKB-A"/>
    <m/>
    <s v="Hamilton"/>
    <n v="40.028688000000002"/>
    <n v="-86.009584000000004"/>
    <s v="Energy"/>
    <m/>
    <s v="No"/>
    <m/>
    <n v="47220"/>
    <n v="220360"/>
    <n v="47220"/>
    <s v="L"/>
    <s v="J"/>
    <m/>
    <m/>
    <m/>
    <m/>
    <m/>
    <m/>
    <m/>
  </r>
  <r>
    <x v="255"/>
    <s v="March"/>
    <n v="2024"/>
    <x v="4"/>
    <n v="-43"/>
    <x v="1"/>
    <n v="17200"/>
    <n v="473"/>
    <s v="Federal"/>
    <s v="Int"/>
    <n v="383"/>
    <s v="INDOT"/>
    <s v="LRL-2022-1036-scm"/>
    <s v="2022-1376-83-JBT-X"/>
    <m/>
    <s v="Vermillion "/>
    <n v="40.117241999999997"/>
    <n v="-87.452340000000007"/>
    <s v="Transportation"/>
    <m/>
    <s v="No"/>
    <m/>
    <n v="2580"/>
    <n v="12040"/>
    <n v="2580"/>
    <s v="L"/>
    <s v="J"/>
    <m/>
    <m/>
    <m/>
    <m/>
    <m/>
    <m/>
    <s v="DES NO: 1800187"/>
  </r>
  <r>
    <x v="255"/>
    <s v="March"/>
    <n v="2024"/>
    <x v="6"/>
    <n v="-4.3339999999999996"/>
    <x v="0"/>
    <n v="520080"/>
    <n v="487"/>
    <s v="State Isolated"/>
    <s v="PEM"/>
    <n v="3.044"/>
    <s v="Universal Guaranty Company"/>
    <s v="N/A"/>
    <s v="IWIP 2023-1175-20-SCF-A"/>
    <m/>
    <s v="Elkhart"/>
    <n v="41.662261999999998"/>
    <n v="-86.022976999999997"/>
    <s v="Development"/>
    <m/>
    <s v="No"/>
    <m/>
    <n v="78012"/>
    <n v="364056"/>
    <n v="78012"/>
    <s v="D"/>
    <s v="SI"/>
    <s v="2 NF"/>
    <m/>
    <m/>
    <m/>
    <m/>
    <m/>
    <m/>
  </r>
  <r>
    <x v="255"/>
    <s v="March"/>
    <n v="2024"/>
    <x v="6"/>
    <n v="-0.79500000000000004"/>
    <x v="0"/>
    <n v="95400"/>
    <n v="487"/>
    <s v="State Isolated"/>
    <s v="PFO"/>
    <n v="0.53"/>
    <s v="Universal Guaranty Company"/>
    <s v="N/A"/>
    <s v="IWIP 2023-1175-20-SCF-A"/>
    <m/>
    <s v="Elkhart"/>
    <n v="41.662261999999998"/>
    <n v="-86.022976999999997"/>
    <s v="Development"/>
    <m/>
    <s v="No"/>
    <m/>
    <n v="14310"/>
    <n v="66780"/>
    <n v="14310"/>
    <s v="D"/>
    <s v="SI"/>
    <s v="2 FO"/>
    <m/>
    <m/>
    <m/>
    <m/>
    <m/>
    <m/>
  </r>
  <r>
    <x v="256"/>
    <s v="March"/>
    <n v="2024"/>
    <x v="9"/>
    <n v="-89"/>
    <x v="1"/>
    <n v="40050"/>
    <n v="484"/>
    <s v="Federal"/>
    <s v="Per"/>
    <n v="74"/>
    <s v="City of Carmel"/>
    <s v="LRL-2012-00375-ajk"/>
    <s v="2013-017-29-HAP-A"/>
    <m/>
    <s v="Hamilton"/>
    <n v="39.961959999999998"/>
    <n v="-86.100110000000001"/>
    <s v="Development"/>
    <m/>
    <s v="No"/>
    <m/>
    <n v="6007.5"/>
    <n v="28035"/>
    <n v="6007.5"/>
    <s v="L"/>
    <s v="J"/>
    <m/>
    <m/>
    <m/>
    <m/>
    <m/>
    <m/>
    <s v="Failed Mitigation at Brookshire Golf Course"/>
  </r>
  <r>
    <x v="257"/>
    <s v="March"/>
    <n v="2024"/>
    <x v="0"/>
    <n v="-39"/>
    <x v="1"/>
    <n v="23400"/>
    <n v="474"/>
    <s v="Federal"/>
    <s v="Int"/>
    <n v="450"/>
    <s v="INDOT"/>
    <s v="LRC-2023-00478"/>
    <s v="2023-990-45-GCW-A"/>
    <m/>
    <s v="Lake"/>
    <n v="41.583077000000003"/>
    <n v="-87.240280999999996"/>
    <s v=" Transportation"/>
    <m/>
    <s v="No"/>
    <m/>
    <n v="3510"/>
    <n v="16379.999999999998"/>
    <n v="3510"/>
    <s v="C"/>
    <s v="J"/>
    <m/>
    <m/>
    <m/>
    <m/>
    <m/>
    <m/>
    <s v="DES NO. 1800257"/>
  </r>
  <r>
    <x v="257"/>
    <s v="March"/>
    <n v="2024"/>
    <x v="0"/>
    <n v="-0.27960000000000002"/>
    <x v="0"/>
    <n v="26562"/>
    <n v="474"/>
    <s v="Federal"/>
    <s v="PEM"/>
    <n v="0.11650000000000001"/>
    <s v="INDOT"/>
    <s v="LRC-2023-00478"/>
    <s v="2023-990-45-GCW-A"/>
    <m/>
    <s v="Lake"/>
    <n v="41.583077000000003"/>
    <n v="-87.240280999999996"/>
    <s v="Transportation"/>
    <m/>
    <s v="No"/>
    <m/>
    <n v="3984.2999999999997"/>
    <n v="18593.399999999998"/>
    <n v="3984.2999999999997"/>
    <s v="C"/>
    <s v="J"/>
    <m/>
    <m/>
    <m/>
    <m/>
    <m/>
    <m/>
    <s v="DES NO. 1800257"/>
  </r>
  <r>
    <x v="257"/>
    <s v="March"/>
    <n v="2024"/>
    <x v="8"/>
    <n v="-44"/>
    <x v="1"/>
    <n v="4800"/>
    <n v="483"/>
    <s v="Federal"/>
    <s v="Per"/>
    <n v="10"/>
    <s v="INDOT"/>
    <s v="LRL-2024-39-DJD"/>
    <s v="2024-15-90-GCW-X "/>
    <m/>
    <s v="Wells"/>
    <n v="40.821666999999998"/>
    <n v="-85.309443999999999"/>
    <s v="Transportation"/>
    <m/>
    <s v="No"/>
    <m/>
    <n v="720"/>
    <n v="3360"/>
    <n v="720"/>
    <s v="L"/>
    <s v="J"/>
    <m/>
    <m/>
    <m/>
    <m/>
    <m/>
    <m/>
    <s v="DES NO 2002246"/>
  </r>
  <r>
    <x v="257"/>
    <s v="March"/>
    <n v="2024"/>
    <x v="8"/>
    <n v="-0.11"/>
    <x v="0"/>
    <n v="7200"/>
    <n v="483"/>
    <s v="Federal"/>
    <s v="PEM"/>
    <n v="3.7999999999999999E-2"/>
    <s v="INDOT"/>
    <s v="LRL-2024-39-DJD"/>
    <s v="2024-15-90-GCW-X "/>
    <m/>
    <s v="Wells"/>
    <n v="40.821666999999998"/>
    <n v="-85.309443999999999"/>
    <s v="Transportation"/>
    <m/>
    <s v="No"/>
    <m/>
    <n v="1080"/>
    <n v="5040"/>
    <n v="1080"/>
    <s v="L"/>
    <s v="J"/>
    <m/>
    <m/>
    <m/>
    <m/>
    <m/>
    <m/>
    <s v="DES NO 2002246"/>
  </r>
  <r>
    <x v="257"/>
    <s v="March"/>
    <n v="2024"/>
    <x v="8"/>
    <n v="-0.32"/>
    <x v="0"/>
    <n v="25600"/>
    <n v="483"/>
    <s v="Federal"/>
    <s v="PFO"/>
    <n v="8.8999999999999996E-2"/>
    <s v="INDOT"/>
    <s v="LRL-2024-39-DJD"/>
    <s v="2024-15-90-GCW-X "/>
    <m/>
    <s v="Wells"/>
    <n v="40.821666999999998"/>
    <n v="-85.309443999999999"/>
    <s v="Transportation"/>
    <m/>
    <s v="No"/>
    <m/>
    <n v="3840"/>
    <n v="17920"/>
    <n v="3840"/>
    <s v="L"/>
    <s v="J"/>
    <m/>
    <m/>
    <m/>
    <m/>
    <m/>
    <m/>
    <s v="DES NO 2002246"/>
  </r>
  <r>
    <x v="258"/>
    <s v="March"/>
    <n v="2024"/>
    <x v="6"/>
    <n v="-107"/>
    <x v="1"/>
    <n v="64200"/>
    <n v="486"/>
    <s v="Federal"/>
    <s v="Per"/>
    <n v="107"/>
    <s v="INDOT"/>
    <s v="LRE-2023-00677-144-N23"/>
    <s v="2023-1095-44-GCW-X"/>
    <m/>
    <s v="LaGrange"/>
    <n v="41.554699999999997"/>
    <n v="-85.366699999999994"/>
    <s v="Transportation"/>
    <m/>
    <s v="No"/>
    <m/>
    <n v="9630"/>
    <n v="44940"/>
    <n v="9630"/>
    <s v="D"/>
    <s v="J"/>
    <m/>
    <m/>
    <m/>
    <m/>
    <m/>
    <m/>
    <s v="DES NO 2002233"/>
  </r>
  <r>
    <x v="258"/>
    <s v="March"/>
    <n v="2024"/>
    <x v="6"/>
    <n v="-0.184"/>
    <x v="0"/>
    <n v="22080"/>
    <n v="486"/>
    <s v="Federal"/>
    <s v="PEM"/>
    <n v="9.1999999999999998E-2"/>
    <s v="INDOT"/>
    <s v="LRE-2023-00677-144-N23"/>
    <s v="2023-1095-44-GCW-X"/>
    <m/>
    <s v="LaGrange"/>
    <n v="41.554699999999997"/>
    <n v="-85.366699999999994"/>
    <s v="Transportation"/>
    <m/>
    <s v="No"/>
    <m/>
    <n v="3312"/>
    <n v="15455.999999999998"/>
    <n v="3312"/>
    <s v="D"/>
    <s v="J"/>
    <m/>
    <m/>
    <m/>
    <m/>
    <m/>
    <m/>
    <s v="DES NO 2002233"/>
  </r>
  <r>
    <x v="258"/>
    <s v="March"/>
    <n v="2024"/>
    <x v="6"/>
    <n v="-0.16200000000000001"/>
    <x v="0"/>
    <n v="19440"/>
    <n v="486"/>
    <s v="Federal"/>
    <s v="PSS"/>
    <n v="5.3999999999999999E-2"/>
    <s v="INDOT"/>
    <s v="LRE-2023-00677-144-N23"/>
    <s v="2023-1095-44-GCW-X"/>
    <m/>
    <s v="LaGrange"/>
    <n v="41.554699999999997"/>
    <n v="-85.366699999999994"/>
    <s v="Transportation"/>
    <m/>
    <s v="No"/>
    <m/>
    <n v="2916"/>
    <n v="13608"/>
    <n v="2916"/>
    <s v="D"/>
    <s v="J"/>
    <m/>
    <m/>
    <m/>
    <m/>
    <m/>
    <m/>
    <s v="DES NO 2002233"/>
  </r>
  <r>
    <x v="258"/>
    <s v="March"/>
    <n v="2024"/>
    <x v="6"/>
    <n v="-0.14799999999999999"/>
    <x v="0"/>
    <n v="17760"/>
    <n v="486"/>
    <s v="Federal"/>
    <s v="PFO"/>
    <n v="3.6999999999999998E-2"/>
    <s v="INDOT"/>
    <s v="LRE-2023-00677-144-N23"/>
    <s v="2023-1095-44-GCW-X"/>
    <m/>
    <s v="LaGrange"/>
    <n v="41.554699999999997"/>
    <n v="-85.366699999999994"/>
    <s v="Transportation"/>
    <m/>
    <s v="No"/>
    <m/>
    <n v="2664"/>
    <n v="12432"/>
    <n v="2664"/>
    <s v="D"/>
    <s v="J"/>
    <m/>
    <m/>
    <m/>
    <m/>
    <m/>
    <m/>
    <s v="DES NO 2002233"/>
  </r>
  <r>
    <x v="259"/>
    <s v="March"/>
    <n v="2024"/>
    <x v="9"/>
    <n v="-85"/>
    <x v="1"/>
    <n v="38250"/>
    <n v="492"/>
    <s v="Federal"/>
    <s v="Per"/>
    <n v="71"/>
    <s v="Town of Brownsburg"/>
    <s v="LRL-2023-00432-sjk"/>
    <s v="2023-642-32-MPY-A"/>
    <m/>
    <s v="Hendricks"/>
    <n v="39.822271000000001"/>
    <n v="-86.352035000000001"/>
    <s v="Transportation"/>
    <m/>
    <s v="No"/>
    <m/>
    <n v="5737.5"/>
    <n v="26775"/>
    <n v="5737.5"/>
    <s v="L"/>
    <s v="J"/>
    <m/>
    <m/>
    <m/>
    <m/>
    <m/>
    <m/>
    <m/>
  </r>
  <r>
    <x v="260"/>
    <s v="March"/>
    <n v="2024"/>
    <x v="6"/>
    <n v="-0.42"/>
    <x v="0"/>
    <n v="50400"/>
    <n v="480"/>
    <s v="Federal"/>
    <s v="PEM"/>
    <n v="0.21"/>
    <s v="IDNR-DFW"/>
    <s v="LRE-2001-1440560-C23"/>
    <s v="2023-399-44-EJW-A"/>
    <m/>
    <s v="LaGrange"/>
    <n v="41.695641000000002"/>
    <n v="-85.322911000000005"/>
    <s v="Development"/>
    <m/>
    <s v="No"/>
    <m/>
    <n v="7560"/>
    <n v="35280"/>
    <n v="7560"/>
    <s v="D"/>
    <s v="J"/>
    <m/>
    <m/>
    <m/>
    <m/>
    <m/>
    <m/>
    <m/>
  </r>
  <r>
    <x v="260"/>
    <s v="March"/>
    <n v="2024"/>
    <x v="6"/>
    <n v="-0.16"/>
    <x v="0"/>
    <n v="19200"/>
    <n v="480"/>
    <s v="Federal"/>
    <s v="PFO"/>
    <n v="0.04"/>
    <s v="IDNR-DFW"/>
    <s v="LRE-2001-1440560-C23"/>
    <s v="2023-399-44-EJW-A"/>
    <m/>
    <s v="LaGrange"/>
    <n v="41.695641000000002"/>
    <n v="-85.322911000000005"/>
    <s v="Development"/>
    <m/>
    <s v="No"/>
    <m/>
    <n v="2880"/>
    <n v="13440"/>
    <n v="2880"/>
    <s v="D"/>
    <s v="J"/>
    <m/>
    <m/>
    <m/>
    <m/>
    <m/>
    <m/>
    <m/>
  </r>
  <r>
    <x v="261"/>
    <s v="March"/>
    <n v="2024"/>
    <x v="10"/>
    <n v="-1.425"/>
    <x v="0"/>
    <n v="114000"/>
    <n v="481"/>
    <s v="State Isolated"/>
    <s v="PEM"/>
    <n v="0.95"/>
    <s v="Forestar"/>
    <s v="N/A"/>
    <s v="IWIP-2022-637-41"/>
    <m/>
    <s v="Johnson"/>
    <n v="39.155188000000003"/>
    <n v="-86.041409999999999"/>
    <s v="Development"/>
    <m/>
    <s v="No"/>
    <m/>
    <n v="17100"/>
    <n v="79800"/>
    <n v="17100"/>
    <s v="L"/>
    <s v="SI "/>
    <s v="2 NF"/>
    <m/>
    <m/>
    <m/>
    <m/>
    <m/>
    <m/>
  </r>
  <r>
    <x v="262"/>
    <s v="March"/>
    <n v="2024"/>
    <x v="5"/>
    <n v="-0.02"/>
    <x v="0"/>
    <n v="1600"/>
    <n v="494"/>
    <s v="Federal"/>
    <s v="PEM"/>
    <n v="0.02"/>
    <s v="Posey County Board of Commissioners"/>
    <s v="LRL-2020-1106-A"/>
    <s v="2022-989-65-TMS-X"/>
    <m/>
    <s v="Posey"/>
    <n v="37.946016"/>
    <n v="-87.925535999999994"/>
    <s v="Transportation"/>
    <m/>
    <s v="No"/>
    <m/>
    <n v="240"/>
    <n v="1120"/>
    <n v="240"/>
    <s v="L"/>
    <s v="J"/>
    <m/>
    <m/>
    <m/>
    <m/>
    <m/>
    <m/>
    <m/>
  </r>
  <r>
    <x v="262"/>
    <s v="March"/>
    <n v="2024"/>
    <x v="5"/>
    <n v="-68"/>
    <x v="1"/>
    <n v="27200"/>
    <n v="494"/>
    <s v="Federal"/>
    <s v="Eph"/>
    <n v="68"/>
    <s v="Posey County Board of Commissioners"/>
    <s v="LRL-2020-1106-A"/>
    <s v="2022-989-65-TMS-X"/>
    <m/>
    <s v="Posey"/>
    <n v="37.946016"/>
    <n v="-87.925535999999994"/>
    <s v="Transportation"/>
    <m/>
    <s v="No"/>
    <m/>
    <n v="4080"/>
    <n v="19040"/>
    <n v="4080"/>
    <s v="L"/>
    <s v="J"/>
    <m/>
    <m/>
    <m/>
    <m/>
    <m/>
    <m/>
    <m/>
  </r>
  <r>
    <x v="262"/>
    <s v="March"/>
    <n v="2024"/>
    <x v="5"/>
    <n v="-55"/>
    <x v="1"/>
    <n v="22000"/>
    <n v="494"/>
    <s v="Federal"/>
    <s v="Int"/>
    <n v="122"/>
    <s v="Posey County Board of Commissioners"/>
    <s v="LRL-2020-1106-A"/>
    <s v="2022-989-65-TMS-X"/>
    <m/>
    <s v="Posey"/>
    <n v="37.946016"/>
    <n v="-87.925535999999994"/>
    <s v="Transportation"/>
    <m/>
    <s v="No"/>
    <m/>
    <n v="3300"/>
    <n v="15399.999999999998"/>
    <n v="3300"/>
    <s v="L"/>
    <s v="J"/>
    <m/>
    <m/>
    <m/>
    <m/>
    <m/>
    <m/>
    <m/>
  </r>
  <r>
    <x v="263"/>
    <s v="March"/>
    <n v="2024"/>
    <x v="6"/>
    <n v="-99"/>
    <x v="1"/>
    <n v="59400"/>
    <n v="490"/>
    <s v="Federal"/>
    <s v="Int"/>
    <n v="155"/>
    <s v="INDOT"/>
    <s v="LRE-2023-00634-157-N23"/>
    <s v="2023-1017-57-GCW-A"/>
    <m/>
    <s v="Noble"/>
    <n v="41.395462000000002"/>
    <n v="-85.342841000000007"/>
    <s v="Transportation"/>
    <m/>
    <s v="No"/>
    <m/>
    <n v="8910"/>
    <n v="41580"/>
    <n v="8910"/>
    <s v="D"/>
    <s v="J"/>
    <m/>
    <m/>
    <m/>
    <m/>
    <m/>
    <m/>
    <s v="INDOT DES NO 2002234"/>
  </r>
  <r>
    <x v="263"/>
    <s v="March"/>
    <n v="2024"/>
    <x v="6"/>
    <n v="-0.27"/>
    <x v="0"/>
    <n v="32400"/>
    <n v="490"/>
    <s v="Federal"/>
    <s v="PEM"/>
    <n v="0.13400000000000001"/>
    <s v="INDOT"/>
    <s v="LRE-2023-00634-157-N23"/>
    <s v="2023-1017-57-GCW-A"/>
    <m/>
    <s v="Noble"/>
    <n v="41.395462000000002"/>
    <n v="-85.342841000000007"/>
    <s v="Transportation"/>
    <m/>
    <s v="No"/>
    <m/>
    <n v="4860"/>
    <n v="22680"/>
    <n v="4860"/>
    <s v="D"/>
    <s v="J"/>
    <m/>
    <m/>
    <m/>
    <m/>
    <m/>
    <m/>
    <m/>
  </r>
  <r>
    <x v="264"/>
    <s v="April"/>
    <n v="2024"/>
    <x v="7"/>
    <n v="-560"/>
    <x v="1"/>
    <n v="224000"/>
    <n v="470"/>
    <s v="Federal"/>
    <s v="Int"/>
    <n v="467"/>
    <s v="Theineman Group"/>
    <s v="LRL-2023-00651-amw"/>
    <s v="2023-720-22-ERL-A"/>
    <m/>
    <s v="Floyd"/>
    <n v="38.315209000000003"/>
    <n v="-85.901707999999999"/>
    <s v="Development"/>
    <m/>
    <s v="No"/>
    <m/>
    <n v="33600"/>
    <n v="156800"/>
    <n v="33600"/>
    <s v="L"/>
    <s v="J"/>
    <m/>
    <m/>
    <m/>
    <m/>
    <m/>
    <m/>
    <m/>
  </r>
  <r>
    <x v="265"/>
    <s v="April"/>
    <n v="2024"/>
    <x v="8"/>
    <n v="-0.3"/>
    <x v="0"/>
    <n v="24000"/>
    <n v="488"/>
    <s v="Federal"/>
    <s v="PEM"/>
    <n v="0.3"/>
    <s v="INDOT"/>
    <s v="LRL-2006-140-djd"/>
    <s v="2006-44-50-EME-A"/>
    <m/>
    <s v="Fulton"/>
    <n v="41.171959999999999"/>
    <n v="-86.313370000000006"/>
    <s v="Transportation"/>
    <m/>
    <s v="No"/>
    <m/>
    <n v="3600"/>
    <n v="16800"/>
    <n v="3600"/>
    <s v="L"/>
    <s v="J"/>
    <m/>
    <m/>
    <m/>
    <m/>
    <m/>
    <m/>
    <s v="DES NO 9800120 for failed mitigation"/>
  </r>
  <r>
    <x v="265"/>
    <s v="April"/>
    <n v="2024"/>
    <x v="5"/>
    <n v="-326"/>
    <x v="1"/>
    <n v="130400"/>
    <n v="493"/>
    <s v="Federal"/>
    <s v="Per"/>
    <n v="496"/>
    <s v="INDOT"/>
    <s v="LRL-2023-947-djd"/>
    <s v="2023-1106-87-GCW-A"/>
    <m/>
    <s v="Warrick"/>
    <n v="38.198149999999998"/>
    <n v="-87.292640000000006"/>
    <s v="Transportation"/>
    <m/>
    <s v="No"/>
    <m/>
    <n v="19560"/>
    <n v="91280"/>
    <n v="19560"/>
    <s v="L"/>
    <s v="J"/>
    <m/>
    <m/>
    <m/>
    <m/>
    <m/>
    <m/>
    <s v="INDOT DES No  2002063"/>
  </r>
  <r>
    <x v="266"/>
    <s v="April"/>
    <n v="2024"/>
    <x v="9"/>
    <n v="-1.1499999999999999"/>
    <x v="0"/>
    <n v="92000"/>
    <n v="496"/>
    <s v="Federal"/>
    <s v="PEM"/>
    <n v="0.48"/>
    <s v="Indianapolis Airport Authority"/>
    <s v="LRL-2023-00743-jde"/>
    <s v="2024-47-32-MPY-A"/>
    <m/>
    <s v="Hendricks"/>
    <n v="39.739019999999996"/>
    <n v="-86.474185000000006"/>
    <s v="Development"/>
    <m/>
    <s v="No"/>
    <m/>
    <n v="13800"/>
    <n v="64399.999999999993"/>
    <n v="13800"/>
    <s v="L"/>
    <s v="J"/>
    <m/>
    <m/>
    <m/>
    <m/>
    <m/>
    <m/>
    <m/>
  </r>
  <r>
    <x v="267"/>
    <s v="May"/>
    <n v="2024"/>
    <x v="9"/>
    <n v="-0.64"/>
    <x v="0"/>
    <n v="51200"/>
    <n v="505"/>
    <s v="Federal"/>
    <s v="PFO"/>
    <n v="0.16"/>
    <s v="Pace Property Holding, LLC"/>
    <s v="LRL-2023-00978-sjk"/>
    <s v="2023-1163-32-MPY-X"/>
    <m/>
    <s v="Hendricks"/>
    <n v="39.722900000000003"/>
    <n v="-86.330699999999993"/>
    <s v="Development"/>
    <m/>
    <s v="No"/>
    <m/>
    <n v="7680"/>
    <n v="35840"/>
    <n v="7680"/>
    <s v="L"/>
    <s v="J"/>
    <m/>
    <m/>
    <m/>
    <m/>
    <m/>
    <m/>
    <m/>
  </r>
  <r>
    <x v="267"/>
    <s v="May"/>
    <n v="2024"/>
    <x v="9"/>
    <n v="-74"/>
    <x v="1"/>
    <n v="33300"/>
    <n v="505"/>
    <s v="Federal"/>
    <s v="Int"/>
    <n v="61.6"/>
    <s v="Pace Property Holding, LLC"/>
    <s v="LRL-2023-00978-sjk"/>
    <s v="2023-1163-32-MPY-X"/>
    <m/>
    <s v="Hendricks"/>
    <n v="39.722900000000003"/>
    <n v="-86.330699999999993"/>
    <s v="Development"/>
    <m/>
    <s v="No"/>
    <m/>
    <n v="4995"/>
    <n v="23310"/>
    <n v="4995"/>
    <s v="L"/>
    <s v="J"/>
    <m/>
    <m/>
    <m/>
    <m/>
    <m/>
    <m/>
    <m/>
  </r>
  <r>
    <x v="268"/>
    <s v="May"/>
    <n v="2024"/>
    <x v="4"/>
    <n v="-1.6"/>
    <x v="0"/>
    <n v="128000"/>
    <n v="479"/>
    <s v="Federal"/>
    <s v="PFO"/>
    <n v="0.4"/>
    <s v="Western Indiana Comm"/>
    <s v="LRL-2019-638"/>
    <s v="2022-590-23-ERL"/>
    <m/>
    <s v="Fountain"/>
    <n v="40.146002000000003"/>
    <n v="-87.402583000000007"/>
    <s v="Transportation"/>
    <m/>
    <s v="No"/>
    <m/>
    <n v="19200"/>
    <n v="89600"/>
    <n v="19200"/>
    <s v="L"/>
    <s v="J"/>
    <m/>
    <m/>
    <m/>
    <m/>
    <m/>
    <m/>
    <m/>
  </r>
  <r>
    <x v="268"/>
    <s v="May"/>
    <n v="2024"/>
    <x v="8"/>
    <n v="-322"/>
    <x v="1"/>
    <n v="128800"/>
    <n v="476"/>
    <s v="Federal"/>
    <s v="Int"/>
    <n v="1475"/>
    <s v="IU Health"/>
    <s v="LRE-2022-00180-102-N23"/>
    <s v="2023-969-2-EJW-A"/>
    <m/>
    <s v="Allen"/>
    <n v="40.995683999999997"/>
    <n v="-85.271597999999997"/>
    <s v="Transportation"/>
    <m/>
    <s v="No"/>
    <m/>
    <n v="19320"/>
    <n v="90160"/>
    <n v="19320"/>
    <s v="L"/>
    <s v="J"/>
    <m/>
    <m/>
    <m/>
    <m/>
    <m/>
    <m/>
    <m/>
  </r>
  <r>
    <x v="268"/>
    <s v="May"/>
    <n v="2024"/>
    <x v="10"/>
    <n v="-1.4999999999999999E-2"/>
    <x v="0"/>
    <n v="1200"/>
    <n v="499"/>
    <s v="State Isolated"/>
    <s v="PEM"/>
    <n v="0.01"/>
    <s v="INDOT "/>
    <s v="N/A"/>
    <s v="IWIP 2024-123-30-GCW-A"/>
    <m/>
    <s v="Hancock"/>
    <n v="39.825046999999998"/>
    <n v="-85.712712999999994"/>
    <s v="Transportation"/>
    <m/>
    <s v="No"/>
    <m/>
    <n v="180"/>
    <n v="840"/>
    <n v="180"/>
    <s v="L"/>
    <s v="SI"/>
    <s v="2 NF"/>
    <m/>
    <m/>
    <m/>
    <m/>
    <m/>
    <m/>
  </r>
  <r>
    <x v="268"/>
    <s v="May"/>
    <n v="2024"/>
    <x v="8"/>
    <n v="-33"/>
    <x v="1"/>
    <n v="13200"/>
    <n v="500"/>
    <s v="Federal"/>
    <s v="Int"/>
    <n v="33"/>
    <s v="INDOT"/>
    <s v="N/A"/>
    <s v="2024-232-90-GCW-X"/>
    <m/>
    <s v="Wells"/>
    <n v="40.713340000000002"/>
    <n v="-85.115110000000001"/>
    <s v="Transportation"/>
    <m/>
    <s v="No"/>
    <m/>
    <n v="1980"/>
    <n v="9240"/>
    <n v="1980"/>
    <s v="L"/>
    <s v="J"/>
    <m/>
    <m/>
    <m/>
    <m/>
    <m/>
    <m/>
    <m/>
  </r>
  <r>
    <x v="269"/>
    <s v="May"/>
    <n v="2024"/>
    <x v="3"/>
    <n v="-3.51"/>
    <x v="0"/>
    <n v="280800"/>
    <n v="506"/>
    <s v="State Isolated"/>
    <s v="PFO"/>
    <n v="1.7549999999999999"/>
    <s v="Auburn Retial, LLC"/>
    <s v="N/A"/>
    <s v="IWIP 2024-130-17-EJW-A"/>
    <m/>
    <s v="DeKalb"/>
    <n v="41.370596999999997"/>
    <n v="-85.078412999999998"/>
    <s v="Development"/>
    <m/>
    <s v="No"/>
    <m/>
    <n v="42120"/>
    <n v="196560"/>
    <n v="42120"/>
    <s v="L"/>
    <s v="SI"/>
    <s v="2 FO"/>
    <m/>
    <m/>
    <m/>
    <m/>
    <m/>
    <m/>
  </r>
  <r>
    <x v="270"/>
    <s v="May"/>
    <n v="2024"/>
    <x v="9"/>
    <n v="-3.55"/>
    <x v="0"/>
    <n v="284000"/>
    <n v="491"/>
    <s v="State Isolated"/>
    <s v="PFO"/>
    <n v="1.42"/>
    <s v="Indianapolis (86th St.) WW, LLC"/>
    <m/>
    <s v="IWIP 2023-564-49-GCW-A"/>
    <m/>
    <s v="Marion"/>
    <n v="39.911498000000002"/>
    <n v="-86.258311000000006"/>
    <s v="Development"/>
    <m/>
    <s v="No"/>
    <m/>
    <n v="42600"/>
    <n v="198800"/>
    <n v="42600"/>
    <s v="L"/>
    <s v="SI"/>
    <s v="3 FO"/>
    <m/>
    <m/>
    <m/>
    <m/>
    <m/>
    <m/>
  </r>
  <r>
    <x v="271"/>
    <s v="May"/>
    <n v="2024"/>
    <x v="6"/>
    <n v="-1.1499999999999999"/>
    <x v="0"/>
    <n v="138000"/>
    <n v="502"/>
    <s v="Federal"/>
    <s v="PFO"/>
    <n v="0.47"/>
    <s v="Elkhart County Highway Department"/>
    <s v="LRE-2024-0053-120-SCG"/>
    <s v="2024-54-20-SCF-A"/>
    <m/>
    <s v="Elkhart"/>
    <n v="41.514781999999997"/>
    <n v="-85.847611000000001"/>
    <s v="Transportation"/>
    <m/>
    <s v="No"/>
    <m/>
    <n v="20700"/>
    <n v="96600"/>
    <n v="20700"/>
    <s v="D"/>
    <s v="J"/>
    <m/>
    <m/>
    <m/>
    <m/>
    <m/>
    <m/>
    <s v="INDOT DES No. 1900465"/>
  </r>
  <r>
    <x v="271"/>
    <s v="May"/>
    <n v="2024"/>
    <x v="6"/>
    <n v="-89"/>
    <x v="1"/>
    <n v="53400"/>
    <n v="502"/>
    <s v="Federal"/>
    <s v="Per"/>
    <n v="184"/>
    <s v="Elkhart County Highway Department"/>
    <s v="LRE-2024-0053-120-SCG"/>
    <s v="2024-54-20-SCF-A"/>
    <m/>
    <s v="Elkhart"/>
    <n v="41.514781999999997"/>
    <n v="-85.847611000000001"/>
    <s v="Transportation"/>
    <m/>
    <s v="No"/>
    <m/>
    <n v="8010"/>
    <n v="37380"/>
    <n v="8010"/>
    <s v="D"/>
    <s v="J"/>
    <m/>
    <m/>
    <m/>
    <m/>
    <m/>
    <m/>
    <s v="INDOT DES No. 1900465"/>
  </r>
  <r>
    <x v="271"/>
    <s v="May"/>
    <n v="2024"/>
    <x v="8"/>
    <n v="-153"/>
    <x v="1"/>
    <n v="61200"/>
    <n v="504"/>
    <s v="Federal"/>
    <s v="Per"/>
    <n v="196"/>
    <s v="INDOT"/>
    <s v="LRL-2023-00985-DDC"/>
    <s v="2023-1167-90-GCW-A"/>
    <m/>
    <s v="Wells"/>
    <n v="40.805700000000002"/>
    <n v="-85.227630000000005"/>
    <s v="Transportation"/>
    <m/>
    <s v="No"/>
    <m/>
    <n v="9180"/>
    <n v="42840"/>
    <n v="9180"/>
    <s v="L"/>
    <s v="J"/>
    <m/>
    <m/>
    <m/>
    <m/>
    <m/>
    <m/>
    <s v="INDOT DES No. 2002248"/>
  </r>
  <r>
    <x v="271"/>
    <s v="May"/>
    <n v="2024"/>
    <x v="8"/>
    <n v="-0.02"/>
    <x v="0"/>
    <n v="1600"/>
    <n v="504"/>
    <s v="Federal"/>
    <s v="PEM"/>
    <n v="0.01"/>
    <s v="INDOT"/>
    <s v="LRL-2023-00985-DDC"/>
    <s v="2023-1167-90-GCW-A"/>
    <m/>
    <s v="Wells"/>
    <n v="40.805700000000002"/>
    <n v="-85.227630000000005"/>
    <s v="Transportation"/>
    <m/>
    <s v="No"/>
    <m/>
    <n v="240"/>
    <n v="1120"/>
    <n v="240"/>
    <s v="L"/>
    <s v="J"/>
    <m/>
    <m/>
    <m/>
    <m/>
    <m/>
    <m/>
    <s v="INDOT DES No. 2002248"/>
  </r>
  <r>
    <x v="271"/>
    <s v="May"/>
    <n v="2024"/>
    <x v="8"/>
    <n v="-0.15"/>
    <x v="0"/>
    <n v="12000"/>
    <n v="507"/>
    <s v="State Isolated"/>
    <s v="PFO"/>
    <n v="0.05"/>
    <s v="JWA Co. LTC"/>
    <s v="N/A"/>
    <s v="IWIP 2024-144-34-MPY-A"/>
    <m/>
    <s v="Howard"/>
    <n v="40.512196000000003"/>
    <n v="-86.105057000000002"/>
    <s v="Development"/>
    <m/>
    <s v="No"/>
    <m/>
    <n v="1800"/>
    <n v="8400"/>
    <n v="1800"/>
    <s v="L"/>
    <s v="SI"/>
    <s v="3 FO"/>
    <m/>
    <m/>
    <m/>
    <m/>
    <m/>
    <m/>
  </r>
  <r>
    <x v="271"/>
    <s v="May"/>
    <n v="2024"/>
    <x v="1"/>
    <n v="-496"/>
    <x v="1"/>
    <n v="248000"/>
    <n v="508"/>
    <s v="Federal"/>
    <s v="Per"/>
    <n v="496"/>
    <s v="IDOA"/>
    <s v="LRE-2023-00679-171-N24"/>
    <s v="2024-301-71-MPY-X"/>
    <s v="FW-32655-0"/>
    <s v="St. Joseph"/>
    <n v="41.544612000000001"/>
    <n v="-86.371112999999994"/>
    <s v="Development"/>
    <m/>
    <s v="No"/>
    <m/>
    <n v="37200"/>
    <n v="173600"/>
    <n v="37200"/>
    <s v="D"/>
    <s v="J"/>
    <m/>
    <m/>
    <m/>
    <m/>
    <m/>
    <m/>
    <s v="Potatoe Creek SP Lodge"/>
  </r>
  <r>
    <x v="272"/>
    <s v="June"/>
    <n v="2024"/>
    <x v="2"/>
    <n v="-724"/>
    <x v="1"/>
    <n v="289600"/>
    <n v="503"/>
    <s v="Federal"/>
    <s v="Eph"/>
    <n v="2267"/>
    <s v="Origis Energy"/>
    <s v="LRL-2020-611-tmb"/>
    <s v="2023-453-42-JWR-A"/>
    <m/>
    <s v="Knox"/>
    <n v="38.701824999999999"/>
    <n v="-87.294898000000003"/>
    <s v="Energy Production"/>
    <m/>
    <s v="No"/>
    <m/>
    <n v="43440"/>
    <n v="202720"/>
    <n v="43440"/>
    <s v="L"/>
    <s v="J"/>
    <m/>
    <m/>
    <m/>
    <m/>
    <m/>
    <m/>
    <m/>
  </r>
  <r>
    <x v="272"/>
    <s v="June"/>
    <n v="2024"/>
    <x v="1"/>
    <n v="-4.3999999999999997E-2"/>
    <x v="0"/>
    <n v="4180"/>
    <n v="501"/>
    <s v="State Isolated"/>
    <s v="PEM"/>
    <n v="2.9000000000000001E-2"/>
    <s v="INDOT"/>
    <s v="N/A"/>
    <s v="IWIP 2024-121-45-GCW-A"/>
    <m/>
    <s v="Lake"/>
    <n v="41.344695999999999"/>
    <n v="-87.469825"/>
    <s v="Transportation"/>
    <m/>
    <s v="No"/>
    <m/>
    <n v="627"/>
    <n v="2926"/>
    <n v="627"/>
    <s v="C"/>
    <s v="SI"/>
    <s v="2 NF"/>
    <m/>
    <m/>
    <m/>
    <m/>
    <m/>
    <s v="INDOT DES No. 2003098"/>
  </r>
  <r>
    <x v="273"/>
    <s v="June"/>
    <n v="2024"/>
    <x v="9"/>
    <n v="-0.73"/>
    <x v="0"/>
    <n v="58400"/>
    <n v="512"/>
    <s v="State Isolated"/>
    <s v="PFO"/>
    <n v="0.28999999999999998"/>
    <s v="Laskey Properties"/>
    <s v="N/A"/>
    <s v="IWIP-2022-435-29"/>
    <m/>
    <s v="Hamilton"/>
    <n v="39.939"/>
    <n v="-86.022199999999998"/>
    <s v="Development"/>
    <m/>
    <s v="No"/>
    <m/>
    <n v="8760"/>
    <n v="40880"/>
    <n v="8760"/>
    <s v="L"/>
    <s v="SI"/>
    <s v="3 FO"/>
    <m/>
    <m/>
    <m/>
    <m/>
    <m/>
    <m/>
  </r>
  <r>
    <x v="273"/>
    <s v="June"/>
    <n v="2024"/>
    <x v="10"/>
    <n v="-0.67"/>
    <x v="0"/>
    <n v="53600"/>
    <n v="509"/>
    <s v="Federal"/>
    <s v="PSS"/>
    <n v="0.222"/>
    <s v="Arbor Homes"/>
    <s v="LRL-2022-00973-sjk"/>
    <s v="2024-233-3-JLB-A"/>
    <m/>
    <s v="Bartholomew"/>
    <n v="39.232697999999999"/>
    <n v="-85.947812999999996"/>
    <s v="Development"/>
    <m/>
    <s v="No"/>
    <m/>
    <n v="8040"/>
    <n v="37520"/>
    <n v="8040"/>
    <s v="L"/>
    <s v="J"/>
    <m/>
    <m/>
    <m/>
    <m/>
    <m/>
    <m/>
    <m/>
  </r>
  <r>
    <x v="274"/>
    <s v="July"/>
    <n v="2024"/>
    <x v="0"/>
    <n v="-0.62"/>
    <x v="0"/>
    <n v="58900"/>
    <n v="513"/>
    <s v="Federal"/>
    <s v="PEM"/>
    <n v="0.34"/>
    <s v="NIPSCO"/>
    <s v="LRC-2024-0076"/>
    <s v="2024-155-45-MTM-A"/>
    <m/>
    <s v="Lake"/>
    <n v="41.384211999999998"/>
    <n v="-87.317547000000005"/>
    <s v="Energy Production"/>
    <m/>
    <s v="No"/>
    <m/>
    <n v="8835"/>
    <n v="41230"/>
    <n v="8835"/>
    <s v="C"/>
    <s v="J"/>
    <m/>
    <m/>
    <m/>
    <m/>
    <m/>
    <m/>
    <m/>
  </r>
  <r>
    <x v="274"/>
    <s v="July"/>
    <n v="2024"/>
    <x v="0"/>
    <n v="-1.08"/>
    <x v="0"/>
    <n v="102600"/>
    <n v="515"/>
    <s v="State Isolated"/>
    <s v="PFO"/>
    <n v="0.36"/>
    <s v="Love's Travel Stop"/>
    <s v="N/A"/>
    <s v="IWIP 2024-357-46-MTM-A"/>
    <m/>
    <s v="LaPorte"/>
    <n v="41.655430000000003"/>
    <n v="-86.898989999999998"/>
    <s v="Development"/>
    <m/>
    <s v="No"/>
    <m/>
    <n v="15390"/>
    <n v="71820"/>
    <n v="15390"/>
    <s v="C"/>
    <s v="SI"/>
    <s v="3 FO"/>
    <m/>
    <m/>
    <m/>
    <m/>
    <m/>
    <m/>
  </r>
  <r>
    <x v="275"/>
    <s v="August"/>
    <n v="2024"/>
    <x v="4"/>
    <n v="-163"/>
    <x v="1"/>
    <n v="65200"/>
    <n v="511"/>
    <s v="Federal"/>
    <s v="Eph"/>
    <n v="800"/>
    <s v="Tippecanoe County Highway Department"/>
    <s v="LRL-2020-175-sjk"/>
    <s v="2020-218-79-ERL-A"/>
    <m/>
    <s v="Tippecanoe"/>
    <n v="40.487935"/>
    <n v="-86.874933999999996"/>
    <s v="Transportation"/>
    <m/>
    <s v="No"/>
    <m/>
    <n v="9780"/>
    <n v="45640"/>
    <n v="9780"/>
    <s v="L"/>
    <s v="J"/>
    <m/>
    <m/>
    <m/>
    <m/>
    <m/>
    <m/>
    <s v="INDOT DES No. 1401279"/>
  </r>
  <r>
    <x v="275"/>
    <s v="August"/>
    <n v="2024"/>
    <x v="10"/>
    <n v="-605"/>
    <x v="1"/>
    <n v="2600"/>
    <n v="514"/>
    <s v="Federal"/>
    <s v="Eph"/>
    <n v="1270"/>
    <s v="INDOT"/>
    <s v="LRL-2022-77"/>
    <s v="2023-1024-89-GCW-A"/>
    <m/>
    <s v="Wayne"/>
    <n v="39.853189999999998"/>
    <n v="-85.172342999999998"/>
    <s v="Transportation"/>
    <m/>
    <s v="No"/>
    <m/>
    <n v="390"/>
    <n v="1819.9999999999998"/>
    <n v="390"/>
    <s v="L"/>
    <s v="J"/>
    <m/>
    <m/>
    <m/>
    <m/>
    <m/>
    <m/>
    <s v="INDOT DES No. 2002424"/>
  </r>
  <r>
    <x v="275"/>
    <s v="August"/>
    <n v="2024"/>
    <x v="10"/>
    <n v="-1057"/>
    <x v="1"/>
    <n v="422800"/>
    <n v="514"/>
    <s v="Federal"/>
    <s v="Int"/>
    <n v="4027"/>
    <s v="INDOT"/>
    <s v="LRL-2022-77"/>
    <s v="2023-1024-89-GCW-A"/>
    <m/>
    <s v="Wayne"/>
    <n v="39.853189999999998"/>
    <n v="-85.172342999999998"/>
    <s v="Transportation"/>
    <m/>
    <s v="No"/>
    <m/>
    <n v="63420"/>
    <n v="295960"/>
    <n v="63420"/>
    <s v="L"/>
    <s v="J"/>
    <m/>
    <m/>
    <m/>
    <m/>
    <m/>
    <m/>
    <s v="DES No. 2002424"/>
  </r>
  <r>
    <x v="275"/>
    <s v="August"/>
    <n v="2024"/>
    <x v="10"/>
    <n v="-1654"/>
    <x v="1"/>
    <n v="661600"/>
    <n v="514"/>
    <s v="Federal"/>
    <s v="Per"/>
    <n v="1654"/>
    <s v="INDOT"/>
    <s v="LRL-2022-77"/>
    <s v="2023-1024-89-GCW-A"/>
    <m/>
    <s v="Wayne"/>
    <n v="39.853189999999998"/>
    <n v="-85.172342999999998"/>
    <s v="Transportation"/>
    <m/>
    <s v="No"/>
    <m/>
    <n v="99240"/>
    <n v="463119.99999999994"/>
    <n v="99240"/>
    <s v="L"/>
    <s v="J"/>
    <m/>
    <m/>
    <m/>
    <m/>
    <m/>
    <m/>
    <s v="DES No. 2002424"/>
  </r>
  <r>
    <x v="275"/>
    <s v="August"/>
    <n v="2024"/>
    <x v="10"/>
    <n v="-3.4"/>
    <x v="0"/>
    <n v="272000"/>
    <n v="514"/>
    <s v="Federal"/>
    <s v="PEM"/>
    <n v="1.698"/>
    <s v="INDOT"/>
    <s v="LRL-2022-77"/>
    <s v="2023-1024-89-GCW-A"/>
    <m/>
    <s v="Wayne"/>
    <n v="39.853189999999998"/>
    <n v="-85.172342999999998"/>
    <s v="Transportation"/>
    <m/>
    <s v="No"/>
    <m/>
    <n v="40800"/>
    <n v="190400"/>
    <n v="40800"/>
    <s v="L"/>
    <s v="J"/>
    <m/>
    <m/>
    <m/>
    <m/>
    <m/>
    <m/>
    <s v="DES No. 2002424"/>
  </r>
  <r>
    <x v="275"/>
    <s v="August"/>
    <n v="2024"/>
    <x v="10"/>
    <n v="-0.76"/>
    <x v="0"/>
    <n v="60800"/>
    <n v="514"/>
    <s v="Federal"/>
    <s v="PSS"/>
    <n v="0.253"/>
    <s v="INDOT"/>
    <s v="LRL-2022-77"/>
    <s v="2023-1024-89-GCW-A"/>
    <m/>
    <s v="Wayne"/>
    <n v="39.853189999999998"/>
    <n v="-85.172342999999998"/>
    <s v="Transportation"/>
    <m/>
    <s v="No"/>
    <m/>
    <n v="9120"/>
    <n v="42560"/>
    <n v="9120"/>
    <s v="L"/>
    <s v="J"/>
    <m/>
    <m/>
    <m/>
    <m/>
    <m/>
    <m/>
    <s v="DES No. 2002424"/>
  </r>
  <r>
    <x v="275"/>
    <s v="August"/>
    <n v="2024"/>
    <x v="10"/>
    <n v="-4.42"/>
    <x v="0"/>
    <n v="353600"/>
    <n v="514"/>
    <s v="Federal"/>
    <s v="PFO"/>
    <n v="1.1040000000000001"/>
    <s v="INDOT"/>
    <s v="LRL-2022-77"/>
    <s v="2023-1024-89-GCW-A"/>
    <m/>
    <s v="Wayne"/>
    <n v="39.853189999999998"/>
    <n v="-85.172342999999998"/>
    <s v="Transportation"/>
    <m/>
    <s v="No"/>
    <m/>
    <n v="53040"/>
    <n v="247519.99999999997"/>
    <n v="53040"/>
    <s v="L"/>
    <s v="J"/>
    <m/>
    <m/>
    <m/>
    <m/>
    <m/>
    <m/>
    <s v="DES No. 2002424"/>
  </r>
  <r>
    <x v="275"/>
    <s v="August"/>
    <n v="2024"/>
    <x v="10"/>
    <n v="-0.97"/>
    <x v="0"/>
    <n v="77600"/>
    <n v="514"/>
    <s v="State Isolated"/>
    <s v="PEM"/>
    <n v="0.64800000000000002"/>
    <s v="INDOT"/>
    <s v="N/A"/>
    <s v="IWIP 2023-1024-89-GCW-A"/>
    <m/>
    <s v="Wayne"/>
    <n v="39.853189999999998"/>
    <n v="-85.172342999999998"/>
    <s v="Transportation"/>
    <m/>
    <s v="No"/>
    <m/>
    <n v="11640"/>
    <n v="54320"/>
    <n v="11640"/>
    <s v="L"/>
    <s v="SI"/>
    <s v="2 NF"/>
    <m/>
    <m/>
    <m/>
    <m/>
    <m/>
    <s v="INDOT DES No. 2002424 Revive I-70"/>
  </r>
  <r>
    <x v="275"/>
    <s v="August"/>
    <n v="2024"/>
    <x v="3"/>
    <n v="-37.5"/>
    <x v="1"/>
    <n v="16875"/>
    <n v="521"/>
    <s v="Federal"/>
    <s v="Int"/>
    <n v="37.5"/>
    <s v="INDOT"/>
    <s v="N/A"/>
    <s v="2024-413-2-GCW-X"/>
    <m/>
    <s v="Allen"/>
    <n v="41.12491"/>
    <n v="-85.154899999999998"/>
    <s v="Energy Production"/>
    <m/>
    <s v="No"/>
    <m/>
    <n v="2531.25"/>
    <n v="11812.5"/>
    <n v="2531.25"/>
    <s v="D"/>
    <s v="J"/>
    <m/>
    <m/>
    <m/>
    <m/>
    <m/>
    <m/>
    <m/>
  </r>
  <r>
    <x v="275"/>
    <s v="August"/>
    <n v="2024"/>
    <x v="3"/>
    <n v="-43"/>
    <x v="1"/>
    <n v="19350"/>
    <n v="521"/>
    <s v="Federal"/>
    <s v="Eph"/>
    <n v="43"/>
    <s v="INDOT"/>
    <s v="N/A"/>
    <s v="2024-413-2-GCW-X"/>
    <m/>
    <s v="Allen"/>
    <n v="41.12491"/>
    <n v="-85.154899999999998"/>
    <s v="Energy Production"/>
    <m/>
    <s v="No"/>
    <m/>
    <n v="2902.5"/>
    <n v="13545"/>
    <n v="2902.5"/>
    <s v="D"/>
    <s v="J"/>
    <m/>
    <m/>
    <m/>
    <m/>
    <m/>
    <m/>
    <m/>
  </r>
  <r>
    <x v="275"/>
    <s v="August"/>
    <n v="2024"/>
    <x v="1"/>
    <n v="-0.41"/>
    <x v="0"/>
    <n v="38950"/>
    <n v="524"/>
    <s v="Federal"/>
    <s v="PEM"/>
    <n v="0.27"/>
    <s v="ANR Pipeline Company"/>
    <s v="N/A"/>
    <s v="2020-229-45-MTM-A"/>
    <m/>
    <s v="Lake"/>
    <n v="41.433889999999998"/>
    <n v="-87.490600000000001"/>
    <s v="Energy Production"/>
    <m/>
    <s v="No"/>
    <m/>
    <n v="5842.5"/>
    <n v="27265"/>
    <n v="5842.5"/>
    <s v="C"/>
    <s v="J"/>
    <m/>
    <m/>
    <m/>
    <m/>
    <m/>
    <m/>
    <s v="Mitigation for additional wetland impacts (See also 2020-228-45-MTM-A and invoice/credit sale letter 0314 5/2022)"/>
  </r>
  <r>
    <x v="276"/>
    <s v="August"/>
    <n v="2024"/>
    <x v="9"/>
    <n v="-7.875"/>
    <x v="0"/>
    <n v="630000"/>
    <n v="525"/>
    <s v="State Isolated"/>
    <s v="PFO"/>
    <n v="3.15"/>
    <s v="Hendricks Regional Health"/>
    <s v="N/A"/>
    <s v="IWIP 2024-168-32-MPY-A"/>
    <m/>
    <s v="Hendricks"/>
    <n v="39.844289000000003"/>
    <n v="-86.359190999999996"/>
    <s v="Development"/>
    <m/>
    <s v="No"/>
    <m/>
    <n v="94500"/>
    <n v="441000"/>
    <n v="94500"/>
    <s v="L"/>
    <s v="SI"/>
    <s v="3 FO "/>
    <m/>
    <m/>
    <m/>
    <m/>
    <m/>
    <m/>
  </r>
  <r>
    <x v="276"/>
    <s v="August"/>
    <n v="2024"/>
    <x v="8"/>
    <n v="-0.65"/>
    <x v="0"/>
    <n v="52000"/>
    <n v="516"/>
    <s v="Federal"/>
    <s v="PEM"/>
    <n v="0.29699999999999999"/>
    <s v="Prairie Creek Wind, LLC"/>
    <s v="LRL-2022-00508-sjk"/>
    <s v="2024-26-5-EJW-A"/>
    <m/>
    <s v="Blackford"/>
    <n v="40.557099999999998"/>
    <n v="-85.375500000000002"/>
    <s v="Energy Production"/>
    <m/>
    <s v="No"/>
    <m/>
    <n v="7800"/>
    <n v="36400"/>
    <n v="7800"/>
    <s v="L"/>
    <s v="J"/>
    <m/>
    <m/>
    <m/>
    <m/>
    <m/>
    <m/>
    <m/>
  </r>
  <r>
    <x v="276"/>
    <s v="August"/>
    <n v="2024"/>
    <x v="8"/>
    <n v="-60.77"/>
    <x v="1"/>
    <n v="24308"/>
    <n v="516"/>
    <s v="Federal"/>
    <s v="Per"/>
    <n v="0.29699999999999999"/>
    <s v="Prairie Creek Wind, LLC"/>
    <s v="LRL-2022-00508-sjk"/>
    <s v="2024-26-5-EJW-A"/>
    <m/>
    <s v="Blackford"/>
    <n v="40.557099999999998"/>
    <n v="-85.375500000000002"/>
    <s v="Energy Production"/>
    <m/>
    <s v="No"/>
    <m/>
    <n v="3646.2"/>
    <n v="17015.599999999999"/>
    <n v="3646.2"/>
    <s v="L"/>
    <s v="J"/>
    <m/>
    <m/>
    <m/>
    <m/>
    <m/>
    <m/>
    <m/>
  </r>
  <r>
    <x v="277"/>
    <s v="August"/>
    <n v="2024"/>
    <x v="0"/>
    <n v="-0.51749999999999996"/>
    <x v="0"/>
    <n v="49163"/>
    <n v="485"/>
    <s v="Federal"/>
    <s v="PEM"/>
    <n v="0.34499999999999997"/>
    <s v="Porter County Commissioner"/>
    <s v="LRC-2022-00523"/>
    <s v="2023-435-64-MTM-A"/>
    <m/>
    <s v="Porter"/>
    <n v="41.688896999999997"/>
    <n v="-86.950789"/>
    <s v="Transportation"/>
    <m/>
    <s v="No"/>
    <m/>
    <n v="7374.45"/>
    <n v="34414.1"/>
    <n v="7374.45"/>
    <s v="C"/>
    <s v="J"/>
    <m/>
    <m/>
    <m/>
    <m/>
    <m/>
    <m/>
    <s v="DES NO 1500419"/>
  </r>
  <r>
    <x v="278"/>
    <s v="August"/>
    <n v="2024"/>
    <x v="8"/>
    <n v="-0.5"/>
    <x v="0"/>
    <n v="40000"/>
    <n v="520"/>
    <s v="Federal"/>
    <s v="PEM"/>
    <n v="0.21"/>
    <s v="AEP"/>
    <s v="LRL-2024-00436-cte"/>
    <s v="2024-528-68-LDC-X"/>
    <m/>
    <s v="Randolph"/>
    <n v="40.186599999999999"/>
    <n v="-84.863169999999997"/>
    <s v="Energy Production"/>
    <m/>
    <s v="No"/>
    <m/>
    <n v="6000"/>
    <n v="28000"/>
    <n v="6000"/>
    <s v="L"/>
    <s v="J"/>
    <m/>
    <m/>
    <m/>
    <m/>
    <m/>
    <m/>
    <m/>
  </r>
  <r>
    <x v="278"/>
    <s v="August"/>
    <n v="2024"/>
    <x v="6"/>
    <n v="-80"/>
    <x v="1"/>
    <n v="48000"/>
    <n v="522"/>
    <s v="Federal"/>
    <s v="Int"/>
    <n v="80"/>
    <s v="INDOT"/>
    <s v="N/A"/>
    <s v="2024-352-71-GCW-X"/>
    <m/>
    <s v="St. Joseph"/>
    <n v="41.624862999999998"/>
    <n v="-86.174055999999993"/>
    <s v="Transportation"/>
    <m/>
    <s v="No"/>
    <m/>
    <n v="7200"/>
    <n v="33600"/>
    <n v="7200"/>
    <s v="D"/>
    <s v="J"/>
    <m/>
    <m/>
    <m/>
    <m/>
    <m/>
    <m/>
    <s v="INDOT DES NO 2100761"/>
  </r>
  <r>
    <x v="278"/>
    <s v="August"/>
    <n v="2024"/>
    <x v="9"/>
    <n v="-5.47"/>
    <x v="0"/>
    <n v="437600"/>
    <n v="392"/>
    <s v="State Isolated"/>
    <s v="PFO"/>
    <n v="2.1880000000000002"/>
    <s v="Thursday Pools, LLC"/>
    <s v="N/A"/>
    <s v="IWIP 2023-5-30-EKB-A"/>
    <m/>
    <s v="Hancock"/>
    <n v="39.934790999999997"/>
    <n v="-85.833048000000005"/>
    <s v="Development"/>
    <m/>
    <s v="No"/>
    <m/>
    <n v="65640"/>
    <n v="306320"/>
    <n v="65640"/>
    <s v="L"/>
    <s v="SI"/>
    <s v="3 FO"/>
    <m/>
    <m/>
    <m/>
    <m/>
    <m/>
    <m/>
  </r>
  <r>
    <x v="279"/>
    <s v="September"/>
    <n v="2024"/>
    <x v="9"/>
    <n v="-3"/>
    <x v="0"/>
    <n v="240000"/>
    <n v="390"/>
    <s v="State Isolated"/>
    <s v="PFO"/>
    <n v="1.2"/>
    <s v="Thompson Thrift"/>
    <s v="N/A"/>
    <s v="IWIP 2022-1199-29-EKB-A"/>
    <m/>
    <s v="Hamilton"/>
    <n v="39.947699999999998"/>
    <n v="-86.003900000000002"/>
    <s v="Development"/>
    <m/>
    <s v="No"/>
    <m/>
    <n v="36000"/>
    <n v="168000"/>
    <n v="36000"/>
    <s v="L"/>
    <s v="I"/>
    <s v="3 FO"/>
    <m/>
    <m/>
    <m/>
    <m/>
    <m/>
    <m/>
  </r>
  <r>
    <x v="279"/>
    <s v="September"/>
    <n v="2024"/>
    <x v="9"/>
    <n v="-2"/>
    <x v="0"/>
    <n v="160000"/>
    <n v="390"/>
    <s v="State Isolated"/>
    <s v="PFO"/>
    <n v="1"/>
    <s v="Thompson Thrift"/>
    <s v="N/A"/>
    <s v="IWIP 2022-1199-29-EKB-A"/>
    <m/>
    <s v="Hamilton"/>
    <n v="39.947699999999998"/>
    <n v="-86.003900000000002"/>
    <s v="Development"/>
    <m/>
    <s v="No"/>
    <m/>
    <n v="24000"/>
    <n v="112000"/>
    <n v="24000"/>
    <s v="L"/>
    <s v="I"/>
    <s v="2 FO"/>
    <m/>
    <m/>
    <m/>
    <m/>
    <m/>
    <m/>
  </r>
  <r>
    <x v="279"/>
    <s v="September"/>
    <n v="2024"/>
    <x v="9"/>
    <n v="-1.2"/>
    <x v="0"/>
    <n v="96000"/>
    <n v="390"/>
    <s v="State Isolated"/>
    <s v="PEM"/>
    <n v="0.8"/>
    <s v="Thompson Thrift"/>
    <s v="N/A"/>
    <s v="IWIP 2022-1199-29-EKB-A"/>
    <m/>
    <s v="Hamilton"/>
    <n v="39.947699999999998"/>
    <n v="-86.003900000000002"/>
    <s v="Development"/>
    <m/>
    <s v="No"/>
    <m/>
    <n v="14400"/>
    <n v="67200"/>
    <n v="14400"/>
    <s v="L"/>
    <s v="I"/>
    <s v="2 NF"/>
    <m/>
    <m/>
    <m/>
    <m/>
    <m/>
    <m/>
  </r>
  <r>
    <x v="280"/>
    <s v="September"/>
    <n v="2024"/>
    <x v="9"/>
    <n v="-252"/>
    <x v="1"/>
    <n v="113400"/>
    <n v="523"/>
    <s v="Federal"/>
    <s v="Per"/>
    <n v="204"/>
    <s v="Lennar Homes of Indiana, LLC"/>
    <s v="LRL-2017-00334-sjk"/>
    <s v="2024-100-29-GCW-A"/>
    <m/>
    <s v="Hamilton"/>
    <n v="40.073878999999998"/>
    <n v="-86.064888999999994"/>
    <s v="Development"/>
    <m/>
    <s v="No"/>
    <m/>
    <n v="17010"/>
    <n v="79380"/>
    <n v="17010"/>
    <s v="L"/>
    <s v="J"/>
    <m/>
    <m/>
    <m/>
    <m/>
    <m/>
    <m/>
    <m/>
  </r>
  <r>
    <x v="280"/>
    <s v="September"/>
    <n v="2024"/>
    <x v="9"/>
    <n v="-713"/>
    <x v="1"/>
    <n v="320850"/>
    <n v="523"/>
    <s v="Federal"/>
    <s v="Int"/>
    <n v="594"/>
    <s v="Lennar Homes of Indiana, LLC"/>
    <s v="LRL-2017-00334-sjk"/>
    <s v="2024-100-29-GCW-A"/>
    <m/>
    <s v="Hamilton"/>
    <n v="40.073878999999998"/>
    <n v="-86.064888999999994"/>
    <s v="Development"/>
    <m/>
    <s v="No"/>
    <m/>
    <n v="48127.5"/>
    <n v="224595"/>
    <n v="48127.5"/>
    <s v="L"/>
    <s v="J"/>
    <m/>
    <m/>
    <m/>
    <m/>
    <m/>
    <m/>
    <m/>
  </r>
  <r>
    <x v="280"/>
    <s v="September"/>
    <n v="2024"/>
    <x v="9"/>
    <n v="-0.44400000000000001"/>
    <x v="0"/>
    <n v="35520"/>
    <n v="523"/>
    <s v="Federal"/>
    <s v="PFO"/>
    <n v="0.111"/>
    <s v="Lennar Homes of Indiana, LLC"/>
    <s v="LRL-2017-00334-sjk"/>
    <s v="2024-100-29-GCW-A"/>
    <m/>
    <s v="Hamilton"/>
    <n v="40.073878999999998"/>
    <n v="-86.064888999999994"/>
    <s v="Development"/>
    <m/>
    <s v="No"/>
    <m/>
    <n v="5328"/>
    <n v="24864"/>
    <n v="5328"/>
    <s v="L"/>
    <s v="J"/>
    <m/>
    <m/>
    <m/>
    <m/>
    <m/>
    <m/>
    <m/>
  </r>
  <r>
    <x v="280"/>
    <s v="September"/>
    <n v="2024"/>
    <x v="9"/>
    <n v="-0.02"/>
    <x v="0"/>
    <n v="1600"/>
    <n v="523"/>
    <s v="State Isolated"/>
    <s v="PFO"/>
    <n v="6.0000000000000001E-3"/>
    <s v="Lennar Homes of Indiana, LLC"/>
    <s v="LRL-2017-00334-sjk"/>
    <s v="IWIP 2024-100-29-GCW-A"/>
    <m/>
    <s v="Hamilton"/>
    <n v="40.073878999999998"/>
    <n v="-86.064888999999994"/>
    <s v="Development"/>
    <m/>
    <s v="No"/>
    <m/>
    <n v="240"/>
    <n v="1120"/>
    <n v="240"/>
    <s v="L"/>
    <s v="SI"/>
    <m/>
    <m/>
    <m/>
    <m/>
    <m/>
    <m/>
    <m/>
  </r>
  <r>
    <x v="280"/>
    <s v="September"/>
    <n v="2024"/>
    <x v="9"/>
    <n v="-0.5"/>
    <x v="0"/>
    <n v="40000"/>
    <n v="528"/>
    <s v="State Isolated"/>
    <s v="PFO"/>
    <n v="0.2"/>
    <s v="Drees Homes"/>
    <s v="N/A"/>
    <s v="IWIP 2024-376-32-MPY-A"/>
    <m/>
    <s v="Hendricks"/>
    <n v="39.790702000000003"/>
    <n v="-86.394506000000007"/>
    <s v="Development"/>
    <m/>
    <s v="No"/>
    <m/>
    <n v="6000"/>
    <n v="28000"/>
    <n v="6000"/>
    <s v="L"/>
    <s v="SI"/>
    <s v="3 FO"/>
    <m/>
    <m/>
    <m/>
    <m/>
    <m/>
    <m/>
  </r>
  <r>
    <x v="280"/>
    <s v="September"/>
    <n v="2024"/>
    <x v="8"/>
    <n v="-3.39"/>
    <x v="0"/>
    <n v="271200"/>
    <n v="531"/>
    <s v="Federal"/>
    <s v="PSS"/>
    <n v="1.1299999999999999"/>
    <s v="Blackford County Surveyor's Office"/>
    <s v="LRL-2022-793-sam"/>
    <s v="2023-388-5-EJW-A"/>
    <m/>
    <s v="Blackford"/>
    <n v="40.453695000000003"/>
    <n v="-85.391816000000006"/>
    <s v="Development"/>
    <m/>
    <s v="No"/>
    <m/>
    <n v="40680"/>
    <n v="189840"/>
    <n v="40680"/>
    <s v="L"/>
    <s v="J"/>
    <m/>
    <m/>
    <m/>
    <m/>
    <m/>
    <m/>
    <m/>
  </r>
  <r>
    <x v="281"/>
    <s v="September"/>
    <n v="2024"/>
    <x v="1"/>
    <n v="-260.39999999999998"/>
    <x v="1"/>
    <n v="130200"/>
    <n v="529"/>
    <s v="Federal"/>
    <s v="Eph"/>
    <n v="217"/>
    <s v="Venture One Acquisitions, LLC"/>
    <s v="LRC-2023-00602"/>
    <s v="2024-90-45-MTM-A"/>
    <m/>
    <s v="Lake"/>
    <n v="41.285615"/>
    <n v="-87.308537999999999"/>
    <s v="Development"/>
    <m/>
    <s v="No"/>
    <m/>
    <n v="19530"/>
    <n v="91140"/>
    <n v="19530"/>
    <s v="C"/>
    <s v="J"/>
    <m/>
    <m/>
    <m/>
    <m/>
    <m/>
    <m/>
    <m/>
  </r>
  <r>
    <x v="282"/>
    <s v="September"/>
    <n v="2024"/>
    <x v="9"/>
    <n v="-1.53"/>
    <x v="0"/>
    <n v="122400"/>
    <n v="517"/>
    <s v="State Isolated"/>
    <s v="PFO"/>
    <n v="0.61"/>
    <s v="Archview Properties"/>
    <s v="N/A"/>
    <s v="IWIP 2024-294-30-EJW-A"/>
    <m/>
    <s v="Hancock"/>
    <n v="39.868284000000003"/>
    <n v="-85.919186999999994"/>
    <s v="Development"/>
    <m/>
    <s v="No"/>
    <m/>
    <n v="18360"/>
    <n v="85680"/>
    <n v="18360"/>
    <s v="L"/>
    <s v="SI"/>
    <s v="2 FO"/>
    <m/>
    <m/>
    <m/>
    <m/>
    <m/>
    <m/>
  </r>
  <r>
    <x v="283"/>
    <s v="September"/>
    <n v="2024"/>
    <x v="8"/>
    <n v="-0.5"/>
    <x v="0"/>
    <n v="40000"/>
    <n v="532"/>
    <s v="Federal"/>
    <s v="PFO"/>
    <n v="0.5"/>
    <s v="David Feltman"/>
    <s v="LRE-2019-821-143-R24"/>
    <s v="2024-353-43-MPY-A"/>
    <m/>
    <s v="Kosciusko"/>
    <n v="41.295074"/>
    <n v="-85.741298"/>
    <s v="Development"/>
    <m/>
    <s v="No"/>
    <m/>
    <n v="6000"/>
    <n v="28000"/>
    <n v="6000"/>
    <s v="D"/>
    <s v="J"/>
    <m/>
    <m/>
    <m/>
    <m/>
    <m/>
    <m/>
    <m/>
  </r>
  <r>
    <x v="284"/>
    <s v="October"/>
    <n v="2024"/>
    <x v="8"/>
    <n v="-13.5"/>
    <x v="1"/>
    <n v="5400"/>
    <n v="373"/>
    <s v="Federal"/>
    <s v="Per"/>
    <n v="13.5"/>
    <s v="INDOT"/>
    <s v="N/A"/>
    <s v="2023-15-2-WLR-X"/>
    <m/>
    <s v="Allen"/>
    <n v="41.013989000000002"/>
    <n v="-85.322722999999996"/>
    <s v="Agriculture"/>
    <m/>
    <s v="No"/>
    <m/>
    <n v="810"/>
    <n v="3779.9999999999995"/>
    <n v="810"/>
    <s v="D"/>
    <s v="J"/>
    <m/>
    <m/>
    <m/>
    <m/>
    <m/>
    <m/>
    <s v="1800058, 1800059, 1900070, 2000548"/>
  </r>
  <r>
    <x v="284"/>
    <s v="October"/>
    <n v="2024"/>
    <x v="8"/>
    <n v="-86"/>
    <x v="1"/>
    <n v="34400"/>
    <n v="373"/>
    <s v="Federal"/>
    <s v="Int"/>
    <n v="86"/>
    <s v="INDOT"/>
    <s v="N/A"/>
    <s v="2023-15-2-WLR-X"/>
    <m/>
    <s v="Allen"/>
    <n v="41.013989000000002"/>
    <n v="-85.322722999999996"/>
    <s v="Transportation"/>
    <m/>
    <s v="No"/>
    <m/>
    <n v="5160"/>
    <n v="24080"/>
    <n v="5160"/>
    <s v="D"/>
    <s v="J"/>
    <m/>
    <m/>
    <m/>
    <m/>
    <m/>
    <m/>
    <s v="1800058, 1800059, 1900070, 2000548"/>
  </r>
  <r>
    <x v="285"/>
    <s v="October"/>
    <n v="2024"/>
    <x v="9"/>
    <n v="-3.8"/>
    <x v="0"/>
    <n v="304000"/>
    <n v="527"/>
    <s v="State Isolated"/>
    <s v="PFO"/>
    <n v="1.52"/>
    <s v="Apex Realty Group"/>
    <s v="N/A"/>
    <s v="IWIP 2023-406-49-GCW-A"/>
    <m/>
    <s v="Marion"/>
    <n v="39.894140999999998"/>
    <n v="-86.210183000000001"/>
    <s v="Development"/>
    <m/>
    <s v="No"/>
    <m/>
    <n v="45600"/>
    <n v="212800"/>
    <n v="45600"/>
    <s v="L"/>
    <s v="J"/>
    <s v="3 FO"/>
    <m/>
    <m/>
    <m/>
    <m/>
    <m/>
    <m/>
  </r>
  <r>
    <x v="285"/>
    <s v="October"/>
    <n v="2024"/>
    <x v="8"/>
    <n v="-26"/>
    <x v="1"/>
    <n v="10400"/>
    <n v="534"/>
    <s v="Federal"/>
    <s v="Int"/>
    <n v="26"/>
    <s v="INDOT"/>
    <s v="LRE-2024-00305-102-N24"/>
    <s v="2024-399-2-GCW-X"/>
    <m/>
    <s v="Allen"/>
    <n v="40.952199999999998"/>
    <n v="-85.258099999999999"/>
    <s v="Transportation"/>
    <m/>
    <s v="No"/>
    <m/>
    <n v="1560"/>
    <n v="7279.9999999999991"/>
    <n v="1560"/>
    <s v="D"/>
    <s v="J"/>
    <m/>
    <m/>
    <m/>
    <m/>
    <m/>
    <m/>
    <s v="INDOT DES No. 2002209"/>
  </r>
  <r>
    <x v="285"/>
    <s v="October"/>
    <n v="2024"/>
    <x v="8"/>
    <n v="-2.4E-2"/>
    <x v="0"/>
    <n v="1920"/>
    <n v="534"/>
    <s v="Federal"/>
    <s v="PEM"/>
    <n v="1.2E-2"/>
    <s v="INDOT"/>
    <s v="LRE-2024-00305-102-N25"/>
    <s v="2024-399-2-GCW-X"/>
    <m/>
    <s v="Allen"/>
    <n v="40.952199999999998"/>
    <n v="-85.258099999999999"/>
    <s v="Transportation"/>
    <m/>
    <s v="No"/>
    <m/>
    <n v="288"/>
    <n v="1344"/>
    <n v="288"/>
    <s v="D"/>
    <s v="J"/>
    <m/>
    <m/>
    <m/>
    <m/>
    <m/>
    <m/>
    <s v="INDOT DES No. 2002209"/>
  </r>
  <r>
    <x v="285"/>
    <s v="October"/>
    <n v="2024"/>
    <x v="0"/>
    <n v="-102"/>
    <x v="1"/>
    <n v="61200"/>
    <n v="535"/>
    <s v="Federal"/>
    <s v="Per"/>
    <n v="102"/>
    <s v="INDOT"/>
    <s v="LRC-2023-00564"/>
    <s v="2023-991-45-GCW-A"/>
    <m/>
    <s v="Lake"/>
    <n v="41.571116000000004"/>
    <n v="-87.239908999999997"/>
    <s v="Transportation"/>
    <m/>
    <s v="No"/>
    <m/>
    <n v="9180"/>
    <n v="42840"/>
    <n v="9180"/>
    <s v="C"/>
    <s v="J"/>
    <m/>
    <m/>
    <m/>
    <m/>
    <m/>
    <m/>
    <s v="INDOT DES No 1900012 US 6 Bridge Project over Muck Pocket"/>
  </r>
  <r>
    <x v="285"/>
    <s v="October"/>
    <n v="2024"/>
    <x v="0"/>
    <n v="-0.51"/>
    <x v="0"/>
    <n v="48450"/>
    <n v="535"/>
    <s v="Federal"/>
    <s v="PEM"/>
    <n v="0.2"/>
    <s v="INDOT"/>
    <s v="LRC-2023-00564"/>
    <s v="2023-991-45-GCW-A"/>
    <m/>
    <s v="Lake"/>
    <n v="41.571116000000004"/>
    <n v="-87.239908999999997"/>
    <s v="Transportation"/>
    <m/>
    <s v="No"/>
    <m/>
    <n v="7267.5"/>
    <n v="33915"/>
    <n v="7267.5"/>
    <s v="C"/>
    <s v="J"/>
    <m/>
    <m/>
    <m/>
    <m/>
    <m/>
    <m/>
    <s v="INDOT DES No 1900012 US 6 Bridge Project over Muck Pocket"/>
  </r>
  <r>
    <x v="285"/>
    <s v="October"/>
    <n v="2024"/>
    <x v="0"/>
    <n v="-0.43"/>
    <x v="0"/>
    <n v="40850"/>
    <n v="535"/>
    <s v="Federal"/>
    <s v="PSS"/>
    <n v="0.14399999999999999"/>
    <s v="INDOT"/>
    <s v="LRC-2023-00564"/>
    <s v="2023-991-45-GCW-A"/>
    <m/>
    <s v="Lake"/>
    <n v="41.571116000000004"/>
    <n v="-87.239908999999997"/>
    <s v="Transportation"/>
    <m/>
    <s v="No"/>
    <m/>
    <n v="6127.5"/>
    <n v="28595"/>
    <n v="6127.5"/>
    <s v="C"/>
    <s v="J"/>
    <m/>
    <m/>
    <m/>
    <m/>
    <m/>
    <m/>
    <s v="INDOT DES No 1900012 US 6 Bridge Project over Muck Pocket"/>
  </r>
  <r>
    <x v="285"/>
    <s v="October"/>
    <n v="2024"/>
    <x v="2"/>
    <n v="-37.799999999999997"/>
    <x v="1"/>
    <n v="15120"/>
    <n v="536"/>
    <s v="Federal"/>
    <s v="Eph"/>
    <n v="96"/>
    <s v="INDOT"/>
    <s v="LRL-2023-104-dds"/>
    <s v="2023-314-47-JBT-A"/>
    <m/>
    <s v="Lawrence"/>
    <n v="38.903703700000001"/>
    <n v="-86.398320999999996"/>
    <s v="Transportation"/>
    <m/>
    <s v="No"/>
    <m/>
    <n v="2268"/>
    <n v="10584"/>
    <n v="2268"/>
    <s v="L"/>
    <s v="J"/>
    <m/>
    <m/>
    <m/>
    <m/>
    <m/>
    <m/>
    <s v="INDOT DES No 1900296 SR 58 Slide Correction"/>
  </r>
  <r>
    <x v="285"/>
    <s v="October"/>
    <n v="2024"/>
    <x v="2"/>
    <n v="-744.1"/>
    <x v="1"/>
    <n v="297640"/>
    <n v="536"/>
    <s v="Federal"/>
    <s v="Int"/>
    <n v="744.1"/>
    <s v="INDOT"/>
    <s v="LRL-2023-104-dds"/>
    <s v="2023-314-47-JBT-A"/>
    <m/>
    <s v="Lawrence"/>
    <n v="38.903703700000001"/>
    <n v="-86.398320999999996"/>
    <s v="Transportation"/>
    <m/>
    <s v="No"/>
    <m/>
    <n v="44646"/>
    <n v="208348"/>
    <n v="44646"/>
    <s v="L"/>
    <s v="J"/>
    <m/>
    <m/>
    <m/>
    <m/>
    <m/>
    <m/>
    <s v="INDOT DES No 1900296 SR 58 Slide Correction"/>
  </r>
  <r>
    <x v="286"/>
    <s v="October"/>
    <n v="2024"/>
    <x v="0"/>
    <n v="-0.23"/>
    <x v="0"/>
    <n v="21850"/>
    <n v="464"/>
    <s v="Federal"/>
    <s v="PEM"/>
    <n v="0.23"/>
    <s v="City of Crown Point"/>
    <s v="LRC-2022-00477"/>
    <s v="2022-760-45-MTM-A"/>
    <m/>
    <s v="Lake"/>
    <n v="41.410240999999999"/>
    <n v="-87.349329999999995"/>
    <s v="Development"/>
    <m/>
    <s v="No"/>
    <m/>
    <n v="3277.5"/>
    <n v="15294.999999999998"/>
    <n v="3277.5"/>
    <s v="C"/>
    <s v="J"/>
    <m/>
    <m/>
    <m/>
    <m/>
    <m/>
    <m/>
    <m/>
  </r>
  <r>
    <x v="286"/>
    <s v="October"/>
    <n v="2024"/>
    <x v="9"/>
    <n v="-3.5999999999999997E-2"/>
    <x v="0"/>
    <n v="2880"/>
    <n v="537"/>
    <s v="Federal"/>
    <s v="PEM"/>
    <n v="1.7000000000000001E-2"/>
    <s v="INDOT"/>
    <s v="LRL-2023-683"/>
    <s v="2024-561-49-GCW"/>
    <m/>
    <s v="Wayne"/>
    <n v="39.726388999999998"/>
    <n v="-86.134444000000002"/>
    <s v="Transportation"/>
    <m/>
    <s v="No"/>
    <m/>
    <n v="432"/>
    <n v="2015.9999999999998"/>
    <n v="432"/>
    <s v="L"/>
    <s v="J"/>
    <m/>
    <m/>
    <m/>
    <m/>
    <m/>
    <m/>
    <s v="INDOT DES No. 1400073 I-65 Safety and Efficiency"/>
  </r>
  <r>
    <x v="286"/>
    <s v="October"/>
    <n v="2024"/>
    <x v="9"/>
    <n v="-4.2000000000000003E-2"/>
    <x v="0"/>
    <n v="3360"/>
    <n v="537"/>
    <s v="Federal"/>
    <s v="PEM"/>
    <n v="1.4E-2"/>
    <s v="INDOT"/>
    <s v="LRL-2023-683"/>
    <s v="2024-561-49-GCW"/>
    <m/>
    <s v="Wayne"/>
    <n v="39.726388999999998"/>
    <n v="-86.134444000000002"/>
    <s v="Transportation"/>
    <m/>
    <s v="No"/>
    <m/>
    <n v="504"/>
    <n v="2352"/>
    <n v="504"/>
    <s v="L"/>
    <s v="J"/>
    <m/>
    <m/>
    <m/>
    <m/>
    <m/>
    <m/>
    <s v="INDOT DES No. 1400073 I-65 Safety and Efficiency"/>
  </r>
  <r>
    <x v="286"/>
    <s v="October"/>
    <n v="2024"/>
    <x v="9"/>
    <n v="-786"/>
    <x v="1"/>
    <n v="353700"/>
    <n v="537"/>
    <s v="Federal"/>
    <s v="Per"/>
    <n v="1113.9000000000001"/>
    <s v="INDOT"/>
    <s v="LRL-2023-683"/>
    <s v="2024-561-49-GCW"/>
    <m/>
    <s v="Wayne"/>
    <n v="39.726388999999998"/>
    <n v="-86.134444000000002"/>
    <s v="Transportation"/>
    <m/>
    <s v="No"/>
    <m/>
    <n v="53055"/>
    <n v="247589.99999999997"/>
    <n v="53055"/>
    <s v="L"/>
    <s v="J"/>
    <m/>
    <m/>
    <m/>
    <m/>
    <m/>
    <m/>
    <s v="INDOT DES No. 1400073 I-65 Safety and Efficiency"/>
  </r>
  <r>
    <x v="287"/>
    <s v="November"/>
    <n v="2024"/>
    <x v="9"/>
    <n v="-211"/>
    <x v="1"/>
    <n v="94950"/>
    <n v="489"/>
    <s v="Federal"/>
    <s v="Eph"/>
    <n v="408"/>
    <s v="City of Indianapolis DPW"/>
    <s v="LRL-2023-0150-jde"/>
    <s v="2023-507-49-GCW-A"/>
    <m/>
    <s v="Marion"/>
    <n v="39.764231000000002"/>
    <n v="-86.289077000000006"/>
    <s v="Transportation"/>
    <m/>
    <s v="No"/>
    <m/>
    <n v="14242.5"/>
    <n v="66465"/>
    <n v="14242.5"/>
    <s v="L"/>
    <s v="J"/>
    <m/>
    <m/>
    <m/>
    <m/>
    <m/>
    <m/>
    <m/>
  </r>
  <r>
    <x v="288"/>
    <s v="November"/>
    <n v="2024"/>
    <x v="10"/>
    <n v="-0.26"/>
    <x v="0"/>
    <n v="20800"/>
    <n v="519"/>
    <s v="State Isolated"/>
    <s v="PEM"/>
    <n v="0.26"/>
    <s v="Duke Energy"/>
    <s v="N/A"/>
    <s v="IWIP 2024-114-3-JLB-A"/>
    <m/>
    <s v="Bartholomew"/>
    <n v="39.134900000000002"/>
    <n v="-85.949100000000001"/>
    <s v="Energy Production"/>
    <m/>
    <s v="No"/>
    <m/>
    <n v="3120"/>
    <n v="14559.999999999998"/>
    <n v="3120"/>
    <s v="L"/>
    <s v="SI"/>
    <s v="3 FO, 3NF"/>
    <m/>
    <m/>
    <m/>
    <m/>
    <m/>
    <m/>
  </r>
  <r>
    <x v="288"/>
    <s v="November"/>
    <n v="2024"/>
    <x v="10"/>
    <n v="-2.84"/>
    <x v="0"/>
    <n v="227200"/>
    <n v="519"/>
    <s v="State Isolated"/>
    <s v="PFO"/>
    <n v="2.84"/>
    <s v="Duke Energy"/>
    <s v="N/A"/>
    <s v="IWIP 2024-114-3-JLB-A"/>
    <m/>
    <s v="Bartholomew"/>
    <n v="39.134900000000002"/>
    <n v="-85.949100000000001"/>
    <s v="Energy Production"/>
    <m/>
    <s v="No"/>
    <m/>
    <n v="34080"/>
    <n v="159040"/>
    <n v="34080"/>
    <s v="L"/>
    <s v="SI"/>
    <s v="3 FO, 3NF"/>
    <m/>
    <m/>
    <m/>
    <m/>
    <m/>
    <m/>
  </r>
  <r>
    <x v="289"/>
    <s v="November"/>
    <n v="2024"/>
    <x v="7"/>
    <n v="-31"/>
    <x v="1"/>
    <n v="12400"/>
    <n v="539"/>
    <s v="Federal"/>
    <s v="Eph"/>
    <n v="118"/>
    <s v="INDOT"/>
    <s v="LRL-2021-85-djd"/>
    <s v="2022-448-72-JBT-A"/>
    <m/>
    <s v="Scott/Clark"/>
    <n v="38.71"/>
    <n v="-85.796199999999999"/>
    <s v="Transportation"/>
    <m/>
    <s v="No"/>
    <m/>
    <n v="1860"/>
    <n v="8680"/>
    <n v="1860"/>
    <s v="L"/>
    <s v="J"/>
    <m/>
    <m/>
    <m/>
    <m/>
    <m/>
    <m/>
    <s v=" INDOT DES No. 1700135 - includes several SA's - I-65 project"/>
  </r>
  <r>
    <x v="289"/>
    <s v="November"/>
    <n v="2024"/>
    <x v="7"/>
    <n v="-30"/>
    <x v="1"/>
    <n v="12000"/>
    <n v="539"/>
    <s v="Federal"/>
    <s v="Int"/>
    <n v="710"/>
    <s v="INDOT"/>
    <s v="LRL-2021-85-djd"/>
    <s v="2022-448-72-JBT-A"/>
    <m/>
    <s v="Scott/Clark"/>
    <n v="38.71"/>
    <n v="-85.796199999999999"/>
    <s v="Transportation"/>
    <m/>
    <s v="No"/>
    <m/>
    <n v="1800"/>
    <n v="8400"/>
    <n v="1800"/>
    <s v="L"/>
    <s v="J"/>
    <m/>
    <m/>
    <m/>
    <m/>
    <m/>
    <m/>
    <s v=" INDOT DES No. 1700135 - includes several SA's - I-65 project"/>
  </r>
  <r>
    <x v="289"/>
    <s v="November"/>
    <n v="2024"/>
    <x v="7"/>
    <n v="-171.9"/>
    <x v="1"/>
    <n v="68760"/>
    <n v="539"/>
    <s v="Federal"/>
    <s v="Per"/>
    <n v="625.9"/>
    <s v="INDOT"/>
    <s v="LRL-2021-85-djd"/>
    <s v="2022-448-72-JBT-A"/>
    <m/>
    <s v="Scott/Clark"/>
    <n v="38.71"/>
    <n v="-85.796199999999999"/>
    <s v="Transportation"/>
    <m/>
    <s v="No"/>
    <m/>
    <n v="10314"/>
    <n v="48132"/>
    <n v="10314"/>
    <s v="L"/>
    <s v="J"/>
    <m/>
    <m/>
    <m/>
    <m/>
    <m/>
    <m/>
    <s v=" INDOT DES No. 1700135 - includes several SA's - I-65 project"/>
  </r>
  <r>
    <x v="289"/>
    <s v="November"/>
    <n v="2024"/>
    <x v="7"/>
    <n v="-6.0000000000000001E-3"/>
    <x v="0"/>
    <n v="480"/>
    <n v="539"/>
    <s v="Federal"/>
    <s v="PEM"/>
    <n v="3.0000000000000001E-3"/>
    <s v="INDOT"/>
    <s v="LRL-2021-85-djd"/>
    <s v="2022-448-72-JBT-A"/>
    <m/>
    <s v="Scott/Clark"/>
    <n v="38.71"/>
    <n v="-85.796199999999999"/>
    <s v="Transportation"/>
    <m/>
    <s v="No"/>
    <m/>
    <n v="72"/>
    <n v="336"/>
    <n v="72"/>
    <s v="L"/>
    <s v="J"/>
    <m/>
    <m/>
    <m/>
    <m/>
    <m/>
    <m/>
    <s v=" INDOT DES No. 1700135 - includes several SA's - I-65 project"/>
  </r>
  <r>
    <x v="289"/>
    <s v="November"/>
    <n v="2024"/>
    <x v="7"/>
    <n v="-6.7599999999999993E-2"/>
    <x v="0"/>
    <n v="5408"/>
    <n v="539"/>
    <s v="Federal"/>
    <s v="PFO"/>
    <n v="1.6E-2"/>
    <s v="INDOT"/>
    <s v="LRL-2021-85-djd"/>
    <s v="2022-448-72-JBT-A"/>
    <m/>
    <s v="Scott/Clark"/>
    <n v="38.71"/>
    <n v="-85.796199999999999"/>
    <s v="Transportation"/>
    <m/>
    <s v="No"/>
    <m/>
    <n v="811.19999999999993"/>
    <n v="3785.6"/>
    <n v="811.19999999999993"/>
    <s v="L"/>
    <s v="J"/>
    <m/>
    <m/>
    <m/>
    <m/>
    <m/>
    <m/>
    <s v=" INDOT DES No. 1700135 - includes several SA's - I-65 project"/>
  </r>
  <r>
    <x v="289"/>
    <s v="November"/>
    <n v="2024"/>
    <x v="10"/>
    <n v="-125"/>
    <x v="1"/>
    <n v="50000"/>
    <n v="539"/>
    <s v="Federal"/>
    <s v="Eph"/>
    <n v="895"/>
    <s v="INDOT"/>
    <s v="LRL-2021-85-djd"/>
    <s v="2022-448-72-JBT-A"/>
    <m/>
    <s v="Scott/Clark"/>
    <n v="38.71"/>
    <n v="-85.796199999999999"/>
    <s v="Transportation"/>
    <m/>
    <s v="No"/>
    <m/>
    <n v="7500"/>
    <n v="35000"/>
    <n v="7500"/>
    <s v="L"/>
    <s v="J"/>
    <m/>
    <m/>
    <m/>
    <m/>
    <m/>
    <m/>
    <s v=" INDOT DES No. 1700135 - includes several SA's - I-65 project"/>
  </r>
  <r>
    <x v="289"/>
    <s v="November"/>
    <n v="2024"/>
    <x v="10"/>
    <n v="-52"/>
    <x v="1"/>
    <n v="20800"/>
    <n v="539"/>
    <s v="Federal"/>
    <s v="Int"/>
    <n v="847"/>
    <s v="INDOT"/>
    <s v="LRL-2021-85-djd"/>
    <s v="2022-448-72-JBT-A"/>
    <m/>
    <s v="Scott/Clark"/>
    <n v="38.71"/>
    <n v="-85.796199999999999"/>
    <s v="Transportation"/>
    <m/>
    <s v="No"/>
    <m/>
    <n v="3120"/>
    <n v="14559.999999999998"/>
    <n v="3120"/>
    <s v="L"/>
    <s v="J"/>
    <m/>
    <m/>
    <m/>
    <m/>
    <m/>
    <m/>
    <s v=" INDOT DES No. 1700135 - includes several SA's - I-65 project"/>
  </r>
  <r>
    <x v="289"/>
    <s v="November"/>
    <n v="2024"/>
    <x v="10"/>
    <n v="-80"/>
    <x v="1"/>
    <n v="32000"/>
    <n v="539"/>
    <s v="Federal"/>
    <s v="Per"/>
    <n v="278.89999999999998"/>
    <s v="INDOT"/>
    <s v="LRL-2021-85-djd"/>
    <s v="2022-448-72-JBT-A"/>
    <m/>
    <s v="Scott/Clark"/>
    <n v="38.71"/>
    <n v="-85.796199999999999"/>
    <s v="Transportation"/>
    <m/>
    <s v="No"/>
    <m/>
    <n v="4800"/>
    <n v="22400"/>
    <n v="4800"/>
    <s v="L"/>
    <s v="J"/>
    <m/>
    <m/>
    <m/>
    <m/>
    <m/>
    <m/>
    <s v=" INDOT DES No. 1700135 - includes several SA's - I-65 project"/>
  </r>
  <r>
    <x v="289"/>
    <s v="November"/>
    <n v="2024"/>
    <x v="10"/>
    <n v="-0.17460000000000001"/>
    <x v="0"/>
    <n v="13968"/>
    <n v="539"/>
    <s v="Federal"/>
    <s v="PEM"/>
    <n v="8.7300000000000003E-2"/>
    <s v="INDOT"/>
    <s v="LRL-2021-85-djd"/>
    <s v="2022-448-72-JBT-A"/>
    <m/>
    <s v="Scott/Clark"/>
    <n v="38.71"/>
    <n v="-85.796199999999999"/>
    <s v="Transportation"/>
    <m/>
    <s v="No"/>
    <m/>
    <n v="2095.1999999999998"/>
    <n v="9777.5999999999985"/>
    <n v="2095.1999999999998"/>
    <s v="L"/>
    <s v="J"/>
    <m/>
    <m/>
    <m/>
    <m/>
    <m/>
    <m/>
    <s v=" INDOT DES No. 1700135 - includes several SA's - I-65 project"/>
  </r>
  <r>
    <x v="289"/>
    <s v="November"/>
    <n v="2024"/>
    <x v="10"/>
    <n v="-8.6999999999999994E-3"/>
    <x v="0"/>
    <n v="696"/>
    <n v="539"/>
    <s v="Federal"/>
    <s v="PSS"/>
    <n v="2.8999999999999998E-3"/>
    <s v="INDOT"/>
    <s v="LRL-2021-85-djd"/>
    <s v="2022-448-72-JBT-A"/>
    <m/>
    <s v="Scott/Clark"/>
    <n v="38.71"/>
    <n v="-85.796199999999999"/>
    <s v="Transportation"/>
    <m/>
    <s v="No"/>
    <m/>
    <n v="104.39999999999999"/>
    <n v="487.2"/>
    <n v="104.39999999999999"/>
    <s v="L"/>
    <s v="J"/>
    <m/>
    <m/>
    <m/>
    <m/>
    <m/>
    <m/>
    <s v=" INDOT DES No. 1700135 - includes several SA's - I-65 project"/>
  </r>
  <r>
    <x v="289"/>
    <s v="November"/>
    <n v="2024"/>
    <x v="10"/>
    <n v="-1.7000000000000001E-2"/>
    <x v="0"/>
    <n v="1360"/>
    <n v="539"/>
    <s v="State Isolated"/>
    <s v="PEM"/>
    <n v="1.15E-2"/>
    <s v="INDOT"/>
    <s v="N/A"/>
    <s v="IWIP 2022-448-72-JBT-A"/>
    <m/>
    <s v="Scott/Clark"/>
    <n v="38.71"/>
    <n v="-85.796199999999999"/>
    <s v="Transportation"/>
    <m/>
    <s v="No"/>
    <m/>
    <n v="204"/>
    <n v="951.99999999999989"/>
    <n v="204"/>
    <s v="L"/>
    <s v="SI"/>
    <s v="2NF"/>
    <m/>
    <m/>
    <m/>
    <m/>
    <m/>
    <s v=" INDOT DES No. 1700135 - includes several SA's - I-65 project"/>
  </r>
  <r>
    <x v="290"/>
    <s v="November"/>
    <n v="2024"/>
    <x v="8"/>
    <n v="-0.16"/>
    <x v="0"/>
    <n v="12800"/>
    <n v="541"/>
    <s v="State Isolated"/>
    <s v="PFO"/>
    <n v="0.08"/>
    <s v="AMS 2024 - BTS - Kokomo, IN LLC"/>
    <s v="N/A"/>
    <s v="IWIP 2024-718-34-ENH"/>
    <m/>
    <s v="Howard"/>
    <n v="40.499622000000002"/>
    <n v="-86.099383000000003"/>
    <s v="Development"/>
    <m/>
    <s v="No"/>
    <m/>
    <n v="1920"/>
    <n v="8960"/>
    <n v="1920"/>
    <s v="L"/>
    <s v="SI"/>
    <s v="2 FO"/>
    <m/>
    <m/>
    <m/>
    <m/>
    <m/>
    <m/>
  </r>
  <r>
    <x v="291"/>
    <s v="November"/>
    <n v="2024"/>
    <x v="9"/>
    <n v="-0.45"/>
    <x v="0"/>
    <n v="36000"/>
    <n v="542"/>
    <s v="Federal"/>
    <s v="PEM"/>
    <n v="0.3"/>
    <s v="Pulte Homes of Indiana, LLC"/>
    <s v="LRL-2014-1033-JLT"/>
    <s v="2016-132-32-SKG-A"/>
    <m/>
    <s v="Hendricks"/>
    <n v="39.698504999999997"/>
    <n v="-86.434465000000003"/>
    <s v="Development"/>
    <m/>
    <s v="No"/>
    <m/>
    <n v="5400"/>
    <n v="25200"/>
    <n v="5400"/>
    <s v="L"/>
    <s v="J"/>
    <m/>
    <m/>
    <m/>
    <m/>
    <m/>
    <m/>
    <s v="401 Modification from previous 401 WQC"/>
  </r>
  <r>
    <x v="292"/>
    <s v="December"/>
    <n v="2024"/>
    <x v="10"/>
    <n v="-218.5"/>
    <x v="1"/>
    <n v="87400"/>
    <n v="533"/>
    <s v="Federal"/>
    <s v="Per"/>
    <n v="374"/>
    <s v="INDOT"/>
    <s v="LRL-2023-00986"/>
    <s v="2024-485-70-GCW-A"/>
    <m/>
    <s v="Rush"/>
    <n v="39.786160000000002"/>
    <n v="-85.524439999999998"/>
    <s v="Transportation"/>
    <m/>
    <s v="No"/>
    <m/>
    <n v="13110"/>
    <n v="61179.999999999993"/>
    <n v="13110"/>
    <s v="L"/>
    <s v="J"/>
    <m/>
    <m/>
    <m/>
    <m/>
    <m/>
    <m/>
    <s v="INDOT DES No. 2002071 SR 140 over Big Blue River Bridge Replacement"/>
  </r>
  <r>
    <x v="292"/>
    <s v="December"/>
    <n v="2024"/>
    <x v="0"/>
    <n v="-268"/>
    <x v="1"/>
    <n v="160800"/>
    <n v="538"/>
    <s v="Federal"/>
    <s v="Per"/>
    <n v="268"/>
    <s v="INDOT"/>
    <s v="LRC-2022-00816"/>
    <s v="2023-1133-64-MMR-A"/>
    <m/>
    <s v="Porter"/>
    <n v="41.612318999999999"/>
    <n v="-87.173468999999997"/>
    <s v="Transportation"/>
    <m/>
    <s v="No"/>
    <m/>
    <n v="24120"/>
    <n v="112560"/>
    <n v="24120"/>
    <s v="C"/>
    <s v="J"/>
    <m/>
    <m/>
    <m/>
    <m/>
    <m/>
    <m/>
    <s v="INDOT DES No 2002079 SR 249 over East Arm Little Calumet River in Porter County"/>
  </r>
  <r>
    <x v="293"/>
    <s v="December"/>
    <n v="2024"/>
    <x v="0"/>
    <n v="-1.3"/>
    <x v="0"/>
    <n v="123500"/>
    <n v="540"/>
    <s v="State Isolated"/>
    <s v="PFO"/>
    <n v="0.65"/>
    <s v="Summer Street Partners, LLC"/>
    <s v="N/A"/>
    <s v="IWIP 2024-518-45-MTM-WQC"/>
    <m/>
    <s v="Lake"/>
    <n v="41.606717000000003"/>
    <n v="-87.490061100000005"/>
    <s v="Development"/>
    <m/>
    <s v="No"/>
    <m/>
    <n v="18525"/>
    <n v="86450"/>
    <n v="18525"/>
    <s v="C"/>
    <s v="SI"/>
    <s v="2 FO"/>
    <m/>
    <m/>
    <m/>
    <m/>
    <m/>
    <m/>
  </r>
  <r>
    <x v="293"/>
    <s v="December"/>
    <n v="2024"/>
    <x v="0"/>
    <n v="-0.7"/>
    <x v="0"/>
    <n v="66500"/>
    <n v="540"/>
    <s v="State Isolated"/>
    <s v="PSS"/>
    <n v="0.7"/>
    <s v="Summer Street Partners, LLC"/>
    <s v="N/A"/>
    <s v="IWIP 2024-518-45-MTM-WQC"/>
    <m/>
    <s v="Lake"/>
    <n v="41.606717000000003"/>
    <n v="-87.490061100000005"/>
    <s v="Development"/>
    <m/>
    <s v="No"/>
    <m/>
    <n v="9975"/>
    <n v="46550"/>
    <n v="9975"/>
    <s v="C"/>
    <s v="SI"/>
    <s v="1 NF"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294"/>
    <s v="January"/>
    <n v="2025"/>
    <x v="3"/>
    <n v="-1.4"/>
    <x v="0"/>
    <n v="112000"/>
    <n v="526"/>
    <s v="Federal"/>
    <s v="PFO"/>
    <n v="0.48"/>
    <s v="Fort Wayne Parks and Recreation"/>
    <s v="LRE-2015-01011-102-N23"/>
    <s v="2023-22-2-EJW-A"/>
    <m/>
    <s v="Allen"/>
    <n v="41.083458"/>
    <n v="-85.143118000000001"/>
    <s v="Development"/>
    <m/>
    <s v="No"/>
    <m/>
    <n v="16800"/>
    <n v="78400"/>
    <n v="16800"/>
    <s v="D"/>
    <s v="J"/>
    <m/>
    <m/>
    <m/>
    <m/>
    <m/>
    <m/>
    <s v="Riverfront Project"/>
  </r>
  <r>
    <x v="294"/>
    <s v="January"/>
    <n v="2025"/>
    <x v="3"/>
    <n v="-1000"/>
    <x v="1"/>
    <n v="450000"/>
    <n v="526"/>
    <s v="Federal"/>
    <s v="Per"/>
    <n v="1000"/>
    <s v="Fort Wayne Parks and Recreation"/>
    <s v="LRE-2015-01011-102-N23"/>
    <s v="2023-22-2-EJW-A"/>
    <m/>
    <s v="Allen"/>
    <n v="41.083458"/>
    <n v="-85.143118000000001"/>
    <s v="Development"/>
    <m/>
    <s v="No"/>
    <m/>
    <n v="67500"/>
    <n v="315000"/>
    <n v="67500"/>
    <s v="D"/>
    <s v="J"/>
    <m/>
    <m/>
    <m/>
    <m/>
    <m/>
    <m/>
    <s v="Riverfront Project"/>
  </r>
  <r>
    <x v="294"/>
    <s v="January"/>
    <n v="2025"/>
    <x v="7"/>
    <n v="-65"/>
    <x v="1"/>
    <n v="26000"/>
    <n v="546"/>
    <s v="Federal"/>
    <s v="Int"/>
    <n v="65"/>
    <s v="Duke Energy"/>
    <s v="LRL-2023-00398"/>
    <s v="2024-853-10-JLB-WQC"/>
    <m/>
    <s v="Clark"/>
    <n v="38.596882999999998"/>
    <n v="-85.561622999999997"/>
    <s v="Energy Production"/>
    <m/>
    <s v="No"/>
    <m/>
    <n v="3900"/>
    <n v="18200"/>
    <n v="3900"/>
    <s v="L"/>
    <s v="J"/>
    <m/>
    <m/>
    <m/>
    <m/>
    <m/>
    <m/>
    <s v="Bank didn't have all the crdits needed to purchase, they purchased remainder +20% for temporal loss, 65 credits, through ILF"/>
  </r>
  <r>
    <x v="295"/>
    <s v="January"/>
    <n v="2025"/>
    <x v="9"/>
    <n v="-0.6"/>
    <x v="0"/>
    <n v="48000"/>
    <n v="557"/>
    <s v="Federal"/>
    <s v="PSS"/>
    <n v="0.2"/>
    <s v="Republic Development LLC"/>
    <s v="LRL-2021-1063-SJK"/>
    <s v="2024-508-32-MPY-A"/>
    <m/>
    <s v="Hendricks"/>
    <n v="39.769466000000001"/>
    <n v="-86.425691999999998"/>
    <s v="Development"/>
    <m/>
    <s v="No"/>
    <m/>
    <n v="7200"/>
    <n v="33600"/>
    <n v="7200"/>
    <s v="L"/>
    <s v="J"/>
    <m/>
    <m/>
    <m/>
    <m/>
    <m/>
    <m/>
    <m/>
  </r>
  <r>
    <x v="295"/>
    <s v="January"/>
    <n v="2025"/>
    <x v="9"/>
    <n v="-917"/>
    <x v="1"/>
    <n v="343800"/>
    <n v="557"/>
    <s v="Federal"/>
    <s v="Int"/>
    <n v="764"/>
    <s v="Republic Development LLC"/>
    <s v="LRL-2021-1063-SJK"/>
    <s v="2024-508-32-MPY-A"/>
    <m/>
    <s v="Hendricks"/>
    <n v="39.769466000000001"/>
    <n v="-86.425691999999998"/>
    <s v="Development"/>
    <m/>
    <s v="No"/>
    <m/>
    <n v="51570"/>
    <n v="240659.99999999997"/>
    <n v="51570"/>
    <s v="L"/>
    <s v="J"/>
    <m/>
    <m/>
    <m/>
    <m/>
    <m/>
    <m/>
    <m/>
  </r>
  <r>
    <x v="295"/>
    <s v="January"/>
    <n v="2025"/>
    <x v="9"/>
    <n v="-42"/>
    <x v="1"/>
    <n v="15750"/>
    <n v="557"/>
    <s v="Federal"/>
    <s v="Per"/>
    <n v="35"/>
    <s v="Republic Development LLC"/>
    <s v="LRL-2021-1063-SJK"/>
    <s v="2024-508-32-MPY-A"/>
    <m/>
    <s v="Hendricks"/>
    <n v="39.769466000000001"/>
    <n v="-86.425691999999998"/>
    <s v="Development"/>
    <m/>
    <s v="No"/>
    <m/>
    <n v="2362.5"/>
    <n v="11025"/>
    <n v="2362.5"/>
    <s v="L"/>
    <s v="J"/>
    <m/>
    <m/>
    <m/>
    <m/>
    <m/>
    <m/>
    <m/>
  </r>
  <r>
    <x v="295"/>
    <s v="January"/>
    <n v="2025"/>
    <x v="9"/>
    <n v="-2.4300000000000002"/>
    <x v="0"/>
    <n v="194400"/>
    <n v="557"/>
    <s v="State Isolated"/>
    <s v="PFO"/>
    <n v="1.405"/>
    <s v="Republic Development LLC"/>
    <s v="LRL-2021-1063-SJK"/>
    <s v="2024-508-32-MPY-A"/>
    <m/>
    <s v="Hendricks"/>
    <n v="39.769466000000001"/>
    <n v="-86.425691999999998"/>
    <s v="Development"/>
    <m/>
    <s v="No"/>
    <m/>
    <n v="29160"/>
    <n v="136080"/>
    <n v="29160"/>
    <s v="L"/>
    <s v="SI"/>
    <s v="2 NF"/>
    <m/>
    <m/>
    <m/>
    <m/>
    <m/>
    <m/>
  </r>
  <r>
    <x v="296"/>
    <s v="January"/>
    <n v="2025"/>
    <x v="7"/>
    <n v="-288"/>
    <x v="1"/>
    <n v="115200"/>
    <n v="545"/>
    <s v="Federal"/>
    <s v="Int"/>
    <n v="288"/>
    <s v="Clark Floyd Landfill, LLC"/>
    <s v="LRL-2013-00374"/>
    <s v="2021-189-10-TMS-A"/>
    <m/>
    <s v="Clark"/>
    <n v="38.457000000000001"/>
    <n v="-85.847740000000002"/>
    <s v="Development"/>
    <m/>
    <s v="No"/>
    <m/>
    <n v="17280"/>
    <n v="80640"/>
    <n v="17280"/>
    <s v="L"/>
    <s v="J"/>
    <m/>
    <m/>
    <m/>
    <m/>
    <m/>
    <m/>
    <s v="Payment 4 of 7"/>
  </r>
  <r>
    <x v="296"/>
    <s v="January"/>
    <n v="2025"/>
    <x v="7"/>
    <n v="-1.3"/>
    <x v="0"/>
    <n v="104000"/>
    <n v="545"/>
    <s v="Federal"/>
    <s v="PFO"/>
    <n v="1.3"/>
    <s v="Clark Floyd Landfill, LLC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s v="J"/>
    <m/>
    <m/>
    <m/>
    <m/>
    <m/>
    <m/>
    <s v="Payment 4 of 7"/>
  </r>
  <r>
    <x v="297"/>
    <s v="January"/>
    <n v="2025"/>
    <x v="9"/>
    <n v="-0.22"/>
    <x v="0"/>
    <n v="17600"/>
    <n v="495"/>
    <s v="Federal"/>
    <s v="PEM"/>
    <n v="0.4"/>
    <s v="City of Indianapolis, DPW"/>
    <s v="LRL-2023-00628-jde"/>
    <s v="2023-1032-49-SCF-A"/>
    <m/>
    <s v="Marion"/>
    <n v="39.916629999999998"/>
    <n v="-86.150426999999993"/>
    <s v="Development"/>
    <m/>
    <s v="No"/>
    <m/>
    <n v="2640"/>
    <n v="12320"/>
    <n v="2640"/>
    <s v="L"/>
    <s v="J"/>
    <m/>
    <m/>
    <m/>
    <m/>
    <m/>
    <m/>
    <m/>
  </r>
  <r>
    <x v="298"/>
    <s v="January"/>
    <n v="2025"/>
    <x v="9"/>
    <n v="-418"/>
    <x v="1"/>
    <n v="188100"/>
    <n v="549"/>
    <s v="Federal"/>
    <s v="Int"/>
    <n v="418"/>
    <s v="City of Fishers"/>
    <s v="LRL-2023-00882-sjk"/>
    <s v="2024-871-29-ENH-WQC"/>
    <m/>
    <s v="Hamilton"/>
    <n v="39.964627999999998"/>
    <n v="-85.965615"/>
    <s v="Transportation"/>
    <m/>
    <s v="No"/>
    <m/>
    <n v="28215"/>
    <n v="131670"/>
    <n v="28215"/>
    <s v="L"/>
    <s v="J"/>
    <m/>
    <m/>
    <m/>
    <m/>
    <m/>
    <m/>
    <m/>
  </r>
  <r>
    <x v="299"/>
    <s v="January"/>
    <n v="2025"/>
    <x v="9"/>
    <n v="-12"/>
    <x v="1"/>
    <n v="5400"/>
    <n v="552"/>
    <s v="Federal"/>
    <s v="Int"/>
    <n v="10"/>
    <s v="Pulte Homes of Indiana, LLC"/>
    <s v="LRL-2024-00289-jde"/>
    <s v="2024-655-29-ENH-WQC"/>
    <m/>
    <s v="Hamilton"/>
    <n v="39.998823000000002"/>
    <n v="-86.093216999999996"/>
    <s v="Development"/>
    <m/>
    <s v="No"/>
    <m/>
    <n v="810"/>
    <n v="3779.9999999999995"/>
    <n v="810"/>
    <s v="L"/>
    <s v="J"/>
    <m/>
    <m/>
    <m/>
    <m/>
    <m/>
    <m/>
    <m/>
  </r>
  <r>
    <x v="299"/>
    <s v="January"/>
    <n v="2025"/>
    <x v="9"/>
    <n v="-0.86"/>
    <x v="0"/>
    <n v="68800"/>
    <n v="552"/>
    <s v="Federal"/>
    <s v="PSS"/>
    <n v="0.24"/>
    <s v="Pulte Homes of Indiana, LLC"/>
    <s v="LRL-2024-00289-jde"/>
    <s v="2024-655-29-ENH-WQC"/>
    <m/>
    <s v="Hamilton"/>
    <n v="39.998823000000002"/>
    <n v="-86.093216999999996"/>
    <s v="Development"/>
    <m/>
    <s v="No"/>
    <m/>
    <n v="10320"/>
    <n v="48160"/>
    <n v="10320"/>
    <s v="L"/>
    <s v="J"/>
    <m/>
    <m/>
    <m/>
    <m/>
    <m/>
    <m/>
    <m/>
  </r>
  <r>
    <x v="300"/>
    <s v="January"/>
    <n v="2025"/>
    <x v="9"/>
    <n v="-1037"/>
    <x v="1"/>
    <n v="388800"/>
    <n v="554"/>
    <s v="Federal"/>
    <s v="Int"/>
    <n v="864"/>
    <s v="QuickTrip Corporation"/>
    <s v="LRL-2024-431-SJK"/>
    <s v="2024-735-32-MPY-WQC"/>
    <m/>
    <s v="Hendricks"/>
    <n v="39.830840999999999"/>
    <n v="-86.354308000000003"/>
    <s v="Development"/>
    <m/>
    <s v="No"/>
    <m/>
    <n v="58320"/>
    <n v="272160"/>
    <n v="58320"/>
    <s v="L"/>
    <s v="J"/>
    <m/>
    <m/>
    <m/>
    <m/>
    <m/>
    <m/>
    <m/>
  </r>
  <r>
    <x v="300"/>
    <s v="January"/>
    <n v="2025"/>
    <x v="10"/>
    <n v="-0.64400000000000002"/>
    <x v="0"/>
    <n v="44000"/>
    <s v="553C"/>
    <s v="State Isolated"/>
    <s v="PFO"/>
    <n v="0.27500000000000002"/>
    <s v="Lennar Homes of Indiana, Inc."/>
    <s v="N/A"/>
    <s v="2024-846-49-LDC-IWIP"/>
    <m/>
    <s v="Marion"/>
    <n v="39.692799999999998"/>
    <n v="-86.021000000000001"/>
    <s v="Development"/>
    <m/>
    <s v="No"/>
    <m/>
    <n v="6600"/>
    <n v="30799.999999999996"/>
    <n v="6600"/>
    <s v="L"/>
    <s v="SI"/>
    <s v="2 FO"/>
    <m/>
    <m/>
    <m/>
    <m/>
    <m/>
    <m/>
  </r>
  <r>
    <x v="301"/>
    <s v="January"/>
    <n v="2025"/>
    <x v="9"/>
    <n v="-19.2"/>
    <x v="1"/>
    <n v="8640"/>
    <n v="555"/>
    <s v="Federal"/>
    <s v="Int"/>
    <n v="16"/>
    <s v="Westfield-Washington Schools"/>
    <s v="LRL-2024-00038-sjk"/>
    <s v="2024-903-29-ENH-NWP"/>
    <m/>
    <s v="Hamilton"/>
    <n v="40.042164999999997"/>
    <n v="-86.201814999999996"/>
    <s v="Transportation"/>
    <m/>
    <s v="No"/>
    <m/>
    <n v="1296"/>
    <n v="6048"/>
    <n v="1296"/>
    <s v="L"/>
    <s v="J"/>
    <m/>
    <m/>
    <m/>
    <m/>
    <m/>
    <m/>
    <m/>
  </r>
  <r>
    <x v="301"/>
    <s v="January"/>
    <n v="2025"/>
    <x v="9"/>
    <n v="-0.44400000000000001"/>
    <x v="0"/>
    <n v="35520"/>
    <n v="555"/>
    <s v="Federal"/>
    <s v="PEM"/>
    <n v="0.185"/>
    <s v="Westfield-Washington Schools"/>
    <s v="LRL-2024-00038-sjk"/>
    <s v="2024-903-29-ENH-NWP"/>
    <m/>
    <s v="Hamilton"/>
    <n v="40.042164999999997"/>
    <n v="-86.201814999999996"/>
    <s v="Transportation"/>
    <m/>
    <s v="No"/>
    <m/>
    <n v="5328"/>
    <n v="24864"/>
    <n v="5328"/>
    <s v="L"/>
    <s v="J"/>
    <m/>
    <m/>
    <m/>
    <m/>
    <m/>
    <m/>
    <m/>
  </r>
  <r>
    <x v="301"/>
    <s v="January"/>
    <n v="2025"/>
    <x v="9"/>
    <n v="-0.191"/>
    <x v="0"/>
    <n v="15280"/>
    <n v="555"/>
    <s v="Federal"/>
    <s v="PSS"/>
    <n v="5.2999999999999999E-2"/>
    <s v="Westfield-Washington Schools"/>
    <s v="LRL-2024-00038-sjk"/>
    <s v="2024-903-29-ENH-NWP"/>
    <m/>
    <s v="Hamilton"/>
    <n v="40.042164999999997"/>
    <n v="-86.201814999999996"/>
    <s v="Transportation"/>
    <m/>
    <s v="No"/>
    <m/>
    <n v="2292"/>
    <n v="10696"/>
    <n v="2292"/>
    <s v="L"/>
    <s v="J"/>
    <m/>
    <m/>
    <m/>
    <m/>
    <m/>
    <m/>
    <m/>
  </r>
  <r>
    <x v="301"/>
    <s v="January"/>
    <n v="2025"/>
    <x v="9"/>
    <n v="-35"/>
    <x v="1"/>
    <n v="15750"/>
    <n v="559"/>
    <s v="Federal"/>
    <s v="Int"/>
    <n v="8.0000000000000002E-3"/>
    <s v="INDOT"/>
    <s v="LRL-2024-813"/>
    <s v="2024-916-49-GCW-NWP"/>
    <m/>
    <s v="Marion"/>
    <n v="39.764301000000003"/>
    <n v="-86.302840000000003"/>
    <s v="Transportation"/>
    <m/>
    <s v="No"/>
    <m/>
    <n v="2362.5"/>
    <n v="11025"/>
    <n v="2362.5"/>
    <s v="L"/>
    <s v="J"/>
    <m/>
    <m/>
    <m/>
    <m/>
    <m/>
    <m/>
    <s v="INDOT DES No 1800035"/>
  </r>
  <r>
    <x v="301"/>
    <s v="January"/>
    <n v="2025"/>
    <x v="9"/>
    <n v="-125"/>
    <x v="1"/>
    <n v="56250"/>
    <n v="559"/>
    <s v="Federal"/>
    <s v="Per"/>
    <n v="8.0000000000000002E-3"/>
    <s v="INDOT"/>
    <s v="LRL-2024-813"/>
    <s v="2024-916-49-GCW-NWP"/>
    <m/>
    <s v="Marion"/>
    <n v="39.764301000000003"/>
    <n v="-86.302840000000003"/>
    <s v="Transportation"/>
    <m/>
    <s v="No"/>
    <m/>
    <n v="8437.5"/>
    <n v="39375"/>
    <n v="8437.5"/>
    <s v="L"/>
    <s v="J"/>
    <m/>
    <m/>
    <m/>
    <m/>
    <m/>
    <m/>
    <s v="INDOT DES No 1800035"/>
  </r>
  <r>
    <x v="301"/>
    <s v="January"/>
    <n v="2025"/>
    <x v="0"/>
    <n v="-120.7"/>
    <x v="1"/>
    <n v="72420"/>
    <n v="560"/>
    <s v="Federal"/>
    <s v="Eph"/>
    <n v="100.6"/>
    <s v="INDOT"/>
    <s v="LRC-2023-00216"/>
    <s v="2023-1044-64-GCW-X"/>
    <m/>
    <s v="Porter"/>
    <n v="41.535998999999997"/>
    <n v="-87.033878000000001"/>
    <s v="Transportation"/>
    <m/>
    <s v="No"/>
    <m/>
    <n v="10863"/>
    <n v="50694"/>
    <n v="10863"/>
    <s v="C"/>
    <s v="J"/>
    <m/>
    <m/>
    <m/>
    <m/>
    <m/>
    <m/>
    <s v="INDOT DES No 2001935"/>
  </r>
  <r>
    <x v="302"/>
    <s v="February"/>
    <n v="2025"/>
    <x v="10"/>
    <n v="-0.23"/>
    <x v="0"/>
    <n v="18400"/>
    <n v="544"/>
    <s v="State Isolated"/>
    <s v="PEM"/>
    <n v="0.152"/>
    <s v="INDOT"/>
    <s v="N/A"/>
    <s v="2024-664-89-GCW-SRGP"/>
    <m/>
    <s v="Wayne"/>
    <n v="39.860909999999997"/>
    <n v="-85.024882000000005"/>
    <s v="Development"/>
    <m/>
    <s v="No"/>
    <m/>
    <n v="2760"/>
    <n v="12880"/>
    <n v="2760"/>
    <s v="L"/>
    <s v="SI"/>
    <s v="2 NF"/>
    <m/>
    <m/>
    <m/>
    <m/>
    <m/>
    <s v="INDOT DES No. 2000500  I-70 Centerville Rest Area"/>
  </r>
  <r>
    <x v="302"/>
    <s v="February"/>
    <n v="2025"/>
    <x v="10"/>
    <n v="-2028"/>
    <x v="1"/>
    <n v="811200"/>
    <n v="544"/>
    <s v="Federal"/>
    <s v="Eph"/>
    <n v="1950"/>
    <s v="INDOT"/>
    <s v="LRL-2023-942"/>
    <s v="2024-664-89-GCW-WQC"/>
    <m/>
    <s v="Wayne"/>
    <n v="39.860909999999997"/>
    <n v="-85.024882000000005"/>
    <s v="Development"/>
    <m/>
    <s v="No"/>
    <m/>
    <n v="121680"/>
    <n v="567840"/>
    <n v="121680"/>
    <s v="L"/>
    <s v="J"/>
    <m/>
    <m/>
    <m/>
    <m/>
    <m/>
    <m/>
    <s v="INDOT DES No. 2000500  I-70 Centerville Rest Area"/>
  </r>
  <r>
    <x v="303"/>
    <s v="February"/>
    <n v="2025"/>
    <x v="9"/>
    <n v="-0.26"/>
    <x v="0"/>
    <n v="20800"/>
    <n v="563"/>
    <s v="State Isolated"/>
    <s v="PFO"/>
    <n v="0.13"/>
    <s v="JR Promotions, LLC"/>
    <s v="N/A"/>
    <s v="2024-938-48-EJW-SRGP"/>
    <m/>
    <s v="Madison"/>
    <n v="40.033898999999998"/>
    <n v="-85.737774000000002"/>
    <s v="Development"/>
    <m/>
    <s v="No"/>
    <m/>
    <n v="3120"/>
    <n v="14559.999999999998"/>
    <n v="3120"/>
    <s v="L"/>
    <s v="SI"/>
    <s v="2 FO"/>
    <m/>
    <m/>
    <m/>
    <m/>
    <m/>
    <m/>
  </r>
  <r>
    <x v="303"/>
    <s v="February"/>
    <n v="2025"/>
    <x v="9"/>
    <n v="-0.04"/>
    <x v="0"/>
    <n v="3200"/>
    <n v="551"/>
    <s v="State Isolated"/>
    <s v="PFO"/>
    <n v="0.02"/>
    <s v="Henke Development Group"/>
    <s v="N/A"/>
    <s v="2018-728-6-JMK-A-IWIP"/>
    <m/>
    <s v="Boone"/>
    <n v="39.977179999999997"/>
    <n v="-86.258809999999997"/>
    <s v="Development"/>
    <m/>
    <s v="No"/>
    <m/>
    <n v="480"/>
    <n v="2240"/>
    <n v="480"/>
    <s v="L"/>
    <s v="SI"/>
    <s v="2 FO"/>
    <m/>
    <m/>
    <m/>
    <m/>
    <m/>
    <s v="Mitigation for additional impacts to aquatic resources."/>
  </r>
  <r>
    <x v="304"/>
    <s v="February"/>
    <n v="2025"/>
    <x v="9"/>
    <n v="-680"/>
    <x v="1"/>
    <n v="306000"/>
    <n v="550"/>
    <s v="Federal"/>
    <s v="Per"/>
    <n v="758"/>
    <s v="INDOT"/>
    <s v="LRL-2020-1021-dds"/>
    <s v="2024-768-29-GCW-WQC"/>
    <m/>
    <s v="Hamilton"/>
    <n v="40.160269999999997"/>
    <n v="-86.127977000000001"/>
    <s v="Transportation"/>
    <m/>
    <s v="No"/>
    <m/>
    <n v="45900"/>
    <n v="214200"/>
    <n v="45900"/>
    <s v="L"/>
    <s v="J"/>
    <m/>
    <m/>
    <m/>
    <m/>
    <m/>
    <m/>
    <s v="INDOT DES No. 1900096"/>
  </r>
  <r>
    <x v="304"/>
    <s v="February"/>
    <n v="2025"/>
    <x v="9"/>
    <n v="-0.1"/>
    <x v="0"/>
    <n v="8000"/>
    <n v="550"/>
    <s v="State Isolated"/>
    <s v="PEM"/>
    <n v="0.06"/>
    <s v="INDOT"/>
    <s v="N/A"/>
    <s v="2024-768-29-GCW-SRGP"/>
    <m/>
    <s v="Hamilton"/>
    <n v="40.160269999999997"/>
    <n v="-86.127977000000001"/>
    <s v="Transportation"/>
    <m/>
    <s v="No"/>
    <m/>
    <n v="1200"/>
    <n v="5600"/>
    <n v="1200"/>
    <s v="L"/>
    <s v="SI"/>
    <s v="2 NF"/>
    <m/>
    <m/>
    <m/>
    <m/>
    <m/>
    <s v="INDOT DES No. 1900096"/>
  </r>
  <r>
    <x v="304"/>
    <s v="February"/>
    <n v="2025"/>
    <x v="0"/>
    <n v="-0.77"/>
    <x v="0"/>
    <n v="73150"/>
    <n v="442"/>
    <s v="Federal"/>
    <s v="PEM"/>
    <n v="0.4"/>
    <s v="CIT Trucks, LLC"/>
    <s v="LRC-2021-00738"/>
    <s v="2023-143-64-MTM-A"/>
    <m/>
    <s v="Porter"/>
    <n v="41.604331000000002"/>
    <n v="-87.117729999999995"/>
    <s v="Development"/>
    <m/>
    <s v="No"/>
    <m/>
    <n v="10972.5"/>
    <n v="51205"/>
    <n v="10972.5"/>
    <s v="C"/>
    <s v="J"/>
    <m/>
    <m/>
    <m/>
    <m/>
    <m/>
    <m/>
    <m/>
  </r>
  <r>
    <x v="305"/>
    <s v="February"/>
    <n v="2025"/>
    <x v="0"/>
    <n v="-2.21"/>
    <x v="0"/>
    <n v="209950"/>
    <n v="567"/>
    <s v="Federal"/>
    <s v="PEM"/>
    <n v="1.0029999999999999"/>
    <s v="Town of Schererville"/>
    <s v="LRC-2022-00228"/>
    <s v="2024-533-45-MTM-WQC"/>
    <m/>
    <s v="Lake"/>
    <n v="41.501389000000003"/>
    <n v="-87.461388999999997"/>
    <s v="Transportation"/>
    <m/>
    <s v="No"/>
    <m/>
    <n v="31492.5"/>
    <n v="146965"/>
    <n v="31492.5"/>
    <s v="C"/>
    <s v="J"/>
    <m/>
    <m/>
    <m/>
    <m/>
    <m/>
    <m/>
    <m/>
  </r>
  <r>
    <x v="305"/>
    <s v="February"/>
    <n v="2025"/>
    <x v="0"/>
    <n v="-0.26"/>
    <x v="0"/>
    <n v="24700"/>
    <n v="567"/>
    <s v="Federal"/>
    <s v="PSS"/>
    <n v="7.1999999999999995E-2"/>
    <s v="Town of Schererville"/>
    <s v="LRC-2022-00228"/>
    <s v="2024-533-45-MTM-WQC"/>
    <m/>
    <s v="Lake"/>
    <n v="41.501389000000003"/>
    <n v="-87.461388999999997"/>
    <s v="Transportation"/>
    <m/>
    <s v="No"/>
    <m/>
    <n v="3705"/>
    <n v="17290"/>
    <n v="3705"/>
    <s v="C"/>
    <s v="J"/>
    <m/>
    <m/>
    <m/>
    <m/>
    <m/>
    <m/>
    <m/>
  </r>
  <r>
    <x v="305"/>
    <s v="February"/>
    <n v="2025"/>
    <x v="0"/>
    <n v="-43.4"/>
    <x v="1"/>
    <n v="26040"/>
    <n v="567"/>
    <s v="Federal"/>
    <s v="Per"/>
    <n v="43.4"/>
    <s v="Town of Schererville"/>
    <s v="LRC-2022-00228"/>
    <s v="2024-533-45-MTM-WQC"/>
    <m/>
    <s v="Lake"/>
    <n v="41.501389000000003"/>
    <n v="-87.461388999999997"/>
    <s v="Transportation"/>
    <m/>
    <s v="No"/>
    <m/>
    <n v="3906"/>
    <n v="18228"/>
    <n v="3906"/>
    <s v="C"/>
    <s v="J"/>
    <m/>
    <m/>
    <m/>
    <m/>
    <m/>
    <m/>
    <m/>
  </r>
  <r>
    <x v="306"/>
    <s v="February"/>
    <n v="2025"/>
    <x v="3"/>
    <n v="-45"/>
    <x v="1"/>
    <n v="20250"/>
    <n v="564"/>
    <s v="Federal"/>
    <s v="Int"/>
    <n v="45"/>
    <s v="INDOT"/>
    <s v="LRE-2023-00120-102"/>
    <s v="2024-366-2-GCW-A"/>
    <m/>
    <s v="Allen"/>
    <n v="41.091819000000001"/>
    <n v="-84.994384999999994"/>
    <s v="Transportation"/>
    <m/>
    <s v="No"/>
    <m/>
    <n v="3037.5"/>
    <n v="14175"/>
    <n v="3037.5"/>
    <s v="D"/>
    <s v="J"/>
    <m/>
    <m/>
    <m/>
    <m/>
    <m/>
    <m/>
    <s v="INDOT DES No 2001843"/>
  </r>
  <r>
    <x v="306"/>
    <s v="February"/>
    <n v="2025"/>
    <x v="8"/>
    <n v="-194"/>
    <x v="1"/>
    <n v="77600"/>
    <n v="566"/>
    <s v="Federal"/>
    <s v="Int"/>
    <n v="194"/>
    <s v="INDOT"/>
    <s v="LRL-2004-1112-sam"/>
    <s v="2009-063-35-EMP-A"/>
    <m/>
    <s v="Howard"/>
    <n v="40.505721999999999"/>
    <n v="-86.087444000000005"/>
    <s v="Transportation"/>
    <m/>
    <s v="No"/>
    <m/>
    <n v="11640"/>
    <n v="54320"/>
    <n v="11640"/>
    <s v="L"/>
    <s v="J"/>
    <m/>
    <m/>
    <m/>
    <m/>
    <m/>
    <m/>
    <s v="INDOT DES No 2400092"/>
  </r>
  <r>
    <x v="307"/>
    <s v="March"/>
    <n v="2025"/>
    <x v="0"/>
    <n v="-1.1000000000000001"/>
    <x v="0"/>
    <n v="104500"/>
    <n v="569"/>
    <s v="State Isolated"/>
    <s v="PFO"/>
    <n v="0.54400000000000004"/>
    <s v="Michigan City"/>
    <s v="N/A"/>
    <s v="2024-420-45-MTM-IWIP"/>
    <m/>
    <s v="LaPorte"/>
    <n v="41.691755999999998"/>
    <n v="-86.833124999999995"/>
    <s v="Agriculture"/>
    <m/>
    <s v="No"/>
    <m/>
    <n v="15675"/>
    <n v="73150"/>
    <n v="15675"/>
    <s v="C"/>
    <s v="SI"/>
    <s v="2 FO"/>
    <m/>
    <m/>
    <m/>
    <m/>
    <m/>
    <m/>
  </r>
  <r>
    <x v="308"/>
    <s v="March"/>
    <n v="2025"/>
    <x v="0"/>
    <n v="-1.73384"/>
    <x v="0"/>
    <n v="164715"/>
    <n v="543"/>
    <s v="State Isolated"/>
    <s v="PFO"/>
    <n v="1"/>
    <s v="IDEM"/>
    <s v="N/A"/>
    <s v="2017-166-45-MTM-V"/>
    <m/>
    <s v="Lake"/>
    <n v="41.431736000000001"/>
    <n v="-87.352220000000003"/>
    <s v="Development"/>
    <m/>
    <s v="No"/>
    <m/>
    <n v="24707.25"/>
    <n v="115300.49999999999"/>
    <n v="24707.25"/>
    <s v="C"/>
    <s v="SI"/>
    <s v="2 FO"/>
    <m/>
    <m/>
    <m/>
    <m/>
    <m/>
    <s v="Case No. 2017-24876-Q - IDEM purchasing with funds paid by violator "/>
  </r>
  <r>
    <x v="309"/>
    <s v="March"/>
    <n v="2025"/>
    <x v="5"/>
    <n v="-3.17"/>
    <x v="0"/>
    <n v="253600"/>
    <n v="570"/>
    <s v="State Isolated"/>
    <s v="PEM"/>
    <n v="2.11"/>
    <s v="INDOT"/>
    <s v="N/A"/>
    <s v="2024-364-65-GCW-IWIP"/>
    <m/>
    <s v="Posey"/>
    <n v="37.941989999999997"/>
    <n v="-87.791889999999995"/>
    <s v="Transportation"/>
    <m/>
    <s v="No"/>
    <m/>
    <n v="38040"/>
    <n v="177520"/>
    <n v="38040"/>
    <s v="L"/>
    <s v="SI"/>
    <s v="2 NF"/>
    <m/>
    <m/>
    <m/>
    <m/>
    <m/>
    <s v="INDOT DES No 2002343"/>
  </r>
  <r>
    <x v="310"/>
    <s v="March"/>
    <n v="2025"/>
    <x v="9"/>
    <n v="-1.02"/>
    <x v="0"/>
    <n v="230400"/>
    <n v="579"/>
    <s v="Federal"/>
    <s v="PEM"/>
    <n v="1.1499999999999999"/>
    <s v="Platinum Properties Management Company, LLC"/>
    <s v="LRL-2021-087-SJK"/>
    <s v="2024-638-6-MPY-WQC"/>
    <m/>
    <s v="Boone"/>
    <n v="40.009480000000003"/>
    <n v="-86.252889999999994"/>
    <s v="Development"/>
    <m/>
    <s v="No"/>
    <m/>
    <n v="34560"/>
    <n v="161280"/>
    <n v="34560"/>
    <s v="L"/>
    <s v="J"/>
    <m/>
    <m/>
    <m/>
    <m/>
    <m/>
    <m/>
    <m/>
  </r>
  <r>
    <x v="310"/>
    <s v="March"/>
    <n v="2025"/>
    <x v="9"/>
    <n v="-0.57999999999999996"/>
    <x v="0"/>
    <n v="230400"/>
    <n v="579"/>
    <s v="Federal"/>
    <s v="PFO"/>
    <n v="1.77"/>
    <s v="Platinum Properties Management Company, LLC"/>
    <s v="LRL-2021-087-SJK"/>
    <s v="2024-638-6-MPY-WQC"/>
    <m/>
    <s v="Boone"/>
    <n v="40.009480000000003"/>
    <n v="-86.252889999999994"/>
    <s v="Development"/>
    <m/>
    <s v="No"/>
    <m/>
    <n v="34560"/>
    <n v="161280"/>
    <n v="34560"/>
    <s v="L"/>
    <s v="J"/>
    <m/>
    <m/>
    <m/>
    <m/>
    <m/>
    <m/>
    <m/>
  </r>
  <r>
    <x v="310"/>
    <s v="March"/>
    <n v="2025"/>
    <x v="9"/>
    <n v="-1121"/>
    <x v="1"/>
    <n v="420300"/>
    <n v="579"/>
    <s v="Federal"/>
    <s v="Int"/>
    <n v="934"/>
    <s v="Platinum Properties Management Company, LLC"/>
    <s v="LRL-2021-087-SJK"/>
    <s v="2024-638-6-MPY-WQC"/>
    <m/>
    <s v="Boone"/>
    <n v="40.009480000000003"/>
    <n v="-86.252889999999994"/>
    <s v="Development"/>
    <m/>
    <s v="No"/>
    <m/>
    <n v="63045"/>
    <n v="294210"/>
    <n v="63045"/>
    <s v="L"/>
    <s v="J"/>
    <m/>
    <m/>
    <m/>
    <m/>
    <m/>
    <m/>
    <m/>
  </r>
  <r>
    <x v="310"/>
    <s v="March"/>
    <n v="2025"/>
    <x v="9"/>
    <n v="-0.03"/>
    <x v="0"/>
    <n v="2400"/>
    <n v="579"/>
    <s v="State Isolated"/>
    <s v="PFO"/>
    <n v="0.02"/>
    <s v="Platinum Properties Management Company, LLC"/>
    <s v="N/A"/>
    <s v="2024-636-6-MPY-SRGP"/>
    <m/>
    <s v="Boone"/>
    <n v="40.009480000000003"/>
    <n v="-86.252889999999994"/>
    <s v="Development"/>
    <m/>
    <s v="No"/>
    <m/>
    <n v="360"/>
    <n v="1680"/>
    <n v="360"/>
    <s v="L"/>
    <s v="SI"/>
    <s v="2 FO"/>
    <m/>
    <m/>
    <m/>
    <m/>
    <m/>
    <s v="Union Woodlands (Caito Farms) Development"/>
  </r>
  <r>
    <x v="311"/>
    <s v="March"/>
    <n v="2025"/>
    <x v="2"/>
    <n v="-330"/>
    <x v="1"/>
    <n v="132000"/>
    <n v="577"/>
    <s v="Federal"/>
    <s v="Int"/>
    <n v="1607"/>
    <s v="INDOT"/>
    <s v="LRL-2023-00902-DDC"/>
    <s v="2024-795-26-GCW-WQC"/>
    <m/>
    <s v="Gibson"/>
    <n v="38.330280000000002"/>
    <n v="-87.436239999999998"/>
    <s v="Transportation"/>
    <m/>
    <s v="No"/>
    <m/>
    <n v="19800"/>
    <n v="92400"/>
    <n v="19800"/>
    <s v="L"/>
    <s v="J"/>
    <m/>
    <m/>
    <m/>
    <m/>
    <m/>
    <m/>
    <s v="INDOT DES No 2100263"/>
  </r>
  <r>
    <x v="311"/>
    <s v="March"/>
    <n v="2025"/>
    <x v="10"/>
    <n v="-3.319"/>
    <x v="0"/>
    <n v="265520"/>
    <n v="547"/>
    <s v="State Isolated"/>
    <s v="PEM"/>
    <n v="2.2130000000000001"/>
    <s v="INDOT"/>
    <s v="N/A"/>
    <s v="IWIP-2022-182-30-JBT"/>
    <m/>
    <s v="Hancock"/>
    <n v="39.820002000000002"/>
    <n v="-85.846967000000006"/>
    <s v="Transportation"/>
    <m/>
    <s v="No"/>
    <m/>
    <n v="39828"/>
    <n v="185864"/>
    <n v="39828"/>
    <s v="L"/>
    <s v="SI"/>
    <s v="2 NF"/>
    <m/>
    <m/>
    <m/>
    <m/>
    <m/>
    <s v=" DES 1702919 I 70 Widening "/>
  </r>
  <r>
    <x v="312"/>
    <s v="March"/>
    <n v="2025"/>
    <x v="9"/>
    <n v="-1.63"/>
    <x v="0"/>
    <n v="130399.99999999999"/>
    <n v="581"/>
    <s v="Federal"/>
    <s v="PEM"/>
    <n v="1.81"/>
    <s v="D.R. Horton"/>
    <s v="LRL-2021-00707-DDC"/>
    <s v="2022-283-49-EKB-A"/>
    <m/>
    <s v="Marion"/>
    <n v="39.636488999999997"/>
    <n v="-86.292974000000001"/>
    <s v="Development"/>
    <m/>
    <s v="No"/>
    <m/>
    <n v="19559.999999999996"/>
    <n v="91279.999999999985"/>
    <n v="19559.999999999996"/>
    <s v="L"/>
    <s v="J"/>
    <m/>
    <m/>
    <m/>
    <m/>
    <m/>
    <m/>
    <m/>
  </r>
  <r>
    <x v="312"/>
    <s v="March"/>
    <n v="2025"/>
    <x v="9"/>
    <n v="-600"/>
    <x v="1"/>
    <n v="270000"/>
    <n v="581"/>
    <s v="Federal"/>
    <s v="Int"/>
    <n v="159"/>
    <s v="D.R. Horton"/>
    <s v="LRL-2021-00707-DDC"/>
    <s v="2022-283-49-EKB-A"/>
    <m/>
    <s v="Marion"/>
    <n v="39.636488999999997"/>
    <n v="-86.292974000000001"/>
    <s v="Development"/>
    <m/>
    <s v="No"/>
    <m/>
    <n v="40500"/>
    <n v="189000"/>
    <n v="40500"/>
    <s v="L"/>
    <s v="J"/>
    <m/>
    <m/>
    <m/>
    <m/>
    <m/>
    <m/>
    <m/>
  </r>
  <r>
    <x v="312"/>
    <s v="March"/>
    <n v="2025"/>
    <x v="9"/>
    <n v="-1.8"/>
    <x v="0"/>
    <n v="144000"/>
    <n v="580"/>
    <s v="Federal"/>
    <s v="PFO"/>
    <n v="0.67"/>
    <s v="INDOT"/>
    <s v="LRL-2008-765"/>
    <s v="2009-667-55-JPS-A"/>
    <m/>
    <s v="Morgan"/>
    <n v="39.433816"/>
    <n v="-86.449562999999998"/>
    <s v="Transportation"/>
    <m/>
    <s v="No"/>
    <m/>
    <n v="21600"/>
    <n v="100800"/>
    <n v="21600"/>
    <s v="L"/>
    <s v="J"/>
    <m/>
    <m/>
    <m/>
    <m/>
    <m/>
    <m/>
    <s v="INDOT failed mitigation DES No 0600731"/>
  </r>
  <r>
    <x v="313"/>
    <s v="April"/>
    <n v="2025"/>
    <x v="9"/>
    <n v="-307"/>
    <x v="1"/>
    <n v="138150"/>
    <n v="575"/>
    <s v="Federal"/>
    <s v="Eph"/>
    <n v="255.55"/>
    <s v="Lennar Homes of Indiana, Inc."/>
    <s v="LRL-2021-746-sjk"/>
    <s v="2022-597-32-ERL-A"/>
    <m/>
    <s v="Hendricks"/>
    <n v="39.770499999999998"/>
    <n v="-86.462599999999995"/>
    <s v="Development"/>
    <m/>
    <s v="No"/>
    <m/>
    <n v="20722.5"/>
    <n v="96705"/>
    <n v="20722.5"/>
    <s v="L"/>
    <s v="J"/>
    <m/>
    <m/>
    <m/>
    <m/>
    <m/>
    <m/>
    <m/>
  </r>
  <r>
    <x v="313"/>
    <s v="April"/>
    <n v="2025"/>
    <x v="9"/>
    <n v="-579"/>
    <x v="1"/>
    <n v="260550"/>
    <n v="575"/>
    <s v="Federal"/>
    <s v="Int"/>
    <n v="603.65"/>
    <s v="Lennar Homes of Indiana, Inc."/>
    <s v="LRL-2021-746-sjk"/>
    <s v="2022-597-32-ERL-A"/>
    <m/>
    <s v="Hendricks"/>
    <n v="39.770499999999998"/>
    <n v="-86.462599999999995"/>
    <s v="Development"/>
    <m/>
    <s v="No"/>
    <m/>
    <n v="39082.5"/>
    <n v="182385"/>
    <n v="39082.5"/>
    <s v="L"/>
    <s v="J"/>
    <m/>
    <m/>
    <m/>
    <m/>
    <m/>
    <m/>
    <m/>
  </r>
  <r>
    <x v="313"/>
    <s v="April"/>
    <n v="2025"/>
    <x v="9"/>
    <n v="-124"/>
    <x v="1"/>
    <n v="55800"/>
    <n v="575"/>
    <s v="Federal"/>
    <s v="Per"/>
    <n v="103.65"/>
    <s v="Lennar Homes of Indiana, Inc."/>
    <s v="LRL-2021-746-sjk"/>
    <s v="2022-597-32-ERL-A"/>
    <m/>
    <s v="Hendricks"/>
    <n v="39.770499999999998"/>
    <n v="-86.462599999999995"/>
    <s v="Development"/>
    <m/>
    <s v="No"/>
    <m/>
    <n v="8370"/>
    <n v="39060"/>
    <n v="8370"/>
    <s v="L"/>
    <s v="J"/>
    <m/>
    <m/>
    <m/>
    <m/>
    <m/>
    <m/>
    <m/>
  </r>
  <r>
    <x v="314"/>
    <s v="April"/>
    <n v="2025"/>
    <x v="0"/>
    <n v="-0.10199999999999999"/>
    <x v="0"/>
    <n v="9690"/>
    <n v="572"/>
    <s v="Federal"/>
    <s v="PEM"/>
    <n v="0.63"/>
    <s v="NIPSCO"/>
    <s v="LRC-2024-00551"/>
    <s v="2024-604-45-TLC-WQC"/>
    <m/>
    <s v="Lake"/>
    <n v="41.559417000000003"/>
    <n v="-87.430871999999994"/>
    <s v="Energy Production"/>
    <m/>
    <s v="No"/>
    <m/>
    <n v="1453.5"/>
    <n v="6783"/>
    <n v="1453.5"/>
    <s v="C"/>
    <s v="J"/>
    <m/>
    <m/>
    <m/>
    <m/>
    <m/>
    <m/>
    <m/>
  </r>
  <r>
    <x v="314"/>
    <s v="April"/>
    <n v="2025"/>
    <x v="8"/>
    <n v="-1.6240000000000001"/>
    <x v="0"/>
    <n v="129920"/>
    <n v="582"/>
    <s v="Federal"/>
    <s v="PFO"/>
    <n v="0.54100000000000004"/>
    <s v="AEP"/>
    <s v="LRL-2025-00056"/>
    <s v="2024-893-2-EJW-WQC"/>
    <m/>
    <s v="Allen"/>
    <n v="41.205719999999999"/>
    <n v="-85.231769999999997"/>
    <s v="Development"/>
    <m/>
    <s v="No"/>
    <m/>
    <n v="19488"/>
    <n v="90944"/>
    <n v="19488"/>
    <s v="L"/>
    <s v="J"/>
    <m/>
    <m/>
    <m/>
    <m/>
    <m/>
    <m/>
    <m/>
  </r>
  <r>
    <x v="315"/>
    <s v="May"/>
    <n v="2025"/>
    <x v="8"/>
    <n v="-0.02"/>
    <x v="0"/>
    <n v="1600"/>
    <s v="585C"/>
    <s v="Federal"/>
    <s v="PEM"/>
    <n v="0.01"/>
    <s v="Peru Municipal Airport"/>
    <s v="LRL-2023-00245-jde"/>
    <s v="2024-642-52-MMR-NWP"/>
    <m/>
    <s v="Miami"/>
    <n v="40.784700000000001"/>
    <n v="-86.148200000000003"/>
    <s v="Development"/>
    <m/>
    <s v="No"/>
    <m/>
    <n v="240"/>
    <n v="1120"/>
    <n v="240"/>
    <s v="L"/>
    <s v="J"/>
    <m/>
    <m/>
    <m/>
    <m/>
    <m/>
    <m/>
    <m/>
  </r>
  <r>
    <x v="315"/>
    <s v="May"/>
    <n v="2025"/>
    <x v="8"/>
    <n v="-0.69"/>
    <x v="0"/>
    <n v="55200"/>
    <s v="585C"/>
    <s v="Federal"/>
    <s v="PSS"/>
    <n v="0.23"/>
    <s v="Peru Municipal Airport"/>
    <s v="LRL-2023-00245-jde"/>
    <s v="2024-642-52-MMR-NWP"/>
    <m/>
    <s v="Miami"/>
    <n v="40.784700000000001"/>
    <n v="-86.148200000000003"/>
    <s v="Development"/>
    <m/>
    <s v="No"/>
    <m/>
    <n v="8280"/>
    <n v="38640"/>
    <n v="8280"/>
    <s v="L"/>
    <s v="J"/>
    <m/>
    <m/>
    <m/>
    <m/>
    <m/>
    <m/>
    <m/>
  </r>
  <r>
    <x v="315"/>
    <s v="May"/>
    <n v="2025"/>
    <x v="3"/>
    <n v="-8.0000000000000002E-3"/>
    <x v="0"/>
    <n v="640"/>
    <n v="578"/>
    <s v="Federal"/>
    <s v="PFO"/>
    <n v="4.0000000000000001E-3"/>
    <s v="INDOT"/>
    <s v="LRE-2023-00120-102"/>
    <s v="2024-366-2-GCW-A"/>
    <m/>
    <s v="Allen"/>
    <n v="41.091819000000001"/>
    <n v="-84.994384999999994"/>
    <s v="Transportation"/>
    <m/>
    <s v="No"/>
    <m/>
    <n v="96"/>
    <n v="448"/>
    <n v="96"/>
    <s v="D"/>
    <s v="J"/>
    <m/>
    <m/>
    <m/>
    <m/>
    <m/>
    <m/>
    <m/>
  </r>
  <r>
    <x v="315"/>
    <s v="May"/>
    <n v="2025"/>
    <x v="10"/>
    <n v="-1.45"/>
    <x v="0"/>
    <n v="116000"/>
    <n v="548"/>
    <s v="State Isolated"/>
    <s v="PFO"/>
    <n v="0.57799999999999996"/>
    <s v="INDOT"/>
    <s v="N/A"/>
    <s v="IWIP 2024-444-3-GCW-A"/>
    <m/>
    <s v="Bartholomew"/>
    <n v="39.259694000000003"/>
    <n v="-85.952674999999999"/>
    <s v="Transportation"/>
    <m/>
    <s v="No"/>
    <m/>
    <n v="17400"/>
    <n v="81200"/>
    <n v="17400"/>
    <s v="L"/>
    <s v="SI"/>
    <s v="3 FO"/>
    <m/>
    <s v="INDOT DES No. 2000505"/>
    <m/>
    <m/>
    <m/>
    <m/>
  </r>
  <r>
    <x v="315"/>
    <s v="May"/>
    <n v="2025"/>
    <x v="5"/>
    <n v="-0.62"/>
    <x v="0"/>
    <n v="49600"/>
    <n v="583"/>
    <s v="Federal"/>
    <s v="PEM"/>
    <n v="0.312"/>
    <s v="INDOT"/>
    <s v="LRL-2023-447-djd"/>
    <s v="2023-983-82-GCW-A"/>
    <m/>
    <s v="Warrick, Vanderburgh, and Gibson"/>
    <n v="38.060971000000002"/>
    <n v="-87.475572999999997"/>
    <s v="Transportation"/>
    <m/>
    <s v="No"/>
    <m/>
    <n v="7440"/>
    <n v="34720"/>
    <n v="7440"/>
    <s v="L"/>
    <s v="J"/>
    <m/>
    <m/>
    <s v="INDOT DES No 2000889"/>
    <m/>
    <m/>
    <m/>
    <m/>
  </r>
  <r>
    <x v="315"/>
    <s v="May"/>
    <n v="2025"/>
    <x v="5"/>
    <n v="-0.83"/>
    <x v="0"/>
    <n v="66400"/>
    <n v="583"/>
    <s v="Federal"/>
    <s v="PFO"/>
    <n v="0.27800000000000002"/>
    <s v="INDOT"/>
    <s v="LRL-2023-447-djd"/>
    <s v="2023-983-82-GCW-A"/>
    <m/>
    <s v="Warrick, Vanderburgh, and Gibson"/>
    <n v="38.060971000000002"/>
    <n v="-87.475572999999997"/>
    <s v="Transportation"/>
    <m/>
    <s v="No"/>
    <m/>
    <n v="9960"/>
    <n v="46480"/>
    <n v="9960"/>
    <s v="L"/>
    <s v="J"/>
    <m/>
    <m/>
    <s v="INDOT DES No 2000889"/>
    <m/>
    <m/>
    <m/>
    <m/>
  </r>
  <r>
    <x v="315"/>
    <s v="May"/>
    <n v="2025"/>
    <x v="5"/>
    <n v="-15"/>
    <x v="1"/>
    <n v="6000"/>
    <n v="583"/>
    <s v="Federal"/>
    <s v="Eph"/>
    <n v="15"/>
    <s v="INDOT"/>
    <s v="LRL-2023-447-djd"/>
    <s v="2023-983-82-GCW-A"/>
    <m/>
    <s v="Warrick, Vanderburgh, and Gibson"/>
    <n v="38.060971000000002"/>
    <n v="-87.475572999999997"/>
    <s v="Transportation"/>
    <m/>
    <s v="No"/>
    <m/>
    <n v="900"/>
    <n v="4200"/>
    <n v="900"/>
    <s v="L"/>
    <s v="J"/>
    <m/>
    <m/>
    <s v="INDOT DES No 2000889"/>
    <m/>
    <m/>
    <m/>
    <m/>
  </r>
  <r>
    <x v="315"/>
    <s v="May"/>
    <n v="2025"/>
    <x v="5"/>
    <n v="-104"/>
    <x v="1"/>
    <n v="41600"/>
    <n v="583"/>
    <s v="Federal"/>
    <s v="Int"/>
    <n v="2492.75"/>
    <s v="INDOT"/>
    <s v="LRL-2023-447-djd"/>
    <s v="2023-983-82-GCW-A"/>
    <m/>
    <s v="Warrick, Vanderburgh, and Gibson"/>
    <n v="38.060971000000002"/>
    <n v="-87.475572999999997"/>
    <s v="Transportation"/>
    <m/>
    <s v="No"/>
    <m/>
    <n v="6240"/>
    <n v="29119.999999999996"/>
    <n v="6240"/>
    <s v="L"/>
    <s v="J"/>
    <m/>
    <m/>
    <s v="INDOT DES No 2000889"/>
    <m/>
    <m/>
    <m/>
    <m/>
  </r>
  <r>
    <x v="315"/>
    <s v="May"/>
    <n v="2025"/>
    <x v="0"/>
    <n v="-0.76"/>
    <x v="0"/>
    <n v="72200"/>
    <n v="589"/>
    <s v="Federal"/>
    <s v="PEM"/>
    <n v="0.38"/>
    <s v="INDOT"/>
    <s v="LRC-2022-00748"/>
    <s v="2024-581-45-GCW-WQC"/>
    <m/>
    <s v="Lake"/>
    <n v="41.380749999999999"/>
    <n v="-87.306579999999997"/>
    <s v="Transportation"/>
    <m/>
    <s v="No"/>
    <m/>
    <n v="10830"/>
    <n v="50540"/>
    <n v="10830"/>
    <s v="C"/>
    <s v="J"/>
    <m/>
    <m/>
    <m/>
    <m/>
    <m/>
    <m/>
    <m/>
  </r>
  <r>
    <x v="316"/>
    <s v="May"/>
    <n v="2025"/>
    <x v="8"/>
    <n v="-43"/>
    <x v="1"/>
    <n v="17200"/>
    <n v="584"/>
    <s v="Federal"/>
    <s v="Int"/>
    <n v="43"/>
    <s v="INDOT"/>
    <s v="N/A"/>
    <s v="2025-181-71-GCW-NWP"/>
    <m/>
    <s v="Tippecanoe"/>
    <n v="40.322270000000003"/>
    <n v="-86.750370000000004"/>
    <s v="Transportation"/>
    <m/>
    <s v="No"/>
    <m/>
    <n v="2580"/>
    <n v="12040"/>
    <n v="2580"/>
    <s v="L"/>
    <s v="J"/>
    <m/>
    <m/>
    <s v="INDOT DES No 2001932"/>
    <m/>
    <m/>
    <m/>
    <m/>
  </r>
  <r>
    <x v="316"/>
    <s v="May"/>
    <n v="2025"/>
    <x v="0"/>
    <n v="-0.26600000000000001"/>
    <x v="0"/>
    <n v="25270"/>
    <n v="586"/>
    <s v="Federal"/>
    <s v="PEM"/>
    <n v="0.11"/>
    <s v="INDOT"/>
    <s v="LRC-2024-00644"/>
    <s v="2024-928-45-GCW-NWP"/>
    <m/>
    <s v="Lake"/>
    <n v="41.587384"/>
    <n v="-87.306416999999996"/>
    <s v="Transportation"/>
    <m/>
    <s v="No"/>
    <m/>
    <n v="3790.5"/>
    <n v="17689"/>
    <n v="3790.5"/>
    <s v="C"/>
    <s v="J"/>
    <m/>
    <m/>
    <s v="INDOT DES No 2100129"/>
    <m/>
    <m/>
    <m/>
    <m/>
  </r>
  <r>
    <x v="316"/>
    <s v="May"/>
    <n v="2025"/>
    <x v="0"/>
    <n v="-0.39600000000000002"/>
    <x v="0"/>
    <n v="37620"/>
    <n v="586"/>
    <s v="Federal"/>
    <s v="PSS"/>
    <n v="0.11"/>
    <s v="INDOT"/>
    <s v="LRC-2024-00644"/>
    <s v="2024-928-45-GCW-NWP"/>
    <m/>
    <s v="Lake"/>
    <n v="41.587384"/>
    <n v="-87.306416999999996"/>
    <s v="Transportation"/>
    <m/>
    <s v="No"/>
    <m/>
    <n v="5643"/>
    <n v="26334"/>
    <n v="5643"/>
    <s v="C"/>
    <s v="J"/>
    <m/>
    <m/>
    <s v="INDOT DES No 2100129"/>
    <m/>
    <m/>
    <m/>
    <m/>
  </r>
  <r>
    <x v="316"/>
    <s v="May"/>
    <n v="2025"/>
    <x v="5"/>
    <n v="-643"/>
    <x v="1"/>
    <n v="257200"/>
    <n v="556"/>
    <s v="Federal"/>
    <s v="Int"/>
    <n v="854"/>
    <s v="Warrick County Highway Dept"/>
    <s v="LRL-2022-623"/>
    <s v="2022-905-87-TMS-A"/>
    <m/>
    <s v="Warrick"/>
    <n v="38.005415999999997"/>
    <n v="-87.395927999999998"/>
    <s v="Transportation"/>
    <m/>
    <s v="No"/>
    <m/>
    <n v="38580"/>
    <n v="180040"/>
    <n v="38580"/>
    <s v="L"/>
    <s v="J"/>
    <m/>
    <m/>
    <m/>
    <m/>
    <m/>
    <m/>
    <m/>
  </r>
  <r>
    <x v="316"/>
    <s v="May"/>
    <n v="2025"/>
    <x v="8"/>
    <n v="-0.10349999999999999"/>
    <x v="0"/>
    <n v="8280"/>
    <n v="565"/>
    <s v="State Isolated"/>
    <s v="PEM"/>
    <n v="6.9000000000000006E-2"/>
    <s v="White County Commissioners"/>
    <s v="N/A"/>
    <s v="2024-934-91-MPY-SRGP"/>
    <m/>
    <s v="White"/>
    <n v="40.750427000000002"/>
    <n v="-86.776831999999999"/>
    <s v="Development"/>
    <m/>
    <s v="No"/>
    <m/>
    <n v="1242"/>
    <n v="5796"/>
    <n v="1242"/>
    <s v="L"/>
    <s v="SI"/>
    <s v="2 NF"/>
    <m/>
    <m/>
    <m/>
    <m/>
    <m/>
    <m/>
  </r>
  <r>
    <x v="317"/>
    <s v="May"/>
    <n v="2025"/>
    <x v="4"/>
    <n v="-0.6"/>
    <x v="0"/>
    <n v="48000"/>
    <s v="596C"/>
    <s v="Federal"/>
    <s v="PEM"/>
    <n v="0.25040000000000001"/>
    <s v="ENTEK Lithium Separators LLC"/>
    <s v="LRL-2023-00388"/>
    <s v="2024-660-84-MMR-WQC"/>
    <m/>
    <s v="Vigo"/>
    <n v="39.351748999999998"/>
    <n v="-87.411080999999996"/>
    <s v="Development"/>
    <m/>
    <s v="No"/>
    <m/>
    <n v="7200"/>
    <n v="33600"/>
    <n v="7200"/>
    <s v="L"/>
    <s v="J"/>
    <m/>
    <m/>
    <m/>
    <m/>
    <m/>
    <m/>
    <m/>
  </r>
  <r>
    <x v="317"/>
    <s v="May"/>
    <n v="2025"/>
    <x v="4"/>
    <n v="-82"/>
    <x v="1"/>
    <n v="32800"/>
    <s v="596C"/>
    <s v="Federal"/>
    <s v="Int"/>
    <n v="82"/>
    <s v="ENTEK Lithium Separators LLC"/>
    <s v="LRL-2023-00388"/>
    <s v="2024-660-84-MMR-WQC"/>
    <m/>
    <s v="Vigo"/>
    <n v="39.351748999999998"/>
    <n v="-87.411080999999996"/>
    <s v="Development"/>
    <m/>
    <s v="No"/>
    <m/>
    <n v="4920"/>
    <n v="22960"/>
    <n v="4920"/>
    <s v="L"/>
    <s v="J"/>
    <m/>
    <m/>
    <m/>
    <m/>
    <m/>
    <m/>
    <m/>
  </r>
  <r>
    <x v="317"/>
    <s v="May"/>
    <n v="2025"/>
    <x v="8"/>
    <n v="-2.242"/>
    <x v="0"/>
    <n v="179360"/>
    <n v="600"/>
    <s v="State Isolated"/>
    <s v="PFO"/>
    <n v="1.121"/>
    <s v="Matt Lancia Signature Homes"/>
    <s v="N/A"/>
    <s v="2025-132-2-EJW-IWIP"/>
    <m/>
    <s v="Allen"/>
    <n v="41.189610000000002"/>
    <n v="-85.163579999999996"/>
    <s v="Development"/>
    <m/>
    <s v="No"/>
    <m/>
    <n v="26904"/>
    <n v="125551.99999999999"/>
    <n v="26904"/>
    <s v="D"/>
    <s v="SI"/>
    <s v="2 FO"/>
    <m/>
    <m/>
    <m/>
    <m/>
    <m/>
    <m/>
  </r>
  <r>
    <x v="318"/>
    <s v="May"/>
    <n v="2025"/>
    <x v="9"/>
    <n v="-4.2999999999999997E-2"/>
    <x v="0"/>
    <n v="3440"/>
    <n v="591"/>
    <s v="Federal"/>
    <s v="PEM"/>
    <n v="1.7999999999999999E-2"/>
    <s v="Lennar Homes"/>
    <s v="LRL-2023-00665-DDC"/>
    <s v="2025-163-41-TLG-NWP"/>
    <m/>
    <s v="Johnson"/>
    <n v="39.568100000000001"/>
    <n v="-86.147800000000004"/>
    <s v="Development"/>
    <m/>
    <s v="No"/>
    <m/>
    <n v="516"/>
    <n v="2408"/>
    <n v="516"/>
    <s v="L"/>
    <s v="J"/>
    <m/>
    <m/>
    <m/>
    <m/>
    <m/>
    <m/>
    <m/>
  </r>
  <r>
    <x v="318"/>
    <s v="May"/>
    <n v="2025"/>
    <x v="9"/>
    <n v="-0.309"/>
    <x v="0"/>
    <n v="24720"/>
    <n v="591"/>
    <s v="Federal"/>
    <s v="PSS"/>
    <n v="0.10299999999999999"/>
    <s v="Lennar Homes"/>
    <s v="LRL-2023-00665-DDC"/>
    <s v="2025-163-41-TLG-NWP"/>
    <m/>
    <s v="Johnson"/>
    <n v="39.568100000000001"/>
    <n v="-86.147800000000004"/>
    <s v="Development"/>
    <m/>
    <s v="No"/>
    <m/>
    <n v="3708"/>
    <n v="17304"/>
    <n v="3708"/>
    <s v="L"/>
    <s v="J"/>
    <m/>
    <m/>
    <m/>
    <m/>
    <m/>
    <m/>
    <m/>
  </r>
  <r>
    <x v="318"/>
    <s v="May"/>
    <n v="2025"/>
    <x v="9"/>
    <n v="-10"/>
    <x v="1"/>
    <n v="4500"/>
    <n v="591"/>
    <s v="Federal"/>
    <s v="Int"/>
    <n v="10"/>
    <s v="Lennar Homes"/>
    <s v="LRL-2023-00665-DDC"/>
    <s v="2025-163-41-TLG-NWP"/>
    <m/>
    <s v="Johnson"/>
    <n v="39.568100000000001"/>
    <n v="-86.147800000000004"/>
    <s v="Development"/>
    <m/>
    <s v="No"/>
    <m/>
    <n v="675"/>
    <n v="3150"/>
    <n v="675"/>
    <s v="L"/>
    <s v="J"/>
    <m/>
    <m/>
    <m/>
    <m/>
    <m/>
    <m/>
    <m/>
  </r>
  <r>
    <x v="318"/>
    <s v="May"/>
    <n v="2025"/>
    <x v="9"/>
    <n v="-115"/>
    <x v="1"/>
    <n v="51750"/>
    <n v="576"/>
    <s v="Federal"/>
    <s v="Per"/>
    <n v="263.3"/>
    <s v="City of Indianapolis, DPW"/>
    <s v="LRL-2020-1045-sjk"/>
    <s v="2021-150-49-ALF-A"/>
    <m/>
    <s v="Marion"/>
    <n v="39.658900000000003"/>
    <n v="-86.082499999999996"/>
    <s v="Transportation"/>
    <m/>
    <s v="No"/>
    <m/>
    <n v="7762.5"/>
    <n v="36225"/>
    <n v="7762.5"/>
    <s v="L"/>
    <s v="J"/>
    <m/>
    <m/>
    <m/>
    <m/>
    <m/>
    <m/>
    <m/>
  </r>
  <r>
    <x v="318"/>
    <s v="May"/>
    <n v="2025"/>
    <x v="9"/>
    <n v="-0.42699999999999999"/>
    <x v="0"/>
    <n v="34160"/>
    <n v="576"/>
    <s v="Federal"/>
    <s v="PEM"/>
    <n v="0.17899999999999999"/>
    <s v="City of Indianapolis, DPW"/>
    <s v="LRL-2020-1045-sjk"/>
    <s v="2021-150-49-ALF-A"/>
    <m/>
    <s v="Marion"/>
    <n v="39.658900000000003"/>
    <n v="-86.082499999999996"/>
    <s v="Transportation"/>
    <m/>
    <s v="No"/>
    <m/>
    <n v="5124"/>
    <n v="23912"/>
    <n v="5124"/>
    <s v="L"/>
    <s v="J"/>
    <m/>
    <m/>
    <m/>
    <m/>
    <m/>
    <m/>
    <m/>
  </r>
  <r>
    <x v="318"/>
    <s v="May"/>
    <n v="2025"/>
    <x v="9"/>
    <n v="-3.3000000000000002E-2"/>
    <x v="0"/>
    <n v="2640"/>
    <n v="576"/>
    <s v="State Isolated"/>
    <s v="PEM"/>
    <n v="3.3000000000000002E-2"/>
    <s v="City of Indianapolis, DPW"/>
    <s v="N/A"/>
    <s v="IWGP 2021-150-49-ALF-A"/>
    <m/>
    <s v="Marion"/>
    <n v="39.658900000000003"/>
    <n v="-86.082499999999996"/>
    <s v="Transportation"/>
    <m/>
    <s v="No"/>
    <m/>
    <n v="396"/>
    <n v="1847.9999999999998"/>
    <n v="396"/>
    <s v="L"/>
    <s v="SI"/>
    <s v="1 NF"/>
    <m/>
    <m/>
    <m/>
    <m/>
    <m/>
    <m/>
  </r>
  <r>
    <x v="318"/>
    <s v="May"/>
    <n v="2025"/>
    <x v="4"/>
    <n v="-0.3"/>
    <x v="0"/>
    <n v="24000"/>
    <n v="595"/>
    <s v="State Isolated"/>
    <s v="PEM"/>
    <n v="0.2"/>
    <s v="Eli Lilly &amp; Co."/>
    <s v="N/A"/>
    <s v="2025-343-6-MPY-SRGP"/>
    <m/>
    <s v="Boone"/>
    <n v="40.043190000000003"/>
    <n v="-86.515140000000002"/>
    <s v="Development"/>
    <m/>
    <s v="No"/>
    <m/>
    <n v="3600"/>
    <n v="16800"/>
    <n v="3600"/>
    <s v="L"/>
    <s v="SI"/>
    <s v="2 NF"/>
    <m/>
    <m/>
    <m/>
    <m/>
    <m/>
    <m/>
  </r>
  <r>
    <x v="319"/>
    <s v="May"/>
    <n v="2025"/>
    <x v="8"/>
    <n v="-1588"/>
    <x v="1"/>
    <n v="635200"/>
    <n v="574"/>
    <s v="Federal"/>
    <s v="Per"/>
    <n v="1588"/>
    <s v="Liberty Landfill"/>
    <s v="LRL-2021-1014-sjk"/>
    <s v="2022-93-91-JWR-A"/>
    <s v="FW-31397-0"/>
    <s v="White"/>
    <n v="40.894809000000002"/>
    <n v="-86.699406999999994"/>
    <s v="Development"/>
    <m/>
    <s v="No"/>
    <m/>
    <n v="95280"/>
    <n v="444640"/>
    <n v="95280"/>
    <s v="L"/>
    <s v="J"/>
    <m/>
    <m/>
    <m/>
    <m/>
    <m/>
    <m/>
    <s v="Modified amounts IDEM revised to match Corps amounts as IDEM couldn't modify the amounts to reflect changed mitigation.  Verified w both Corps and IDEM.  "/>
  </r>
  <r>
    <x v="319"/>
    <s v="May"/>
    <n v="2025"/>
    <x v="8"/>
    <n v="-1.25"/>
    <x v="0"/>
    <n v="100000"/>
    <n v="574"/>
    <s v="Federal"/>
    <s v="PEM"/>
    <n v="0.52"/>
    <s v="Liberty Landfill"/>
    <s v="LRL-2021-1014-sjk"/>
    <s v="2022-93-91-JWR-A"/>
    <s v="FW-31397-0"/>
    <s v="White"/>
    <n v="40.894809000000002"/>
    <n v="-86.699406999999994"/>
    <s v="Development"/>
    <m/>
    <s v="No"/>
    <m/>
    <n v="15000"/>
    <n v="70000"/>
    <n v="15000"/>
    <s v="L"/>
    <s v="J"/>
    <m/>
    <m/>
    <m/>
    <m/>
    <m/>
    <m/>
    <s v="Modified amounts IDEM revised to match Corps amounts as IDEM couldn't modify the amounts to reflect changed mitigation.  Verified w both Corps and IDEM.  "/>
  </r>
  <r>
    <x v="319"/>
    <s v="May"/>
    <n v="2025"/>
    <x v="3"/>
    <n v="-1.2"/>
    <x v="0"/>
    <n v="96000"/>
    <n v="573"/>
    <s v="Federal"/>
    <s v="PFO"/>
    <n v="0.29699999999999999"/>
    <s v="Silverado Cook Properties, LLC"/>
    <s v="LRE-2017-00314-102-N23"/>
    <s v="2022-1258-2-EJW-A"/>
    <m/>
    <s v="Allen"/>
    <n v="41.146241000000003"/>
    <n v="-85.166835000000006"/>
    <s v="Development"/>
    <m/>
    <s v="No"/>
    <m/>
    <n v="14400"/>
    <n v="67200"/>
    <n v="14400"/>
    <s v="D"/>
    <s v="J"/>
    <m/>
    <m/>
    <m/>
    <m/>
    <m/>
    <m/>
    <m/>
  </r>
  <r>
    <x v="320"/>
    <s v="May"/>
    <n v="2025"/>
    <x v="3"/>
    <n v="-0.37"/>
    <x v="0"/>
    <n v="29600"/>
    <n v="590"/>
    <s v="State Isolated"/>
    <s v="PEM"/>
    <n v="0.25"/>
    <s v="INDOT"/>
    <s v="LRE-2023-00173-102-J23"/>
    <s v="2024-1022-2-GCW-IWIP"/>
    <m/>
    <s v="Allen"/>
    <n v="41.125228"/>
    <n v="-85.211544000000004"/>
    <s v="Transportation"/>
    <m/>
    <s v="No"/>
    <m/>
    <n v="4440"/>
    <n v="20720"/>
    <n v="4440"/>
    <s v="D"/>
    <s v="SI"/>
    <s v="2 NF"/>
    <m/>
    <m/>
    <m/>
    <m/>
    <m/>
    <s v="INDOT DES No 1901890"/>
  </r>
  <r>
    <x v="320"/>
    <s v="May"/>
    <n v="2025"/>
    <x v="3"/>
    <n v="-0.06"/>
    <x v="0"/>
    <n v="4800"/>
    <n v="590"/>
    <s v="Federal"/>
    <s v="PEM"/>
    <n v="0.03"/>
    <s v="INDOT"/>
    <s v="LRE-2023-00173-102-J23"/>
    <s v="2024-1022-2-GCW-WQC"/>
    <m/>
    <s v="Allen"/>
    <n v="41.125228"/>
    <n v="-85.211544000000004"/>
    <s v="Transportation"/>
    <m/>
    <s v="No"/>
    <m/>
    <n v="720"/>
    <n v="3360"/>
    <n v="720"/>
    <s v="D"/>
    <s v="J"/>
    <m/>
    <m/>
    <m/>
    <m/>
    <m/>
    <m/>
    <s v="INDOT DES No 1901890"/>
  </r>
  <r>
    <x v="320"/>
    <s v="May"/>
    <n v="2025"/>
    <x v="3"/>
    <n v="-42"/>
    <x v="1"/>
    <n v="18900"/>
    <n v="590"/>
    <s v="Federal"/>
    <s v="Int"/>
    <n v="42"/>
    <s v="INDOT"/>
    <s v="LRE-2023-00173-102-J23"/>
    <s v="2024-1022-2-GCW-WQC"/>
    <m/>
    <s v="Allen"/>
    <n v="41.125228"/>
    <n v="-85.211544000000004"/>
    <s v="Transportation"/>
    <m/>
    <s v="No"/>
    <m/>
    <n v="2835"/>
    <n v="13230"/>
    <n v="2835"/>
    <s v="D"/>
    <s v="J"/>
    <m/>
    <m/>
    <m/>
    <m/>
    <m/>
    <m/>
    <s v="INDOT DES No 1901890"/>
  </r>
  <r>
    <x v="320"/>
    <s v="May"/>
    <n v="2025"/>
    <x v="8"/>
    <n v="-1"/>
    <x v="0"/>
    <n v="80000"/>
    <n v="590"/>
    <s v="State Isolated"/>
    <s v="PFO"/>
    <n v="0.5"/>
    <s v="INDOT"/>
    <s v="LRE-2023-00173-102-J23"/>
    <s v="2024-1022-2-GCW-IWIP"/>
    <m/>
    <s v="Allen"/>
    <n v="41.125309999999999"/>
    <n v="-85.226330000000004"/>
    <s v="Transportation"/>
    <m/>
    <s v="No"/>
    <m/>
    <n v="12000"/>
    <n v="56000"/>
    <n v="12000"/>
    <s v="L"/>
    <s v="SI"/>
    <s v="2 FO"/>
    <m/>
    <m/>
    <m/>
    <m/>
    <m/>
    <s v="INDOT DES No 1901890"/>
  </r>
  <r>
    <x v="320"/>
    <s v="May"/>
    <n v="2025"/>
    <x v="8"/>
    <n v="-0.63"/>
    <x v="0"/>
    <n v="50400"/>
    <n v="590"/>
    <s v="State Isolated"/>
    <s v="PEM"/>
    <n v="0.42"/>
    <s v="INDOT"/>
    <s v="LRE-2023-00173-102-J23"/>
    <s v="2024-1022-2-GCW-IWIP"/>
    <m/>
    <s v="Allen"/>
    <n v="41.125309999999999"/>
    <n v="-85.226330000000004"/>
    <s v="Transportation"/>
    <m/>
    <s v="No"/>
    <m/>
    <n v="7560"/>
    <n v="35280"/>
    <n v="7560"/>
    <s v="L"/>
    <s v="SI"/>
    <s v="2 NF"/>
    <m/>
    <m/>
    <m/>
    <m/>
    <m/>
    <s v="INDOT DES No 1901890"/>
  </r>
  <r>
    <x v="320"/>
    <s v="May"/>
    <n v="2025"/>
    <x v="8"/>
    <n v="-0.09"/>
    <x v="0"/>
    <n v="7200"/>
    <n v="590"/>
    <s v="Federal"/>
    <s v="PEM"/>
    <n v="4.4999999999999998E-2"/>
    <s v="INDOT"/>
    <s v="LRE-2023-00173-102-J23"/>
    <s v="2024-1022-2-GCW-WQC"/>
    <m/>
    <s v="Allen"/>
    <n v="41.125309999999999"/>
    <n v="-85.226330000000004"/>
    <s v="Transportation"/>
    <m/>
    <s v="No"/>
    <m/>
    <n v="1080"/>
    <n v="5040"/>
    <n v="1080"/>
    <s v="L"/>
    <s v="J"/>
    <m/>
    <m/>
    <m/>
    <m/>
    <m/>
    <m/>
    <s v="INDOT DES No 1901890"/>
  </r>
  <r>
    <x v="320"/>
    <s v="May"/>
    <n v="2025"/>
    <x v="8"/>
    <n v="-562"/>
    <x v="1"/>
    <n v="224800"/>
    <n v="590"/>
    <s v="Federal"/>
    <s v="Int"/>
    <n v="562"/>
    <s v="INDOT"/>
    <s v="LRE-2023-00173-102-J23"/>
    <s v="2024-1022-2-GCW-WQC"/>
    <m/>
    <s v="Allen"/>
    <n v="41.125309999999999"/>
    <n v="-85.226330000000004"/>
    <s v="Transportation"/>
    <m/>
    <s v="No"/>
    <m/>
    <n v="33720"/>
    <n v="157360"/>
    <n v="33720"/>
    <s v="L"/>
    <s v="J"/>
    <m/>
    <m/>
    <m/>
    <m/>
    <m/>
    <m/>
    <s v="INDOT DES No 1901890"/>
  </r>
  <r>
    <x v="320"/>
    <s v="May"/>
    <n v="2025"/>
    <x v="8"/>
    <n v="-221"/>
    <x v="1"/>
    <n v="88400"/>
    <n v="590"/>
    <s v="Federal"/>
    <s v="Per"/>
    <n v="221"/>
    <s v="INDOT"/>
    <s v="LRE-2023-00173-102-J23"/>
    <s v="2024-1022-2-GCW-WQC"/>
    <m/>
    <s v="Allen"/>
    <n v="41.125309999999999"/>
    <n v="-85.226330000000004"/>
    <s v="Transportation"/>
    <m/>
    <s v="No"/>
    <m/>
    <n v="13260"/>
    <n v="61879.999999999993"/>
    <n v="13260"/>
    <s v="L"/>
    <s v="J"/>
    <m/>
    <m/>
    <m/>
    <m/>
    <m/>
    <m/>
    <s v="INDOT DES No 1901890"/>
  </r>
  <r>
    <x v="320"/>
    <s v="May"/>
    <n v="2025"/>
    <x v="5"/>
    <n v="-123"/>
    <x v="1"/>
    <n v="49200"/>
    <n v="597"/>
    <s v="Federal"/>
    <s v="Int"/>
    <n v="1269"/>
    <s v="INDOT"/>
    <s v="LRL-2025-70"/>
    <s v="2025-82-62-GCW-WQC"/>
    <m/>
    <s v="Perry"/>
    <n v="38.226407999999999"/>
    <n v="-86.697208000000003"/>
    <s v="Transportation"/>
    <m/>
    <s v="No"/>
    <m/>
    <n v="7380"/>
    <n v="34440"/>
    <n v="7380"/>
    <s v="L"/>
    <s v="J"/>
    <m/>
    <m/>
    <m/>
    <m/>
    <m/>
    <m/>
    <s v="DES NO 2100167"/>
  </r>
  <r>
    <x v="320"/>
    <s v="May"/>
    <n v="2025"/>
    <x v="5"/>
    <n v="-91"/>
    <x v="1"/>
    <n v="36400"/>
    <n v="597"/>
    <s v="Federal"/>
    <s v="Per"/>
    <n v="862"/>
    <s v="INDOT"/>
    <s v="LRL-2025-70"/>
    <s v="2025-82-62-GCW-WQC"/>
    <m/>
    <s v="Perry"/>
    <n v="38.226407999999999"/>
    <n v="-86.697208000000003"/>
    <s v="Transportation"/>
    <m/>
    <s v="No"/>
    <m/>
    <n v="5460"/>
    <n v="25480"/>
    <n v="5460"/>
    <s v="L"/>
    <s v="J"/>
    <m/>
    <m/>
    <m/>
    <m/>
    <m/>
    <m/>
    <s v="DES NO 2100167"/>
  </r>
  <r>
    <x v="320"/>
    <s v="May"/>
    <n v="2025"/>
    <x v="2"/>
    <n v="-0.46"/>
    <x v="0"/>
    <n v="36800"/>
    <n v="598"/>
    <s v="Federal"/>
    <s v="PFO"/>
    <n v="0.46"/>
    <s v="INDOT"/>
    <s v="LRL-2016-588-djd"/>
    <s v="2016-323-63-SKG-A"/>
    <m/>
    <s v="Pike"/>
    <n v="38.484456999999999"/>
    <n v="-87.431540999999996"/>
    <s v="Transportation"/>
    <m/>
    <s v="No"/>
    <m/>
    <n v="5520"/>
    <n v="25760"/>
    <n v="5520"/>
    <s v="L"/>
    <s v="J"/>
    <m/>
    <m/>
    <m/>
    <m/>
    <m/>
    <m/>
    <s v="DES NO 0401031"/>
  </r>
  <r>
    <x v="321"/>
    <s v="May"/>
    <n v="2025"/>
    <x v="8"/>
    <n v="-0.65"/>
    <x v="0"/>
    <n v="52000"/>
    <n v="385"/>
    <s v="Federal"/>
    <s v="PSS"/>
    <n v="0.18"/>
    <s v="AEP Indiana Michigan Transmission Company, ,Inc."/>
    <s v="LRL-2022-1078-sjk"/>
    <s v="2023-27-38-EJW-X"/>
    <m/>
    <s v="Jay"/>
    <n v="40.4664"/>
    <n v="-85.091700000000003"/>
    <s v="Transportation"/>
    <m/>
    <s v="No"/>
    <m/>
    <n v="7800"/>
    <n v="36400"/>
    <n v="7800"/>
    <s v="L"/>
    <s v="J"/>
    <m/>
    <m/>
    <m/>
    <m/>
    <m/>
    <m/>
    <m/>
  </r>
  <r>
    <x v="321"/>
    <s v="May"/>
    <n v="2025"/>
    <x v="8"/>
    <n v="-0.61"/>
    <x v="0"/>
    <n v="48800"/>
    <n v="395"/>
    <s v="Federal"/>
    <s v="PFO"/>
    <n v="0.2"/>
    <s v="AEP Indiana Michigan Transmission Company, ,Inc."/>
    <s v="LRL-2023-157-sjk"/>
    <s v="2022-1256-38-EJW-X"/>
    <m/>
    <s v="Jay"/>
    <n v="40.449800000000003"/>
    <n v="-84.9726"/>
    <s v="Transportation"/>
    <m/>
    <s v="No"/>
    <m/>
    <n v="7320"/>
    <n v="34160"/>
    <n v="7320"/>
    <s v="J"/>
    <s v="L"/>
    <m/>
    <m/>
    <m/>
    <m/>
    <m/>
    <m/>
    <m/>
  </r>
  <r>
    <x v="321"/>
    <s v="May"/>
    <n v="2025"/>
    <x v="8"/>
    <n v="-0.04"/>
    <x v="0"/>
    <n v="3200"/>
    <n v="395"/>
    <s v="Federal"/>
    <s v="PEM"/>
    <n v="0.02"/>
    <s v="AEP Indiana Michigan Transmission Company, ,Inc."/>
    <s v="LRL-2023-157-sjk"/>
    <s v="2022-1256-38-EJW-X"/>
    <m/>
    <s v="Jay"/>
    <n v="40.449800000000003"/>
    <n v="-84.9726"/>
    <s v="Transportation"/>
    <m/>
    <s v="No"/>
    <m/>
    <n v="480"/>
    <n v="2240"/>
    <n v="480"/>
    <s v="J"/>
    <s v="L"/>
    <m/>
    <m/>
    <m/>
    <m/>
    <m/>
    <m/>
    <m/>
  </r>
  <r>
    <x v="322"/>
    <s v="May"/>
    <n v="2025"/>
    <x v="9"/>
    <n v="-0.84"/>
    <x v="0"/>
    <n v="67200"/>
    <n v="602"/>
    <s v="State Isolated"/>
    <s v="PFO"/>
    <n v="0.21"/>
    <s v="Lennar Homes of Indiana, Inc."/>
    <s v="N/A"/>
    <s v="2024-1012-41-TLG-IWIP"/>
    <m/>
    <s v="Johnson"/>
    <n v="39.592599999999997"/>
    <n v="-86.043400000000005"/>
    <s v="Development"/>
    <m/>
    <s v="No"/>
    <m/>
    <n v="10080"/>
    <n v="47040"/>
    <n v="10080"/>
    <s v="L"/>
    <s v="SI"/>
    <s v="2 FO"/>
    <m/>
    <m/>
    <m/>
    <m/>
    <m/>
    <m/>
  </r>
  <r>
    <x v="323"/>
    <s v="June"/>
    <n v="2025"/>
    <x v="7"/>
    <n v="-40"/>
    <x v="1"/>
    <n v="16000"/>
    <n v="561"/>
    <s v="Federal"/>
    <s v="Eph"/>
    <n v="74"/>
    <s v="INDOT"/>
    <s v="LRL-2024-618"/>
    <s v="2024-669-10-GCW-WQC"/>
    <m/>
    <s v="Clark"/>
    <n v="38.543973000000001"/>
    <n v="-85.767638000000005"/>
    <s v="Agriculture"/>
    <m/>
    <s v="No"/>
    <m/>
    <n v="2400"/>
    <n v="11200"/>
    <n v="2400"/>
    <s v="L"/>
    <s v="J"/>
    <m/>
    <m/>
    <m/>
    <m/>
    <m/>
    <m/>
    <s v="INDOT DES No 1900343"/>
  </r>
  <r>
    <x v="323"/>
    <s v="June"/>
    <n v="2025"/>
    <x v="4"/>
    <n v="-84"/>
    <x v="1"/>
    <n v="33600"/>
    <n v="562"/>
    <s v="Federal"/>
    <s v="Int"/>
    <n v="84"/>
    <s v="INDOT"/>
    <s v="LRL-2024-766-djd"/>
    <s v="2024-865-23-GCW-WQC"/>
    <m/>
    <s v="Fountain"/>
    <n v="40.112510999999998"/>
    <n v="-87.243199000000004"/>
    <s v="Transportation"/>
    <m/>
    <s v="No"/>
    <m/>
    <n v="5040"/>
    <n v="23520"/>
    <n v="5040"/>
    <s v="L"/>
    <s v="J"/>
    <m/>
    <m/>
    <m/>
    <m/>
    <m/>
    <m/>
    <s v="INDOT DES No 1800118"/>
  </r>
  <r>
    <x v="323"/>
    <s v="June"/>
    <n v="2025"/>
    <x v="6"/>
    <n v="-67"/>
    <x v="1"/>
    <n v="40200"/>
    <n v="593"/>
    <s v="Federal"/>
    <s v="Per"/>
    <n v="67"/>
    <s v="INDOT"/>
    <s v="LRE-2025-00123-157-N25"/>
    <s v="2025-197-57-GCW-NWP"/>
    <m/>
    <s v="Noble"/>
    <n v="41.353544999999997"/>
    <n v="-85.423655999999994"/>
    <s v="Development"/>
    <m/>
    <s v="No"/>
    <m/>
    <n v="6030"/>
    <n v="28140"/>
    <n v="6030"/>
    <s v="D"/>
    <s v="J"/>
    <m/>
    <m/>
    <m/>
    <m/>
    <m/>
    <m/>
    <s v="INDOT DES No 2100788"/>
  </r>
  <r>
    <x v="323"/>
    <s v="June"/>
    <n v="2025"/>
    <x v="9"/>
    <n v="-1061.3"/>
    <x v="1"/>
    <n v="477585"/>
    <n v="601"/>
    <s v="Federal"/>
    <s v="Int"/>
    <n v="6129.6"/>
    <s v="INDOT"/>
    <s v="LRL-2017-1021-dds"/>
    <s v="2021-626-49-JBT-A"/>
    <m/>
    <s v="Marion"/>
    <n v="39.865000000000002"/>
    <n v="-86.046999999999997"/>
    <s v="Transportation"/>
    <m/>
    <s v="No"/>
    <m/>
    <n v="71637.75"/>
    <n v="334309.5"/>
    <n v="71637.75"/>
    <s v="L"/>
    <s v="J"/>
    <m/>
    <m/>
    <m/>
    <m/>
    <m/>
    <m/>
    <s v="DES NO 1400075"/>
  </r>
  <r>
    <x v="324"/>
    <s v="June"/>
    <n v="2025"/>
    <x v="3"/>
    <n v="-184.2"/>
    <x v="1"/>
    <n v="82890"/>
    <n v="510"/>
    <s v="Federal"/>
    <s v="Per"/>
    <n v="122.01"/>
    <s v="City of Fort Wayne"/>
    <s v="LRE-2023-00598-102-N24"/>
    <s v="2024-57-2-EJW-A"/>
    <m/>
    <s v="Allen"/>
    <n v="41.052067000000001"/>
    <n v="-85.157611000000003"/>
    <s v="Transportation"/>
    <m/>
    <s v="No"/>
    <m/>
    <n v="12433.5"/>
    <n v="58022.999999999993"/>
    <n v="12433.5"/>
    <s v="D"/>
    <s v="J"/>
    <m/>
    <m/>
    <m/>
    <m/>
    <m/>
    <m/>
    <m/>
  </r>
  <r>
    <x v="324"/>
    <s v="June"/>
    <n v="2025"/>
    <x v="0"/>
    <n v="-0.57999999999999996"/>
    <x v="0"/>
    <n v="55100"/>
    <s v="592C"/>
    <s v="Federal"/>
    <s v="PFO"/>
    <n v="0.17299999999999999"/>
    <s v="INDOT"/>
    <s v="LRC-2024-00134"/>
    <s v="2024-914-64-GCW-WQC"/>
    <m/>
    <s v="Porter"/>
    <n v="41.656599999999997"/>
    <n v="-87.05762"/>
    <s v="Transportation"/>
    <m/>
    <s v="No"/>
    <m/>
    <n v="8265"/>
    <n v="38570"/>
    <n v="8265"/>
    <s v="C"/>
    <s v="J"/>
    <m/>
    <m/>
    <m/>
    <m/>
    <m/>
    <m/>
    <s v="INDOT DES No 2200175 - several  corrections needed to invoices due to mitigation changes &amp; miscommiunication"/>
  </r>
  <r>
    <x v="324"/>
    <s v="June"/>
    <n v="2025"/>
    <x v="0"/>
    <n v="-0.59"/>
    <x v="0"/>
    <n v="56050"/>
    <s v="592C"/>
    <s v="Federal"/>
    <s v="PEM"/>
    <n v="1"/>
    <s v="INDOT"/>
    <s v="LRC-2024-00134"/>
    <s v="2024-914-64-GCW-WQC"/>
    <m/>
    <s v="Porter"/>
    <n v="41.656599999999997"/>
    <n v="-87.05762"/>
    <s v="Transportation"/>
    <m/>
    <s v="No"/>
    <m/>
    <n v="8407.5"/>
    <n v="39235"/>
    <n v="8407.5"/>
    <s v="C"/>
    <s v="J"/>
    <m/>
    <m/>
    <m/>
    <m/>
    <m/>
    <m/>
    <s v="INDOT DES No 2200175 - several  corrections needed to invoices due to mitigation changes &amp; miscommiunication"/>
  </r>
  <r>
    <x v="324"/>
    <s v="June"/>
    <n v="2025"/>
    <x v="0"/>
    <n v="-8.4"/>
    <x v="1"/>
    <n v="5040"/>
    <s v="592C"/>
    <s v="Federal"/>
    <s v="Per"/>
    <n v="7"/>
    <s v="INDOT"/>
    <s v="LRC-2024-00134"/>
    <s v="2024-914-64-GCW-WQC"/>
    <m/>
    <s v="Porter"/>
    <n v="41.656599999999997"/>
    <n v="-87.05762"/>
    <s v="Transportation"/>
    <m/>
    <s v="No"/>
    <m/>
    <n v="756"/>
    <n v="3528"/>
    <n v="756"/>
    <s v="C"/>
    <s v="J"/>
    <m/>
    <m/>
    <m/>
    <m/>
    <m/>
    <m/>
    <s v="INDOT DES No 2200175 - several  corrections needed to invoices due to mitigation changes &amp; miscommiunication"/>
  </r>
  <r>
    <x v="324"/>
    <s v="June"/>
    <n v="2025"/>
    <x v="9"/>
    <n v="-51"/>
    <x v="1"/>
    <n v="22950"/>
    <n v="599"/>
    <s v="Federal"/>
    <s v="Int"/>
    <n v="51"/>
    <s v="Hancock County"/>
    <s v="LRL-2024-00903-jde"/>
    <s v="2025-27-30-LDC-WQC"/>
    <m/>
    <s v="Hancock"/>
    <n v="39.827311999999999"/>
    <n v="-85.925578999999999"/>
    <s v="Transportation"/>
    <m/>
    <s v="No"/>
    <m/>
    <n v="3442.5"/>
    <n v="16064.999999999998"/>
    <n v="3442.5"/>
    <s v="L"/>
    <s v="J"/>
    <m/>
    <m/>
    <m/>
    <m/>
    <m/>
    <m/>
    <m/>
  </r>
  <r>
    <x v="324"/>
    <s v="June"/>
    <n v="2025"/>
    <x v="2"/>
    <n v="-230"/>
    <x v="1"/>
    <n v="92000"/>
    <n v="606"/>
    <s v="Federal"/>
    <s v="Int"/>
    <n v="230"/>
    <s v="Duff Solar Project LLC"/>
    <s v="LRL-2025-00385-sjk"/>
    <s v="2025-399-19-TLK-NWP"/>
    <m/>
    <s v="Dubois"/>
    <n v="38.330084999999997"/>
    <n v="-87.003397000000007"/>
    <s v="Energy Production"/>
    <m/>
    <s v="No"/>
    <m/>
    <n v="13800"/>
    <n v="64399.999999999993"/>
    <n v="13800"/>
    <s v="L"/>
    <s v="J"/>
    <m/>
    <m/>
    <m/>
    <m/>
    <m/>
    <m/>
    <m/>
  </r>
  <r>
    <x v="324"/>
    <s v="June"/>
    <n v="2025"/>
    <x v="2"/>
    <n v="-65"/>
    <x v="1"/>
    <n v="26000"/>
    <n v="606"/>
    <s v="Federal"/>
    <s v="Per"/>
    <n v="65"/>
    <s v="Duff Solar Project LLC"/>
    <s v="LRL-2025-00385-sjk"/>
    <s v="2025-399-19-TLK-NWP"/>
    <m/>
    <s v="Dubois"/>
    <n v="38.330084999999997"/>
    <n v="-87.003397000000007"/>
    <s v="Energy Production"/>
    <m/>
    <s v="No"/>
    <m/>
    <n v="3900"/>
    <n v="18200"/>
    <n v="3900"/>
    <s v="L"/>
    <s v="J"/>
    <m/>
    <m/>
    <m/>
    <m/>
    <m/>
    <m/>
    <m/>
  </r>
  <r>
    <x v="324"/>
    <s v="June"/>
    <n v="2025"/>
    <x v="2"/>
    <n v="-83"/>
    <x v="1"/>
    <n v="33200"/>
    <n v="606"/>
    <s v="Federal"/>
    <s v="Eph"/>
    <n v="83"/>
    <s v="Duff Solar Project LLC"/>
    <s v="LRL-2025-00385-sjk"/>
    <s v="2025-399-19-TLK-NWP"/>
    <m/>
    <s v="Dubois"/>
    <n v="38.330084999999997"/>
    <n v="-87.003397000000007"/>
    <s v="Energy Production"/>
    <m/>
    <s v="No"/>
    <m/>
    <n v="4980"/>
    <n v="23240"/>
    <n v="4980"/>
    <s v="L"/>
    <s v="J"/>
    <m/>
    <m/>
    <m/>
    <m/>
    <m/>
    <m/>
    <m/>
  </r>
  <r>
    <x v="325"/>
    <s v="June"/>
    <n v="2025"/>
    <x v="9"/>
    <n v="-0.59399999999999997"/>
    <x v="0"/>
    <n v="47520"/>
    <n v="604"/>
    <s v="State Isolated"/>
    <s v="PSS"/>
    <n v="0.39600000000000002"/>
    <s v="Lennar Homes of Indiana, LLC"/>
    <s v="N/A"/>
    <s v="IWIP 2023-1154-6-MPY-A"/>
    <m/>
    <s v="Boone"/>
    <n v="39.930568999999998"/>
    <n v="-86.343152000000003"/>
    <s v="Development"/>
    <m/>
    <s v="No"/>
    <m/>
    <n v="7128"/>
    <n v="33264"/>
    <n v="7128"/>
    <s v="L"/>
    <s v="SI"/>
    <s v="2 NF"/>
    <m/>
    <m/>
    <m/>
    <m/>
    <m/>
    <m/>
  </r>
  <r>
    <x v="325"/>
    <s v="June"/>
    <n v="2025"/>
    <x v="4"/>
    <n v="-0.16600000000000001"/>
    <x v="0"/>
    <n v="13280"/>
    <n v="588"/>
    <s v="Federal"/>
    <s v="PEM"/>
    <n v="8.3000000000000004E-2"/>
    <s v="City of Greencastle"/>
    <s v="LRL-2024-00034-cte"/>
    <s v="2024-423-67-MMR-A"/>
    <m/>
    <s v="Putnam"/>
    <n v="39.633077"/>
    <n v="-86.857313000000005"/>
    <s v="Development"/>
    <m/>
    <s v="No"/>
    <m/>
    <n v="1992"/>
    <n v="9296"/>
    <n v="1992"/>
    <s v="L"/>
    <s v="J"/>
    <m/>
    <m/>
    <m/>
    <m/>
    <m/>
    <m/>
    <m/>
  </r>
  <r>
    <x v="325"/>
    <s v="June"/>
    <n v="2025"/>
    <x v="4"/>
    <n v="-0.23400000000000001"/>
    <x v="0"/>
    <n v="18720"/>
    <n v="588"/>
    <s v="State Isolated"/>
    <s v="PEM"/>
    <n v="0.156"/>
    <s v="City of Greencastle"/>
    <s v="LRL-2024-00034-cte"/>
    <s v="IWIP 2024-424-67-MMR-A"/>
    <m/>
    <s v="Putnam"/>
    <n v="39.633077"/>
    <n v="-86.857313000000005"/>
    <s v="Development"/>
    <m/>
    <s v="No"/>
    <m/>
    <n v="2808"/>
    <n v="13104"/>
    <n v="2808"/>
    <s v="L"/>
    <s v="SI"/>
    <m/>
    <m/>
    <m/>
    <m/>
    <m/>
    <m/>
    <m/>
  </r>
  <r>
    <x v="326"/>
    <s v="June"/>
    <n v="2025"/>
    <x v="3"/>
    <n v="-0.53"/>
    <x v="0"/>
    <n v="42400"/>
    <n v="609"/>
    <s v="State Isolated"/>
    <s v="PFO"/>
    <n v="0.27"/>
    <s v="Zion Companies"/>
    <s v="N/A"/>
    <s v="IWIP 2023-1038-2-EJW-A"/>
    <m/>
    <s v="Allen"/>
    <n v="41.089928"/>
    <n v="-85.03322"/>
    <s v="Development"/>
    <m/>
    <s v="No"/>
    <m/>
    <n v="6360"/>
    <n v="29679.999999999996"/>
    <n v="6360"/>
    <s v="D"/>
    <s v="SI"/>
    <m/>
    <m/>
    <m/>
    <m/>
    <m/>
    <m/>
    <m/>
  </r>
  <r>
    <x v="326"/>
    <s v="June"/>
    <n v="2025"/>
    <x v="5"/>
    <n v="-20"/>
    <x v="1"/>
    <n v="8000"/>
    <n v="605"/>
    <s v="Federal"/>
    <s v="Per"/>
    <n v="442"/>
    <s v="Vanderburgh County Commissioners"/>
    <s v="N/A"/>
    <s v="2025-149-82-TLK-WQC"/>
    <m/>
    <s v="Vanderburgh"/>
    <n v="37.980955000000002"/>
    <n v="-87.620413999999997"/>
    <s v="Development"/>
    <m/>
    <s v="No"/>
    <m/>
    <n v="1200"/>
    <n v="5600"/>
    <n v="1200"/>
    <s v="L"/>
    <s v="J"/>
    <m/>
    <m/>
    <m/>
    <m/>
    <m/>
    <m/>
    <s v="Drainage project"/>
  </r>
  <r>
    <x v="326"/>
    <s v="June"/>
    <n v="2025"/>
    <x v="9"/>
    <n v="-0.22"/>
    <x v="0"/>
    <n v="17600"/>
    <n v="608"/>
    <s v="State Isolated"/>
    <s v="PFO"/>
    <n v="0.11"/>
    <s v="Trilogy Health Services, LLC"/>
    <s v="N/A"/>
    <s v="2025-299-29-ENH-IWIP"/>
    <m/>
    <s v="Hamilton"/>
    <n v="39.999930999999997"/>
    <n v="-85.998932999999994"/>
    <s v="Development"/>
    <m/>
    <s v="No"/>
    <m/>
    <n v="2640"/>
    <n v="12320"/>
    <n v="2640"/>
    <s v="L"/>
    <s v="SI"/>
    <s v="2 FO"/>
    <m/>
    <m/>
    <m/>
    <m/>
    <m/>
    <m/>
  </r>
  <r>
    <x v="327"/>
    <s v="June"/>
    <n v="2025"/>
    <x v="0"/>
    <n v="-5.04"/>
    <x v="0"/>
    <n v="478800"/>
    <n v="615"/>
    <s v="State Isolated"/>
    <s v="PFO"/>
    <n v="2.5099999999999998"/>
    <s v="CHI Acquisitions, L.P. c/o Crow Holdings Industrial"/>
    <s v="N/A"/>
    <s v="2025-256-45-MTM-IWIP"/>
    <m/>
    <s v="Lake"/>
    <n v="41.481119999999997"/>
    <n v="-87.319299999999998"/>
    <s v="Development"/>
    <m/>
    <s v="No"/>
    <m/>
    <n v="71820"/>
    <n v="335160"/>
    <n v="71820"/>
    <s v="C"/>
    <s v="SI"/>
    <s v="2 FO"/>
    <m/>
    <m/>
    <m/>
    <m/>
    <m/>
    <m/>
  </r>
  <r>
    <x v="328"/>
    <s v="June"/>
    <n v="2025"/>
    <x v="9"/>
    <n v="-0.78"/>
    <x v="0"/>
    <n v="62400"/>
    <s v="201C2"/>
    <s v="State Isolated"/>
    <s v="PFO"/>
    <n v="0.31"/>
    <s v="TWG Development"/>
    <s v="N/A"/>
    <s v="IWIP 2020-966-29-ALF-A"/>
    <m/>
    <s v="Hamilton"/>
    <n v="40.071199999999997"/>
    <n v="-86.133899999999997"/>
    <s v="Development"/>
    <m/>
    <s v="No"/>
    <m/>
    <n v="9360"/>
    <n v="43680"/>
    <n v="9360"/>
    <s v="L"/>
    <s v="SI"/>
    <s v="2 FO"/>
    <m/>
    <m/>
    <m/>
    <m/>
    <m/>
    <m/>
  </r>
  <r>
    <x v="328"/>
    <s v="June"/>
    <n v="2025"/>
    <x v="9"/>
    <n v="-2.4"/>
    <x v="0"/>
    <n v="192000"/>
    <n v="618"/>
    <s v="State Isolated"/>
    <s v="PEM"/>
    <n v="1.63"/>
    <s v="D.R. Horton"/>
    <s v="N/A"/>
    <s v="2025-430-49-LDC-IWIP"/>
    <m/>
    <s v="Marion"/>
    <n v="39.633400000000002"/>
    <n v="-86.291899999999998"/>
    <s v="Development"/>
    <m/>
    <s v="No"/>
    <m/>
    <n v="28800"/>
    <n v="134400"/>
    <n v="28800"/>
    <s v="L"/>
    <s v="SI"/>
    <s v="2 NF"/>
    <m/>
    <m/>
    <m/>
    <m/>
    <m/>
    <m/>
  </r>
  <r>
    <x v="328"/>
    <s v="June"/>
    <n v="2025"/>
    <x v="4"/>
    <n v="-0.442"/>
    <x v="0"/>
    <n v="35360"/>
    <n v="616"/>
    <s v="Federal"/>
    <s v="PEM"/>
    <n v="0.52100000000000002"/>
    <s v="ENTEK Lithium Separators LLC"/>
    <s v="LRL-2023-00388-AMW"/>
    <s v="2024-660-84-MMR-WQC"/>
    <m/>
    <s v="Vigo"/>
    <n v="39.351748999999998"/>
    <n v="-87.411080999999996"/>
    <s v="Development"/>
    <m/>
    <s v="No"/>
    <m/>
    <n v="5304"/>
    <n v="24752"/>
    <n v="5304"/>
    <s v="L"/>
    <s v="J"/>
    <m/>
    <m/>
    <m/>
    <m/>
    <m/>
    <m/>
    <m/>
  </r>
  <r>
    <x v="329"/>
    <s v="July"/>
    <n v="2025"/>
    <x v="9"/>
    <n v="-0.68"/>
    <x v="0"/>
    <n v="54400"/>
    <n v="617"/>
    <s v="State Isolated"/>
    <s v="PFO"/>
    <n v="0.34"/>
    <s v="Arbor Homes"/>
    <s v="N/A"/>
    <s v="2025-346-49-LDC-IWIP"/>
    <m/>
    <s v="Marion"/>
    <n v="39.838000000000001"/>
    <n v="-85.969700000000003"/>
    <s v="Development"/>
    <m/>
    <s v="No"/>
    <m/>
    <n v="8160"/>
    <n v="38080"/>
    <n v="8160"/>
    <s v="L"/>
    <s v="SI"/>
    <s v="2 FO"/>
    <m/>
    <m/>
    <m/>
    <m/>
    <m/>
    <m/>
  </r>
  <r>
    <x v="329"/>
    <s v="July"/>
    <n v="2025"/>
    <x v="9"/>
    <n v="-0.31"/>
    <x v="0"/>
    <n v="24800"/>
    <n v="617"/>
    <s v="State Isolated"/>
    <s v="PEM"/>
    <n v="0.2"/>
    <s v="Arbor Homes"/>
    <s v="N/A"/>
    <s v="2025-346-49-LDC-IWIP"/>
    <m/>
    <s v="Marion"/>
    <n v="39.838000000000001"/>
    <n v="-85.969700000000003"/>
    <s v="Development"/>
    <m/>
    <s v="No"/>
    <m/>
    <n v="3720"/>
    <n v="17360"/>
    <n v="3720"/>
    <s v="L"/>
    <s v="SI"/>
    <s v="2 NF"/>
    <m/>
    <m/>
    <m/>
    <m/>
    <m/>
    <m/>
  </r>
  <r>
    <x v="329"/>
    <s v="July"/>
    <n v="2025"/>
    <x v="9"/>
    <n v="-0.57999999999999996"/>
    <x v="0"/>
    <n v="46400"/>
    <n v="571"/>
    <s v="State Isolated"/>
    <s v="PFO"/>
    <n v="0.28999999999999998"/>
    <s v="Plainfield Innovation Park Building II, LLC"/>
    <s v="N/A"/>
    <s v="2024-884-32-MPY-IWIP"/>
    <m/>
    <s v="Hendricks"/>
    <n v="39.655009999999997"/>
    <n v="-86.366209999999995"/>
    <s v="Development"/>
    <m/>
    <s v="No"/>
    <m/>
    <n v="6960"/>
    <n v="32479.999999999996"/>
    <n v="6960"/>
    <s v="SI"/>
    <s v="SI"/>
    <s v="2 FO"/>
    <m/>
    <m/>
    <m/>
    <m/>
    <m/>
    <m/>
  </r>
  <r>
    <x v="329"/>
    <s v="July"/>
    <n v="2025"/>
    <x v="3"/>
    <n v="-201"/>
    <x v="1"/>
    <n v="90450"/>
    <n v="613"/>
    <s v="Federal"/>
    <s v="Int"/>
    <n v="494"/>
    <s v="Hatchworks, LLC"/>
    <s v="LRE-2024-00487-102-J24"/>
    <s v="2025-77-2-EJW-WQCZ"/>
    <m/>
    <s v="Allen"/>
    <n v="41.033259999999999"/>
    <n v="-85.057739999999995"/>
    <s v="Transportation"/>
    <m/>
    <s v="No"/>
    <m/>
    <n v="13567.5"/>
    <n v="63314.999999999993"/>
    <n v="13567.5"/>
    <s v="D"/>
    <s v="J"/>
    <m/>
    <m/>
    <m/>
    <m/>
    <m/>
    <m/>
    <m/>
  </r>
  <r>
    <x v="329"/>
    <s v="July"/>
    <n v="2025"/>
    <x v="5"/>
    <n v="-0.5"/>
    <x v="0"/>
    <n v="40000"/>
    <n v="614"/>
    <s v="Federal"/>
    <s v="PEM"/>
    <n v="3.7999999999999999E-2"/>
    <s v="Posey County Board of Commissioners"/>
    <s v="LRL-2020-01106-cds"/>
    <s v="2025-283-65-MTM-NWP"/>
    <m/>
    <s v="Posey"/>
    <n v="37.964753000000002"/>
    <n v="-87.904550999999998"/>
    <s v="Transportation"/>
    <m/>
    <s v="No"/>
    <m/>
    <n v="6000"/>
    <n v="28000"/>
    <n v="6000"/>
    <s v="L"/>
    <s v="J"/>
    <m/>
    <m/>
    <m/>
    <m/>
    <m/>
    <m/>
    <m/>
  </r>
  <r>
    <x v="330"/>
    <s v="July "/>
    <n v="2025"/>
    <x v="0"/>
    <n v="-632"/>
    <x v="1"/>
    <n v="379200"/>
    <n v="558"/>
    <s v="Federal"/>
    <s v="Per"/>
    <n v="527"/>
    <s v="Town of Schererville"/>
    <s v="LRL-2022-00676"/>
    <s v="2022-1022-45-MTM-A"/>
    <m/>
    <s v="Lake"/>
    <n v="41.510942"/>
    <n v="-87.461459000000005"/>
    <s v="Transportation"/>
    <m/>
    <s v="No"/>
    <m/>
    <n v="56880"/>
    <n v="265440"/>
    <n v="56880"/>
    <s v="C"/>
    <s v="J"/>
    <m/>
    <m/>
    <m/>
    <m/>
    <m/>
    <m/>
    <s v="INDOT DES 18001911"/>
  </r>
  <r>
    <x v="330"/>
    <s v="July "/>
    <n v="2025"/>
    <x v="0"/>
    <n v="-1.55"/>
    <x v="0"/>
    <n v="147250"/>
    <n v="558"/>
    <s v="Federal"/>
    <s v="PEM"/>
    <n v="0.86"/>
    <s v="Town of Schererville"/>
    <s v="LRL-2022-00676"/>
    <s v="2022-1022-45-MTM-A"/>
    <m/>
    <s v="Lake"/>
    <n v="41.510942"/>
    <n v="-87.461459000000005"/>
    <s v="Transportation"/>
    <m/>
    <s v="No"/>
    <m/>
    <n v="22087.5"/>
    <n v="103075"/>
    <n v="22087.5"/>
    <s v="C"/>
    <s v="J"/>
    <m/>
    <m/>
    <m/>
    <m/>
    <m/>
    <m/>
    <s v="INDOT DES 18001912"/>
  </r>
  <r>
    <x v="330"/>
    <s v="July "/>
    <n v="2025"/>
    <x v="0"/>
    <n v="-3.1"/>
    <x v="0"/>
    <n v="294500"/>
    <n v="558"/>
    <s v="Federal"/>
    <s v="PSS"/>
    <n v="0.86"/>
    <s v="Town of Schererville"/>
    <s v="LRL-2022-00676"/>
    <s v="2022-1022-45-MTM-A"/>
    <m/>
    <s v="Lake"/>
    <n v="41.510942"/>
    <n v="-87.461459000000005"/>
    <s v="Transportation"/>
    <m/>
    <s v="No"/>
    <m/>
    <n v="44175"/>
    <n v="206150"/>
    <n v="44175"/>
    <s v="C"/>
    <s v="J"/>
    <m/>
    <m/>
    <m/>
    <m/>
    <m/>
    <m/>
    <s v="INDOT DES 18001913"/>
  </r>
  <r>
    <x v="330"/>
    <s v="July "/>
    <n v="2025"/>
    <x v="0"/>
    <n v="-1.29"/>
    <x v="0"/>
    <n v="122550"/>
    <n v="568"/>
    <s v="State Isolated"/>
    <s v="PEM"/>
    <n v="0.86"/>
    <s v="INDOT"/>
    <s v="N/A"/>
    <s v="2024-944-45-GCW-IWIP"/>
    <m/>
    <s v="Lake"/>
    <n v="41.420949999999998"/>
    <n v="-87.431240000000003"/>
    <s v="Transportation"/>
    <m/>
    <s v="No"/>
    <m/>
    <n v="18382.5"/>
    <n v="85785"/>
    <n v="18382.5"/>
    <s v="C"/>
    <s v="SI"/>
    <s v="2 NF"/>
    <m/>
    <m/>
    <m/>
    <m/>
    <m/>
    <s v="INDOT DES 1700022"/>
  </r>
  <r>
    <x v="331"/>
    <s v="July"/>
    <n v="2025"/>
    <x v="9"/>
    <n v="-1032"/>
    <x v="1"/>
    <n v="464400"/>
    <n v="612"/>
    <s v="Federal"/>
    <s v="Int"/>
    <n v="1032"/>
    <s v="GTV Indianapolis, LLC"/>
    <s v="LRL-2025-00176-sjk"/>
    <s v="2025-203-49-LDC-WQC"/>
    <m/>
    <s v="Marion"/>
    <n v="39.7029"/>
    <n v="-86.263999999999996"/>
    <s v="Development"/>
    <m/>
    <s v="No"/>
    <m/>
    <n v="69660"/>
    <n v="325080"/>
    <n v="69660"/>
    <s v="L"/>
    <s v="J"/>
    <m/>
    <m/>
    <m/>
    <m/>
    <m/>
    <m/>
    <m/>
  </r>
  <r>
    <x v="332"/>
    <s v="August"/>
    <n v="2025"/>
    <x v="3"/>
    <n v="-231"/>
    <x v="1"/>
    <n v="103950"/>
    <n v="619"/>
    <s v="Federal"/>
    <s v="Int"/>
    <n v="192"/>
    <s v="AEP"/>
    <s v="LRE-2025-00093-102-R25"/>
    <s v="2025-172-2-EJW-WQC"/>
    <m/>
    <s v="Allen"/>
    <n v="41.025829999999999"/>
    <n v="-85.046914000000001"/>
    <s v="Transportation"/>
    <m/>
    <s v="No"/>
    <m/>
    <n v="15592.5"/>
    <n v="72765"/>
    <n v="15592.5"/>
    <s v="D"/>
    <s v="J"/>
    <m/>
    <m/>
    <m/>
    <m/>
    <m/>
    <m/>
    <s v="AEP - Zodiac Station Access Road"/>
  </r>
  <r>
    <x v="332"/>
    <s v="August"/>
    <n v="2025"/>
    <x v="4"/>
    <n v="-0.25800000000000001"/>
    <x v="0"/>
    <n v="20640"/>
    <n v="622"/>
    <s v="Federal"/>
    <s v="PEM"/>
    <n v="0.52100000000000002"/>
    <s v="ENTEK Lithium Separators LLC"/>
    <s v="LRL-2023-00388-AMW"/>
    <s v="2024-660-84-MMR-WQC"/>
    <m/>
    <s v="Vigo"/>
    <n v="39.351748999999998"/>
    <n v="-87.411080999999996"/>
    <s v="Development"/>
    <m/>
    <s v="No"/>
    <m/>
    <n v="3096"/>
    <n v="14447.999999999998"/>
    <n v="3096"/>
    <s v="L"/>
    <s v="J"/>
    <m/>
    <m/>
    <m/>
    <m/>
    <m/>
    <m/>
    <m/>
  </r>
  <r>
    <x v="333"/>
    <s v="August"/>
    <n v="2025"/>
    <x v="3"/>
    <n v="-48"/>
    <x v="1"/>
    <n v="21600"/>
    <n v="621"/>
    <s v="Federal"/>
    <s v="Int"/>
    <n v="48"/>
    <s v="INDOT"/>
    <s v="LRE-2025-00147-117-N25"/>
    <s v="2025-242-17-GCW-WQC"/>
    <m/>
    <s v="DeKalb"/>
    <n v="41.295524999999998"/>
    <n v="-85.187016"/>
    <s v="Transportation"/>
    <m/>
    <s v="No"/>
    <m/>
    <n v="3240"/>
    <n v="15119.999999999998"/>
    <n v="3240"/>
    <s v="D"/>
    <s v="J"/>
    <m/>
    <m/>
    <m/>
    <m/>
    <m/>
    <m/>
    <s v="INDOT DES 2100780"/>
  </r>
  <r>
    <x v="334"/>
    <s v="August"/>
    <n v="2025"/>
    <x v="7"/>
    <n v="-78"/>
    <x v="1"/>
    <n v="31200"/>
    <n v="620"/>
    <s v="Federal"/>
    <s v="Int"/>
    <n v="156"/>
    <s v="INDOT"/>
    <s v="LRL-2025-173-djd"/>
    <s v="2025-182-16--GCW-WQC"/>
    <m/>
    <s v="Decatur"/>
    <n v="39.249775999999997"/>
    <n v="-85.356548000000004"/>
    <s v="Transportation"/>
    <m/>
    <s v="No"/>
    <m/>
    <n v="4680"/>
    <n v="21840"/>
    <n v="4680"/>
    <s v="L"/>
    <s v="J"/>
    <m/>
    <m/>
    <m/>
    <m/>
    <m/>
    <m/>
    <s v="INDOT DES 2001946"/>
  </r>
  <r>
    <x v="334"/>
    <s v="August"/>
    <n v="2025"/>
    <x v="10"/>
    <n v="-147"/>
    <x v="1"/>
    <n v="58800"/>
    <n v="620"/>
    <s v="Federal"/>
    <s v="Int"/>
    <n v="294"/>
    <s v="INDOT"/>
    <s v="LRL-2025-173-djd"/>
    <s v="2025-182-16--GCW-WQC"/>
    <m/>
    <s v="Decatur"/>
    <n v="39.278578000000003"/>
    <n v="-85.401252999999997"/>
    <s v="Transportation"/>
    <m/>
    <s v="No"/>
    <m/>
    <n v="8820"/>
    <n v="41160"/>
    <n v="8820"/>
    <s v="L"/>
    <s v="J"/>
    <m/>
    <m/>
    <m/>
    <m/>
    <m/>
    <m/>
    <s v="INDOT DES 2001946"/>
  </r>
  <r>
    <x v="334"/>
    <s v="August"/>
    <n v="2025"/>
    <x v="8"/>
    <n v="-39.5"/>
    <x v="1"/>
    <n v="15800"/>
    <n v="624"/>
    <s v="Federal"/>
    <s v="Int"/>
    <n v="39.5"/>
    <s v="INDOT"/>
    <m/>
    <s v="2025-425-52-GCW-NWP"/>
    <m/>
    <s v="Miami"/>
    <n v="40.741459999999996"/>
    <n v="-86.126411000000004"/>
    <s v="Transportation"/>
    <m/>
    <s v="No"/>
    <m/>
    <n v="2370"/>
    <n v="11060"/>
    <n v="2370"/>
    <s v="L"/>
    <s v="J"/>
    <m/>
    <m/>
    <m/>
    <m/>
    <m/>
    <m/>
    <s v="INDOT DES 2100799"/>
  </r>
  <r>
    <x v="334"/>
    <s v="August"/>
    <n v="2025"/>
    <x v="8"/>
    <n v="-19"/>
    <x v="1"/>
    <n v="7600"/>
    <n v="623"/>
    <s v="Federal"/>
    <s v="Eph"/>
    <n v="24.5"/>
    <s v="INDOT"/>
    <s v="LRL-2024-807-djd"/>
    <s v="2025-262-27-GCW-WQC"/>
    <m/>
    <s v="Grant"/>
    <n v="40.555041000000003"/>
    <n v="-85.636126000000004"/>
    <s v="Transportation"/>
    <m/>
    <s v="No"/>
    <m/>
    <n v="1140"/>
    <n v="5320"/>
    <n v="1140"/>
    <s v="L"/>
    <s v="J"/>
    <m/>
    <m/>
    <m/>
    <m/>
    <m/>
    <m/>
    <s v="INDOT DES No 2100273"/>
  </r>
  <r>
    <x v="334"/>
    <s v="August"/>
    <n v="2025"/>
    <x v="8"/>
    <n v="-72.5"/>
    <x v="1"/>
    <n v="29000"/>
    <n v="623"/>
    <s v="Federal"/>
    <s v="Int"/>
    <n v="175"/>
    <s v="INDOT"/>
    <s v="LRL-2024-807-djd"/>
    <s v="2025-262-27-GCW-WQC"/>
    <m/>
    <s v="Grant"/>
    <n v="40.555041000000003"/>
    <n v="-85.636126000000004"/>
    <s v="Transportation"/>
    <m/>
    <s v="No"/>
    <m/>
    <n v="4350"/>
    <n v="20300"/>
    <n v="4350"/>
    <s v="L"/>
    <s v="J"/>
    <m/>
    <m/>
    <m/>
    <m/>
    <m/>
    <m/>
    <s v="INDOT DES No 2100273"/>
  </r>
  <r>
    <x v="334"/>
    <s v="August"/>
    <n v="2025"/>
    <x v="8"/>
    <n v="-0.02"/>
    <x v="0"/>
    <n v="1600"/>
    <n v="623"/>
    <s v="State Isolated"/>
    <s v="PEM"/>
    <n v="1.18E-2"/>
    <s v="INDOT"/>
    <s v="N/A"/>
    <s v="2025-262-27-GCW-SRGP"/>
    <m/>
    <s v="Grant"/>
    <n v="40.556790999999997"/>
    <n v="-85.647180000000006"/>
    <s v="Transportation"/>
    <m/>
    <s v="No"/>
    <m/>
    <n v="240"/>
    <n v="1120"/>
    <n v="240"/>
    <s v="L"/>
    <s v="J"/>
    <s v="NF"/>
    <m/>
    <m/>
    <m/>
    <m/>
    <m/>
    <s v="INDOT DES No 2100273"/>
  </r>
  <r>
    <x v="334"/>
    <s v="August"/>
    <n v="2025"/>
    <x v="10"/>
    <n v="-9"/>
    <x v="1"/>
    <n v="3600"/>
    <n v="626"/>
    <s v="Federal"/>
    <s v="Per"/>
    <n v="9"/>
    <s v="INDOT"/>
    <s v="LRL-2024-142-dds"/>
    <s v="2025-437-16-GCW-NWP"/>
    <m/>
    <s v="Decatur"/>
    <n v="39.404198999999998"/>
    <n v="-85.558008000000001"/>
    <s v="Transportation"/>
    <m/>
    <s v="No"/>
    <m/>
    <n v="540"/>
    <n v="2520"/>
    <n v="540"/>
    <s v="L"/>
    <s v="J"/>
    <m/>
    <m/>
    <m/>
    <m/>
    <m/>
    <m/>
    <s v="INDOT DES 2100256"/>
  </r>
  <r>
    <x v="334"/>
    <s v="August"/>
    <n v="2025"/>
    <x v="10"/>
    <n v="-324"/>
    <x v="1"/>
    <n v="129600"/>
    <n v="626"/>
    <s v="Federal"/>
    <s v="Per"/>
    <n v="324"/>
    <s v="INDOT"/>
    <s v="LRL-2024-142-dds"/>
    <s v="2025-437-16-GCW-NWP"/>
    <m/>
    <s v="Decatur"/>
    <n v="39.404198999999998"/>
    <n v="-85.558008000000001"/>
    <s v="Transportation"/>
    <m/>
    <s v="No"/>
    <m/>
    <n v="19440"/>
    <n v="90720"/>
    <n v="19440"/>
    <s v="L"/>
    <s v="J"/>
    <m/>
    <m/>
    <m/>
    <m/>
    <m/>
    <m/>
    <s v="INDOT DES 2100256"/>
  </r>
  <r>
    <x v="335"/>
    <s v="August"/>
    <n v="2025"/>
    <x v="8"/>
    <n v="-45"/>
    <x v="1"/>
    <n v="18000"/>
    <n v="625"/>
    <s v="Federal"/>
    <s v="Per"/>
    <n v="88"/>
    <s v="INDOT"/>
    <s v="LRL-2023-303-djd"/>
    <s v="2023-327-90-MPY-A"/>
    <m/>
    <s v="Wells"/>
    <n v="40.654705999999997"/>
    <n v="-85.191113000000001"/>
    <s v="Transportation"/>
    <m/>
    <s v="No"/>
    <m/>
    <n v="2700"/>
    <n v="12600"/>
    <n v="2700"/>
    <s v="L"/>
    <s v="J"/>
    <m/>
    <m/>
    <m/>
    <m/>
    <m/>
    <m/>
    <s v="INDOT DES 1800156"/>
  </r>
  <r>
    <x v="336"/>
    <s v="September"/>
    <n v="2025"/>
    <x v="0"/>
    <n v="-0.99"/>
    <x v="0"/>
    <n v="94050"/>
    <n v="627"/>
    <s v="Federal"/>
    <s v="PEM"/>
    <n v="0.41199999999999998"/>
    <s v="INDOT"/>
    <s v="LRC-2022-00579"/>
    <s v="2024-162-45-GCW-A"/>
    <m/>
    <s v="Lake"/>
    <n v="41.6100894"/>
    <n v="-87.461603999999994"/>
    <s v="Transportation"/>
    <m/>
    <s v="No"/>
    <m/>
    <n v="14107.5"/>
    <n v="65835"/>
    <n v="14107.5"/>
    <s v="C"/>
    <s v="J"/>
    <m/>
    <m/>
    <m/>
    <m/>
    <m/>
    <m/>
    <s v="INDOT DES 1900009"/>
  </r>
  <r>
    <x v="337"/>
    <s v="September"/>
    <n v="2025"/>
    <x v="5"/>
    <n v="-586.79999999999995"/>
    <x v="1"/>
    <n v="234719.99999999997"/>
    <n v="628"/>
    <s v="Federal"/>
    <s v="Int"/>
    <n v="489"/>
    <s v="Warrick County Commissioners"/>
    <s v="LRL-2024-163"/>
    <s v="2024-82-87-MMR-A"/>
    <m/>
    <s v="Warrick"/>
    <n v="38.118459999999999"/>
    <n v="-87.053604000000007"/>
    <s v="Transportation"/>
    <m/>
    <s v="No"/>
    <m/>
    <n v="35207.999999999993"/>
    <n v="164303.99999999997"/>
    <n v="35207.999999999993"/>
    <s v="L"/>
    <s v="J"/>
    <m/>
    <m/>
    <m/>
    <m/>
    <m/>
    <m/>
    <s v="INDOT DES 1902795"/>
  </r>
  <r>
    <x v="337"/>
    <s v="September"/>
    <n v="2025"/>
    <x v="5"/>
    <n v="-592.20000000000005"/>
    <x v="1"/>
    <n v="236880.00000000003"/>
    <n v="628"/>
    <s v="Federal"/>
    <s v="Per"/>
    <n v="463"/>
    <s v="Warrick County Commissioners"/>
    <s v="LRL-2024-163"/>
    <s v="2024-82-87-MMR-A"/>
    <m/>
    <s v="Warrick"/>
    <n v="38.118459999999999"/>
    <n v="-87.053604000000007"/>
    <s v="Transportation"/>
    <m/>
    <s v="No"/>
    <m/>
    <n v="35532"/>
    <n v="165816"/>
    <n v="35532"/>
    <s v="L"/>
    <s v="J"/>
    <m/>
    <m/>
    <m/>
    <m/>
    <m/>
    <m/>
    <s v="INDOT DES 1902795"/>
  </r>
  <r>
    <x v="337"/>
    <s v="September"/>
    <n v="2025"/>
    <x v="5"/>
    <n v="-0.06"/>
    <x v="0"/>
    <n v="4800"/>
    <n v="628"/>
    <s v="Federal"/>
    <s v="PEM"/>
    <n v="0.03"/>
    <s v="Warrick County Commissioners"/>
    <s v="LRL-2024-163"/>
    <s v="2024-82-87-MMR-A"/>
    <m/>
    <s v="Warrick"/>
    <n v="38.118459999999999"/>
    <n v="-87.053604000000007"/>
    <s v="Transportation"/>
    <m/>
    <s v="No"/>
    <m/>
    <n v="720"/>
    <n v="3360"/>
    <n v="720"/>
    <s v="L"/>
    <s v="J"/>
    <m/>
    <m/>
    <m/>
    <m/>
    <m/>
    <m/>
    <s v="INDOT DES 1902795"/>
  </r>
  <r>
    <x v="338"/>
    <s v="September"/>
    <n v="2025"/>
    <x v="2"/>
    <n v="-0.13"/>
    <x v="0"/>
    <n v="10400"/>
    <n v="631"/>
    <s v="State Isolated"/>
    <s v="PFO"/>
    <n v="0.05"/>
    <s v="Pulte Homes of Indiana, LLC"/>
    <s v="N/A"/>
    <s v="2025-500-29-LDC-SRGP"/>
    <m/>
    <s v="Hamilton"/>
    <n v="40.007294000000002"/>
    <n v="-86.215046999999998"/>
    <s v="Development"/>
    <m/>
    <s v="No"/>
    <m/>
    <n v="1560"/>
    <n v="7279.9999999999991"/>
    <n v="1560"/>
    <s v="L"/>
    <s v="SI"/>
    <s v="2 FO"/>
    <m/>
    <m/>
    <m/>
    <m/>
    <m/>
    <s v="Impacts are in Upper White SA, IDEM permit OK's credit purchase in Lower White SA"/>
  </r>
  <r>
    <x v="339"/>
    <s v="October"/>
    <n v="2025"/>
    <x v="10"/>
    <n v="-782"/>
    <x v="1"/>
    <n v="312800"/>
    <n v="630"/>
    <s v="Federal"/>
    <s v="Per"/>
    <n v="823.5"/>
    <s v="City of Columbus, Redevelopment Commission"/>
    <s v="LRL-2017-1020-MKD"/>
    <s v="2023-449-03-ERL-A"/>
    <m/>
    <s v="Bartholomew"/>
    <n v="39.191346000000003"/>
    <n v="-85.925865999999999"/>
    <s v="Development"/>
    <m/>
    <s v="No"/>
    <m/>
    <n v="46920"/>
    <n v="218960"/>
    <n v="46920"/>
    <s v="L"/>
    <s v="J"/>
    <m/>
    <m/>
    <m/>
    <m/>
    <m/>
    <m/>
    <s v="Columbus Riverfront Modification"/>
  </r>
  <r>
    <x v="339"/>
    <s v="October"/>
    <n v="2025"/>
    <x v="0"/>
    <n v="-45.5"/>
    <x v="1"/>
    <n v="27300"/>
    <n v="635"/>
    <s v="Federal"/>
    <s v="Int"/>
    <n v="45.5"/>
    <s v="INDOT"/>
    <s v="N/A"/>
    <s v="2024-593-45-GCW-NWP"/>
    <m/>
    <s v="Lake"/>
    <n v="41.471215999999998"/>
    <n v="-87.313139000000007"/>
    <s v="Transportation"/>
    <m/>
    <s v="No"/>
    <m/>
    <n v="4095"/>
    <n v="19110"/>
    <n v="4095"/>
    <s v="C"/>
    <s v="J"/>
    <m/>
    <m/>
    <m/>
    <m/>
    <m/>
    <m/>
    <s v="INDOT DES 2002298"/>
  </r>
  <r>
    <x v="339"/>
    <s v="October"/>
    <n v="2025"/>
    <x v="4"/>
    <n v="-444"/>
    <x v="1"/>
    <n v="177600"/>
    <n v="638"/>
    <s v="Federal"/>
    <s v="Per"/>
    <n v="1255"/>
    <s v="INDOT "/>
    <s v="LRL-2024-635-djd"/>
    <s v="2024-695-54-GCW-WQC"/>
    <m/>
    <s v="Montgomery"/>
    <n v="40.025210000000001"/>
    <n v="-86.976550000000003"/>
    <s v="Transportation"/>
    <m/>
    <s v="No"/>
    <m/>
    <n v="26640"/>
    <n v="124319.99999999999"/>
    <n v="26640"/>
    <s v="L"/>
    <s v="J"/>
    <m/>
    <m/>
    <m/>
    <m/>
    <m/>
    <m/>
    <s v="INDOT DES 1800075"/>
  </r>
  <r>
    <x v="339"/>
    <s v="October"/>
    <n v="2025"/>
    <x v="10"/>
    <n v="-318"/>
    <x v="1"/>
    <n v="127200"/>
    <n v="639"/>
    <s v="Federal"/>
    <s v="Per"/>
    <n v="285"/>
    <s v="INDOT"/>
    <s v="LRL-2024-00353-DDC"/>
    <s v="2024-379-3-GCW-X"/>
    <m/>
    <s v="Bartholomew"/>
    <n v="39.095064999999998"/>
    <n v="-86.028053"/>
    <s v="Transportation"/>
    <m/>
    <s v="No"/>
    <m/>
    <n v="19080"/>
    <n v="89040"/>
    <n v="19080"/>
    <s v="L"/>
    <s v="J"/>
    <m/>
    <m/>
    <m/>
    <m/>
    <m/>
    <m/>
    <s v="INDOT DES 2100568"/>
  </r>
  <r>
    <x v="339"/>
    <s v="October"/>
    <n v="2025"/>
    <x v="9"/>
    <n v="-27"/>
    <x v="1"/>
    <n v="12150"/>
    <n v="640"/>
    <s v="Federal"/>
    <s v="Int"/>
    <n v="27"/>
    <s v="INDOT"/>
    <s v="LRL-2024-838-djd"/>
    <s v="2024-942-6-GCW-NWP"/>
    <m/>
    <s v="Boone"/>
    <n v="39.930833"/>
    <n v="-86.287778000000003"/>
    <s v="Transportation"/>
    <m/>
    <s v="No"/>
    <m/>
    <n v="1822.5"/>
    <n v="8505"/>
    <n v="1822.5"/>
    <s v="L"/>
    <s v="J"/>
    <m/>
    <m/>
    <m/>
    <m/>
    <m/>
    <m/>
    <s v="INDOT DES 2002271"/>
  </r>
  <r>
    <x v="339"/>
    <s v="October"/>
    <n v="2025"/>
    <x v="5"/>
    <n v="-26.4"/>
    <x v="1"/>
    <n v="10560"/>
    <n v="641"/>
    <s v="Federal"/>
    <s v="Int"/>
    <n v="26.4"/>
    <s v="INDOT"/>
    <s v="N/A"/>
    <s v="2024-757-62-GCW-NWP"/>
    <m/>
    <s v="Perry"/>
    <n v="38.231470999999999"/>
    <n v="-86.659903999999997"/>
    <s v="Transportation"/>
    <m/>
    <s v="No"/>
    <m/>
    <n v="1584"/>
    <n v="7391.9999999999991"/>
    <n v="1584"/>
    <s v="L"/>
    <s v="J"/>
    <m/>
    <m/>
    <m/>
    <m/>
    <m/>
    <m/>
    <s v="INDOT DES 2001796"/>
  </r>
  <r>
    <x v="339"/>
    <s v="October"/>
    <n v="2025"/>
    <x v="5"/>
    <n v="-3.1E-2"/>
    <x v="0"/>
    <n v="2480"/>
    <n v="641"/>
    <s v="Federal"/>
    <s v="PEM"/>
    <n v="3.1E-2"/>
    <s v="INDOT"/>
    <s v="N/A"/>
    <s v="2024-757-62-GCW-NWP"/>
    <m/>
    <s v="Perry"/>
    <n v="38.231470999999999"/>
    <n v="-86.659903999999997"/>
    <s v="Transportation"/>
    <m/>
    <s v="No"/>
    <m/>
    <n v="372"/>
    <n v="1736"/>
    <n v="372"/>
    <s v="L"/>
    <s v="J"/>
    <m/>
    <m/>
    <m/>
    <m/>
    <m/>
    <m/>
    <s v="INDOT DES 2001796"/>
  </r>
  <r>
    <x v="339"/>
    <s v="October"/>
    <n v="2025"/>
    <x v="5"/>
    <n v="-8.9999999999999993E-3"/>
    <x v="0"/>
    <n v="720"/>
    <n v="641"/>
    <s v="Federal"/>
    <s v="PSS"/>
    <n v="8.9999999999999993E-3"/>
    <s v="INDOT"/>
    <s v="N/A"/>
    <s v="2024-757-62-GCW-NWP"/>
    <m/>
    <s v="Perry"/>
    <n v="38.231470999999999"/>
    <n v="-86.659903999999997"/>
    <s v="Transportation"/>
    <m/>
    <s v="No"/>
    <m/>
    <n v="108"/>
    <n v="503.99999999999994"/>
    <n v="108"/>
    <s v="L"/>
    <s v="J"/>
    <m/>
    <m/>
    <m/>
    <m/>
    <m/>
    <m/>
    <s v="INDOT DES 2001796"/>
  </r>
  <r>
    <x v="340"/>
    <s v="October"/>
    <n v="2025"/>
    <x v="0"/>
    <n v="-5.5E-2"/>
    <x v="0"/>
    <n v="5225"/>
    <n v="632"/>
    <s v="Federal"/>
    <s v="PSS"/>
    <n v="1.52E-2"/>
    <s v="INDOT"/>
    <s v="LRC-2022-00492"/>
    <s v="2023-1025-64-GCW-A"/>
    <m/>
    <s v="Porter"/>
    <n v="41.470709999999997"/>
    <n v="-87.161940000000001"/>
    <s v="Transportation"/>
    <m/>
    <s v="No"/>
    <m/>
    <n v="783.75"/>
    <n v="3657.4999999999995"/>
    <n v="783.75"/>
    <s v="C"/>
    <s v="J"/>
    <m/>
    <m/>
    <m/>
    <m/>
    <m/>
    <m/>
    <s v="INDOT DES 1701335"/>
  </r>
  <r>
    <x v="340"/>
    <s v="October"/>
    <n v="2025"/>
    <x v="0"/>
    <n v="-210"/>
    <x v="1"/>
    <n v="126000"/>
    <n v="632"/>
    <s v="Federal"/>
    <s v="Per"/>
    <n v="228"/>
    <s v="INDOT"/>
    <s v="LRC-2022-00492"/>
    <s v="2023-1025-64-GCW-A"/>
    <m/>
    <s v="Porter"/>
    <n v="41.470709999999997"/>
    <n v="-87.161940000000001"/>
    <s v="Transportation"/>
    <m/>
    <s v="No"/>
    <m/>
    <n v="18900"/>
    <n v="88200"/>
    <n v="18900"/>
    <s v="C"/>
    <s v="J"/>
    <m/>
    <m/>
    <m/>
    <m/>
    <m/>
    <m/>
    <s v="INDOT DES 1701335"/>
  </r>
  <r>
    <x v="340"/>
    <s v="October"/>
    <n v="2025"/>
    <x v="0"/>
    <n v="-0.41"/>
    <x v="0"/>
    <n v="38950"/>
    <n v="645"/>
    <s v="State Isolated"/>
    <s v="PEM"/>
    <n v="0.27"/>
    <s v="Lennar Corporation"/>
    <s v="N/A"/>
    <s v="2025-464-64-MTM-IWIP"/>
    <m/>
    <s v="Porter"/>
    <n v="41.540109999999999"/>
    <n v="-87.199489999999997"/>
    <s v="Development"/>
    <m/>
    <s v="No"/>
    <m/>
    <n v="5842.5"/>
    <n v="27265"/>
    <n v="5842.5"/>
    <s v="D"/>
    <s v="SI"/>
    <s v="2NF"/>
    <m/>
    <m/>
    <m/>
    <m/>
    <m/>
    <m/>
  </r>
  <r>
    <x v="340"/>
    <s v="October"/>
    <n v="2025"/>
    <x v="8"/>
    <n v="-96.36"/>
    <x v="1"/>
    <n v="38544"/>
    <n v="642"/>
    <s v="Federal"/>
    <s v="Per"/>
    <n v="1026.3"/>
    <s v="INDOT"/>
    <s v="LRL-2024-00430-102-N24"/>
    <s v="2024-672-2-TLG-WQC"/>
    <m/>
    <s v="Allen"/>
    <n v="41.074548"/>
    <n v="-85.231093999999999"/>
    <s v="Transportation"/>
    <m/>
    <s v="No"/>
    <m/>
    <n v="5781.5999999999995"/>
    <n v="26980.799999999999"/>
    <n v="5781.5999999999995"/>
    <s v="L"/>
    <s v="J"/>
    <m/>
    <m/>
    <m/>
    <m/>
    <m/>
    <m/>
    <s v="INDOT DES 2100758"/>
  </r>
  <r>
    <x v="340"/>
    <s v="October"/>
    <n v="2025"/>
    <x v="8"/>
    <n v="-1.32"/>
    <x v="0"/>
    <n v="105600"/>
    <n v="649"/>
    <s v="State Isolated"/>
    <s v="PFO"/>
    <n v="0.66"/>
    <s v="Fort Wayne International Airport"/>
    <s v="N/A"/>
    <s v="2025-552-2-EJW-IWIP"/>
    <m/>
    <s v="Allen"/>
    <n v="40.980449999999998"/>
    <n v="-85.201390000000004"/>
    <s v="Development"/>
    <m/>
    <s v="No"/>
    <m/>
    <n v="15840"/>
    <n v="73920"/>
    <n v="15840"/>
    <s v="D"/>
    <s v="SI"/>
    <s v="2 FO"/>
    <m/>
    <m/>
    <m/>
    <m/>
    <m/>
    <m/>
  </r>
  <r>
    <x v="340"/>
    <s v="October"/>
    <n v="2025"/>
    <x v="8"/>
    <n v="-0.05"/>
    <x v="0"/>
    <n v="4000"/>
    <n v="649"/>
    <s v="State Isolated"/>
    <s v="PEM"/>
    <n v="0.03"/>
    <s v="Fort Wayne International Airport"/>
    <s v="N/A"/>
    <s v="2025-552-2-EJW-IWIP"/>
    <m/>
    <s v="Allen"/>
    <n v="40.980449999999998"/>
    <n v="-85.201390000000004"/>
    <s v="Development"/>
    <m/>
    <s v="No"/>
    <m/>
    <n v="600"/>
    <n v="2800"/>
    <n v="600"/>
    <s v="D"/>
    <s v="SI"/>
    <s v="2 NF"/>
    <m/>
    <m/>
    <m/>
    <m/>
    <m/>
    <m/>
  </r>
  <r>
    <x v="341"/>
    <s v="October"/>
    <n v="2025"/>
    <x v="2"/>
    <n v="-0.45"/>
    <x v="0"/>
    <n v="36000"/>
    <n v="643"/>
    <s v="Federal"/>
    <s v="PEM"/>
    <n v="0.188"/>
    <s v="INDOT"/>
    <s v="LRL-2022-225-scm"/>
    <s v="2022-194-47-JBT-X"/>
    <m/>
    <s v="Lawrence"/>
    <n v="38.716428000000001"/>
    <n v="-86.553398000000001"/>
    <s v="Transportation"/>
    <m/>
    <s v="No"/>
    <m/>
    <n v="5400"/>
    <n v="25200"/>
    <n v="5400"/>
    <s v="L"/>
    <s v="J"/>
    <m/>
    <m/>
    <m/>
    <m/>
    <m/>
    <m/>
    <s v="INDOT DES 1800124"/>
  </r>
  <r>
    <x v="341"/>
    <s v="October"/>
    <n v="2025"/>
    <x v="5"/>
    <n v="-0.11"/>
    <x v="0"/>
    <n v="8800"/>
    <n v="644"/>
    <s v="Federal"/>
    <s v="PEM"/>
    <n v="5.3999999999999999E-2"/>
    <s v="INDOT"/>
    <s v="LRL-2025-434"/>
    <s v="2025-511-74-GCW-WQC"/>
    <m/>
    <s v="Spencer"/>
    <n v="37.902059000000001"/>
    <n v="-87.150698000000006"/>
    <s v="Transportation"/>
    <m/>
    <s v="No"/>
    <m/>
    <n v="1320"/>
    <n v="6160"/>
    <n v="1320"/>
    <s v="L"/>
    <s v="J"/>
    <m/>
    <m/>
    <m/>
    <m/>
    <m/>
    <m/>
    <s v="INDOT DES 2100831"/>
  </r>
  <r>
    <x v="341"/>
    <s v="October"/>
    <n v="2025"/>
    <x v="2"/>
    <n v="-82"/>
    <x v="1"/>
    <n v="32800"/>
    <n v="646"/>
    <s v="Federal"/>
    <s v="Per"/>
    <n v="82"/>
    <s v="INDOT"/>
    <s v="LRL-2024-00740-DDC"/>
    <s v="2024-828-42-GCW-WQC"/>
    <m/>
    <s v="Knox"/>
    <n v="38.511229999999998"/>
    <n v="-87.288409999999999"/>
    <s v="Transportation"/>
    <m/>
    <s v="No"/>
    <m/>
    <n v="4920"/>
    <n v="22960"/>
    <n v="4920"/>
    <s v="L"/>
    <s v="J"/>
    <m/>
    <m/>
    <m/>
    <m/>
    <m/>
    <m/>
    <s v="INDOT DES No 2002050"/>
  </r>
  <r>
    <x v="341"/>
    <s v="October"/>
    <n v="2025"/>
    <x v="2"/>
    <n v="-0.57999999999999996"/>
    <x v="0"/>
    <n v="46400"/>
    <n v="646"/>
    <s v="Federal"/>
    <s v="PEM"/>
    <n v="0.24"/>
    <s v="INDOT"/>
    <s v="LRL-2024-00740-DDC"/>
    <s v="2024-828-42-GCW-WQC"/>
    <m/>
    <s v="Knox"/>
    <n v="38.511229999999998"/>
    <n v="-87.288409999999999"/>
    <s v="Transportation"/>
    <m/>
    <s v="No"/>
    <m/>
    <n v="6960"/>
    <n v="32479.999999999996"/>
    <n v="6960"/>
    <s v="L"/>
    <s v="J"/>
    <m/>
    <m/>
    <m/>
    <m/>
    <m/>
    <m/>
    <s v="INDOT DES No 2002050"/>
  </r>
  <r>
    <x v="342"/>
    <s v="October"/>
    <n v="2025"/>
    <x v="3"/>
    <n v="-1.58"/>
    <x v="0"/>
    <n v="126400"/>
    <n v="658"/>
    <s v="State Isolated"/>
    <s v="PFO"/>
    <n v="0.79"/>
    <s v="Hatchworks, LLC"/>
    <s v="N/A"/>
    <s v="2025-556-2-EJW-IWIP"/>
    <m/>
    <s v="Allen"/>
    <n v="41.038739999999997"/>
    <n v="-85.050330000000002"/>
    <s v="Development"/>
    <m/>
    <s v="No"/>
    <m/>
    <n v="18960"/>
    <n v="88480"/>
    <n v="18960"/>
    <s v="D"/>
    <s v="SI"/>
    <s v="2 FO"/>
    <m/>
    <m/>
    <m/>
    <m/>
    <m/>
    <s v="Project Zodiac"/>
  </r>
  <r>
    <x v="343"/>
    <s v="November"/>
    <n v="2025"/>
    <x v="6"/>
    <n v="-0.33600000000000002"/>
    <x v="0"/>
    <n v="40320"/>
    <n v="651"/>
    <s v="Federal"/>
    <s v="PEM"/>
    <n v="0.13900000000000001"/>
    <s v="Elkhart County Commissioners"/>
    <s v="LRE-2013-00774-120-N25"/>
    <s v="2025-563-20-EJW-NWP"/>
    <m/>
    <s v="Elkhart"/>
    <n v="41.531666999999999"/>
    <n v="-85.885969000000003"/>
    <s v="Transportation"/>
    <m/>
    <s v="No"/>
    <m/>
    <n v="6048"/>
    <n v="28224"/>
    <n v="6048"/>
    <s v="D"/>
    <s v="J"/>
    <m/>
    <m/>
    <m/>
    <m/>
    <m/>
    <m/>
    <m/>
  </r>
  <r>
    <x v="343"/>
    <s v="November"/>
    <n v="2025"/>
    <x v="6"/>
    <n v="-59"/>
    <x v="1"/>
    <n v="35400"/>
    <n v="651"/>
    <s v="Federal"/>
    <s v="Per"/>
    <n v="59"/>
    <s v="Elkhart County Commissioners"/>
    <s v="LRE-2013-00774-120-N25"/>
    <s v="2025-563-20-EJW-NWP"/>
    <m/>
    <s v="Elkhart"/>
    <n v="41.531666999999999"/>
    <n v="-85.885969000000003"/>
    <s v="Transportation"/>
    <m/>
    <s v="No"/>
    <m/>
    <n v="5310"/>
    <n v="24780"/>
    <n v="5310"/>
    <s v="D"/>
    <s v="J"/>
    <m/>
    <m/>
    <m/>
    <m/>
    <m/>
    <m/>
    <m/>
  </r>
  <r>
    <x v="344"/>
    <s v="November"/>
    <n v="2025"/>
    <x v="8"/>
    <n v="-3.07"/>
    <x v="0"/>
    <n v="245600"/>
    <n v="594"/>
    <s v="Federal"/>
    <s v="PEM"/>
    <n v="2.56"/>
    <s v="INDOT"/>
    <s v="LRL-2008-567"/>
    <s v="2010-023-34-JPS-A"/>
    <m/>
    <s v="Carrol"/>
    <n v="40.484130999999998"/>
    <n v="-86.509308000000004"/>
    <s v="Transportation"/>
    <m/>
    <s v="No"/>
    <m/>
    <n v="36840"/>
    <n v="171920"/>
    <n v="36840"/>
    <s v="L"/>
    <s v="J"/>
    <m/>
    <m/>
    <m/>
    <m/>
    <m/>
    <m/>
    <m/>
  </r>
  <r>
    <x v="345"/>
    <s v="December"/>
    <n v="2025"/>
    <x v="3"/>
    <n v="-0.70799999999999996"/>
    <x v="0"/>
    <n v="56640"/>
    <n v="650"/>
    <s v="Federal"/>
    <s v="PFO"/>
    <n v="0.23599999999999999"/>
    <s v="AEP Indiana Michigan Transmission Company, Inc."/>
    <s v="N/A"/>
    <s v="2025-571-17-EJW-WQC"/>
    <m/>
    <s v="DeKalb"/>
    <n v="41.423319999999997"/>
    <n v="-84.884960000000007"/>
    <s v="Development"/>
    <m/>
    <s v="No"/>
    <m/>
    <n v="8496"/>
    <n v="39648"/>
    <n v="8496"/>
    <s v="D"/>
    <s v="J"/>
    <m/>
    <m/>
    <m/>
    <m/>
    <m/>
    <m/>
    <m/>
  </r>
  <r>
    <x v="345"/>
    <s v="December"/>
    <n v="2025"/>
    <x v="3"/>
    <n v="-2E-3"/>
    <x v="0"/>
    <n v="160"/>
    <n v="650"/>
    <s v="Federal"/>
    <s v="PEM"/>
    <n v="0.38500000000000001"/>
    <s v="AEP Indiana Michigan Transmission Company, Inc."/>
    <s v="N/A"/>
    <s v="2025-571-17-EJW-WQC"/>
    <m/>
    <s v="DeKalb"/>
    <n v="41.423319999999997"/>
    <n v="-84.884960000000007"/>
    <s v="Development"/>
    <m/>
    <s v="No"/>
    <m/>
    <n v="24"/>
    <n v="112"/>
    <n v="24"/>
    <s v="D"/>
    <s v="J"/>
    <m/>
    <m/>
    <m/>
    <m/>
    <m/>
    <m/>
    <m/>
  </r>
  <r>
    <x v="346"/>
    <s v="December"/>
    <n v="2025"/>
    <x v="8"/>
    <n v="-513"/>
    <x v="1"/>
    <n v="205200"/>
    <n v="657"/>
    <s v="Federal"/>
    <s v="Int"/>
    <n v="427"/>
    <s v="Waste Management of Indiana"/>
    <s v="LRL-2004-1183-sam"/>
    <s v="2006-89-09-EME-A"/>
    <m/>
    <s v="Cass"/>
    <n v="40.722000000000001"/>
    <n v="-86.336699999999993"/>
    <s v="Development"/>
    <m/>
    <s v="No"/>
    <m/>
    <n v="30780"/>
    <n v="143640"/>
    <n v="30780"/>
    <s v="L"/>
    <s v="J"/>
    <m/>
    <m/>
    <m/>
    <m/>
    <m/>
    <m/>
    <m/>
  </r>
  <r>
    <x v="346"/>
    <s v="December"/>
    <n v="2025"/>
    <x v="4"/>
    <n v="-11"/>
    <x v="1"/>
    <n v="4400"/>
    <n v="655"/>
    <s v="Federal"/>
    <s v="Eph"/>
    <n v="152"/>
    <s v="INDOT"/>
    <s v="LRL-2025-310"/>
    <s v="2025-333-83-GCW-WQC"/>
    <m/>
    <s v="Vermillion"/>
    <n v="39.786949999999997"/>
    <n v="-87.408309599999995"/>
    <s v="Transportation"/>
    <m/>
    <s v="No"/>
    <m/>
    <n v="660"/>
    <n v="3080"/>
    <n v="660"/>
    <s v="L"/>
    <s v="J"/>
    <m/>
    <m/>
    <m/>
    <m/>
    <m/>
    <m/>
    <s v="INDOT DES 2001776"/>
  </r>
  <r>
    <x v="346"/>
    <s v="December"/>
    <n v="2025"/>
    <x v="4"/>
    <n v="-62"/>
    <x v="1"/>
    <n v="24800"/>
    <n v="655"/>
    <s v="Federal"/>
    <s v="Int"/>
    <n v="762"/>
    <s v="INDOT"/>
    <s v="LRL-2025-310"/>
    <s v="2025-333-83-GCW-WQC"/>
    <m/>
    <s v="Vermillion"/>
    <n v="39.786949999999997"/>
    <n v="-87.408309599999995"/>
    <s v="Transportation"/>
    <m/>
    <s v="No"/>
    <m/>
    <n v="3720"/>
    <n v="17360"/>
    <n v="3720"/>
    <s v="L"/>
    <s v="J"/>
    <m/>
    <m/>
    <m/>
    <m/>
    <m/>
    <m/>
    <s v="INDOT DES 2001776"/>
  </r>
  <r>
    <x v="346"/>
    <s v="December"/>
    <n v="2025"/>
    <x v="4"/>
    <n v="-2.5000000000000001E-2"/>
    <x v="0"/>
    <n v="2000"/>
    <n v="655"/>
    <s v="Federal"/>
    <s v="PEM"/>
    <n v="1.2500000000000001E-2"/>
    <s v="INDOT"/>
    <s v="LRL-2025-310"/>
    <s v="2025-333-83-GCW-WQC"/>
    <m/>
    <s v="Vermillion"/>
    <n v="39.786949999999997"/>
    <n v="-87.408309599999995"/>
    <s v="Transportation"/>
    <m/>
    <s v="No"/>
    <m/>
    <n v="300"/>
    <n v="1400"/>
    <n v="300"/>
    <s v="L"/>
    <s v="J"/>
    <m/>
    <m/>
    <m/>
    <m/>
    <m/>
    <m/>
    <s v="INDOT DES 2001776"/>
  </r>
  <r>
    <x v="346"/>
    <s v="December"/>
    <n v="2025"/>
    <x v="6"/>
    <n v="-28"/>
    <x v="1"/>
    <n v="16800"/>
    <n v="654"/>
    <s v="Federal"/>
    <s v="Int"/>
    <n v="28"/>
    <s v="INDOT"/>
    <s v="LRE-2025-00547-176-N25"/>
    <s v="2025-871-76-GCW-NWP"/>
    <m/>
    <s v="Steuben"/>
    <n v="41.638494549999997"/>
    <n v="-85.047915000000003"/>
    <s v="Transportation"/>
    <m/>
    <s v="No"/>
    <m/>
    <n v="2520"/>
    <n v="11760"/>
    <n v="2520"/>
    <s v="L"/>
    <s v="J"/>
    <m/>
    <m/>
    <m/>
    <m/>
    <m/>
    <m/>
    <m/>
  </r>
  <r>
    <x v="347"/>
    <s v="December"/>
    <n v="2025"/>
    <x v="7"/>
    <n v="-288"/>
    <x v="1"/>
    <n v="115200"/>
    <n v="659"/>
    <s v="Federal"/>
    <s v="Int"/>
    <n v="288"/>
    <s v="Clark Floyd Landfill, LLC"/>
    <s v="LRL-2013-00374"/>
    <s v="2021-189-10-TMS-A"/>
    <m/>
    <s v="Clark"/>
    <n v="38.457000000000001"/>
    <n v="-85.847740000000002"/>
    <s v="Development"/>
    <m/>
    <s v="No"/>
    <m/>
    <n v="17280"/>
    <n v="80640"/>
    <n v="17280"/>
    <s v="L"/>
    <s v="J"/>
    <m/>
    <m/>
    <m/>
    <m/>
    <m/>
    <m/>
    <s v="Payment 5 of 7"/>
  </r>
  <r>
    <x v="347"/>
    <s v="December"/>
    <n v="2025"/>
    <x v="7"/>
    <n v="-1.3"/>
    <x v="0"/>
    <n v="104000"/>
    <n v="659"/>
    <s v="Federal"/>
    <s v="PFO"/>
    <n v="1.3"/>
    <s v="Clark Floyd Landfill, LLC"/>
    <s v="LRL-2013-00374"/>
    <s v="2021-189-10-TMS-A"/>
    <m/>
    <s v="Clark"/>
    <n v="38.457000000000001"/>
    <n v="-85.847740000000002"/>
    <s v="Development"/>
    <m/>
    <s v="No"/>
    <m/>
    <n v="15600"/>
    <n v="72800"/>
    <n v="15600"/>
    <s v="L"/>
    <s v="J"/>
    <m/>
    <m/>
    <m/>
    <m/>
    <m/>
    <m/>
    <s v="Payment 5 of 7"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n v="0"/>
    <n v="0"/>
    <n v="0"/>
    <m/>
    <m/>
    <m/>
    <m/>
    <m/>
    <m/>
    <m/>
    <m/>
    <m/>
  </r>
  <r>
    <x v="12"/>
    <m/>
    <m/>
    <x v="11"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98134C-A693-4E62-B9E2-BE0EBF875E5D}" name="PivotTable1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>
  <location ref="A20:T34" firstHeaderRow="1" firstDataRow="3" firstDataCol="1"/>
  <pivotFields count="34">
    <pivotField showAll="0" includeNewItemsInFilter="1"/>
    <pivotField showAll="0"/>
    <pivotField axis="axisCol" showAll="0">
      <items count="11">
        <item x="0"/>
        <item x="2"/>
        <item x="3"/>
        <item x="4"/>
        <item x="1"/>
        <item m="1" x="9"/>
        <item x="5"/>
        <item x="6"/>
        <item x="7"/>
        <item x="8"/>
        <item t="default"/>
      </items>
    </pivotField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h="1" x="11"/>
        <item m="1" x="14"/>
        <item m="1" x="15"/>
        <item h="1" m="1" x="12"/>
        <item h="1" m="1" x="13"/>
        <item t="default"/>
      </items>
    </pivotField>
    <pivotField dataField="1" showAll="0"/>
    <pivotField axis="axisCol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2">
    <field x="5"/>
    <field x="2"/>
  </colFields>
  <colItems count="19">
    <i>
      <x/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t="default">
      <x/>
    </i>
    <i>
      <x v="1"/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t="default">
      <x v="1"/>
    </i>
    <i t="grand">
      <x/>
    </i>
  </colItems>
  <dataFields count="1">
    <dataField name="Sum of Credits" fld="4" baseField="3" baseItem="0"/>
  </dataFields>
  <formats count="8">
    <format dxfId="16">
      <pivotArea outline="0" collapsedLevelsAreSubtotals="1" fieldPosition="0">
        <references count="1">
          <reference field="5" count="2" selected="0" defaultSubtotal="1">
            <x v="0"/>
            <x v="1"/>
          </reference>
        </references>
      </pivotArea>
    </format>
    <format dxfId="15">
      <pivotArea outline="0" collapsedLevelsAreSubtotals="1" fieldPosition="0">
        <references count="1">
          <reference field="5" count="1" selected="0" defaultSubtotal="1">
            <x v="1"/>
          </reference>
        </references>
      </pivotArea>
    </format>
    <format dxfId="14">
      <pivotArea outline="0" collapsedLevelsAreSubtotals="1" fieldPosition="0">
        <references count="1">
          <reference field="5" count="1" selected="0" defaultSubtotal="1">
            <x v="2"/>
          </reference>
        </references>
      </pivotArea>
    </format>
    <format dxfId="13">
      <pivotArea grandCol="1" outline="0" collapsedLevelsAreSubtotals="1" fieldPosition="0"/>
    </format>
    <format dxfId="12">
      <pivotArea type="origin" dataOnly="0" labelOnly="1" outline="0" fieldPosition="0"/>
    </format>
    <format dxfId="11">
      <pivotArea field="3" type="button" dataOnly="0" labelOnly="1" outline="0" axis="axisRow" fieldPosition="0"/>
    </format>
    <format dxfId="10">
      <pivotArea dataOnly="0" labelOnly="1" fieldPosition="0">
        <references count="1">
          <reference field="3" count="0"/>
        </references>
      </pivotArea>
    </format>
    <format dxfId="9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89A1A7-985B-43A6-980C-2F94FCBF3F99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A52:E65" firstHeaderRow="1" firstDataRow="2" firstDataCol="1" rowPageCount="1" colPageCount="1"/>
  <pivotFields count="34">
    <pivotField showAll="0"/>
    <pivotField showAll="0"/>
    <pivotField showAll="0"/>
    <pivotField axis="axisRow"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h="1" x="11"/>
        <item h="1" m="1" x="14"/>
        <item h="1" m="1" x="12"/>
        <item h="1" m="1" x="13"/>
        <item t="default"/>
      </items>
    </pivotField>
    <pivotField dataField="1" showAll="0"/>
    <pivotField axis="axisPage" showAll="0">
      <items count="4">
        <item x="1"/>
        <item x="0"/>
        <item x="2"/>
        <item t="default"/>
      </items>
    </pivotField>
    <pivotField showAll="0"/>
    <pivotField showAll="0"/>
    <pivotField showAll="0"/>
    <pivotField axis="axisCol" showAll="0">
      <items count="9">
        <item h="1" x="1"/>
        <item h="1" x="2"/>
        <item x="3"/>
        <item h="1" x="6"/>
        <item x="4"/>
        <item x="5"/>
        <item h="1" x="0"/>
        <item h="1"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9"/>
  </colFields>
  <colItems count="4">
    <i>
      <x v="2"/>
    </i>
    <i>
      <x v="4"/>
    </i>
    <i>
      <x v="5"/>
    </i>
    <i t="grand">
      <x/>
    </i>
  </colItems>
  <pageFields count="1">
    <pageField fld="5" hier="-1"/>
  </pageFields>
  <dataFields count="1">
    <dataField name="Sum of Credits" fld="4" baseField="0" baseItem="0" numFmtId="166"/>
  </dataFields>
  <formats count="10">
    <format dxfId="26">
      <pivotArea collapsedLevelsAreSubtotals="1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25">
      <pivotArea dataOnly="0" labelOnly="1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24">
      <pivotArea grandRow="1" outline="0" collapsedLevelsAreSubtotals="1" fieldPosition="0"/>
    </format>
    <format dxfId="23">
      <pivotArea dataOnly="0" labelOnly="1" grandRow="1" outline="0" fieldPosition="0"/>
    </format>
    <format dxfId="22">
      <pivotArea outline="0" collapsedLevelsAreSubtotals="1" fieldPosition="0"/>
    </format>
    <format dxfId="21">
      <pivotArea field="5" type="button" dataOnly="0" labelOnly="1" outline="0" axis="axisPage" fieldPosition="0"/>
    </format>
    <format dxfId="20">
      <pivotArea type="origin" dataOnly="0" labelOnly="1" outline="0" fieldPosition="0"/>
    </format>
    <format dxfId="19">
      <pivotArea field="3" type="button" dataOnly="0" labelOnly="1" outline="0" axis="axisRow" fieldPosition="0"/>
    </format>
    <format dxfId="18">
      <pivotArea dataOnly="0" labelOnly="1" fieldPosition="0">
        <references count="1">
          <reference field="3" count="0"/>
        </references>
      </pivotArea>
    </format>
    <format dxfId="1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B8C2F0-75F4-470D-987C-96A7C8E24EC6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A68:C95" firstHeaderRow="0" firstDataRow="1" firstDataCol="1"/>
  <pivotFields count="34">
    <pivotField showAll="0"/>
    <pivotField showAll="0"/>
    <pivotField showAll="0"/>
    <pivotField axis="axisRow" showAll="0">
      <items count="16">
        <item x="0"/>
        <item x="1"/>
        <item x="2"/>
        <item x="3"/>
        <item x="4"/>
        <item m="1" x="12"/>
        <item x="5"/>
        <item x="6"/>
        <item x="7"/>
        <item x="8"/>
        <item x="9"/>
        <item m="1" x="14"/>
        <item x="10"/>
        <item x="11"/>
        <item m="1" x="13"/>
        <item t="default"/>
      </items>
    </pivotField>
    <pivotField dataField="1" showAll="0"/>
    <pivotField axis="axisRow" showAll="0">
      <items count="4">
        <item h="1" x="1"/>
        <item x="0"/>
        <item h="1" x="2"/>
        <item t="default"/>
      </items>
    </pivotField>
    <pivotField dataField="1" showAll="0"/>
    <pivotField showAll="0"/>
    <pivotField axis="axisRow" showAll="0">
      <items count="7">
        <item x="1"/>
        <item h="1" m="1" x="5"/>
        <item x="2"/>
        <item h="1" x="0"/>
        <item h="1" m="1" x="4"/>
        <item h="1" m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8"/>
    <field x="5"/>
    <field x="3"/>
  </rowFields>
  <rowItems count="27">
    <i>
      <x/>
    </i>
    <i r="1">
      <x v="1"/>
    </i>
    <i r="2">
      <x/>
    </i>
    <i r="2">
      <x v="1"/>
    </i>
    <i r="2">
      <x v="2"/>
    </i>
    <i r="2">
      <x v="3"/>
    </i>
    <i r="2">
      <x v="4"/>
    </i>
    <i r="2">
      <x v="6"/>
    </i>
    <i r="2">
      <x v="7"/>
    </i>
    <i r="2">
      <x v="8"/>
    </i>
    <i r="2">
      <x v="9"/>
    </i>
    <i r="2">
      <x v="10"/>
    </i>
    <i r="2">
      <x v="12"/>
    </i>
    <i>
      <x v="2"/>
    </i>
    <i r="1">
      <x v="1"/>
    </i>
    <i r="2">
      <x/>
    </i>
    <i r="2">
      <x v="1"/>
    </i>
    <i r="2">
      <x v="2"/>
    </i>
    <i r="2">
      <x v="3"/>
    </i>
    <i r="2">
      <x v="4"/>
    </i>
    <i r="2">
      <x v="6"/>
    </i>
    <i r="2">
      <x v="7"/>
    </i>
    <i r="2">
      <x v="8"/>
    </i>
    <i r="2">
      <x v="9"/>
    </i>
    <i r="2">
      <x v="10"/>
    </i>
    <i r="2"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redits" fld="4" baseField="0" baseItem="0"/>
    <dataField name="Sum of In-Lieu Fee" fld="6" baseField="0" baseItem="0" numFmtId="44"/>
  </dataFields>
  <formats count="8">
    <format dxfId="3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3">
      <pivotArea field="8" type="button" dataOnly="0" labelOnly="1" outline="0" axis="axisRow" fieldPosition="0"/>
    </format>
    <format dxfId="32">
      <pivotArea dataOnly="0" labelOnly="1" fieldPosition="0">
        <references count="1">
          <reference field="8" count="0"/>
        </references>
      </pivotArea>
    </format>
    <format dxfId="31">
      <pivotArea dataOnly="0" labelOnly="1" grandRow="1" outline="0" fieldPosition="0"/>
    </format>
    <format dxfId="30">
      <pivotArea dataOnly="0" labelOnly="1" fieldPosition="0">
        <references count="2">
          <reference field="5" count="0"/>
          <reference field="8" count="1" selected="0">
            <x v="0"/>
          </reference>
        </references>
      </pivotArea>
    </format>
    <format dxfId="29">
      <pivotArea dataOnly="0" labelOnly="1" fieldPosition="0">
        <references count="2">
          <reference field="5" count="0"/>
          <reference field="8" count="1" selected="0">
            <x v="2"/>
          </reference>
        </references>
      </pivotArea>
    </format>
    <format dxfId="28">
      <pivotArea dataOnly="0" labelOnly="1" fieldPosition="0">
        <references count="3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</reference>
          <reference field="5" count="0" selected="0"/>
          <reference field="8" count="1" selected="0">
            <x v="0"/>
          </reference>
        </references>
      </pivotArea>
    </format>
    <format dxfId="27">
      <pivotArea dataOnly="0" labelOnly="1" fieldPosition="0">
        <references count="3">
          <reference field="3" count="10">
            <x v="0"/>
            <x v="1"/>
            <x v="2"/>
            <x v="3"/>
            <x v="4"/>
            <x v="6"/>
            <x v="8"/>
            <x v="9"/>
            <x v="10"/>
            <x v="12"/>
          </reference>
          <reference field="5" count="0" selected="0"/>
          <reference field="8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Table6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>
  <location ref="A3:KS17" firstHeaderRow="1" firstDataRow="3" firstDataCol="1"/>
  <pivotFields count="34">
    <pivotField axis="axisCol" showAll="0" defaultSubtotal="0">
      <items count="358">
        <item sd="0" x="0"/>
        <item sd="0" x="1"/>
        <item m="1" x="353"/>
        <item x="12"/>
        <item sd="0" x="2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6"/>
        <item x="6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7"/>
        <item x="86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18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m="1" x="355"/>
        <item x="153"/>
        <item x="154"/>
        <item x="155"/>
        <item m="1" x="356"/>
        <item x="156"/>
        <item x="157"/>
        <item x="159"/>
        <item x="158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m="1" x="352"/>
        <item x="182"/>
        <item x="183"/>
        <item x="185"/>
        <item x="186"/>
        <item x="187"/>
        <item x="189"/>
        <item x="190"/>
        <item x="191"/>
        <item x="192"/>
        <item x="193"/>
        <item x="194"/>
        <item x="196"/>
        <item x="197"/>
        <item m="1" x="354"/>
        <item x="198"/>
        <item x="199"/>
        <item x="200"/>
        <item x="202"/>
        <item m="1" x="357"/>
        <item x="203"/>
        <item x="204"/>
        <item x="205"/>
        <item x="206"/>
        <item x="207"/>
        <item x="208"/>
        <item x="209"/>
        <item x="184"/>
        <item x="210"/>
        <item x="195"/>
        <item x="201"/>
        <item x="211"/>
        <item x="212"/>
        <item x="213"/>
        <item x="214"/>
        <item m="1" x="349"/>
        <item m="1" x="350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m="1" x="351"/>
        <item x="242"/>
        <item x="244"/>
        <item x="245"/>
        <item x="246"/>
        <item m="1" x="348"/>
        <item x="247"/>
        <item x="248"/>
        <item x="249"/>
        <item x="243"/>
        <item x="250"/>
        <item x="251"/>
        <item x="252"/>
        <item x="253"/>
        <item x="254"/>
        <item x="255"/>
        <item x="256"/>
        <item x="257"/>
        <item x="259"/>
        <item x="260"/>
        <item x="261"/>
        <item x="262"/>
        <item x="263"/>
        <item x="188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58"/>
        <item x="279"/>
        <item x="280"/>
        <item x="281"/>
        <item x="282"/>
        <item x="283"/>
        <item x="284"/>
        <item x="285"/>
        <item x="286"/>
        <item x="287"/>
        <item x="289"/>
        <item x="288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</items>
    </pivotField>
    <pivotField showAll="0" defaultSubtota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h="1" x="11"/>
        <item m="1" x="14"/>
        <item m="1" x="15"/>
        <item h="1" m="1" x="12"/>
        <item h="1" m="1" x="13"/>
        <item t="default"/>
      </items>
    </pivotField>
    <pivotField dataField="1" showAll="0"/>
    <pivotField axis="axisCol" showAll="0">
      <items count="4">
        <item h="1" x="1"/>
        <item x="0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</pivotFields>
  <rowFields count="1">
    <field x="3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2">
    <field x="0"/>
    <field x="5"/>
  </colFields>
  <colItems count="304">
    <i>
      <x/>
    </i>
    <i>
      <x v="1"/>
    </i>
    <i>
      <x v="4"/>
    </i>
    <i>
      <x v="5"/>
      <x v="1"/>
    </i>
    <i>
      <x v="6"/>
      <x v="1"/>
    </i>
    <i>
      <x v="7"/>
      <x v="1"/>
    </i>
    <i>
      <x v="8"/>
      <x v="1"/>
    </i>
    <i>
      <x v="10"/>
      <x v="1"/>
    </i>
    <i>
      <x v="11"/>
      <x v="1"/>
    </i>
    <i>
      <x v="12"/>
      <x v="1"/>
    </i>
    <i>
      <x v="13"/>
      <x v="1"/>
    </i>
    <i>
      <x v="14"/>
      <x v="1"/>
    </i>
    <i>
      <x v="16"/>
      <x v="1"/>
    </i>
    <i>
      <x v="17"/>
      <x v="1"/>
    </i>
    <i>
      <x v="18"/>
      <x v="1"/>
    </i>
    <i>
      <x v="19"/>
      <x v="1"/>
    </i>
    <i>
      <x v="20"/>
      <x v="1"/>
    </i>
    <i>
      <x v="21"/>
      <x v="1"/>
    </i>
    <i>
      <x v="22"/>
      <x v="1"/>
    </i>
    <i>
      <x v="23"/>
      <x v="1"/>
    </i>
    <i>
      <x v="24"/>
      <x v="1"/>
    </i>
    <i>
      <x v="25"/>
      <x v="1"/>
    </i>
    <i>
      <x v="26"/>
      <x v="1"/>
    </i>
    <i>
      <x v="27"/>
      <x v="1"/>
    </i>
    <i>
      <x v="28"/>
      <x v="1"/>
    </i>
    <i>
      <x v="30"/>
      <x v="1"/>
    </i>
    <i>
      <x v="31"/>
      <x v="1"/>
    </i>
    <i>
      <x v="32"/>
      <x v="1"/>
    </i>
    <i>
      <x v="33"/>
      <x v="1"/>
    </i>
    <i>
      <x v="34"/>
      <x v="1"/>
    </i>
    <i>
      <x v="35"/>
      <x v="1"/>
    </i>
    <i>
      <x v="36"/>
      <x v="1"/>
    </i>
    <i>
      <x v="37"/>
      <x v="1"/>
    </i>
    <i>
      <x v="38"/>
      <x v="1"/>
    </i>
    <i>
      <x v="39"/>
      <x v="1"/>
    </i>
    <i>
      <x v="40"/>
      <x v="1"/>
    </i>
    <i>
      <x v="41"/>
      <x v="1"/>
    </i>
    <i>
      <x v="43"/>
      <x v="1"/>
    </i>
    <i>
      <x v="44"/>
      <x v="1"/>
    </i>
    <i>
      <x v="47"/>
      <x v="1"/>
    </i>
    <i>
      <x v="48"/>
      <x v="1"/>
    </i>
    <i>
      <x v="49"/>
      <x v="1"/>
    </i>
    <i>
      <x v="50"/>
      <x v="1"/>
    </i>
    <i>
      <x v="51"/>
      <x v="1"/>
    </i>
    <i>
      <x v="52"/>
      <x v="1"/>
    </i>
    <i>
      <x v="53"/>
      <x v="1"/>
    </i>
    <i>
      <x v="54"/>
      <x v="1"/>
    </i>
    <i>
      <x v="55"/>
      <x v="1"/>
    </i>
    <i>
      <x v="56"/>
      <x v="1"/>
    </i>
    <i>
      <x v="58"/>
      <x v="1"/>
    </i>
    <i>
      <x v="59"/>
      <x v="1"/>
    </i>
    <i>
      <x v="60"/>
      <x v="1"/>
    </i>
    <i>
      <x v="61"/>
      <x v="1"/>
    </i>
    <i>
      <x v="62"/>
      <x v="1"/>
    </i>
    <i>
      <x v="63"/>
      <x v="1"/>
    </i>
    <i>
      <x v="65"/>
      <x v="1"/>
    </i>
    <i>
      <x v="66"/>
      <x v="1"/>
    </i>
    <i>
      <x v="67"/>
      <x v="1"/>
    </i>
    <i>
      <x v="68"/>
      <x v="1"/>
    </i>
    <i>
      <x v="69"/>
      <x v="1"/>
    </i>
    <i>
      <x v="70"/>
      <x v="1"/>
    </i>
    <i>
      <x v="71"/>
      <x v="1"/>
    </i>
    <i>
      <x v="72"/>
      <x v="1"/>
    </i>
    <i>
      <x v="73"/>
      <x v="1"/>
    </i>
    <i>
      <x v="75"/>
      <x v="1"/>
    </i>
    <i>
      <x v="76"/>
      <x v="1"/>
    </i>
    <i>
      <x v="77"/>
      <x v="1"/>
    </i>
    <i>
      <x v="79"/>
      <x v="1"/>
    </i>
    <i>
      <x v="80"/>
      <x v="1"/>
    </i>
    <i>
      <x v="81"/>
      <x v="1"/>
    </i>
    <i>
      <x v="82"/>
      <x v="1"/>
    </i>
    <i>
      <x v="84"/>
      <x v="1"/>
    </i>
    <i>
      <x v="85"/>
      <x v="1"/>
    </i>
    <i>
      <x v="86"/>
      <x v="1"/>
    </i>
    <i>
      <x v="87"/>
      <x v="1"/>
    </i>
    <i>
      <x v="88"/>
      <x v="1"/>
    </i>
    <i>
      <x v="89"/>
      <x v="1"/>
    </i>
    <i>
      <x v="90"/>
      <x v="1"/>
    </i>
    <i>
      <x v="91"/>
      <x v="1"/>
    </i>
    <i>
      <x v="93"/>
      <x v="1"/>
    </i>
    <i>
      <x v="94"/>
      <x v="1"/>
    </i>
    <i>
      <x v="96"/>
      <x v="1"/>
    </i>
    <i>
      <x v="97"/>
      <x v="1"/>
    </i>
    <i>
      <x v="98"/>
      <x v="1"/>
    </i>
    <i>
      <x v="99"/>
      <x v="1"/>
    </i>
    <i>
      <x v="100"/>
      <x v="1"/>
    </i>
    <i>
      <x v="101"/>
      <x v="1"/>
    </i>
    <i>
      <x v="102"/>
      <x v="1"/>
    </i>
    <i>
      <x v="103"/>
      <x v="1"/>
    </i>
    <i>
      <x v="104"/>
      <x v="1"/>
    </i>
    <i>
      <x v="106"/>
      <x v="1"/>
    </i>
    <i>
      <x v="107"/>
      <x v="1"/>
    </i>
    <i>
      <x v="108"/>
      <x v="1"/>
    </i>
    <i>
      <x v="109"/>
      <x v="1"/>
    </i>
    <i>
      <x v="110"/>
      <x v="1"/>
    </i>
    <i>
      <x v="111"/>
      <x v="1"/>
    </i>
    <i>
      <x v="112"/>
      <x v="1"/>
    </i>
    <i>
      <x v="113"/>
      <x v="1"/>
    </i>
    <i>
      <x v="116"/>
      <x v="1"/>
    </i>
    <i>
      <x v="117"/>
      <x v="1"/>
    </i>
    <i>
      <x v="118"/>
      <x v="1"/>
    </i>
    <i>
      <x v="119"/>
      <x v="1"/>
    </i>
    <i>
      <x v="120"/>
      <x v="1"/>
    </i>
    <i>
      <x v="121"/>
      <x v="1"/>
    </i>
    <i>
      <x v="122"/>
      <x v="1"/>
    </i>
    <i>
      <x v="123"/>
      <x v="1"/>
    </i>
    <i>
      <x v="124"/>
      <x v="1"/>
    </i>
    <i>
      <x v="125"/>
      <x v="1"/>
    </i>
    <i>
      <x v="126"/>
      <x v="1"/>
    </i>
    <i>
      <x v="127"/>
      <x v="1"/>
    </i>
    <i>
      <x v="128"/>
      <x v="1"/>
    </i>
    <i>
      <x v="129"/>
      <x v="1"/>
    </i>
    <i>
      <x v="130"/>
      <x v="1"/>
    </i>
    <i>
      <x v="133"/>
      <x v="1"/>
    </i>
    <i>
      <x v="134"/>
      <x v="1"/>
    </i>
    <i>
      <x v="135"/>
      <x v="1"/>
    </i>
    <i>
      <x v="137"/>
      <x v="1"/>
    </i>
    <i>
      <x v="138"/>
      <x v="1"/>
    </i>
    <i>
      <x v="139"/>
      <x v="1"/>
    </i>
    <i>
      <x v="140"/>
      <x v="1"/>
    </i>
    <i>
      <x v="141"/>
      <x v="1"/>
    </i>
    <i>
      <x v="142"/>
      <x v="1"/>
    </i>
    <i>
      <x v="143"/>
      <x v="1"/>
    </i>
    <i>
      <x v="144"/>
      <x v="1"/>
    </i>
    <i>
      <x v="146"/>
      <x v="1"/>
    </i>
    <i>
      <x v="147"/>
      <x v="1"/>
    </i>
    <i>
      <x v="148"/>
      <x v="1"/>
    </i>
    <i>
      <x v="149"/>
      <x v="1"/>
    </i>
    <i>
      <x v="150"/>
      <x v="1"/>
    </i>
    <i>
      <x v="151"/>
      <x v="1"/>
    </i>
    <i>
      <x v="152"/>
      <x v="1"/>
    </i>
    <i>
      <x v="153"/>
      <x v="1"/>
    </i>
    <i>
      <x v="155"/>
      <x v="1"/>
    </i>
    <i>
      <x v="156"/>
      <x v="1"/>
    </i>
    <i>
      <x v="157"/>
      <x v="1"/>
    </i>
    <i>
      <x v="159"/>
      <x v="1"/>
    </i>
    <i>
      <x v="160"/>
      <x v="1"/>
    </i>
    <i>
      <x v="161"/>
      <x v="1"/>
    </i>
    <i>
      <x v="162"/>
      <x v="1"/>
    </i>
    <i>
      <x v="163"/>
      <x v="1"/>
    </i>
    <i>
      <x v="164"/>
      <x v="1"/>
    </i>
    <i>
      <x v="165"/>
      <x v="1"/>
    </i>
    <i>
      <x v="166"/>
      <x v="1"/>
    </i>
    <i>
      <x v="167"/>
      <x v="1"/>
    </i>
    <i>
      <x v="168"/>
      <x v="1"/>
    </i>
    <i>
      <x v="169"/>
      <x v="1"/>
    </i>
    <i>
      <x v="170"/>
      <x v="1"/>
    </i>
    <i>
      <x v="171"/>
      <x v="1"/>
    </i>
    <i>
      <x v="172"/>
      <x v="1"/>
    </i>
    <i>
      <x v="174"/>
      <x v="1"/>
    </i>
    <i>
      <x v="175"/>
      <x v="1"/>
    </i>
    <i>
      <x v="176"/>
      <x v="1"/>
    </i>
    <i>
      <x v="177"/>
      <x v="1"/>
    </i>
    <i>
      <x v="178"/>
      <x v="1"/>
    </i>
    <i>
      <x v="179"/>
      <x v="1"/>
    </i>
    <i>
      <x v="180"/>
      <x v="1"/>
    </i>
    <i>
      <x v="181"/>
      <x v="1"/>
    </i>
    <i>
      <x v="182"/>
      <x v="1"/>
    </i>
    <i>
      <x v="183"/>
      <x v="1"/>
    </i>
    <i>
      <x v="184"/>
      <x v="1"/>
    </i>
    <i>
      <x v="186"/>
      <x v="1"/>
    </i>
    <i>
      <x v="188"/>
      <x v="1"/>
    </i>
    <i>
      <x v="190"/>
      <x v="1"/>
    </i>
    <i>
      <x v="192"/>
      <x v="1"/>
    </i>
    <i>
      <x v="193"/>
      <x v="1"/>
    </i>
    <i>
      <x v="194"/>
      <x v="1"/>
    </i>
    <i>
      <x v="195"/>
      <x v="1"/>
    </i>
    <i>
      <x v="196"/>
      <x v="1"/>
    </i>
    <i>
      <x v="197"/>
      <x v="1"/>
    </i>
    <i>
      <x v="198"/>
      <x v="1"/>
    </i>
    <i>
      <x v="200"/>
      <x v="1"/>
    </i>
    <i>
      <x v="201"/>
      <x v="1"/>
    </i>
    <i>
      <x v="202"/>
      <x v="1"/>
    </i>
    <i>
      <x v="203"/>
      <x v="1"/>
    </i>
    <i>
      <x v="206"/>
      <x v="1"/>
    </i>
    <i>
      <x v="207"/>
      <x v="1"/>
    </i>
    <i>
      <x v="208"/>
      <x v="1"/>
    </i>
    <i>
      <x v="210"/>
      <x v="1"/>
    </i>
    <i>
      <x v="211"/>
      <x v="1"/>
    </i>
    <i>
      <x v="212"/>
      <x v="1"/>
    </i>
    <i>
      <x v="213"/>
      <x v="1"/>
    </i>
    <i>
      <x v="214"/>
      <x v="1"/>
    </i>
    <i>
      <x v="215"/>
      <x v="1"/>
    </i>
    <i>
      <x v="216"/>
      <x v="1"/>
    </i>
    <i>
      <x v="217"/>
      <x v="1"/>
    </i>
    <i>
      <x v="218"/>
      <x v="1"/>
    </i>
    <i>
      <x v="219"/>
      <x v="1"/>
    </i>
    <i>
      <x v="222"/>
      <x v="1"/>
    </i>
    <i>
      <x v="223"/>
      <x v="1"/>
    </i>
    <i>
      <x v="224"/>
      <x v="1"/>
    </i>
    <i>
      <x v="225"/>
      <x v="1"/>
    </i>
    <i>
      <x v="226"/>
      <x v="1"/>
    </i>
    <i>
      <x v="227"/>
      <x v="1"/>
    </i>
    <i>
      <x v="228"/>
      <x v="1"/>
    </i>
    <i>
      <x v="229"/>
      <x v="1"/>
    </i>
    <i>
      <x v="230"/>
      <x v="1"/>
    </i>
    <i>
      <x v="231"/>
      <x v="1"/>
    </i>
    <i>
      <x v="233"/>
      <x v="1"/>
    </i>
    <i>
      <x v="234"/>
      <x v="1"/>
    </i>
    <i>
      <x v="235"/>
      <x v="1"/>
    </i>
    <i>
      <x v="236"/>
      <x v="1"/>
    </i>
    <i>
      <x v="237"/>
      <x v="1"/>
    </i>
    <i>
      <x v="238"/>
      <x v="1"/>
    </i>
    <i>
      <x v="239"/>
      <x v="1"/>
    </i>
    <i>
      <x v="241"/>
      <x v="1"/>
    </i>
    <i>
      <x v="243"/>
      <x v="1"/>
    </i>
    <i>
      <x v="244"/>
      <x v="1"/>
    </i>
    <i>
      <x v="245"/>
      <x v="1"/>
    </i>
    <i>
      <x v="246"/>
      <x v="1"/>
    </i>
    <i>
      <x v="247"/>
      <x v="1"/>
    </i>
    <i>
      <x v="248"/>
      <x v="1"/>
    </i>
    <i>
      <x v="250"/>
      <x v="1"/>
    </i>
    <i>
      <x v="251"/>
      <x v="1"/>
    </i>
    <i>
      <x v="252"/>
      <x v="1"/>
    </i>
    <i>
      <x v="253"/>
      <x v="1"/>
    </i>
    <i>
      <x v="255"/>
      <x v="1"/>
    </i>
    <i>
      <x v="257"/>
      <x v="1"/>
    </i>
    <i>
      <x v="258"/>
      <x v="1"/>
    </i>
    <i>
      <x v="259"/>
      <x v="1"/>
    </i>
    <i>
      <x v="260"/>
      <x v="1"/>
    </i>
    <i>
      <x v="261"/>
      <x v="1"/>
    </i>
    <i>
      <x v="262"/>
      <x v="1"/>
    </i>
    <i>
      <x v="263"/>
      <x v="1"/>
    </i>
    <i>
      <x v="264"/>
      <x v="1"/>
    </i>
    <i>
      <x v="266"/>
      <x v="1"/>
    </i>
    <i>
      <x v="268"/>
      <x v="1"/>
    </i>
    <i>
      <x v="269"/>
      <x v="1"/>
    </i>
    <i>
      <x v="270"/>
      <x v="1"/>
    </i>
    <i>
      <x v="271"/>
      <x v="1"/>
    </i>
    <i>
      <x v="272"/>
      <x v="1"/>
    </i>
    <i>
      <x v="274"/>
      <x v="1"/>
    </i>
    <i>
      <x v="275"/>
      <x v="1"/>
    </i>
    <i>
      <x v="276"/>
      <x v="1"/>
    </i>
    <i>
      <x v="277"/>
      <x v="1"/>
    </i>
    <i>
      <x v="278"/>
      <x v="1"/>
    </i>
    <i>
      <x v="279"/>
      <x v="1"/>
    </i>
    <i>
      <x v="280"/>
      <x v="1"/>
    </i>
    <i>
      <x v="281"/>
      <x v="1"/>
    </i>
    <i>
      <x v="282"/>
      <x v="1"/>
    </i>
    <i>
      <x v="283"/>
      <x v="1"/>
    </i>
    <i>
      <x v="284"/>
      <x v="1"/>
    </i>
    <i>
      <x v="285"/>
      <x v="1"/>
    </i>
    <i>
      <x v="286"/>
      <x v="1"/>
    </i>
    <i>
      <x v="287"/>
      <x v="1"/>
    </i>
    <i>
      <x v="288"/>
      <x v="1"/>
    </i>
    <i>
      <x v="289"/>
      <x v="1"/>
    </i>
    <i>
      <x v="290"/>
      <x v="1"/>
    </i>
    <i>
      <x v="292"/>
      <x v="1"/>
    </i>
    <i>
      <x v="293"/>
      <x v="1"/>
    </i>
    <i>
      <x v="295"/>
      <x v="1"/>
    </i>
    <i>
      <x v="296"/>
      <x v="1"/>
    </i>
    <i>
      <x v="298"/>
      <x v="1"/>
    </i>
    <i>
      <x v="299"/>
      <x v="1"/>
    </i>
    <i>
      <x v="300"/>
      <x v="1"/>
    </i>
    <i>
      <x v="301"/>
      <x v="1"/>
    </i>
    <i>
      <x v="303"/>
      <x v="1"/>
    </i>
    <i>
      <x v="304"/>
      <x v="1"/>
    </i>
    <i>
      <x v="305"/>
      <x v="1"/>
    </i>
    <i>
      <x v="306"/>
      <x v="1"/>
    </i>
    <i>
      <x v="307"/>
      <x v="1"/>
    </i>
    <i>
      <x v="309"/>
      <x v="1"/>
    </i>
    <i>
      <x v="310"/>
      <x v="1"/>
    </i>
    <i>
      <x v="311"/>
      <x v="1"/>
    </i>
    <i>
      <x v="312"/>
      <x v="1"/>
    </i>
    <i>
      <x v="313"/>
      <x v="1"/>
    </i>
    <i>
      <x v="314"/>
      <x v="1"/>
    </i>
    <i>
      <x v="315"/>
      <x v="1"/>
    </i>
    <i>
      <x v="317"/>
      <x v="1"/>
    </i>
    <i>
      <x v="318"/>
      <x v="1"/>
    </i>
    <i>
      <x v="319"/>
      <x v="1"/>
    </i>
    <i>
      <x v="320"/>
      <x v="1"/>
    </i>
    <i>
      <x v="321"/>
      <x v="1"/>
    </i>
    <i>
      <x v="322"/>
      <x v="1"/>
    </i>
    <i>
      <x v="324"/>
      <x v="1"/>
    </i>
    <i>
      <x v="325"/>
      <x v="1"/>
    </i>
    <i>
      <x v="326"/>
      <x v="1"/>
    </i>
    <i>
      <x v="327"/>
      <x v="1"/>
    </i>
    <i>
      <x v="328"/>
      <x v="1"/>
    </i>
    <i>
      <x v="329"/>
      <x v="1"/>
    </i>
    <i>
      <x v="330"/>
      <x v="1"/>
    </i>
    <i>
      <x v="331"/>
      <x v="1"/>
    </i>
    <i>
      <x v="332"/>
      <x v="1"/>
    </i>
    <i>
      <x v="334"/>
      <x v="1"/>
    </i>
    <i>
      <x v="335"/>
      <x v="1"/>
    </i>
    <i>
      <x v="336"/>
      <x v="1"/>
    </i>
    <i>
      <x v="337"/>
      <x v="1"/>
    </i>
    <i>
      <x v="338"/>
      <x v="1"/>
    </i>
    <i>
      <x v="339"/>
      <x v="1"/>
    </i>
    <i>
      <x v="340"/>
      <x v="1"/>
    </i>
    <i>
      <x v="342"/>
      <x v="1"/>
    </i>
    <i>
      <x v="344"/>
      <x v="1"/>
    </i>
    <i>
      <x v="346"/>
      <x v="1"/>
    </i>
    <i>
      <x v="347"/>
      <x v="1"/>
    </i>
    <i>
      <x v="348"/>
      <x v="1"/>
    </i>
    <i>
      <x v="349"/>
      <x v="1"/>
    </i>
    <i>
      <x v="350"/>
      <x v="1"/>
    </i>
    <i>
      <x v="351"/>
      <x v="1"/>
    </i>
    <i>
      <x v="352"/>
      <x v="1"/>
    </i>
    <i>
      <x v="353"/>
      <x v="1"/>
    </i>
    <i>
      <x v="354"/>
      <x v="1"/>
    </i>
    <i>
      <x v="355"/>
      <x v="1"/>
    </i>
    <i>
      <x v="356"/>
      <x v="1"/>
    </i>
    <i>
      <x v="357"/>
      <x v="1"/>
    </i>
    <i t="grand">
      <x/>
    </i>
  </colItems>
  <dataFields count="1">
    <dataField name="Sum of Credits" fld="4" baseField="4" baseItem="0"/>
  </dataFields>
  <formats count="19">
    <format dxfId="53">
      <pivotArea collapsedLevelsAreSubtotals="1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52">
      <pivotArea dataOnly="0" labelOnly="1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51">
      <pivotArea grandRow="1" outline="0" collapsedLevelsAreSubtotals="1" fieldPosition="0"/>
    </format>
    <format dxfId="50">
      <pivotArea dataOnly="0" labelOnly="1" grandRow="1" outline="0" fieldPosition="0"/>
    </format>
    <format dxfId="49">
      <pivotArea dataOnly="0" labelOnly="1" fieldPosition="0">
        <references count="1">
          <reference field="0" count="3">
            <x v="0"/>
            <x v="1"/>
            <x v="4"/>
          </reference>
        </references>
      </pivotArea>
    </format>
    <format dxfId="48">
      <pivotArea dataOnly="0" labelOnly="1" grandCol="1" outline="0" fieldPosition="0"/>
    </format>
    <format dxfId="47">
      <pivotArea grandRow="1" outline="0" collapsedLevelsAreSubtotals="1" fieldPosition="0"/>
    </format>
    <format dxfId="46">
      <pivotArea dataOnly="0" labelOnly="1" grandRow="1" outline="0" fieldPosition="0"/>
    </format>
    <format dxfId="45">
      <pivotArea dataOnly="0" labelOnly="1" grandCol="1" outline="0" offset="IV256" fieldPosition="0"/>
    </format>
    <format dxfId="44">
      <pivotArea dataOnly="0" labelOnly="1" offset="IV1" fieldPosition="0">
        <references count="1">
          <reference field="0" count="1">
            <x v="0"/>
          </reference>
        </references>
      </pivotArea>
    </format>
    <format dxfId="43">
      <pivotArea dataOnly="0" labelOnly="1" offset="IV1" fieldPosition="0">
        <references count="1">
          <reference field="0" count="1">
            <x v="1"/>
          </reference>
        </references>
      </pivotArea>
    </format>
    <format dxfId="42">
      <pivotArea dataOnly="0" labelOnly="1" offset="IV1" fieldPosition="0">
        <references count="1">
          <reference field="0" count="1">
            <x v="4"/>
          </reference>
        </references>
      </pivotArea>
    </format>
    <format dxfId="41">
      <pivotArea dataOnly="0" labelOnly="1" grandCol="1" outline="0" offset="IV1" fieldPosition="0"/>
    </format>
    <format dxfId="40">
      <pivotArea grandRow="1" outline="0" collapsedLevelsAreSubtotals="1" fieldPosition="0"/>
    </format>
    <format dxfId="39">
      <pivotArea dataOnly="0" labelOnly="1" grandRow="1" outline="0" fieldPosition="0"/>
    </format>
    <format dxfId="38">
      <pivotArea type="origin" dataOnly="0" labelOnly="1" outline="0" fieldPosition="0"/>
    </format>
    <format dxfId="37">
      <pivotArea field="3" type="button" dataOnly="0" labelOnly="1" outline="0" axis="axisRow" fieldPosition="0"/>
    </format>
    <format dxfId="36">
      <pivotArea dataOnly="0" labelOnly="1" fieldPosition="0">
        <references count="1">
          <reference field="3" count="0"/>
        </references>
      </pivotArea>
    </format>
    <format dxfId="35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4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>
  <location ref="A3:GK17" firstHeaderRow="1" firstDataRow="3" firstDataCol="1"/>
  <pivotFields count="34">
    <pivotField axis="axisCol" showAll="0" defaultSubtotal="0">
      <items count="358">
        <item sd="0" x="0"/>
        <item sd="0" x="1"/>
        <item m="1" x="353"/>
        <item x="12"/>
        <item x="2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6"/>
        <item x="6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7"/>
        <item x="86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18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m="1" x="355"/>
        <item x="153"/>
        <item x="154"/>
        <item x="155"/>
        <item m="1" x="356"/>
        <item x="156"/>
        <item x="157"/>
        <item x="159"/>
        <item x="158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m="1" x="352"/>
        <item x="182"/>
        <item x="183"/>
        <item x="185"/>
        <item x="186"/>
        <item x="187"/>
        <item x="189"/>
        <item x="190"/>
        <item x="191"/>
        <item x="192"/>
        <item x="193"/>
        <item x="194"/>
        <item x="196"/>
        <item x="197"/>
        <item m="1" x="354"/>
        <item x="198"/>
        <item x="199"/>
        <item x="200"/>
        <item x="202"/>
        <item m="1" x="357"/>
        <item x="203"/>
        <item x="204"/>
        <item x="205"/>
        <item x="206"/>
        <item x="207"/>
        <item x="208"/>
        <item x="209"/>
        <item x="184"/>
        <item x="210"/>
        <item x="195"/>
        <item x="201"/>
        <item x="211"/>
        <item x="212"/>
        <item x="213"/>
        <item x="214"/>
        <item m="1" x="349"/>
        <item m="1" x="350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m="1" x="351"/>
        <item x="242"/>
        <item x="244"/>
        <item x="245"/>
        <item x="246"/>
        <item m="1" x="348"/>
        <item x="247"/>
        <item x="248"/>
        <item x="249"/>
        <item x="243"/>
        <item x="250"/>
        <item x="251"/>
        <item x="252"/>
        <item x="253"/>
        <item x="254"/>
        <item x="255"/>
        <item x="256"/>
        <item x="257"/>
        <item x="259"/>
        <item x="260"/>
        <item x="261"/>
        <item x="262"/>
        <item x="263"/>
        <item x="188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58"/>
        <item x="279"/>
        <item x="280"/>
        <item x="281"/>
        <item x="282"/>
        <item x="283"/>
        <item x="284"/>
        <item x="285"/>
        <item x="286"/>
        <item x="287"/>
        <item x="289"/>
        <item x="288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</items>
    </pivotField>
    <pivotField showAll="0" defaultSubtota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14"/>
        <item m="1" x="15"/>
        <item m="1" x="12"/>
        <item m="1" x="13"/>
        <item t="default"/>
      </items>
    </pivotField>
    <pivotField dataField="1" showAll="0"/>
    <pivotField axis="axisCol" showAll="0">
      <items count="4">
        <item x="1"/>
        <item h="1" x="0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</pivotFields>
  <rowFields count="1">
    <field x="3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2">
    <field x="0"/>
    <field x="5"/>
  </colFields>
  <colItems count="192">
    <i>
      <x/>
    </i>
    <i>
      <x v="1"/>
    </i>
    <i>
      <x v="9"/>
      <x/>
    </i>
    <i>
      <x v="13"/>
      <x/>
    </i>
    <i>
      <x v="15"/>
      <x/>
    </i>
    <i>
      <x v="18"/>
      <x/>
    </i>
    <i>
      <x v="21"/>
      <x/>
    </i>
    <i>
      <x v="26"/>
      <x/>
    </i>
    <i>
      <x v="27"/>
      <x/>
    </i>
    <i>
      <x v="29"/>
      <x/>
    </i>
    <i>
      <x v="31"/>
      <x/>
    </i>
    <i>
      <x v="32"/>
      <x/>
    </i>
    <i>
      <x v="39"/>
      <x/>
    </i>
    <i>
      <x v="42"/>
      <x/>
    </i>
    <i>
      <x v="43"/>
      <x/>
    </i>
    <i>
      <x v="45"/>
      <x/>
    </i>
    <i>
      <x v="46"/>
      <x/>
    </i>
    <i>
      <x v="48"/>
      <x/>
    </i>
    <i>
      <x v="49"/>
      <x/>
    </i>
    <i>
      <x v="51"/>
      <x/>
    </i>
    <i>
      <x v="55"/>
      <x/>
    </i>
    <i>
      <x v="56"/>
      <x/>
    </i>
    <i>
      <x v="57"/>
      <x/>
    </i>
    <i>
      <x v="58"/>
      <x/>
    </i>
    <i>
      <x v="59"/>
      <x/>
    </i>
    <i>
      <x v="62"/>
      <x/>
    </i>
    <i>
      <x v="63"/>
      <x/>
    </i>
    <i>
      <x v="64"/>
      <x/>
    </i>
    <i>
      <x v="67"/>
      <x/>
    </i>
    <i>
      <x v="73"/>
      <x/>
    </i>
    <i>
      <x v="74"/>
      <x/>
    </i>
    <i>
      <x v="75"/>
      <x/>
    </i>
    <i>
      <x v="78"/>
      <x/>
    </i>
    <i>
      <x v="79"/>
      <x/>
    </i>
    <i>
      <x v="82"/>
      <x/>
    </i>
    <i>
      <x v="83"/>
      <x/>
    </i>
    <i>
      <x v="86"/>
      <x/>
    </i>
    <i>
      <x v="87"/>
      <x/>
    </i>
    <i>
      <x v="89"/>
      <x/>
    </i>
    <i>
      <x v="90"/>
      <x/>
    </i>
    <i>
      <x v="91"/>
      <x/>
    </i>
    <i>
      <x v="92"/>
      <x/>
    </i>
    <i>
      <x v="95"/>
      <x/>
    </i>
    <i>
      <x v="96"/>
      <x/>
    </i>
    <i>
      <x v="97"/>
      <x/>
    </i>
    <i>
      <x v="98"/>
      <x/>
    </i>
    <i>
      <x v="105"/>
      <x/>
    </i>
    <i>
      <x v="106"/>
      <x/>
    </i>
    <i>
      <x v="108"/>
      <x/>
    </i>
    <i>
      <x v="113"/>
      <x/>
    </i>
    <i>
      <x v="114"/>
      <x/>
    </i>
    <i>
      <x v="115"/>
      <x/>
    </i>
    <i>
      <x v="117"/>
      <x/>
    </i>
    <i>
      <x v="118"/>
      <x/>
    </i>
    <i>
      <x v="122"/>
      <x/>
    </i>
    <i>
      <x v="124"/>
      <x/>
    </i>
    <i>
      <x v="127"/>
      <x/>
    </i>
    <i>
      <x v="129"/>
      <x/>
    </i>
    <i>
      <x v="131"/>
      <x/>
    </i>
    <i>
      <x v="132"/>
      <x/>
    </i>
    <i>
      <x v="133"/>
      <x/>
    </i>
    <i>
      <x v="135"/>
      <x/>
    </i>
    <i>
      <x v="136"/>
      <x/>
    </i>
    <i>
      <x v="139"/>
      <x/>
    </i>
    <i>
      <x v="142"/>
      <x/>
    </i>
    <i>
      <x v="144"/>
      <x/>
    </i>
    <i>
      <x v="145"/>
      <x/>
    </i>
    <i>
      <x v="148"/>
      <x/>
    </i>
    <i>
      <x v="149"/>
      <x/>
    </i>
    <i>
      <x v="150"/>
      <x/>
    </i>
    <i>
      <x v="151"/>
      <x/>
    </i>
    <i>
      <x v="152"/>
      <x/>
    </i>
    <i>
      <x v="153"/>
      <x/>
    </i>
    <i>
      <x v="155"/>
      <x/>
    </i>
    <i>
      <x v="160"/>
      <x/>
    </i>
    <i>
      <x v="161"/>
      <x/>
    </i>
    <i>
      <x v="163"/>
      <x/>
    </i>
    <i>
      <x v="164"/>
      <x/>
    </i>
    <i>
      <x v="166"/>
      <x/>
    </i>
    <i>
      <x v="167"/>
      <x/>
    </i>
    <i>
      <x v="168"/>
      <x/>
    </i>
    <i>
      <x v="171"/>
      <x/>
    </i>
    <i>
      <x v="172"/>
      <x/>
    </i>
    <i>
      <x v="173"/>
      <x/>
    </i>
    <i>
      <x v="176"/>
      <x/>
    </i>
    <i>
      <x v="177"/>
      <x/>
    </i>
    <i>
      <x v="179"/>
      <x/>
    </i>
    <i>
      <x v="183"/>
      <x/>
    </i>
    <i>
      <x v="184"/>
      <x/>
    </i>
    <i>
      <x v="186"/>
      <x/>
    </i>
    <i>
      <x v="187"/>
      <x/>
    </i>
    <i>
      <x v="188"/>
      <x/>
    </i>
    <i>
      <x v="189"/>
      <x/>
    </i>
    <i>
      <x v="190"/>
      <x/>
    </i>
    <i>
      <x v="191"/>
      <x/>
    </i>
    <i>
      <x v="192"/>
      <x/>
    </i>
    <i>
      <x v="193"/>
      <x/>
    </i>
    <i>
      <x v="194"/>
      <x/>
    </i>
    <i>
      <x v="197"/>
      <x/>
    </i>
    <i>
      <x v="198"/>
      <x/>
    </i>
    <i>
      <x v="200"/>
      <x/>
    </i>
    <i>
      <x v="202"/>
      <x/>
    </i>
    <i>
      <x v="203"/>
      <x/>
    </i>
    <i>
      <x v="205"/>
      <x/>
    </i>
    <i>
      <x v="209"/>
      <x/>
    </i>
    <i>
      <x v="211"/>
      <x/>
    </i>
    <i>
      <x v="213"/>
      <x/>
    </i>
    <i>
      <x v="216"/>
      <x/>
    </i>
    <i>
      <x v="219"/>
      <x/>
    </i>
    <i>
      <x v="222"/>
      <x/>
    </i>
    <i>
      <x v="225"/>
      <x/>
    </i>
    <i>
      <x v="228"/>
      <x/>
    </i>
    <i>
      <x v="230"/>
      <x/>
    </i>
    <i>
      <x v="232"/>
      <x/>
    </i>
    <i>
      <x v="239"/>
      <x/>
    </i>
    <i>
      <x v="240"/>
      <x/>
    </i>
    <i>
      <x v="242"/>
      <x/>
    </i>
    <i>
      <x v="243"/>
      <x/>
    </i>
    <i>
      <x v="244"/>
      <x/>
    </i>
    <i>
      <x v="246"/>
      <x/>
    </i>
    <i>
      <x v="247"/>
      <x/>
    </i>
    <i>
      <x v="250"/>
      <x/>
    </i>
    <i>
      <x v="251"/>
      <x/>
    </i>
    <i>
      <x v="253"/>
      <x/>
    </i>
    <i>
      <x v="256"/>
      <x/>
    </i>
    <i>
      <x v="257"/>
      <x/>
    </i>
    <i>
      <x v="258"/>
      <x/>
    </i>
    <i>
      <x v="260"/>
      <x/>
    </i>
    <i>
      <x v="262"/>
      <x/>
    </i>
    <i>
      <x v="264"/>
      <x/>
    </i>
    <i>
      <x v="265"/>
      <x/>
    </i>
    <i>
      <x v="266"/>
      <x/>
    </i>
    <i>
      <x v="267"/>
      <x/>
    </i>
    <i>
      <x v="270"/>
      <x/>
    </i>
    <i>
      <x v="271"/>
      <x/>
    </i>
    <i>
      <x v="273"/>
      <x/>
    </i>
    <i>
      <x v="274"/>
      <x/>
    </i>
    <i>
      <x v="276"/>
      <x/>
    </i>
    <i>
      <x v="277"/>
      <x/>
    </i>
    <i>
      <x v="280"/>
      <x/>
    </i>
    <i>
      <x v="281"/>
      <x/>
    </i>
    <i>
      <x v="284"/>
      <x/>
    </i>
    <i>
      <x v="285"/>
      <x/>
    </i>
    <i>
      <x v="287"/>
      <x/>
    </i>
    <i>
      <x v="288"/>
      <x/>
    </i>
    <i>
      <x v="290"/>
      <x/>
    </i>
    <i>
      <x v="291"/>
      <x/>
    </i>
    <i>
      <x v="294"/>
      <x/>
    </i>
    <i>
      <x v="295"/>
      <x/>
    </i>
    <i>
      <x v="296"/>
      <x/>
    </i>
    <i>
      <x v="297"/>
      <x/>
    </i>
    <i>
      <x v="298"/>
      <x/>
    </i>
    <i>
      <x v="302"/>
      <x/>
    </i>
    <i>
      <x v="304"/>
      <x/>
    </i>
    <i>
      <x v="305"/>
      <x/>
    </i>
    <i>
      <x v="306"/>
      <x/>
    </i>
    <i>
      <x v="308"/>
      <x/>
    </i>
    <i>
      <x v="309"/>
      <x/>
    </i>
    <i>
      <x v="310"/>
      <x/>
    </i>
    <i>
      <x v="311"/>
      <x/>
    </i>
    <i>
      <x v="312"/>
      <x/>
    </i>
    <i>
      <x v="314"/>
      <x/>
    </i>
    <i>
      <x v="315"/>
      <x/>
    </i>
    <i>
      <x v="316"/>
      <x/>
    </i>
    <i>
      <x v="320"/>
      <x/>
    </i>
    <i>
      <x v="321"/>
      <x/>
    </i>
    <i>
      <x v="322"/>
      <x/>
    </i>
    <i>
      <x v="323"/>
      <x/>
    </i>
    <i>
      <x v="325"/>
      <x/>
    </i>
    <i>
      <x v="326"/>
      <x/>
    </i>
    <i>
      <x v="327"/>
      <x/>
    </i>
    <i>
      <x v="328"/>
      <x/>
    </i>
    <i>
      <x v="329"/>
      <x/>
    </i>
    <i>
      <x v="330"/>
      <x/>
    </i>
    <i>
      <x v="333"/>
      <x/>
    </i>
    <i>
      <x v="334"/>
      <x/>
    </i>
    <i>
      <x v="336"/>
      <x/>
    </i>
    <i>
      <x v="339"/>
      <x/>
    </i>
    <i>
      <x v="340"/>
      <x/>
    </i>
    <i>
      <x v="341"/>
      <x/>
    </i>
    <i>
      <x v="342"/>
      <x/>
    </i>
    <i>
      <x v="343"/>
      <x/>
    </i>
    <i>
      <x v="344"/>
      <x/>
    </i>
    <i>
      <x v="345"/>
      <x/>
    </i>
    <i>
      <x v="347"/>
      <x/>
    </i>
    <i>
      <x v="349"/>
      <x/>
    </i>
    <i>
      <x v="350"/>
      <x/>
    </i>
    <i>
      <x v="351"/>
      <x/>
    </i>
    <i>
      <x v="353"/>
      <x/>
    </i>
    <i>
      <x v="356"/>
      <x/>
    </i>
    <i>
      <x v="357"/>
      <x/>
    </i>
    <i t="grand">
      <x/>
    </i>
  </colItems>
  <dataFields count="1">
    <dataField name="Sum of Credits" fld="4" baseField="3" baseItem="7"/>
  </dataFields>
  <formats count="3">
    <format dxfId="2">
      <pivotArea collapsedLevelsAreSubtotals="1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">
      <pivotArea dataOnly="0" labelOnly="1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0E1B40-AC25-466E-AB4F-A243EE3E557B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A41:E54" firstHeaderRow="1" firstDataRow="2" firstDataCol="1" rowPageCount="1" colPageCount="1"/>
  <pivotFields count="34">
    <pivotField showAll="0"/>
    <pivotField showAll="0"/>
    <pivotField showAll="0"/>
    <pivotField axis="axisRow"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h="1" x="11"/>
        <item h="1" m="1" x="14"/>
        <item h="1" m="1" x="12"/>
        <item h="1" m="1" x="13"/>
        <item t="default"/>
      </items>
    </pivotField>
    <pivotField dataField="1" showAll="0"/>
    <pivotField axis="axisPage" showAll="0">
      <items count="4">
        <item x="1"/>
        <item x="0"/>
        <item x="2"/>
        <item t="default"/>
      </items>
    </pivotField>
    <pivotField showAll="0"/>
    <pivotField showAll="0"/>
    <pivotField showAll="0"/>
    <pivotField axis="axisCol" showAll="0">
      <items count="9">
        <item x="1"/>
        <item x="2"/>
        <item h="1" x="3"/>
        <item x="6"/>
        <item h="1" x="4"/>
        <item h="1" x="5"/>
        <item h="1" x="0"/>
        <item h="1"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9"/>
  </colFields>
  <colItems count="4">
    <i>
      <x/>
    </i>
    <i>
      <x v="1"/>
    </i>
    <i>
      <x v="3"/>
    </i>
    <i t="grand">
      <x/>
    </i>
  </colItems>
  <pageFields count="1">
    <pageField fld="5" hier="-1"/>
  </pageFields>
  <dataFields count="1">
    <dataField name="Sum of Credits" fld="4" baseField="0" baseItem="0" numFmtId="2"/>
  </dataFields>
  <formats count="6">
    <format dxfId="8">
      <pivotArea outline="0" collapsedLevelsAreSubtotals="1" fieldPosition="0"/>
    </format>
    <format dxfId="7">
      <pivotArea dataOnly="0" labelOnly="1" fieldPosition="0">
        <references count="1">
          <reference field="3" count="0"/>
        </references>
      </pivotArea>
    </format>
    <format dxfId="6">
      <pivotArea dataOnly="0" labelOnly="1" grandRow="1" outline="0" fieldPosition="0"/>
    </format>
    <format dxfId="5">
      <pivotArea outline="0" collapsedLevelsAreSubtotals="1" fieldPosition="0"/>
    </format>
    <format dxfId="4">
      <pivotArea dataOnly="0" labelOnly="1" fieldPosition="0">
        <references count="1">
          <reference field="3" count="0"/>
        </references>
      </pivotArea>
    </format>
    <format dxfId="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2" dT="2023-02-28T13:08:32.49" personId="{294FB816-5F92-43DE-A2C7-91112091A931}" id="{5D8FC04C-5EEB-4882-BAE5-439C98E8C373}">
    <text xml:space="preserve">8/22 new credit allocation - put as 2018 for calculation ease.  </text>
  </threadedComment>
  <threadedComment ref="C23" dT="2023-02-28T13:08:43.02" personId="{294FB816-5F92-43DE-A2C7-91112091A931}" id="{097604F2-BD80-417C-AA9D-57981C0BA4E5}">
    <text xml:space="preserve">8/22 new credit allocation - put as 2018 for calculation ease. 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3.bin"/><Relationship Id="rId4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IV2115"/>
  <sheetViews>
    <sheetView tabSelected="1" zoomScale="91" zoomScaleNormal="91" workbookViewId="0">
      <pane ySplit="1" topLeftCell="A173" activePane="bottomLeft" state="frozen"/>
      <selection pane="bottomLeft" activeCell="A992" sqref="A992:XFD993"/>
    </sheetView>
  </sheetViews>
  <sheetFormatPr defaultColWidth="9.140625" defaultRowHeight="12.75" x14ac:dyDescent="0.2"/>
  <cols>
    <col min="1" max="1" width="11.5703125" style="537" bestFit="1" customWidth="1"/>
    <col min="2" max="2" width="11.42578125" style="537" bestFit="1" customWidth="1"/>
    <col min="3" max="3" width="10.140625" style="537" customWidth="1"/>
    <col min="4" max="4" width="29.42578125" style="537" bestFit="1" customWidth="1"/>
    <col min="5" max="6" width="15.5703125" style="538" customWidth="1"/>
    <col min="7" max="7" width="14.42578125" style="539" bestFit="1" customWidth="1"/>
    <col min="8" max="8" width="17.28515625" style="540" bestFit="1" customWidth="1"/>
    <col min="9" max="9" width="13.5703125" style="538" bestFit="1" customWidth="1"/>
    <col min="10" max="10" width="15.5703125" style="538" customWidth="1"/>
    <col min="11" max="11" width="12.5703125" style="538" customWidth="1"/>
    <col min="12" max="12" width="50.85546875" style="538" bestFit="1" customWidth="1"/>
    <col min="13" max="13" width="28.42578125" style="538" bestFit="1" customWidth="1"/>
    <col min="14" max="14" width="25.5703125" style="381" customWidth="1"/>
    <col min="15" max="15" width="21.5703125" style="537" customWidth="1"/>
    <col min="16" max="16" width="30.7109375" style="537" customWidth="1"/>
    <col min="17" max="17" width="20.140625" style="776" customWidth="1"/>
    <col min="18" max="18" width="21.42578125" style="673" customWidth="1"/>
    <col min="19" max="19" width="19.140625" style="537" customWidth="1"/>
    <col min="20" max="20" width="46.5703125" style="537" customWidth="1"/>
    <col min="21" max="21" width="15.5703125" style="537" customWidth="1"/>
    <col min="22" max="22" width="24.5703125" style="541" customWidth="1"/>
    <col min="23" max="23" width="13.42578125" style="542" customWidth="1"/>
    <col min="24" max="28" width="15.5703125" style="542" customWidth="1"/>
    <col min="29" max="29" width="15.5703125" style="537" customWidth="1"/>
    <col min="30" max="30" width="52.140625" style="537" customWidth="1"/>
    <col min="31" max="32" width="15.5703125" style="537" customWidth="1"/>
    <col min="33" max="33" width="10" style="543" customWidth="1"/>
    <col min="34" max="34" width="136.85546875" style="537" customWidth="1"/>
    <col min="35" max="16384" width="9.140625" style="105"/>
  </cols>
  <sheetData>
    <row r="1" spans="1:34" s="127" customFormat="1" ht="26.25" thickBot="1" x14ac:dyDescent="0.25">
      <c r="A1" s="121" t="s">
        <v>12</v>
      </c>
      <c r="B1" s="121" t="s">
        <v>94</v>
      </c>
      <c r="C1" s="121" t="s">
        <v>57</v>
      </c>
      <c r="D1" s="121" t="s">
        <v>19</v>
      </c>
      <c r="E1" s="122" t="s">
        <v>14</v>
      </c>
      <c r="F1" s="122" t="s">
        <v>34</v>
      </c>
      <c r="G1" s="123" t="s">
        <v>56</v>
      </c>
      <c r="H1" s="124" t="s">
        <v>85</v>
      </c>
      <c r="I1" s="122" t="s">
        <v>79</v>
      </c>
      <c r="J1" s="122" t="s">
        <v>35</v>
      </c>
      <c r="K1" s="122" t="s">
        <v>15</v>
      </c>
      <c r="L1" s="122" t="s">
        <v>0</v>
      </c>
      <c r="M1" s="122" t="s">
        <v>54</v>
      </c>
      <c r="N1" s="122" t="s">
        <v>55</v>
      </c>
      <c r="O1" s="121" t="s">
        <v>508</v>
      </c>
      <c r="P1" s="121" t="s">
        <v>53</v>
      </c>
      <c r="Q1" s="726" t="s">
        <v>17</v>
      </c>
      <c r="R1" s="642" t="s">
        <v>18</v>
      </c>
      <c r="S1" s="121" t="s">
        <v>58</v>
      </c>
      <c r="T1" s="121" t="s">
        <v>73</v>
      </c>
      <c r="U1" s="121" t="s">
        <v>49</v>
      </c>
      <c r="V1" s="121" t="s">
        <v>48</v>
      </c>
      <c r="W1" s="125" t="s">
        <v>67</v>
      </c>
      <c r="X1" s="125" t="s">
        <v>68</v>
      </c>
      <c r="Y1" s="125" t="s">
        <v>69</v>
      </c>
      <c r="Z1" s="125" t="s">
        <v>960</v>
      </c>
      <c r="AA1" s="125" t="s">
        <v>959</v>
      </c>
      <c r="AB1" s="125" t="s">
        <v>961</v>
      </c>
      <c r="AC1" s="121" t="s">
        <v>93</v>
      </c>
      <c r="AD1" s="121" t="s">
        <v>91</v>
      </c>
      <c r="AE1" s="121" t="s">
        <v>92</v>
      </c>
      <c r="AF1" s="121" t="s">
        <v>78</v>
      </c>
      <c r="AG1" s="126" t="s">
        <v>72</v>
      </c>
      <c r="AH1" s="121" t="s">
        <v>16</v>
      </c>
    </row>
    <row r="2" spans="1:34" x14ac:dyDescent="0.2">
      <c r="A2" s="128">
        <v>43223</v>
      </c>
      <c r="B2" s="128" t="s">
        <v>95</v>
      </c>
      <c r="C2" s="129">
        <f>IF(A2&gt;0,YEAR(A2),"-")</f>
        <v>2018</v>
      </c>
      <c r="D2" s="129" t="s">
        <v>1</v>
      </c>
      <c r="E2" s="130">
        <v>90</v>
      </c>
      <c r="F2" s="130" t="s">
        <v>32</v>
      </c>
      <c r="G2" s="131"/>
      <c r="H2" s="132"/>
      <c r="I2" s="130"/>
      <c r="J2" s="130"/>
      <c r="K2" s="130"/>
      <c r="L2" s="130"/>
      <c r="M2" s="130"/>
      <c r="N2" s="133"/>
      <c r="O2" s="129"/>
      <c r="P2" s="129"/>
      <c r="Q2" s="727"/>
      <c r="R2" s="643"/>
      <c r="S2" s="129"/>
      <c r="T2" s="129"/>
      <c r="U2" s="129" t="str">
        <f>IF(AC2="P Wdr","No",IF(AC2="S Wdr","Yes","n/a"))</f>
        <v>n/a</v>
      </c>
      <c r="V2" s="128"/>
      <c r="W2" s="134">
        <f>IF(AC2="Intr",0,G2*Definitions!$B$53)</f>
        <v>0</v>
      </c>
      <c r="X2" s="134">
        <f>IF(AC2="Intr",0,G2*Definitions!$B$54)</f>
        <v>0</v>
      </c>
      <c r="Y2" s="134">
        <f>IF(AC2="Intr",G2,G2*Definitions!$B$55)</f>
        <v>0</v>
      </c>
      <c r="Z2" s="134"/>
      <c r="AA2" s="134"/>
      <c r="AB2" s="134"/>
      <c r="AC2" s="129"/>
      <c r="AD2" s="129"/>
      <c r="AE2" s="129"/>
      <c r="AF2" s="129"/>
      <c r="AG2" s="135"/>
      <c r="AH2" s="129"/>
    </row>
    <row r="3" spans="1:34" x14ac:dyDescent="0.2">
      <c r="A3" s="136">
        <v>43223</v>
      </c>
      <c r="B3" s="128" t="s">
        <v>95</v>
      </c>
      <c r="C3" s="137">
        <f>IF(A3&gt;0,YEAR(A3),"-")</f>
        <v>2018</v>
      </c>
      <c r="D3" s="137" t="s">
        <v>1</v>
      </c>
      <c r="E3" s="138">
        <v>45000</v>
      </c>
      <c r="F3" s="139" t="s">
        <v>33</v>
      </c>
      <c r="G3" s="140"/>
      <c r="H3" s="141"/>
      <c r="I3" s="139"/>
      <c r="J3" s="139"/>
      <c r="K3" s="139"/>
      <c r="L3" s="139"/>
      <c r="M3" s="139"/>
      <c r="N3" s="142"/>
      <c r="O3" s="137"/>
      <c r="P3" s="137"/>
      <c r="Q3" s="728"/>
      <c r="R3" s="644"/>
      <c r="S3" s="137"/>
      <c r="T3" s="137"/>
      <c r="U3" s="137" t="str">
        <f>IF(AC3="P Wdr","No",IF(AC3="S Wdr","Yes","n/a"))</f>
        <v>n/a</v>
      </c>
      <c r="V3" s="136"/>
      <c r="W3" s="143">
        <f>IF(AC3="Intr",0,G3*Definitions!$B$53)</f>
        <v>0</v>
      </c>
      <c r="X3" s="143">
        <f>IF(AC3="Intr",0,G3*Definitions!$B$54)</f>
        <v>0</v>
      </c>
      <c r="Y3" s="143">
        <f>IF(AC3="Intr",G3,G3*Definitions!$B$55)</f>
        <v>0</v>
      </c>
      <c r="Z3" s="143"/>
      <c r="AA3" s="143"/>
      <c r="AB3" s="143"/>
      <c r="AC3" s="137"/>
      <c r="AD3" s="137"/>
      <c r="AE3" s="137"/>
      <c r="AF3" s="137"/>
      <c r="AG3" s="144"/>
      <c r="AH3" s="137"/>
    </row>
    <row r="4" spans="1:34" x14ac:dyDescent="0.2">
      <c r="A4" s="136">
        <v>43223</v>
      </c>
      <c r="B4" s="128" t="s">
        <v>95</v>
      </c>
      <c r="C4" s="137">
        <v>2018</v>
      </c>
      <c r="D4" s="137" t="s">
        <v>2</v>
      </c>
      <c r="E4" s="139">
        <v>90</v>
      </c>
      <c r="F4" s="139" t="s">
        <v>32</v>
      </c>
      <c r="G4" s="140"/>
      <c r="H4" s="141"/>
      <c r="I4" s="139"/>
      <c r="J4" s="139"/>
      <c r="K4" s="139"/>
      <c r="L4" s="139"/>
      <c r="M4" s="139"/>
      <c r="N4" s="142"/>
      <c r="O4" s="137"/>
      <c r="P4" s="137"/>
      <c r="Q4" s="728"/>
      <c r="R4" s="644"/>
      <c r="S4" s="137"/>
      <c r="T4" s="137"/>
      <c r="U4" s="137" t="s">
        <v>77</v>
      </c>
      <c r="V4" s="136"/>
      <c r="W4" s="143">
        <f>IF(AC4="Intr",0,G4*Definitions!$B$53)</f>
        <v>0</v>
      </c>
      <c r="X4" s="143">
        <f>IF(AC4="Intr",0,G4*Definitions!$B$54)</f>
        <v>0</v>
      </c>
      <c r="Y4" s="143">
        <f>IF(AC4="Intr",G4,G4*Definitions!$B$55)</f>
        <v>0</v>
      </c>
      <c r="Z4" s="143"/>
      <c r="AA4" s="143"/>
      <c r="AB4" s="143"/>
      <c r="AC4" s="137"/>
      <c r="AD4" s="137"/>
      <c r="AE4" s="137"/>
      <c r="AF4" s="137"/>
      <c r="AG4" s="144"/>
      <c r="AH4" s="137"/>
    </row>
    <row r="5" spans="1:34" x14ac:dyDescent="0.2">
      <c r="A5" s="136">
        <v>43223</v>
      </c>
      <c r="B5" s="128" t="s">
        <v>95</v>
      </c>
      <c r="C5" s="137">
        <v>2018</v>
      </c>
      <c r="D5" s="137" t="s">
        <v>2</v>
      </c>
      <c r="E5" s="138">
        <v>45000</v>
      </c>
      <c r="F5" s="139" t="s">
        <v>33</v>
      </c>
      <c r="G5" s="140"/>
      <c r="H5" s="141"/>
      <c r="I5" s="139"/>
      <c r="J5" s="139"/>
      <c r="K5" s="139"/>
      <c r="L5" s="139"/>
      <c r="M5" s="139"/>
      <c r="N5" s="142"/>
      <c r="O5" s="137"/>
      <c r="P5" s="137"/>
      <c r="Q5" s="728"/>
      <c r="R5" s="644"/>
      <c r="S5" s="137"/>
      <c r="T5" s="137"/>
      <c r="U5" s="137" t="s">
        <v>77</v>
      </c>
      <c r="V5" s="136"/>
      <c r="W5" s="143">
        <f>IF(AC5="Intr",0,G5*Definitions!$B$53)</f>
        <v>0</v>
      </c>
      <c r="X5" s="143">
        <f>IF(AC5="Intr",0,G5*Definitions!$B$54)</f>
        <v>0</v>
      </c>
      <c r="Y5" s="143">
        <f>IF(AC5="Intr",G5,G5*Definitions!$B$55)</f>
        <v>0</v>
      </c>
      <c r="Z5" s="143"/>
      <c r="AA5" s="143"/>
      <c r="AB5" s="143"/>
      <c r="AC5" s="137"/>
      <c r="AD5" s="137"/>
      <c r="AE5" s="137"/>
      <c r="AF5" s="137"/>
      <c r="AG5" s="144"/>
      <c r="AH5" s="137"/>
    </row>
    <row r="6" spans="1:34" x14ac:dyDescent="0.2">
      <c r="A6" s="136">
        <v>43223</v>
      </c>
      <c r="B6" s="128" t="s">
        <v>95</v>
      </c>
      <c r="C6" s="137">
        <v>2018</v>
      </c>
      <c r="D6" s="137" t="s">
        <v>9</v>
      </c>
      <c r="E6" s="139">
        <v>90</v>
      </c>
      <c r="F6" s="139" t="s">
        <v>32</v>
      </c>
      <c r="G6" s="140"/>
      <c r="H6" s="141"/>
      <c r="I6" s="139"/>
      <c r="J6" s="139"/>
      <c r="K6" s="139"/>
      <c r="L6" s="139"/>
      <c r="M6" s="139"/>
      <c r="N6" s="142"/>
      <c r="O6" s="137"/>
      <c r="P6" s="137"/>
      <c r="Q6" s="728"/>
      <c r="R6" s="644"/>
      <c r="S6" s="137"/>
      <c r="T6" s="137"/>
      <c r="U6" s="137" t="s">
        <v>77</v>
      </c>
      <c r="V6" s="136"/>
      <c r="W6" s="143">
        <f>IF(AC6="Intr",0,G6*Definitions!$B$53)</f>
        <v>0</v>
      </c>
      <c r="X6" s="143">
        <f>IF(AC6="Intr",0,G6*Definitions!$B$54)</f>
        <v>0</v>
      </c>
      <c r="Y6" s="143">
        <f>IF(AC6="Intr",G6,G6*Definitions!$B$55)</f>
        <v>0</v>
      </c>
      <c r="Z6" s="143"/>
      <c r="AA6" s="143"/>
      <c r="AB6" s="143"/>
      <c r="AC6" s="137"/>
      <c r="AD6" s="137"/>
      <c r="AE6" s="137"/>
      <c r="AF6" s="137"/>
      <c r="AG6" s="144"/>
      <c r="AH6" s="137"/>
    </row>
    <row r="7" spans="1:34" x14ac:dyDescent="0.2">
      <c r="A7" s="136">
        <v>43223</v>
      </c>
      <c r="B7" s="128" t="s">
        <v>95</v>
      </c>
      <c r="C7" s="137">
        <v>2018</v>
      </c>
      <c r="D7" s="137" t="s">
        <v>9</v>
      </c>
      <c r="E7" s="138">
        <v>45000</v>
      </c>
      <c r="F7" s="139" t="s">
        <v>33</v>
      </c>
      <c r="G7" s="140"/>
      <c r="H7" s="141"/>
      <c r="I7" s="139"/>
      <c r="J7" s="139"/>
      <c r="K7" s="139"/>
      <c r="L7" s="139"/>
      <c r="M7" s="139"/>
      <c r="N7" s="142"/>
      <c r="O7" s="137"/>
      <c r="P7" s="137"/>
      <c r="Q7" s="728"/>
      <c r="R7" s="644"/>
      <c r="S7" s="137"/>
      <c r="T7" s="137"/>
      <c r="U7" s="137" t="s">
        <v>77</v>
      </c>
      <c r="V7" s="136"/>
      <c r="W7" s="143">
        <f>IF(AC7="Intr",0,G7*Definitions!$B$53)</f>
        <v>0</v>
      </c>
      <c r="X7" s="143">
        <f>IF(AC7="Intr",0,G7*Definitions!$B$54)</f>
        <v>0</v>
      </c>
      <c r="Y7" s="143">
        <f>IF(AC7="Intr",G7,G7*Definitions!$B$55)</f>
        <v>0</v>
      </c>
      <c r="Z7" s="143"/>
      <c r="AA7" s="143"/>
      <c r="AB7" s="143"/>
      <c r="AC7" s="137"/>
      <c r="AD7" s="137"/>
      <c r="AE7" s="137"/>
      <c r="AF7" s="137"/>
      <c r="AG7" s="144"/>
      <c r="AH7" s="137"/>
    </row>
    <row r="8" spans="1:34" x14ac:dyDescent="0.2">
      <c r="A8" s="136">
        <v>43223</v>
      </c>
      <c r="B8" s="128" t="s">
        <v>95</v>
      </c>
      <c r="C8" s="137">
        <v>2018</v>
      </c>
      <c r="D8" s="137" t="s">
        <v>4</v>
      </c>
      <c r="E8" s="139">
        <v>90</v>
      </c>
      <c r="F8" s="139" t="s">
        <v>32</v>
      </c>
      <c r="G8" s="140"/>
      <c r="H8" s="141"/>
      <c r="I8" s="139"/>
      <c r="J8" s="139"/>
      <c r="K8" s="139"/>
      <c r="L8" s="139"/>
      <c r="M8" s="139"/>
      <c r="N8" s="142"/>
      <c r="O8" s="137"/>
      <c r="P8" s="137"/>
      <c r="Q8" s="728"/>
      <c r="R8" s="644"/>
      <c r="S8" s="137"/>
      <c r="T8" s="137"/>
      <c r="U8" s="137" t="s">
        <v>77</v>
      </c>
      <c r="V8" s="136"/>
      <c r="W8" s="143">
        <f>IF(AC8="Intr",0,G8*Definitions!$B$53)</f>
        <v>0</v>
      </c>
      <c r="X8" s="143">
        <f>IF(AC8="Intr",0,G8*Definitions!$B$54)</f>
        <v>0</v>
      </c>
      <c r="Y8" s="143">
        <f>IF(AC8="Intr",G8,G8*Definitions!$B$55)</f>
        <v>0</v>
      </c>
      <c r="Z8" s="143"/>
      <c r="AA8" s="143"/>
      <c r="AB8" s="143"/>
      <c r="AC8" s="137"/>
      <c r="AD8" s="137"/>
      <c r="AE8" s="137"/>
      <c r="AF8" s="137"/>
      <c r="AG8" s="144"/>
      <c r="AH8" s="137"/>
    </row>
    <row r="9" spans="1:34" x14ac:dyDescent="0.2">
      <c r="A9" s="136">
        <v>43223</v>
      </c>
      <c r="B9" s="128" t="s">
        <v>95</v>
      </c>
      <c r="C9" s="137">
        <v>2018</v>
      </c>
      <c r="D9" s="137" t="s">
        <v>4</v>
      </c>
      <c r="E9" s="138">
        <v>45000</v>
      </c>
      <c r="F9" s="139" t="s">
        <v>33</v>
      </c>
      <c r="G9" s="140"/>
      <c r="H9" s="141"/>
      <c r="I9" s="139"/>
      <c r="J9" s="139"/>
      <c r="K9" s="139"/>
      <c r="L9" s="139"/>
      <c r="M9" s="139"/>
      <c r="N9" s="142"/>
      <c r="O9" s="137"/>
      <c r="P9" s="137"/>
      <c r="Q9" s="728"/>
      <c r="R9" s="644"/>
      <c r="S9" s="137"/>
      <c r="T9" s="137"/>
      <c r="U9" s="137" t="s">
        <v>77</v>
      </c>
      <c r="V9" s="136"/>
      <c r="W9" s="143">
        <f>IF(AC9="Intr",0,G9*Definitions!$B$53)</f>
        <v>0</v>
      </c>
      <c r="X9" s="143">
        <f>IF(AC9="Intr",0,G9*Definitions!$B$54)</f>
        <v>0</v>
      </c>
      <c r="Y9" s="143">
        <f>IF(AC9="Intr",G9,G9*Definitions!$B$55)</f>
        <v>0</v>
      </c>
      <c r="Z9" s="143"/>
      <c r="AA9" s="143"/>
      <c r="AB9" s="143"/>
      <c r="AC9" s="137"/>
      <c r="AD9" s="137"/>
      <c r="AE9" s="137"/>
      <c r="AF9" s="137"/>
      <c r="AG9" s="144"/>
      <c r="AH9" s="137"/>
    </row>
    <row r="10" spans="1:34" x14ac:dyDescent="0.2">
      <c r="A10" s="136">
        <v>43223</v>
      </c>
      <c r="B10" s="128" t="s">
        <v>95</v>
      </c>
      <c r="C10" s="137">
        <v>2018</v>
      </c>
      <c r="D10" s="137" t="s">
        <v>6</v>
      </c>
      <c r="E10" s="139">
        <v>90</v>
      </c>
      <c r="F10" s="139" t="s">
        <v>32</v>
      </c>
      <c r="G10" s="140"/>
      <c r="H10" s="141"/>
      <c r="I10" s="139"/>
      <c r="J10" s="139"/>
      <c r="K10" s="139"/>
      <c r="L10" s="139"/>
      <c r="M10" s="139"/>
      <c r="N10" s="142"/>
      <c r="O10" s="137"/>
      <c r="P10" s="137"/>
      <c r="Q10" s="728"/>
      <c r="R10" s="644"/>
      <c r="S10" s="137"/>
      <c r="T10" s="137"/>
      <c r="U10" s="137" t="s">
        <v>77</v>
      </c>
      <c r="V10" s="136"/>
      <c r="W10" s="143">
        <f>IF(AC10="Intr",0,G10*Definitions!$B$53)</f>
        <v>0</v>
      </c>
      <c r="X10" s="143">
        <f>IF(AC10="Intr",0,G10*Definitions!$B$54)</f>
        <v>0</v>
      </c>
      <c r="Y10" s="143">
        <f>IF(AC10="Intr",G10,G10*Definitions!$B$55)</f>
        <v>0</v>
      </c>
      <c r="Z10" s="143"/>
      <c r="AA10" s="143"/>
      <c r="AB10" s="143"/>
      <c r="AC10" s="137"/>
      <c r="AD10" s="137"/>
      <c r="AE10" s="137"/>
      <c r="AF10" s="137"/>
      <c r="AG10" s="144"/>
      <c r="AH10" s="137"/>
    </row>
    <row r="11" spans="1:34" x14ac:dyDescent="0.2">
      <c r="A11" s="136">
        <v>43223</v>
      </c>
      <c r="B11" s="128" t="s">
        <v>95</v>
      </c>
      <c r="C11" s="137">
        <v>2018</v>
      </c>
      <c r="D11" s="137" t="s">
        <v>6</v>
      </c>
      <c r="E11" s="138">
        <v>45000</v>
      </c>
      <c r="F11" s="139" t="s">
        <v>33</v>
      </c>
      <c r="G11" s="140"/>
      <c r="H11" s="141"/>
      <c r="I11" s="139"/>
      <c r="J11" s="139"/>
      <c r="K11" s="139"/>
      <c r="L11" s="139"/>
      <c r="M11" s="139"/>
      <c r="N11" s="142"/>
      <c r="O11" s="137"/>
      <c r="P11" s="137"/>
      <c r="Q11" s="728"/>
      <c r="R11" s="644"/>
      <c r="S11" s="137"/>
      <c r="T11" s="137"/>
      <c r="U11" s="137" t="s">
        <v>77</v>
      </c>
      <c r="V11" s="136"/>
      <c r="W11" s="143">
        <f>IF(AC11="Intr",0,G11*Definitions!$B$53)</f>
        <v>0</v>
      </c>
      <c r="X11" s="143">
        <f>IF(AC11="Intr",0,G11*Definitions!$B$54)</f>
        <v>0</v>
      </c>
      <c r="Y11" s="143">
        <f>IF(AC11="Intr",G11,G11*Definitions!$B$55)</f>
        <v>0</v>
      </c>
      <c r="Z11" s="143"/>
      <c r="AA11" s="143"/>
      <c r="AB11" s="143"/>
      <c r="AC11" s="137"/>
      <c r="AD11" s="137"/>
      <c r="AE11" s="137"/>
      <c r="AF11" s="137"/>
      <c r="AG11" s="144"/>
      <c r="AH11" s="137"/>
    </row>
    <row r="12" spans="1:34" x14ac:dyDescent="0.2">
      <c r="A12" s="136">
        <v>43223</v>
      </c>
      <c r="B12" s="128" t="s">
        <v>95</v>
      </c>
      <c r="C12" s="137">
        <v>2018</v>
      </c>
      <c r="D12" s="137" t="s">
        <v>11</v>
      </c>
      <c r="E12" s="139">
        <v>115</v>
      </c>
      <c r="F12" s="139" t="s">
        <v>32</v>
      </c>
      <c r="G12" s="140"/>
      <c r="H12" s="141"/>
      <c r="I12" s="139"/>
      <c r="J12" s="139"/>
      <c r="K12" s="139"/>
      <c r="L12" s="139"/>
      <c r="M12" s="139"/>
      <c r="N12" s="142"/>
      <c r="O12" s="137"/>
      <c r="P12" s="137"/>
      <c r="Q12" s="728"/>
      <c r="R12" s="644"/>
      <c r="S12" s="137"/>
      <c r="T12" s="137"/>
      <c r="U12" s="137" t="s">
        <v>77</v>
      </c>
      <c r="V12" s="136"/>
      <c r="W12" s="143">
        <f>IF(AC12="Intr",0,G12*Definitions!$B$53)</f>
        <v>0</v>
      </c>
      <c r="X12" s="143">
        <f>IF(AC12="Intr",0,G12*Definitions!$B$54)</f>
        <v>0</v>
      </c>
      <c r="Y12" s="143">
        <f>IF(AC12="Intr",G12,G12*Definitions!$B$55)</f>
        <v>0</v>
      </c>
      <c r="Z12" s="143"/>
      <c r="AA12" s="143"/>
      <c r="AB12" s="143"/>
      <c r="AC12" s="137"/>
      <c r="AD12" s="137"/>
      <c r="AE12" s="137"/>
      <c r="AF12" s="137"/>
      <c r="AG12" s="144"/>
      <c r="AH12" s="137"/>
    </row>
    <row r="13" spans="1:34" x14ac:dyDescent="0.2">
      <c r="A13" s="136">
        <v>43223</v>
      </c>
      <c r="B13" s="128" t="s">
        <v>95</v>
      </c>
      <c r="C13" s="137">
        <v>2018</v>
      </c>
      <c r="D13" s="137" t="s">
        <v>11</v>
      </c>
      <c r="E13" s="138">
        <v>50000</v>
      </c>
      <c r="F13" s="139" t="s">
        <v>33</v>
      </c>
      <c r="G13" s="140"/>
      <c r="H13" s="141"/>
      <c r="I13" s="139"/>
      <c r="J13" s="139"/>
      <c r="K13" s="139"/>
      <c r="L13" s="139"/>
      <c r="M13" s="139"/>
      <c r="N13" s="142"/>
      <c r="O13" s="137"/>
      <c r="P13" s="137"/>
      <c r="Q13" s="728"/>
      <c r="R13" s="644"/>
      <c r="S13" s="137"/>
      <c r="T13" s="137"/>
      <c r="U13" s="137" t="s">
        <v>77</v>
      </c>
      <c r="V13" s="136"/>
      <c r="W13" s="143">
        <f>IF(AC13="Intr",0,G13*Definitions!$B$53)</f>
        <v>0</v>
      </c>
      <c r="X13" s="143">
        <f>IF(AC13="Intr",0,G13*Definitions!$B$54)</f>
        <v>0</v>
      </c>
      <c r="Y13" s="143">
        <f>IF(AC13="Intr",G13,G13*Definitions!$B$55)</f>
        <v>0</v>
      </c>
      <c r="Z13" s="143"/>
      <c r="AA13" s="143"/>
      <c r="AB13" s="143"/>
      <c r="AC13" s="137"/>
      <c r="AD13" s="137"/>
      <c r="AE13" s="137"/>
      <c r="AF13" s="137"/>
      <c r="AG13" s="144"/>
      <c r="AH13" s="137"/>
    </row>
    <row r="14" spans="1:34" x14ac:dyDescent="0.2">
      <c r="A14" s="136">
        <v>43223</v>
      </c>
      <c r="B14" s="128" t="s">
        <v>95</v>
      </c>
      <c r="C14" s="137">
        <v>2018</v>
      </c>
      <c r="D14" s="137" t="s">
        <v>3</v>
      </c>
      <c r="E14" s="139">
        <v>90</v>
      </c>
      <c r="F14" s="139" t="s">
        <v>32</v>
      </c>
      <c r="G14" s="140"/>
      <c r="H14" s="141"/>
      <c r="I14" s="139"/>
      <c r="J14" s="139"/>
      <c r="K14" s="139"/>
      <c r="L14" s="139"/>
      <c r="M14" s="139"/>
      <c r="N14" s="142"/>
      <c r="O14" s="137"/>
      <c r="P14" s="137"/>
      <c r="Q14" s="728"/>
      <c r="R14" s="644"/>
      <c r="S14" s="137"/>
      <c r="T14" s="137"/>
      <c r="U14" s="137" t="str">
        <f>IF(AC14="P Wdr","No",IF(AC14="S Wdr","Yes","n/a"))</f>
        <v>n/a</v>
      </c>
      <c r="V14" s="136"/>
      <c r="W14" s="143">
        <f>IF(AC14="Intr",0,G14*Definitions!$B$53)</f>
        <v>0</v>
      </c>
      <c r="X14" s="143">
        <f>IF(AC14="Intr",0,G14*Definitions!$B$54)</f>
        <v>0</v>
      </c>
      <c r="Y14" s="143">
        <f>IF(AC14="Intr",G14,G14*Definitions!$B$55)</f>
        <v>0</v>
      </c>
      <c r="Z14" s="143"/>
      <c r="AA14" s="143"/>
      <c r="AB14" s="143"/>
      <c r="AC14" s="137"/>
      <c r="AD14" s="137"/>
      <c r="AE14" s="137"/>
      <c r="AF14" s="137"/>
      <c r="AG14" s="144"/>
      <c r="AH14" s="137"/>
    </row>
    <row r="15" spans="1:34" x14ac:dyDescent="0.2">
      <c r="A15" s="136">
        <v>43223</v>
      </c>
      <c r="B15" s="128" t="s">
        <v>95</v>
      </c>
      <c r="C15" s="137">
        <v>2018</v>
      </c>
      <c r="D15" s="137" t="s">
        <v>3</v>
      </c>
      <c r="E15" s="138">
        <v>45000</v>
      </c>
      <c r="F15" s="139" t="s">
        <v>33</v>
      </c>
      <c r="G15" s="140"/>
      <c r="H15" s="141"/>
      <c r="I15" s="139"/>
      <c r="J15" s="139"/>
      <c r="K15" s="139"/>
      <c r="L15" s="139"/>
      <c r="M15" s="139"/>
      <c r="N15" s="142"/>
      <c r="O15" s="137"/>
      <c r="P15" s="137"/>
      <c r="Q15" s="728"/>
      <c r="R15" s="644"/>
      <c r="S15" s="137"/>
      <c r="T15" s="137"/>
      <c r="U15" s="137" t="s">
        <v>77</v>
      </c>
      <c r="V15" s="136"/>
      <c r="W15" s="143">
        <f>IF(AC15="Intr",0,G15*Definitions!$B$53)</f>
        <v>0</v>
      </c>
      <c r="X15" s="143">
        <f>IF(AC15="Intr",0,G15*Definitions!$B$54)</f>
        <v>0</v>
      </c>
      <c r="Y15" s="143">
        <f>IF(AC15="Intr",G15,G15*Definitions!$B$55)</f>
        <v>0</v>
      </c>
      <c r="Z15" s="143"/>
      <c r="AA15" s="143"/>
      <c r="AB15" s="143"/>
      <c r="AC15" s="137"/>
      <c r="AD15" s="137"/>
      <c r="AE15" s="137"/>
      <c r="AF15" s="137"/>
      <c r="AG15" s="144"/>
      <c r="AH15" s="137"/>
    </row>
    <row r="16" spans="1:34" x14ac:dyDescent="0.2">
      <c r="A16" s="136">
        <v>43223</v>
      </c>
      <c r="B16" s="128" t="s">
        <v>95</v>
      </c>
      <c r="C16" s="137">
        <v>2018</v>
      </c>
      <c r="D16" s="137" t="s">
        <v>10</v>
      </c>
      <c r="E16" s="139">
        <v>90</v>
      </c>
      <c r="F16" s="139" t="s">
        <v>32</v>
      </c>
      <c r="G16" s="140"/>
      <c r="H16" s="141"/>
      <c r="I16" s="139"/>
      <c r="J16" s="139"/>
      <c r="K16" s="139"/>
      <c r="L16" s="139"/>
      <c r="M16" s="139"/>
      <c r="N16" s="142"/>
      <c r="O16" s="137"/>
      <c r="P16" s="137"/>
      <c r="Q16" s="728"/>
      <c r="R16" s="644"/>
      <c r="S16" s="137"/>
      <c r="T16" s="137"/>
      <c r="U16" s="137" t="s">
        <v>77</v>
      </c>
      <c r="V16" s="136"/>
      <c r="W16" s="143">
        <f>IF(AC16="Intr",0,G16*Definitions!$B$53)</f>
        <v>0</v>
      </c>
      <c r="X16" s="143">
        <f>IF(AC16="Intr",0,G16*Definitions!$B$54)</f>
        <v>0</v>
      </c>
      <c r="Y16" s="143">
        <f>IF(AC16="Intr",G16,G16*Definitions!$B$55)</f>
        <v>0</v>
      </c>
      <c r="Z16" s="143"/>
      <c r="AA16" s="143"/>
      <c r="AB16" s="143"/>
      <c r="AC16" s="137"/>
      <c r="AD16" s="137"/>
      <c r="AE16" s="137"/>
      <c r="AF16" s="137"/>
      <c r="AG16" s="144"/>
      <c r="AH16" s="137"/>
    </row>
    <row r="17" spans="1:34" x14ac:dyDescent="0.2">
      <c r="A17" s="136">
        <v>43223</v>
      </c>
      <c r="B17" s="128" t="s">
        <v>95</v>
      </c>
      <c r="C17" s="137">
        <v>2018</v>
      </c>
      <c r="D17" s="137" t="s">
        <v>10</v>
      </c>
      <c r="E17" s="138">
        <v>45000</v>
      </c>
      <c r="F17" s="139" t="s">
        <v>33</v>
      </c>
      <c r="G17" s="140"/>
      <c r="H17" s="141"/>
      <c r="I17" s="139"/>
      <c r="J17" s="139"/>
      <c r="K17" s="139"/>
      <c r="L17" s="139"/>
      <c r="M17" s="139"/>
      <c r="N17" s="142"/>
      <c r="O17" s="137"/>
      <c r="P17" s="137"/>
      <c r="Q17" s="728"/>
      <c r="R17" s="644"/>
      <c r="S17" s="137"/>
      <c r="T17" s="137"/>
      <c r="U17" s="137" t="s">
        <v>77</v>
      </c>
      <c r="V17" s="136"/>
      <c r="W17" s="143">
        <f>IF(AC17="Intr",0,G17*Definitions!$B$53)</f>
        <v>0</v>
      </c>
      <c r="X17" s="143">
        <f>IF(AC17="Intr",0,G17*Definitions!$B$54)</f>
        <v>0</v>
      </c>
      <c r="Y17" s="143">
        <f>IF(AC17="Intr",G17,G17*Definitions!$B$55)</f>
        <v>0</v>
      </c>
      <c r="Z17" s="143"/>
      <c r="AA17" s="143"/>
      <c r="AB17" s="143"/>
      <c r="AC17" s="137"/>
      <c r="AD17" s="137"/>
      <c r="AE17" s="137"/>
      <c r="AF17" s="137"/>
      <c r="AG17" s="144"/>
      <c r="AH17" s="137"/>
    </row>
    <row r="18" spans="1:34" x14ac:dyDescent="0.2">
      <c r="A18" s="136">
        <v>43223</v>
      </c>
      <c r="B18" s="128" t="s">
        <v>95</v>
      </c>
      <c r="C18" s="137">
        <v>2018</v>
      </c>
      <c r="D18" s="137" t="s">
        <v>5</v>
      </c>
      <c r="E18" s="139">
        <v>90</v>
      </c>
      <c r="F18" s="139" t="s">
        <v>32</v>
      </c>
      <c r="G18" s="140"/>
      <c r="H18" s="141"/>
      <c r="I18" s="139"/>
      <c r="J18" s="139"/>
      <c r="K18" s="139"/>
      <c r="L18" s="139"/>
      <c r="M18" s="139"/>
      <c r="N18" s="142"/>
      <c r="O18" s="137"/>
      <c r="P18" s="137"/>
      <c r="Q18" s="728"/>
      <c r="R18" s="644"/>
      <c r="S18" s="137"/>
      <c r="T18" s="137"/>
      <c r="U18" s="137" t="s">
        <v>77</v>
      </c>
      <c r="V18" s="136"/>
      <c r="W18" s="143">
        <f>IF(AC18="Intr",0,G18*Definitions!$B$53)</f>
        <v>0</v>
      </c>
      <c r="X18" s="143">
        <f>IF(AC18="Intr",0,G18*Definitions!$B$54)</f>
        <v>0</v>
      </c>
      <c r="Y18" s="143">
        <f>IF(AC18="Intr",G18,G18*Definitions!$B$55)</f>
        <v>0</v>
      </c>
      <c r="Z18" s="143"/>
      <c r="AA18" s="143"/>
      <c r="AB18" s="143"/>
      <c r="AC18" s="137"/>
      <c r="AD18" s="137"/>
      <c r="AE18" s="137"/>
      <c r="AF18" s="137"/>
      <c r="AG18" s="144"/>
      <c r="AH18" s="137"/>
    </row>
    <row r="19" spans="1:34" x14ac:dyDescent="0.2">
      <c r="A19" s="136">
        <v>43223</v>
      </c>
      <c r="B19" s="128" t="s">
        <v>95</v>
      </c>
      <c r="C19" s="137">
        <v>2018</v>
      </c>
      <c r="D19" s="137" t="s">
        <v>5</v>
      </c>
      <c r="E19" s="138">
        <v>45000</v>
      </c>
      <c r="F19" s="139" t="s">
        <v>33</v>
      </c>
      <c r="G19" s="140"/>
      <c r="H19" s="141"/>
      <c r="I19" s="139"/>
      <c r="J19" s="139"/>
      <c r="K19" s="139"/>
      <c r="L19" s="139"/>
      <c r="M19" s="139"/>
      <c r="N19" s="142"/>
      <c r="O19" s="137"/>
      <c r="P19" s="137"/>
      <c r="Q19" s="728"/>
      <c r="R19" s="644"/>
      <c r="S19" s="137"/>
      <c r="T19" s="137"/>
      <c r="U19" s="137" t="s">
        <v>77</v>
      </c>
      <c r="V19" s="136"/>
      <c r="W19" s="143">
        <f>IF(AC19="Intr",0,G19*Definitions!$B$53)</f>
        <v>0</v>
      </c>
      <c r="X19" s="143">
        <f>IF(AC19="Intr",0,G19*Definitions!$B$54)</f>
        <v>0</v>
      </c>
      <c r="Y19" s="143">
        <f>IF(AC19="Intr",G19,G19*Definitions!$B$55)</f>
        <v>0</v>
      </c>
      <c r="Z19" s="143"/>
      <c r="AA19" s="143"/>
      <c r="AB19" s="143"/>
      <c r="AC19" s="137"/>
      <c r="AD19" s="137"/>
      <c r="AE19" s="137"/>
      <c r="AF19" s="137"/>
      <c r="AG19" s="144"/>
      <c r="AH19" s="137"/>
    </row>
    <row r="20" spans="1:34" x14ac:dyDescent="0.2">
      <c r="A20" s="136">
        <v>43223</v>
      </c>
      <c r="B20" s="128" t="s">
        <v>95</v>
      </c>
      <c r="C20" s="137">
        <v>2018</v>
      </c>
      <c r="D20" s="137" t="s">
        <v>7</v>
      </c>
      <c r="E20" s="139">
        <v>120</v>
      </c>
      <c r="F20" s="139" t="s">
        <v>32</v>
      </c>
      <c r="G20" s="140"/>
      <c r="H20" s="141"/>
      <c r="I20" s="139"/>
      <c r="J20" s="139"/>
      <c r="K20" s="139"/>
      <c r="L20" s="139"/>
      <c r="M20" s="139"/>
      <c r="N20" s="142"/>
      <c r="O20" s="137"/>
      <c r="P20" s="137"/>
      <c r="Q20" s="728"/>
      <c r="R20" s="644"/>
      <c r="S20" s="137"/>
      <c r="T20" s="137"/>
      <c r="U20" s="137" t="s">
        <v>77</v>
      </c>
      <c r="V20" s="136"/>
      <c r="W20" s="143">
        <f>IF(AC20="Intr",0,G20*Definitions!$B$53)</f>
        <v>0</v>
      </c>
      <c r="X20" s="143">
        <f>IF(AC20="Intr",0,G20*Definitions!$B$54)</f>
        <v>0</v>
      </c>
      <c r="Y20" s="143">
        <f>IF(AC20="Intr",G20,G20*Definitions!$B$55)</f>
        <v>0</v>
      </c>
      <c r="Z20" s="143"/>
      <c r="AA20" s="143"/>
      <c r="AB20" s="143"/>
      <c r="AC20" s="137"/>
      <c r="AD20" s="137"/>
      <c r="AE20" s="137"/>
      <c r="AF20" s="137"/>
      <c r="AG20" s="144"/>
      <c r="AH20" s="137"/>
    </row>
    <row r="21" spans="1:34" x14ac:dyDescent="0.2">
      <c r="A21" s="136">
        <v>43223</v>
      </c>
      <c r="B21" s="128" t="s">
        <v>95</v>
      </c>
      <c r="C21" s="137">
        <v>2018</v>
      </c>
      <c r="D21" s="137" t="s">
        <v>7</v>
      </c>
      <c r="E21" s="138">
        <v>60000</v>
      </c>
      <c r="F21" s="139" t="s">
        <v>33</v>
      </c>
      <c r="G21" s="140"/>
      <c r="H21" s="141"/>
      <c r="I21" s="139"/>
      <c r="J21" s="139"/>
      <c r="K21" s="139"/>
      <c r="L21" s="139"/>
      <c r="M21" s="139"/>
      <c r="N21" s="142"/>
      <c r="O21" s="137"/>
      <c r="P21" s="137"/>
      <c r="Q21" s="728"/>
      <c r="R21" s="644"/>
      <c r="S21" s="137"/>
      <c r="T21" s="137"/>
      <c r="U21" s="137" t="s">
        <v>77</v>
      </c>
      <c r="V21" s="136"/>
      <c r="W21" s="143">
        <f>IF(AC21="Intr",0,G21*Definitions!$B$53)</f>
        <v>0</v>
      </c>
      <c r="X21" s="143">
        <f>IF(AC21="Intr",0,G21*Definitions!$B$54)</f>
        <v>0</v>
      </c>
      <c r="Y21" s="143">
        <f>IF(AC21="Intr",G21,G21*Definitions!$B$55)</f>
        <v>0</v>
      </c>
      <c r="Z21" s="143"/>
      <c r="AA21" s="143"/>
      <c r="AB21" s="143"/>
      <c r="AC21" s="137"/>
      <c r="AD21" s="137"/>
      <c r="AE21" s="137"/>
      <c r="AF21" s="137"/>
      <c r="AG21" s="144"/>
      <c r="AH21" s="137"/>
    </row>
    <row r="22" spans="1:34" x14ac:dyDescent="0.2">
      <c r="A22" s="136">
        <v>43223</v>
      </c>
      <c r="B22" s="128" t="s">
        <v>95</v>
      </c>
      <c r="C22" s="137">
        <v>2018</v>
      </c>
      <c r="D22" s="137" t="s">
        <v>7</v>
      </c>
      <c r="E22" s="138">
        <v>42</v>
      </c>
      <c r="F22" s="139" t="s">
        <v>32</v>
      </c>
      <c r="G22" s="140"/>
      <c r="H22" s="141"/>
      <c r="I22" s="139"/>
      <c r="J22" s="139"/>
      <c r="K22" s="139"/>
      <c r="L22" s="139"/>
      <c r="M22" s="139"/>
      <c r="N22" s="142"/>
      <c r="O22" s="137"/>
      <c r="P22" s="137"/>
      <c r="Q22" s="728"/>
      <c r="R22" s="644"/>
      <c r="S22" s="137"/>
      <c r="T22" s="137"/>
      <c r="U22" s="137"/>
      <c r="V22" s="136"/>
      <c r="W22" s="143">
        <f>IF(AC22="Intr",0,G22*Definitions!$B$53)</f>
        <v>0</v>
      </c>
      <c r="X22" s="143">
        <f>IF(AC22="Intr",0,G22*Definitions!$B$54)</f>
        <v>0</v>
      </c>
      <c r="Y22" s="143">
        <f>IF(AC22="Intr",G22,G22*Definitions!$B$55)</f>
        <v>0</v>
      </c>
      <c r="Z22" s="143"/>
      <c r="AA22" s="143"/>
      <c r="AB22" s="143"/>
      <c r="AC22" s="137"/>
      <c r="AD22" s="137"/>
      <c r="AE22" s="137"/>
      <c r="AF22" s="137"/>
      <c r="AG22" s="144"/>
      <c r="AH22" s="137" t="s">
        <v>1177</v>
      </c>
    </row>
    <row r="23" spans="1:34" x14ac:dyDescent="0.2">
      <c r="A23" s="136">
        <v>43223</v>
      </c>
      <c r="B23" s="128" t="s">
        <v>95</v>
      </c>
      <c r="C23" s="137">
        <v>2018</v>
      </c>
      <c r="D23" s="137" t="s">
        <v>7</v>
      </c>
      <c r="E23" s="138">
        <v>21000</v>
      </c>
      <c r="F23" s="139" t="s">
        <v>33</v>
      </c>
      <c r="G23" s="140"/>
      <c r="H23" s="141"/>
      <c r="I23" s="139"/>
      <c r="J23" s="139"/>
      <c r="K23" s="139"/>
      <c r="L23" s="139"/>
      <c r="M23" s="139"/>
      <c r="N23" s="142"/>
      <c r="O23" s="137"/>
      <c r="P23" s="137"/>
      <c r="Q23" s="728"/>
      <c r="R23" s="644"/>
      <c r="S23" s="137"/>
      <c r="T23" s="137"/>
      <c r="U23" s="137"/>
      <c r="V23" s="136"/>
      <c r="W23" s="143">
        <f>IF(AC23="Intr",0,G23*Definitions!$B$53)</f>
        <v>0</v>
      </c>
      <c r="X23" s="143">
        <f>IF(AC23="Intr",0,G23*Definitions!$B$54)</f>
        <v>0</v>
      </c>
      <c r="Y23" s="143">
        <f>IF(AC23="Intr",G23,G23*Definitions!$B$55)</f>
        <v>0</v>
      </c>
      <c r="Z23" s="143"/>
      <c r="AA23" s="143"/>
      <c r="AB23" s="143"/>
      <c r="AC23" s="137"/>
      <c r="AD23" s="137"/>
      <c r="AE23" s="137"/>
      <c r="AF23" s="137"/>
      <c r="AG23" s="144"/>
      <c r="AH23" s="137" t="s">
        <v>1177</v>
      </c>
    </row>
    <row r="24" spans="1:34" x14ac:dyDescent="0.2">
      <c r="A24" s="136">
        <v>43223</v>
      </c>
      <c r="B24" s="128" t="s">
        <v>95</v>
      </c>
      <c r="C24" s="137">
        <v>2018</v>
      </c>
      <c r="D24" s="137" t="s">
        <v>8</v>
      </c>
      <c r="E24" s="139">
        <v>90</v>
      </c>
      <c r="F24" s="139" t="s">
        <v>32</v>
      </c>
      <c r="G24" s="140"/>
      <c r="H24" s="141"/>
      <c r="I24" s="139"/>
      <c r="J24" s="139"/>
      <c r="K24" s="139"/>
      <c r="L24" s="139"/>
      <c r="M24" s="139"/>
      <c r="N24" s="142"/>
      <c r="O24" s="137"/>
      <c r="P24" s="137"/>
      <c r="Q24" s="728"/>
      <c r="R24" s="644"/>
      <c r="S24" s="137"/>
      <c r="T24" s="137"/>
      <c r="U24" s="137" t="s">
        <v>77</v>
      </c>
      <c r="V24" s="136"/>
      <c r="W24" s="143">
        <f>IF(AC24="Intr",0,G24*Definitions!$B$53)</f>
        <v>0</v>
      </c>
      <c r="X24" s="143">
        <f>IF(AC24="Intr",0,G24*Definitions!$B$54)</f>
        <v>0</v>
      </c>
      <c r="Y24" s="143">
        <f>IF(AC24="Intr",G24,G24*Definitions!$B$55)</f>
        <v>0</v>
      </c>
      <c r="Z24" s="143"/>
      <c r="AA24" s="143"/>
      <c r="AB24" s="143"/>
      <c r="AC24" s="137"/>
      <c r="AD24" s="137"/>
      <c r="AE24" s="137"/>
      <c r="AF24" s="137"/>
      <c r="AG24" s="144"/>
      <c r="AH24" s="137"/>
    </row>
    <row r="25" spans="1:34" x14ac:dyDescent="0.2">
      <c r="A25" s="136">
        <v>43223</v>
      </c>
      <c r="B25" s="128" t="s">
        <v>95</v>
      </c>
      <c r="C25" s="137">
        <v>2018</v>
      </c>
      <c r="D25" s="137" t="s">
        <v>8</v>
      </c>
      <c r="E25" s="138">
        <v>45000</v>
      </c>
      <c r="F25" s="139" t="s">
        <v>33</v>
      </c>
      <c r="G25" s="140"/>
      <c r="H25" s="141"/>
      <c r="I25" s="139"/>
      <c r="J25" s="139"/>
      <c r="K25" s="139"/>
      <c r="L25" s="139"/>
      <c r="M25" s="139"/>
      <c r="N25" s="142"/>
      <c r="O25" s="137"/>
      <c r="P25" s="137"/>
      <c r="Q25" s="728"/>
      <c r="R25" s="644"/>
      <c r="S25" s="137"/>
      <c r="T25" s="137"/>
      <c r="U25" s="137" t="s">
        <v>77</v>
      </c>
      <c r="V25" s="136"/>
      <c r="W25" s="143">
        <f>IF(AC25="Intr",0,G25*Definitions!$B$53)</f>
        <v>0</v>
      </c>
      <c r="X25" s="143">
        <f>IF(AC25="Intr",0,G25*Definitions!$B$54)</f>
        <v>0</v>
      </c>
      <c r="Y25" s="143">
        <f>IF(AC25="Intr",G25,G25*Definitions!$B$55)</f>
        <v>0</v>
      </c>
      <c r="Z25" s="143"/>
      <c r="AA25" s="143"/>
      <c r="AB25" s="143"/>
      <c r="AC25" s="137"/>
      <c r="AD25" s="137"/>
      <c r="AE25" s="137"/>
      <c r="AF25" s="137"/>
      <c r="AG25" s="144"/>
      <c r="AH25" s="137"/>
    </row>
    <row r="26" spans="1:34" x14ac:dyDescent="0.2">
      <c r="A26" s="145">
        <v>43367</v>
      </c>
      <c r="B26" s="554" t="s">
        <v>96</v>
      </c>
      <c r="C26" s="112">
        <v>2018</v>
      </c>
      <c r="D26" s="112" t="s">
        <v>10</v>
      </c>
      <c r="E26" s="146">
        <v>-11</v>
      </c>
      <c r="F26" s="146" t="s">
        <v>33</v>
      </c>
      <c r="G26" s="147">
        <v>4400</v>
      </c>
      <c r="H26" s="148">
        <v>2</v>
      </c>
      <c r="I26" s="146" t="s">
        <v>80</v>
      </c>
      <c r="J26" s="146" t="s">
        <v>41</v>
      </c>
      <c r="K26" s="146">
        <v>11</v>
      </c>
      <c r="L26" s="146" t="s">
        <v>755</v>
      </c>
      <c r="M26" s="146" t="s">
        <v>82</v>
      </c>
      <c r="N26" s="149" t="s">
        <v>83</v>
      </c>
      <c r="O26" s="112"/>
      <c r="P26" s="112" t="s">
        <v>84</v>
      </c>
      <c r="Q26" s="729">
        <v>38.380290000000002</v>
      </c>
      <c r="R26" s="591">
        <v>-85.744731000000002</v>
      </c>
      <c r="S26" s="112" t="s">
        <v>62</v>
      </c>
      <c r="T26" s="112"/>
      <c r="U26" s="112" t="s">
        <v>51</v>
      </c>
      <c r="V26" s="145"/>
      <c r="W26" s="150">
        <f>IF(AC26="Intr",0,G26*Definitions!$B$53)</f>
        <v>660</v>
      </c>
      <c r="X26" s="150">
        <f>IF(AC26="Intr",0,G26*Definitions!$B$54)</f>
        <v>3080</v>
      </c>
      <c r="Y26" s="150">
        <f>IF(AC26="Intr",G26,G26*Definitions!$B$55)</f>
        <v>660</v>
      </c>
      <c r="Z26" s="150"/>
      <c r="AA26" s="150"/>
      <c r="AB26" s="150"/>
      <c r="AC26" s="112"/>
      <c r="AD26" s="112"/>
      <c r="AE26" s="112"/>
      <c r="AF26" s="112"/>
      <c r="AG26" s="151"/>
      <c r="AH26" s="98" t="s">
        <v>246</v>
      </c>
    </row>
    <row r="27" spans="1:34" x14ac:dyDescent="0.2">
      <c r="A27" s="145">
        <v>43367</v>
      </c>
      <c r="B27" s="145" t="s">
        <v>96</v>
      </c>
      <c r="C27" s="112">
        <v>2018</v>
      </c>
      <c r="D27" s="112" t="s">
        <v>10</v>
      </c>
      <c r="E27" s="146">
        <v>-398</v>
      </c>
      <c r="F27" s="146" t="s">
        <v>33</v>
      </c>
      <c r="G27" s="147">
        <v>159200</v>
      </c>
      <c r="H27" s="148">
        <v>2</v>
      </c>
      <c r="I27" s="146" t="s">
        <v>80</v>
      </c>
      <c r="J27" s="146" t="s">
        <v>40</v>
      </c>
      <c r="K27" s="146">
        <v>332</v>
      </c>
      <c r="L27" s="146" t="s">
        <v>755</v>
      </c>
      <c r="M27" s="146" t="s">
        <v>82</v>
      </c>
      <c r="N27" s="149" t="s">
        <v>83</v>
      </c>
      <c r="O27" s="112"/>
      <c r="P27" s="112" t="s">
        <v>84</v>
      </c>
      <c r="Q27" s="729">
        <v>38.380290000000002</v>
      </c>
      <c r="R27" s="591">
        <v>-85.744731000000002</v>
      </c>
      <c r="S27" s="112" t="s">
        <v>62</v>
      </c>
      <c r="T27" s="112"/>
      <c r="U27" s="112" t="s">
        <v>51</v>
      </c>
      <c r="V27" s="145"/>
      <c r="W27" s="150">
        <f>IF(AC27="Intr",0,G27*Definitions!$B$53)</f>
        <v>23880</v>
      </c>
      <c r="X27" s="150">
        <f>IF(AC27="Intr",0,G27*Definitions!$B$54)</f>
        <v>111440</v>
      </c>
      <c r="Y27" s="150">
        <f>IF(AC27="Intr",G27,G27*Definitions!$B$55)</f>
        <v>23880</v>
      </c>
      <c r="Z27" s="150"/>
      <c r="AA27" s="150"/>
      <c r="AB27" s="150"/>
      <c r="AC27" s="112"/>
      <c r="AD27" s="112"/>
      <c r="AE27" s="112"/>
      <c r="AF27" s="112"/>
      <c r="AG27" s="151"/>
      <c r="AH27" s="112"/>
    </row>
    <row r="28" spans="1:34" x14ac:dyDescent="0.2">
      <c r="A28" s="97">
        <v>43367</v>
      </c>
      <c r="B28" s="97" t="s">
        <v>96</v>
      </c>
      <c r="C28" s="98">
        <v>2018</v>
      </c>
      <c r="D28" s="98" t="s">
        <v>10</v>
      </c>
      <c r="E28" s="99">
        <v>-1.8</v>
      </c>
      <c r="F28" s="99" t="s">
        <v>32</v>
      </c>
      <c r="G28" s="100">
        <v>144000</v>
      </c>
      <c r="H28" s="101">
        <v>2</v>
      </c>
      <c r="I28" s="99" t="s">
        <v>80</v>
      </c>
      <c r="J28" s="99" t="s">
        <v>36</v>
      </c>
      <c r="K28" s="99">
        <v>0.74</v>
      </c>
      <c r="L28" s="99" t="s">
        <v>755</v>
      </c>
      <c r="M28" s="99" t="s">
        <v>82</v>
      </c>
      <c r="N28" s="102" t="s">
        <v>83</v>
      </c>
      <c r="O28" s="98"/>
      <c r="P28" s="98" t="s">
        <v>84</v>
      </c>
      <c r="Q28" s="730">
        <v>38.380290000000002</v>
      </c>
      <c r="R28" s="645">
        <v>-85.744731000000002</v>
      </c>
      <c r="S28" s="98" t="s">
        <v>980</v>
      </c>
      <c r="T28" s="98" t="s">
        <v>1545</v>
      </c>
      <c r="U28" s="98" t="s">
        <v>50</v>
      </c>
      <c r="V28" s="97">
        <v>45313</v>
      </c>
      <c r="W28" s="103">
        <f>IF(AC28="Intr",0,G28*[1]Data!$B$53)</f>
        <v>21600</v>
      </c>
      <c r="X28" s="103">
        <f>IF(AC28="Intr",0,G28*[1]Data!$B$54)</f>
        <v>100800</v>
      </c>
      <c r="Y28" s="103">
        <f>IF(AC28="Intr",G28,G28*[1]Data!$B$55)</f>
        <v>21600</v>
      </c>
      <c r="Z28" s="103"/>
      <c r="AA28" s="103"/>
      <c r="AB28" s="103"/>
      <c r="AC28" s="98"/>
      <c r="AD28" s="98" t="s">
        <v>1546</v>
      </c>
      <c r="AE28" s="98"/>
      <c r="AF28" s="98"/>
      <c r="AG28" s="104"/>
      <c r="AH28" s="98" t="s">
        <v>1547</v>
      </c>
    </row>
    <row r="29" spans="1:34" x14ac:dyDescent="0.2">
      <c r="A29" s="97">
        <v>43367</v>
      </c>
      <c r="B29" s="97" t="s">
        <v>96</v>
      </c>
      <c r="C29" s="98">
        <v>2018</v>
      </c>
      <c r="D29" s="98" t="s">
        <v>10</v>
      </c>
      <c r="E29" s="99">
        <v>-0.2</v>
      </c>
      <c r="F29" s="99" t="s">
        <v>32</v>
      </c>
      <c r="G29" s="100">
        <v>16000</v>
      </c>
      <c r="H29" s="101">
        <v>2</v>
      </c>
      <c r="I29" s="99" t="s">
        <v>80</v>
      </c>
      <c r="J29" s="99" t="s">
        <v>38</v>
      </c>
      <c r="K29" s="99">
        <v>0.05</v>
      </c>
      <c r="L29" s="99" t="s">
        <v>755</v>
      </c>
      <c r="M29" s="99" t="s">
        <v>82</v>
      </c>
      <c r="N29" s="102" t="s">
        <v>83</v>
      </c>
      <c r="O29" s="98"/>
      <c r="P29" s="98" t="s">
        <v>84</v>
      </c>
      <c r="Q29" s="730">
        <v>38.380290000000002</v>
      </c>
      <c r="R29" s="645">
        <v>-85.744731000000002</v>
      </c>
      <c r="S29" s="98" t="s">
        <v>980</v>
      </c>
      <c r="T29" s="98" t="s">
        <v>1545</v>
      </c>
      <c r="U29" s="98" t="s">
        <v>50</v>
      </c>
      <c r="V29" s="97">
        <v>45313</v>
      </c>
      <c r="W29" s="103">
        <f>IF(AC29="Intr",0,G29*[1]Data!$B$53)</f>
        <v>2400</v>
      </c>
      <c r="X29" s="103">
        <f>IF(AC29="Intr",0,G29*[1]Data!$B$54)</f>
        <v>11200</v>
      </c>
      <c r="Y29" s="103">
        <f>IF(AC29="Intr",G29,G29*[1]Data!$B$55)</f>
        <v>2400</v>
      </c>
      <c r="Z29" s="103"/>
      <c r="AA29" s="103"/>
      <c r="AB29" s="103"/>
      <c r="AC29" s="98"/>
      <c r="AD29" s="98" t="s">
        <v>1546</v>
      </c>
      <c r="AE29" s="98"/>
      <c r="AF29" s="98"/>
      <c r="AG29" s="104"/>
      <c r="AH29" s="98" t="s">
        <v>1547</v>
      </c>
    </row>
    <row r="30" spans="1:34" x14ac:dyDescent="0.2">
      <c r="A30" s="41">
        <v>43369</v>
      </c>
      <c r="B30" s="41" t="s">
        <v>96</v>
      </c>
      <c r="C30" s="42">
        <v>2018</v>
      </c>
      <c r="D30" s="42" t="s">
        <v>11</v>
      </c>
      <c r="E30" s="320">
        <v>-4.2</v>
      </c>
      <c r="F30" s="320" t="s">
        <v>32</v>
      </c>
      <c r="G30" s="343">
        <v>336000</v>
      </c>
      <c r="H30" s="344">
        <v>1</v>
      </c>
      <c r="I30" s="320" t="s">
        <v>80</v>
      </c>
      <c r="J30" s="320" t="s">
        <v>38</v>
      </c>
      <c r="K30" s="320">
        <v>0.88</v>
      </c>
      <c r="L30" s="320" t="s">
        <v>86</v>
      </c>
      <c r="M30" s="320" t="s">
        <v>87</v>
      </c>
      <c r="N30" s="73" t="s">
        <v>88</v>
      </c>
      <c r="O30" s="42"/>
      <c r="P30" s="42" t="s">
        <v>89</v>
      </c>
      <c r="Q30" s="731">
        <v>37.956099999999999</v>
      </c>
      <c r="R30" s="593">
        <v>-87.5702</v>
      </c>
      <c r="S30" s="42" t="s">
        <v>61</v>
      </c>
      <c r="T30" s="42"/>
      <c r="U30" s="42" t="s">
        <v>51</v>
      </c>
      <c r="V30" s="41"/>
      <c r="W30" s="43">
        <f>IF(AC30="Intr",0,G30*Definitions!$B$53)</f>
        <v>50400</v>
      </c>
      <c r="X30" s="43">
        <f>IF(AC30="Intr",0,G30*Definitions!$B$54)</f>
        <v>235199.99999999997</v>
      </c>
      <c r="Y30" s="43">
        <f>IF(AC30="Intr",G30,G30*Definitions!$B$55)</f>
        <v>50400</v>
      </c>
      <c r="Z30" s="43"/>
      <c r="AA30" s="43"/>
      <c r="AB30" s="43"/>
      <c r="AC30" s="42"/>
      <c r="AD30" s="42"/>
      <c r="AE30" s="42"/>
      <c r="AF30" s="42"/>
      <c r="AG30" s="44"/>
      <c r="AH30" s="42"/>
    </row>
    <row r="31" spans="1:34" x14ac:dyDescent="0.2">
      <c r="A31" s="168">
        <v>43377</v>
      </c>
      <c r="B31" s="169" t="s">
        <v>98</v>
      </c>
      <c r="C31" s="169">
        <v>2018</v>
      </c>
      <c r="D31" s="169" t="s">
        <v>8</v>
      </c>
      <c r="E31" s="170">
        <v>-3.05</v>
      </c>
      <c r="F31" s="170" t="s">
        <v>32</v>
      </c>
      <c r="G31" s="171">
        <v>244000</v>
      </c>
      <c r="H31" s="172">
        <v>3</v>
      </c>
      <c r="I31" s="170" t="s">
        <v>81</v>
      </c>
      <c r="J31" s="170" t="s">
        <v>36</v>
      </c>
      <c r="K31" s="170">
        <v>2.028</v>
      </c>
      <c r="L31" s="170" t="s">
        <v>99</v>
      </c>
      <c r="M31" s="170" t="s">
        <v>103</v>
      </c>
      <c r="N31" s="173" t="s">
        <v>100</v>
      </c>
      <c r="O31" s="169"/>
      <c r="P31" s="169" t="s">
        <v>101</v>
      </c>
      <c r="Q31" s="732">
        <v>39.597969999999997</v>
      </c>
      <c r="R31" s="646">
        <v>-86.059100000000001</v>
      </c>
      <c r="S31" s="169" t="s">
        <v>61</v>
      </c>
      <c r="T31" s="169"/>
      <c r="U31" s="169" t="s">
        <v>51</v>
      </c>
      <c r="V31" s="168"/>
      <c r="W31" s="174">
        <f>IF(AC31="Intr",0,G31*Definitions!$B$53)</f>
        <v>36600</v>
      </c>
      <c r="X31" s="174">
        <f>IF(AC31="Intr",0,G31*Definitions!$B$54)</f>
        <v>170800</v>
      </c>
      <c r="Y31" s="174">
        <f>IF(AC31="Intr",G31,G31*Definitions!$B$55)</f>
        <v>36600</v>
      </c>
      <c r="Z31" s="174"/>
      <c r="AA31" s="174"/>
      <c r="AB31" s="174"/>
      <c r="AC31" s="169"/>
      <c r="AD31" s="169"/>
      <c r="AE31" s="169"/>
      <c r="AF31" s="169"/>
      <c r="AG31" s="175"/>
      <c r="AH31" s="169" t="s">
        <v>102</v>
      </c>
    </row>
    <row r="32" spans="1:34" x14ac:dyDescent="0.2">
      <c r="A32" s="288">
        <v>43384</v>
      </c>
      <c r="B32" s="289" t="s">
        <v>98</v>
      </c>
      <c r="C32" s="289">
        <v>2018</v>
      </c>
      <c r="D32" s="289" t="s">
        <v>5</v>
      </c>
      <c r="E32" s="331">
        <v>-4.2999999999999997E-2</v>
      </c>
      <c r="F32" s="331" t="s">
        <v>32</v>
      </c>
      <c r="G32" s="332">
        <v>3440</v>
      </c>
      <c r="H32" s="333">
        <v>6</v>
      </c>
      <c r="I32" s="331" t="s">
        <v>80</v>
      </c>
      <c r="J32" s="331" t="s">
        <v>36</v>
      </c>
      <c r="K32" s="331">
        <v>2E-3</v>
      </c>
      <c r="L32" s="331" t="s">
        <v>927</v>
      </c>
      <c r="M32" s="331" t="s">
        <v>108</v>
      </c>
      <c r="N32" s="290" t="s">
        <v>109</v>
      </c>
      <c r="O32" s="289"/>
      <c r="P32" s="289" t="s">
        <v>110</v>
      </c>
      <c r="Q32" s="733">
        <v>40.523240000000001</v>
      </c>
      <c r="R32" s="647">
        <v>-85.587199999999996</v>
      </c>
      <c r="S32" s="289" t="s">
        <v>63</v>
      </c>
      <c r="T32" s="289"/>
      <c r="U32" s="289" t="s">
        <v>51</v>
      </c>
      <c r="V32" s="288"/>
      <c r="W32" s="293">
        <v>516</v>
      </c>
      <c r="X32" s="293">
        <v>2408</v>
      </c>
      <c r="Y32" s="293">
        <v>516</v>
      </c>
      <c r="Z32" s="293"/>
      <c r="AA32" s="293"/>
      <c r="AB32" s="293"/>
      <c r="AC32" s="289"/>
      <c r="AD32" s="289"/>
      <c r="AE32" s="289"/>
      <c r="AF32" s="289"/>
      <c r="AG32" s="294"/>
      <c r="AH32" s="289" t="s">
        <v>158</v>
      </c>
    </row>
    <row r="33" spans="1:34" x14ac:dyDescent="0.2">
      <c r="A33" s="288">
        <v>43384</v>
      </c>
      <c r="B33" s="289" t="s">
        <v>98</v>
      </c>
      <c r="C33" s="289">
        <v>2018</v>
      </c>
      <c r="D33" s="289" t="s">
        <v>5</v>
      </c>
      <c r="E33" s="331">
        <v>-0.38700000000000001</v>
      </c>
      <c r="F33" s="331" t="s">
        <v>32</v>
      </c>
      <c r="G33" s="332">
        <v>30960</v>
      </c>
      <c r="H33" s="333">
        <v>6</v>
      </c>
      <c r="I33" s="331" t="s">
        <v>80</v>
      </c>
      <c r="J33" s="331" t="s">
        <v>38</v>
      </c>
      <c r="K33" s="331">
        <v>0.129</v>
      </c>
      <c r="L33" s="331" t="s">
        <v>927</v>
      </c>
      <c r="M33" s="331" t="s">
        <v>108</v>
      </c>
      <c r="N33" s="290" t="s">
        <v>109</v>
      </c>
      <c r="O33" s="289"/>
      <c r="P33" s="289" t="s">
        <v>110</v>
      </c>
      <c r="Q33" s="733">
        <v>40.523240000000001</v>
      </c>
      <c r="R33" s="647">
        <v>-85.587199999999996</v>
      </c>
      <c r="S33" s="289" t="s">
        <v>63</v>
      </c>
      <c r="T33" s="289"/>
      <c r="U33" s="289" t="s">
        <v>51</v>
      </c>
      <c r="V33" s="288"/>
      <c r="W33" s="293">
        <v>4644</v>
      </c>
      <c r="X33" s="293">
        <v>21672</v>
      </c>
      <c r="Y33" s="293">
        <v>4644</v>
      </c>
      <c r="Z33" s="293"/>
      <c r="AA33" s="293"/>
      <c r="AB33" s="293"/>
      <c r="AC33" s="289"/>
      <c r="AD33" s="289"/>
      <c r="AE33" s="289"/>
      <c r="AF33" s="289"/>
      <c r="AG33" s="294"/>
      <c r="AH33" s="289" t="s">
        <v>158</v>
      </c>
    </row>
    <row r="34" spans="1:34" x14ac:dyDescent="0.2">
      <c r="A34" s="237">
        <v>43388</v>
      </c>
      <c r="B34" s="238" t="s">
        <v>98</v>
      </c>
      <c r="C34" s="238">
        <v>2018</v>
      </c>
      <c r="D34" s="238" t="s">
        <v>8</v>
      </c>
      <c r="E34" s="240">
        <v>-0.8</v>
      </c>
      <c r="F34" s="240" t="s">
        <v>32</v>
      </c>
      <c r="G34" s="317">
        <v>64000</v>
      </c>
      <c r="H34" s="318">
        <v>8</v>
      </c>
      <c r="I34" s="240" t="s">
        <v>80</v>
      </c>
      <c r="J34" s="240" t="s">
        <v>36</v>
      </c>
      <c r="K34" s="240">
        <v>0.32</v>
      </c>
      <c r="L34" s="240" t="s">
        <v>104</v>
      </c>
      <c r="M34" s="240" t="s">
        <v>105</v>
      </c>
      <c r="N34" s="319" t="s">
        <v>106</v>
      </c>
      <c r="O34" s="238"/>
      <c r="P34" s="238" t="s">
        <v>107</v>
      </c>
      <c r="Q34" s="734">
        <v>39.568686</v>
      </c>
      <c r="R34" s="648">
        <v>-85.821329000000006</v>
      </c>
      <c r="S34" s="238" t="s">
        <v>62</v>
      </c>
      <c r="T34" s="238"/>
      <c r="U34" s="238" t="s">
        <v>51</v>
      </c>
      <c r="V34" s="237"/>
      <c r="W34" s="244">
        <f>IF(AC34="Intr",0,G34*Definitions!$B$53)</f>
        <v>9600</v>
      </c>
      <c r="X34" s="244">
        <f>IF(AC34="Intr",0,G34*Definitions!$B$54)</f>
        <v>44800</v>
      </c>
      <c r="Y34" s="244">
        <f>IF(AC34="Intr",G34,G34*Definitions!$B$55)</f>
        <v>9600</v>
      </c>
      <c r="Z34" s="244"/>
      <c r="AA34" s="244"/>
      <c r="AB34" s="244"/>
      <c r="AC34" s="238"/>
      <c r="AD34" s="238"/>
      <c r="AE34" s="238"/>
      <c r="AF34" s="238"/>
      <c r="AG34" s="245"/>
      <c r="AH34" s="238"/>
    </row>
    <row r="35" spans="1:34" x14ac:dyDescent="0.2">
      <c r="A35" s="88">
        <v>43390</v>
      </c>
      <c r="B35" s="89" t="s">
        <v>98</v>
      </c>
      <c r="C35" s="89">
        <v>2018</v>
      </c>
      <c r="D35" s="89" t="s">
        <v>3</v>
      </c>
      <c r="E35" s="90">
        <v>-0.187</v>
      </c>
      <c r="F35" s="90" t="s">
        <v>32</v>
      </c>
      <c r="G35" s="91">
        <v>22440</v>
      </c>
      <c r="H35" s="92">
        <v>9</v>
      </c>
      <c r="I35" s="90" t="s">
        <v>80</v>
      </c>
      <c r="J35" s="90" t="s">
        <v>36</v>
      </c>
      <c r="K35" s="90">
        <v>3.0000000000000001E-3</v>
      </c>
      <c r="L35" s="90" t="s">
        <v>927</v>
      </c>
      <c r="M35" s="90" t="s">
        <v>111</v>
      </c>
      <c r="N35" s="93" t="s">
        <v>112</v>
      </c>
      <c r="O35" s="89"/>
      <c r="P35" s="89" t="s">
        <v>113</v>
      </c>
      <c r="Q35" s="735">
        <v>41.381950000000003</v>
      </c>
      <c r="R35" s="649">
        <v>-85.438940000000002</v>
      </c>
      <c r="S35" s="89" t="s">
        <v>63</v>
      </c>
      <c r="T35" s="89"/>
      <c r="U35" s="89" t="s">
        <v>51</v>
      </c>
      <c r="V35" s="88"/>
      <c r="W35" s="95">
        <f>IF(AC35="Intr",0,G35*Definitions!$B$53)</f>
        <v>3366</v>
      </c>
      <c r="X35" s="95">
        <f>IF(AC35="Intr",0,G35*Definitions!$B$54)</f>
        <v>15707.999999999998</v>
      </c>
      <c r="Y35" s="95">
        <f>IF(AC35="Intr",G35,G35*Definitions!$B$55)</f>
        <v>3366</v>
      </c>
      <c r="Z35" s="95"/>
      <c r="AA35" s="95"/>
      <c r="AB35" s="95"/>
      <c r="AC35" s="89"/>
      <c r="AD35" s="89"/>
      <c r="AE35" s="89"/>
      <c r="AF35" s="89"/>
      <c r="AG35" s="96"/>
      <c r="AH35" s="89" t="s">
        <v>158</v>
      </c>
    </row>
    <row r="36" spans="1:34" x14ac:dyDescent="0.2">
      <c r="A36" s="88">
        <v>43390</v>
      </c>
      <c r="B36" s="89" t="s">
        <v>98</v>
      </c>
      <c r="C36" s="89">
        <v>2018</v>
      </c>
      <c r="D36" s="89" t="s">
        <v>3</v>
      </c>
      <c r="E36" s="90">
        <v>-1.353</v>
      </c>
      <c r="F36" s="90" t="s">
        <v>32</v>
      </c>
      <c r="G36" s="91">
        <v>162360</v>
      </c>
      <c r="H36" s="92">
        <v>9</v>
      </c>
      <c r="I36" s="90" t="s">
        <v>80</v>
      </c>
      <c r="J36" s="90" t="s">
        <v>38</v>
      </c>
      <c r="K36" s="90">
        <v>0.45100000000000001</v>
      </c>
      <c r="L36" s="90" t="s">
        <v>927</v>
      </c>
      <c r="M36" s="90" t="s">
        <v>111</v>
      </c>
      <c r="N36" s="93" t="s">
        <v>112</v>
      </c>
      <c r="O36" s="89"/>
      <c r="P36" s="89" t="s">
        <v>113</v>
      </c>
      <c r="Q36" s="735">
        <v>41.381950000000003</v>
      </c>
      <c r="R36" s="649">
        <v>-85.438940000000002</v>
      </c>
      <c r="S36" s="89" t="s">
        <v>63</v>
      </c>
      <c r="T36" s="89"/>
      <c r="U36" s="89" t="s">
        <v>51</v>
      </c>
      <c r="V36" s="88"/>
      <c r="W36" s="95">
        <f>IF(AC36="Intr",0,G36*Definitions!$B$53)</f>
        <v>24354</v>
      </c>
      <c r="X36" s="95">
        <f>IF(AC36="Intr",0,G36*Definitions!$B$54)</f>
        <v>113652</v>
      </c>
      <c r="Y36" s="95">
        <f>IF(AC36="Intr",G36,G36*Definitions!$B$55)</f>
        <v>24354</v>
      </c>
      <c r="Z36" s="95"/>
      <c r="AA36" s="95"/>
      <c r="AB36" s="95"/>
      <c r="AC36" s="89"/>
      <c r="AD36" s="89"/>
      <c r="AE36" s="89"/>
      <c r="AF36" s="89"/>
      <c r="AG36" s="96"/>
      <c r="AH36" s="89" t="s">
        <v>158</v>
      </c>
    </row>
    <row r="37" spans="1:34" x14ac:dyDescent="0.2">
      <c r="A37" s="97">
        <v>43395</v>
      </c>
      <c r="B37" s="98" t="s">
        <v>98</v>
      </c>
      <c r="C37" s="98">
        <v>2018</v>
      </c>
      <c r="D37" s="98" t="s">
        <v>7</v>
      </c>
      <c r="E37" s="99">
        <v>-348</v>
      </c>
      <c r="F37" s="99" t="s">
        <v>33</v>
      </c>
      <c r="G37" s="100">
        <v>156600</v>
      </c>
      <c r="H37" s="101">
        <v>5</v>
      </c>
      <c r="I37" s="99" t="s">
        <v>80</v>
      </c>
      <c r="J37" s="99" t="s">
        <v>41</v>
      </c>
      <c r="K37" s="99">
        <v>290</v>
      </c>
      <c r="L37" s="99" t="s">
        <v>114</v>
      </c>
      <c r="M37" s="99" t="s">
        <v>116</v>
      </c>
      <c r="N37" s="102" t="s">
        <v>115</v>
      </c>
      <c r="O37" s="98"/>
      <c r="P37" s="98" t="s">
        <v>117</v>
      </c>
      <c r="Q37" s="736">
        <v>39.946444</v>
      </c>
      <c r="R37" s="650">
        <v>-86.358879999999999</v>
      </c>
      <c r="S37" s="98" t="s">
        <v>63</v>
      </c>
      <c r="T37" s="98" t="s">
        <v>1548</v>
      </c>
      <c r="U37" s="98" t="s">
        <v>50</v>
      </c>
      <c r="V37" s="97">
        <v>45117</v>
      </c>
      <c r="W37" s="103">
        <f>IF(AC37="Intr",0,G37*[1]Data!$B$53)</f>
        <v>23490</v>
      </c>
      <c r="X37" s="103">
        <f>IF(AC37="Intr",0,G37*[1]Data!$B$54)</f>
        <v>109620</v>
      </c>
      <c r="Y37" s="103">
        <f>IF(AC37="Intr",G37,G37*[1]Data!$B$55)</f>
        <v>23490</v>
      </c>
      <c r="Z37" s="103"/>
      <c r="AA37" s="103"/>
      <c r="AB37" s="103"/>
      <c r="AC37" s="98"/>
      <c r="AD37" s="98" t="s">
        <v>1549</v>
      </c>
      <c r="AE37" s="98"/>
      <c r="AF37" s="98"/>
      <c r="AG37" s="104"/>
      <c r="AH37" s="98" t="s">
        <v>1550</v>
      </c>
    </row>
    <row r="38" spans="1:34" x14ac:dyDescent="0.2">
      <c r="A38" s="97">
        <v>43395</v>
      </c>
      <c r="B38" s="98" t="s">
        <v>98</v>
      </c>
      <c r="C38" s="98">
        <v>2018</v>
      </c>
      <c r="D38" s="98" t="s">
        <v>7</v>
      </c>
      <c r="E38" s="99">
        <v>-252</v>
      </c>
      <c r="F38" s="99" t="s">
        <v>33</v>
      </c>
      <c r="G38" s="100">
        <v>113400</v>
      </c>
      <c r="H38" s="101">
        <v>5</v>
      </c>
      <c r="I38" s="99" t="s">
        <v>80</v>
      </c>
      <c r="J38" s="99" t="s">
        <v>40</v>
      </c>
      <c r="K38" s="99">
        <v>210</v>
      </c>
      <c r="L38" s="99" t="s">
        <v>114</v>
      </c>
      <c r="M38" s="99" t="s">
        <v>116</v>
      </c>
      <c r="N38" s="102" t="s">
        <v>115</v>
      </c>
      <c r="O38" s="98"/>
      <c r="P38" s="98" t="s">
        <v>117</v>
      </c>
      <c r="Q38" s="736">
        <v>39.946444</v>
      </c>
      <c r="R38" s="650">
        <v>-86.358879999999999</v>
      </c>
      <c r="S38" s="98" t="s">
        <v>63</v>
      </c>
      <c r="T38" s="98" t="s">
        <v>1548</v>
      </c>
      <c r="U38" s="98" t="s">
        <v>50</v>
      </c>
      <c r="V38" s="97">
        <v>45117</v>
      </c>
      <c r="W38" s="103">
        <f>IF(AC38="Intr",0,G38*[1]Data!$B$53)</f>
        <v>17010</v>
      </c>
      <c r="X38" s="103">
        <f>IF(AC38="Intr",0,G38*[1]Data!$B$54)</f>
        <v>79380</v>
      </c>
      <c r="Y38" s="103">
        <f>IF(AC38="Intr",G38,G38*[1]Data!$B$55)</f>
        <v>17010</v>
      </c>
      <c r="Z38" s="103"/>
      <c r="AA38" s="103"/>
      <c r="AB38" s="103"/>
      <c r="AC38" s="98"/>
      <c r="AD38" s="98" t="s">
        <v>1549</v>
      </c>
      <c r="AE38" s="98"/>
      <c r="AF38" s="98"/>
      <c r="AG38" s="104"/>
      <c r="AH38" s="98" t="s">
        <v>1550</v>
      </c>
    </row>
    <row r="39" spans="1:34" x14ac:dyDescent="0.2">
      <c r="A39" s="307">
        <v>43406</v>
      </c>
      <c r="B39" s="308" t="s">
        <v>118</v>
      </c>
      <c r="C39" s="308">
        <v>2018</v>
      </c>
      <c r="D39" s="308" t="s">
        <v>8</v>
      </c>
      <c r="E39" s="309">
        <v>-2.004</v>
      </c>
      <c r="F39" s="309" t="s">
        <v>32</v>
      </c>
      <c r="G39" s="310">
        <v>160320</v>
      </c>
      <c r="H39" s="311">
        <v>11</v>
      </c>
      <c r="I39" s="309" t="s">
        <v>80</v>
      </c>
      <c r="J39" s="309" t="s">
        <v>36</v>
      </c>
      <c r="K39" s="309">
        <v>0.83499999999999996</v>
      </c>
      <c r="L39" s="309" t="s">
        <v>122</v>
      </c>
      <c r="M39" s="309" t="s">
        <v>123</v>
      </c>
      <c r="N39" s="312" t="s">
        <v>124</v>
      </c>
      <c r="O39" s="308"/>
      <c r="P39" s="308" t="s">
        <v>125</v>
      </c>
      <c r="Q39" s="737">
        <v>39.237496</v>
      </c>
      <c r="R39" s="651">
        <v>-85.94932</v>
      </c>
      <c r="S39" s="308" t="s">
        <v>61</v>
      </c>
      <c r="T39" s="308"/>
      <c r="U39" s="308" t="s">
        <v>51</v>
      </c>
      <c r="V39" s="307"/>
      <c r="W39" s="313">
        <f>IF(AC39="Intr",0,G39*Definitions!$B$53)</f>
        <v>24048</v>
      </c>
      <c r="X39" s="313">
        <f>IF(AC39="Intr",0,G39*Definitions!$B$54)</f>
        <v>112224</v>
      </c>
      <c r="Y39" s="313">
        <f>IF(AC39="Intr",G39,G39*Definitions!$B$55)</f>
        <v>24048</v>
      </c>
      <c r="Z39" s="313"/>
      <c r="AA39" s="313"/>
      <c r="AB39" s="313"/>
      <c r="AC39" s="308"/>
      <c r="AD39" s="308"/>
      <c r="AE39" s="308"/>
      <c r="AF39" s="308"/>
      <c r="AG39" s="314"/>
      <c r="AH39" s="308"/>
    </row>
    <row r="40" spans="1:34" x14ac:dyDescent="0.2">
      <c r="A40" s="307">
        <v>43406</v>
      </c>
      <c r="B40" s="308" t="s">
        <v>118</v>
      </c>
      <c r="C40" s="308">
        <v>2018</v>
      </c>
      <c r="D40" s="308" t="s">
        <v>8</v>
      </c>
      <c r="E40" s="309">
        <v>-0.318</v>
      </c>
      <c r="F40" s="309" t="s">
        <v>32</v>
      </c>
      <c r="G40" s="310">
        <v>25440</v>
      </c>
      <c r="H40" s="311">
        <v>11</v>
      </c>
      <c r="I40" s="309" t="s">
        <v>80</v>
      </c>
      <c r="J40" s="309" t="s">
        <v>37</v>
      </c>
      <c r="K40" s="309">
        <v>0.106</v>
      </c>
      <c r="L40" s="309" t="s">
        <v>122</v>
      </c>
      <c r="M40" s="309" t="s">
        <v>123</v>
      </c>
      <c r="N40" s="312" t="s">
        <v>124</v>
      </c>
      <c r="O40" s="308"/>
      <c r="P40" s="308" t="s">
        <v>125</v>
      </c>
      <c r="Q40" s="737">
        <v>39.237496</v>
      </c>
      <c r="R40" s="651">
        <v>-85.94932</v>
      </c>
      <c r="S40" s="308" t="s">
        <v>61</v>
      </c>
      <c r="T40" s="308"/>
      <c r="U40" s="308" t="s">
        <v>51</v>
      </c>
      <c r="V40" s="307"/>
      <c r="W40" s="313">
        <f>IF(AC40="Intr",0,G40*Definitions!$B$53)</f>
        <v>3816</v>
      </c>
      <c r="X40" s="313">
        <f>IF(AC40="Intr",0,G40*Definitions!$B$54)</f>
        <v>17808</v>
      </c>
      <c r="Y40" s="313">
        <f>IF(AC40="Intr",G40,G40*Definitions!$B$55)</f>
        <v>3816</v>
      </c>
      <c r="Z40" s="313"/>
      <c r="AA40" s="313"/>
      <c r="AB40" s="313"/>
      <c r="AC40" s="308"/>
      <c r="AD40" s="308"/>
      <c r="AE40" s="308"/>
      <c r="AF40" s="308"/>
      <c r="AG40" s="314"/>
      <c r="AH40" s="308"/>
    </row>
    <row r="41" spans="1:34" ht="13.5" thickBot="1" x14ac:dyDescent="0.25">
      <c r="A41" s="97">
        <v>43409</v>
      </c>
      <c r="B41" s="98" t="s">
        <v>118</v>
      </c>
      <c r="C41" s="98">
        <v>2018</v>
      </c>
      <c r="D41" s="98" t="s">
        <v>7</v>
      </c>
      <c r="E41" s="99">
        <v>-0.3</v>
      </c>
      <c r="F41" s="99" t="s">
        <v>32</v>
      </c>
      <c r="G41" s="100">
        <v>24000</v>
      </c>
      <c r="H41" s="101">
        <v>13</v>
      </c>
      <c r="I41" s="99" t="s">
        <v>81</v>
      </c>
      <c r="J41" s="99" t="s">
        <v>38</v>
      </c>
      <c r="K41" s="99">
        <v>0.15</v>
      </c>
      <c r="L41" s="99" t="s">
        <v>119</v>
      </c>
      <c r="M41" s="99" t="s">
        <v>103</v>
      </c>
      <c r="N41" s="102" t="s">
        <v>120</v>
      </c>
      <c r="O41" s="98"/>
      <c r="P41" s="98" t="s">
        <v>121</v>
      </c>
      <c r="Q41" s="738">
        <v>39.831159999999997</v>
      </c>
      <c r="R41" s="839">
        <v>-85.911339999999996</v>
      </c>
      <c r="S41" s="98" t="s">
        <v>61</v>
      </c>
      <c r="T41" s="98" t="s">
        <v>1548</v>
      </c>
      <c r="U41" s="98" t="s">
        <v>50</v>
      </c>
      <c r="V41" s="97">
        <v>45117</v>
      </c>
      <c r="W41" s="103">
        <f>IF(AC41="Intr",0,G41*[1]Data!$B$53)</f>
        <v>3600</v>
      </c>
      <c r="X41" s="103">
        <f>IF(AC41="Intr",0,G41*[1]Data!$B$54)</f>
        <v>16800</v>
      </c>
      <c r="Y41" s="103">
        <f>IF(AC41="Intr",G41,G41*[1]Data!$B$55)</f>
        <v>3600</v>
      </c>
      <c r="Z41" s="103"/>
      <c r="AA41" s="103"/>
      <c r="AB41" s="103"/>
      <c r="AC41" s="98"/>
      <c r="AD41" s="98" t="s">
        <v>1549</v>
      </c>
      <c r="AE41" s="98"/>
      <c r="AF41" s="98"/>
      <c r="AG41" s="104"/>
      <c r="AH41" s="98" t="s">
        <v>1551</v>
      </c>
    </row>
    <row r="42" spans="1:34" x14ac:dyDescent="0.2">
      <c r="A42" s="97">
        <v>43420</v>
      </c>
      <c r="B42" s="98" t="s">
        <v>118</v>
      </c>
      <c r="C42" s="98">
        <v>2018</v>
      </c>
      <c r="D42" s="98" t="s">
        <v>10</v>
      </c>
      <c r="E42" s="99">
        <v>-0.5</v>
      </c>
      <c r="F42" s="99" t="s">
        <v>32</v>
      </c>
      <c r="G42" s="100">
        <v>40000</v>
      </c>
      <c r="H42" s="101">
        <v>10</v>
      </c>
      <c r="I42" s="99" t="s">
        <v>80</v>
      </c>
      <c r="J42" s="99" t="s">
        <v>36</v>
      </c>
      <c r="K42" s="99">
        <v>0.2</v>
      </c>
      <c r="L42" s="99" t="s">
        <v>126</v>
      </c>
      <c r="M42" s="99" t="s">
        <v>127</v>
      </c>
      <c r="N42" s="102" t="s">
        <v>128</v>
      </c>
      <c r="O42" s="98"/>
      <c r="P42" s="98" t="s">
        <v>129</v>
      </c>
      <c r="Q42" s="730">
        <v>38.397410000000001</v>
      </c>
      <c r="R42" s="645">
        <v>-85.814109999999999</v>
      </c>
      <c r="S42" s="98" t="s">
        <v>61</v>
      </c>
      <c r="T42" s="98" t="s">
        <v>1545</v>
      </c>
      <c r="U42" s="98" t="s">
        <v>50</v>
      </c>
      <c r="V42" s="97">
        <v>45313</v>
      </c>
      <c r="W42" s="103">
        <f>IF(AC42="Intr",0,G42*[1]Data!$B$53)</f>
        <v>6000</v>
      </c>
      <c r="X42" s="103">
        <f>IF(AC42="Intr",0,G42*[1]Data!$B$54)</f>
        <v>28000</v>
      </c>
      <c r="Y42" s="103">
        <f>IF(AC42="Intr",G42,G42*[1]Data!$B$55)</f>
        <v>6000</v>
      </c>
      <c r="Z42" s="103"/>
      <c r="AA42" s="103"/>
      <c r="AB42" s="103"/>
      <c r="AC42" s="98"/>
      <c r="AD42" s="98" t="s">
        <v>1546</v>
      </c>
      <c r="AE42" s="98"/>
      <c r="AF42" s="98"/>
      <c r="AG42" s="104"/>
      <c r="AH42" s="98" t="s">
        <v>1547</v>
      </c>
    </row>
    <row r="43" spans="1:34" x14ac:dyDescent="0.2">
      <c r="A43" s="97">
        <v>43420</v>
      </c>
      <c r="B43" s="98" t="s">
        <v>118</v>
      </c>
      <c r="C43" s="98">
        <v>2018</v>
      </c>
      <c r="D43" s="98" t="s">
        <v>10</v>
      </c>
      <c r="E43" s="99">
        <v>-0.22</v>
      </c>
      <c r="F43" s="99" t="s">
        <v>32</v>
      </c>
      <c r="G43" s="100">
        <v>17600</v>
      </c>
      <c r="H43" s="101">
        <v>4</v>
      </c>
      <c r="I43" s="99" t="s">
        <v>80</v>
      </c>
      <c r="J43" s="99" t="s">
        <v>36</v>
      </c>
      <c r="K43" s="99">
        <v>0.183</v>
      </c>
      <c r="L43" s="99" t="s">
        <v>130</v>
      </c>
      <c r="M43" s="99" t="s">
        <v>131</v>
      </c>
      <c r="N43" s="102" t="s">
        <v>132</v>
      </c>
      <c r="O43" s="98"/>
      <c r="P43" s="98" t="s">
        <v>84</v>
      </c>
      <c r="Q43" s="730">
        <v>38.365259999999999</v>
      </c>
      <c r="R43" s="645">
        <v>-85.677660000000003</v>
      </c>
      <c r="S43" s="98" t="s">
        <v>61</v>
      </c>
      <c r="T43" s="98" t="s">
        <v>1545</v>
      </c>
      <c r="U43" s="98" t="s">
        <v>50</v>
      </c>
      <c r="V43" s="97">
        <v>45313</v>
      </c>
      <c r="W43" s="103">
        <f>IF(AC43="Intr",0,G43*[1]Data!$B$53)</f>
        <v>2640</v>
      </c>
      <c r="X43" s="103">
        <f>IF(AC43="Intr",0,G43*[1]Data!$B$54)</f>
        <v>12320</v>
      </c>
      <c r="Y43" s="103">
        <f>IF(AC43="Intr",G43,G43*[1]Data!$B$55)</f>
        <v>2640</v>
      </c>
      <c r="Z43" s="103"/>
      <c r="AA43" s="103"/>
      <c r="AB43" s="103"/>
      <c r="AC43" s="98"/>
      <c r="AD43" s="98" t="s">
        <v>1546</v>
      </c>
      <c r="AE43" s="98"/>
      <c r="AF43" s="98"/>
      <c r="AG43" s="104"/>
      <c r="AH43" s="98" t="s">
        <v>1547</v>
      </c>
    </row>
    <row r="44" spans="1:34" x14ac:dyDescent="0.2">
      <c r="A44" s="97">
        <v>43420</v>
      </c>
      <c r="B44" s="98" t="s">
        <v>118</v>
      </c>
      <c r="C44" s="98">
        <v>2018</v>
      </c>
      <c r="D44" s="98" t="s">
        <v>10</v>
      </c>
      <c r="E44" s="99">
        <v>-0.01</v>
      </c>
      <c r="F44" s="99" t="s">
        <v>32</v>
      </c>
      <c r="G44" s="100">
        <v>800</v>
      </c>
      <c r="H44" s="101">
        <v>4</v>
      </c>
      <c r="I44" s="99" t="s">
        <v>81</v>
      </c>
      <c r="J44" s="99" t="s">
        <v>36</v>
      </c>
      <c r="K44" s="99">
        <v>8.7999999999999995E-2</v>
      </c>
      <c r="L44" s="99" t="s">
        <v>130</v>
      </c>
      <c r="M44" s="99" t="s">
        <v>103</v>
      </c>
      <c r="N44" s="102" t="s">
        <v>133</v>
      </c>
      <c r="O44" s="98"/>
      <c r="P44" s="98" t="s">
        <v>84</v>
      </c>
      <c r="Q44" s="730">
        <v>38.365259999999999</v>
      </c>
      <c r="R44" s="645">
        <v>-85.677660000000003</v>
      </c>
      <c r="S44" s="98" t="s">
        <v>61</v>
      </c>
      <c r="T44" s="98" t="s">
        <v>1545</v>
      </c>
      <c r="U44" s="98" t="s">
        <v>50</v>
      </c>
      <c r="V44" s="97">
        <v>45313</v>
      </c>
      <c r="W44" s="103">
        <f>IF(AC44="Intr",0,G44*[1]Data!$B$53)</f>
        <v>120</v>
      </c>
      <c r="X44" s="103">
        <f>IF(AC44="Intr",0,G44*[1]Data!$B$54)</f>
        <v>560</v>
      </c>
      <c r="Y44" s="103">
        <f>IF(AC44="Intr",G44,G44*[1]Data!$B$55)</f>
        <v>120</v>
      </c>
      <c r="Z44" s="103"/>
      <c r="AA44" s="103"/>
      <c r="AB44" s="103"/>
      <c r="AC44" s="98"/>
      <c r="AD44" s="98" t="s">
        <v>1546</v>
      </c>
      <c r="AE44" s="98"/>
      <c r="AF44" s="98"/>
      <c r="AG44" s="104"/>
      <c r="AH44" s="98" t="s">
        <v>1547</v>
      </c>
    </row>
    <row r="45" spans="1:34" x14ac:dyDescent="0.2">
      <c r="A45" s="97">
        <v>43438</v>
      </c>
      <c r="B45" s="98" t="s">
        <v>134</v>
      </c>
      <c r="C45" s="98">
        <v>2018</v>
      </c>
      <c r="D45" s="98" t="s">
        <v>7</v>
      </c>
      <c r="E45" s="99">
        <v>-0.03</v>
      </c>
      <c r="F45" s="99" t="s">
        <v>32</v>
      </c>
      <c r="G45" s="100">
        <v>2400</v>
      </c>
      <c r="H45" s="101">
        <v>12</v>
      </c>
      <c r="I45" s="99" t="s">
        <v>81</v>
      </c>
      <c r="J45" s="99" t="s">
        <v>38</v>
      </c>
      <c r="K45" s="99">
        <v>2.5000000000000001E-2</v>
      </c>
      <c r="L45" s="99" t="s">
        <v>135</v>
      </c>
      <c r="M45" s="99" t="s">
        <v>103</v>
      </c>
      <c r="N45" s="102" t="s">
        <v>136</v>
      </c>
      <c r="O45" s="98"/>
      <c r="P45" s="98" t="s">
        <v>137</v>
      </c>
      <c r="Q45" s="730">
        <v>40</v>
      </c>
      <c r="R45" s="645">
        <v>-86.004000000000005</v>
      </c>
      <c r="S45" s="98" t="s">
        <v>63</v>
      </c>
      <c r="T45" s="98" t="s">
        <v>1548</v>
      </c>
      <c r="U45" s="98" t="s">
        <v>50</v>
      </c>
      <c r="V45" s="97">
        <v>45117</v>
      </c>
      <c r="W45" s="103">
        <f>IF(AC45="Intr",0,G45*[1]Data!$B$53)</f>
        <v>360</v>
      </c>
      <c r="X45" s="103">
        <f>IF(AC45="Intr",0,G45*[1]Data!$B$54)</f>
        <v>1680</v>
      </c>
      <c r="Y45" s="103">
        <f>IF(AC45="Intr",G45,G45*[1]Data!$B$55)</f>
        <v>360</v>
      </c>
      <c r="Z45" s="103"/>
      <c r="AA45" s="103"/>
      <c r="AB45" s="103"/>
      <c r="AC45" s="98"/>
      <c r="AD45" s="98" t="s">
        <v>1549</v>
      </c>
      <c r="AE45" s="98"/>
      <c r="AF45" s="98"/>
      <c r="AG45" s="104"/>
      <c r="AH45" s="98" t="s">
        <v>1552</v>
      </c>
    </row>
    <row r="46" spans="1:34" x14ac:dyDescent="0.2">
      <c r="A46" s="97">
        <v>43438</v>
      </c>
      <c r="B46" s="98" t="s">
        <v>134</v>
      </c>
      <c r="C46" s="98">
        <v>2018</v>
      </c>
      <c r="D46" s="98" t="s">
        <v>7</v>
      </c>
      <c r="E46" s="99">
        <v>-0.04</v>
      </c>
      <c r="F46" s="99" t="s">
        <v>32</v>
      </c>
      <c r="G46" s="100">
        <v>3200</v>
      </c>
      <c r="H46" s="101">
        <v>17</v>
      </c>
      <c r="I46" s="99" t="s">
        <v>81</v>
      </c>
      <c r="J46" s="99" t="s">
        <v>36</v>
      </c>
      <c r="K46" s="99">
        <v>0.02</v>
      </c>
      <c r="L46" s="99" t="s">
        <v>138</v>
      </c>
      <c r="M46" s="99" t="s">
        <v>103</v>
      </c>
      <c r="N46" s="102" t="s">
        <v>139</v>
      </c>
      <c r="O46" s="98"/>
      <c r="P46" s="98" t="s">
        <v>137</v>
      </c>
      <c r="Q46" s="730">
        <v>40.039718000000001</v>
      </c>
      <c r="R46" s="645">
        <v>-86.102137999999997</v>
      </c>
      <c r="S46" s="98" t="s">
        <v>61</v>
      </c>
      <c r="T46" s="98" t="s">
        <v>1548</v>
      </c>
      <c r="U46" s="98" t="s">
        <v>50</v>
      </c>
      <c r="V46" s="97">
        <v>45117</v>
      </c>
      <c r="W46" s="103">
        <f>IF(AC46="Intr",0,G46*[1]Data!$B$53)</f>
        <v>480</v>
      </c>
      <c r="X46" s="103">
        <f>IF(AC46="Intr",0,G46*[1]Data!$B$54)</f>
        <v>2240</v>
      </c>
      <c r="Y46" s="103">
        <f>IF(AC46="Intr",G46,G46*[1]Data!$B$55)</f>
        <v>480</v>
      </c>
      <c r="Z46" s="103"/>
      <c r="AA46" s="103"/>
      <c r="AB46" s="103"/>
      <c r="AC46" s="98"/>
      <c r="AD46" s="98" t="s">
        <v>1549</v>
      </c>
      <c r="AE46" s="98"/>
      <c r="AF46" s="98"/>
      <c r="AG46" s="104"/>
      <c r="AH46" s="98" t="s">
        <v>1553</v>
      </c>
    </row>
    <row r="47" spans="1:34" x14ac:dyDescent="0.2">
      <c r="A47" s="97">
        <v>43438</v>
      </c>
      <c r="B47" s="98" t="s">
        <v>134</v>
      </c>
      <c r="C47" s="98">
        <v>2018</v>
      </c>
      <c r="D47" s="98" t="s">
        <v>7</v>
      </c>
      <c r="E47" s="99">
        <v>-0.25</v>
      </c>
      <c r="F47" s="99" t="s">
        <v>32</v>
      </c>
      <c r="G47" s="100">
        <v>20000</v>
      </c>
      <c r="H47" s="101">
        <v>17</v>
      </c>
      <c r="I47" s="99" t="s">
        <v>81</v>
      </c>
      <c r="J47" s="99" t="s">
        <v>38</v>
      </c>
      <c r="K47" s="99">
        <v>8.3699999999999997E-2</v>
      </c>
      <c r="L47" s="99" t="s">
        <v>138</v>
      </c>
      <c r="M47" s="99" t="s">
        <v>103</v>
      </c>
      <c r="N47" s="102" t="s">
        <v>139</v>
      </c>
      <c r="O47" s="98"/>
      <c r="P47" s="98" t="s">
        <v>137</v>
      </c>
      <c r="Q47" s="730">
        <v>40.039718000000001</v>
      </c>
      <c r="R47" s="645">
        <v>-86.102137999999997</v>
      </c>
      <c r="S47" s="98" t="s">
        <v>61</v>
      </c>
      <c r="T47" s="98" t="s">
        <v>1548</v>
      </c>
      <c r="U47" s="98" t="s">
        <v>50</v>
      </c>
      <c r="V47" s="97">
        <v>45117</v>
      </c>
      <c r="W47" s="103">
        <f>IF(AC47="Intr",0,G47*[1]Data!$B$53)</f>
        <v>3000</v>
      </c>
      <c r="X47" s="103">
        <f>IF(AC47="Intr",0,G47*[1]Data!$B$54)</f>
        <v>14000</v>
      </c>
      <c r="Y47" s="103">
        <f>IF(AC47="Intr",G47,G47*[1]Data!$B$55)</f>
        <v>3000</v>
      </c>
      <c r="Z47" s="103"/>
      <c r="AA47" s="103"/>
      <c r="AB47" s="103"/>
      <c r="AC47" s="98"/>
      <c r="AD47" s="98" t="s">
        <v>1549</v>
      </c>
      <c r="AE47" s="98"/>
      <c r="AF47" s="98"/>
      <c r="AG47" s="104"/>
      <c r="AH47" s="98" t="s">
        <v>1554</v>
      </c>
    </row>
    <row r="48" spans="1:34" x14ac:dyDescent="0.2">
      <c r="A48" s="97">
        <v>43438</v>
      </c>
      <c r="B48" s="98" t="s">
        <v>134</v>
      </c>
      <c r="C48" s="98">
        <v>2018</v>
      </c>
      <c r="D48" s="98" t="s">
        <v>7</v>
      </c>
      <c r="E48" s="99">
        <v>-150</v>
      </c>
      <c r="F48" s="99" t="s">
        <v>33</v>
      </c>
      <c r="G48" s="100">
        <v>67500</v>
      </c>
      <c r="H48" s="101">
        <v>7</v>
      </c>
      <c r="I48" s="99" t="s">
        <v>80</v>
      </c>
      <c r="J48" s="99" t="s">
        <v>39</v>
      </c>
      <c r="K48" s="99">
        <v>450</v>
      </c>
      <c r="L48" s="99" t="s">
        <v>140</v>
      </c>
      <c r="M48" s="99" t="s">
        <v>141</v>
      </c>
      <c r="N48" s="102" t="s">
        <v>142</v>
      </c>
      <c r="O48" s="98"/>
      <c r="P48" s="98" t="s">
        <v>143</v>
      </c>
      <c r="Q48" s="739">
        <v>39.8504</v>
      </c>
      <c r="R48" s="652">
        <v>-86.022000000000006</v>
      </c>
      <c r="S48" s="98" t="s">
        <v>61</v>
      </c>
      <c r="T48" s="98" t="s">
        <v>1548</v>
      </c>
      <c r="U48" s="98" t="s">
        <v>50</v>
      </c>
      <c r="V48" s="97">
        <v>45117</v>
      </c>
      <c r="W48" s="103">
        <f>IF(AC48="Intr",0,G48*[1]Data!$B$53)</f>
        <v>10125</v>
      </c>
      <c r="X48" s="103">
        <f>IF(AC48="Intr",0,G48*[1]Data!$B$54)</f>
        <v>47250</v>
      </c>
      <c r="Y48" s="103">
        <f>IF(AC48="Intr",G48,G48*[1]Data!$B$55)</f>
        <v>10125</v>
      </c>
      <c r="Z48" s="103"/>
      <c r="AA48" s="103"/>
      <c r="AB48" s="103"/>
      <c r="AC48" s="98"/>
      <c r="AD48" s="98" t="s">
        <v>1549</v>
      </c>
      <c r="AE48" s="98"/>
      <c r="AF48" s="98"/>
      <c r="AG48" s="104"/>
      <c r="AH48" s="98" t="s">
        <v>1550</v>
      </c>
    </row>
    <row r="49" spans="1:34" x14ac:dyDescent="0.2">
      <c r="A49" s="529"/>
      <c r="B49" s="530"/>
      <c r="C49" s="530"/>
      <c r="D49" s="530"/>
      <c r="E49" s="531"/>
      <c r="F49" s="531"/>
      <c r="G49" s="532"/>
      <c r="H49" s="533"/>
      <c r="I49" s="531"/>
      <c r="J49" s="531"/>
      <c r="K49" s="531"/>
      <c r="L49" s="531"/>
      <c r="M49" s="531"/>
      <c r="N49" s="534"/>
      <c r="O49" s="530"/>
      <c r="P49" s="530"/>
      <c r="Q49" s="740"/>
      <c r="R49" s="653"/>
      <c r="S49" s="530"/>
      <c r="T49" s="530"/>
      <c r="U49" s="530"/>
      <c r="V49" s="529"/>
      <c r="W49" s="535"/>
      <c r="X49" s="535"/>
      <c r="Y49" s="535"/>
      <c r="Z49" s="535"/>
      <c r="AA49" s="535"/>
      <c r="AB49" s="535"/>
      <c r="AC49" s="530"/>
      <c r="AD49" s="530"/>
      <c r="AE49" s="530"/>
      <c r="AF49" s="530"/>
      <c r="AG49" s="536"/>
      <c r="AH49" s="530"/>
    </row>
    <row r="50" spans="1:34" x14ac:dyDescent="0.2">
      <c r="A50" s="160">
        <v>43469</v>
      </c>
      <c r="B50" s="161" t="s">
        <v>144</v>
      </c>
      <c r="C50" s="161">
        <v>2019</v>
      </c>
      <c r="D50" s="161" t="s">
        <v>8</v>
      </c>
      <c r="E50" s="162">
        <v>-0.96</v>
      </c>
      <c r="F50" s="162" t="s">
        <v>32</v>
      </c>
      <c r="G50" s="163">
        <v>76800</v>
      </c>
      <c r="H50" s="164">
        <v>18</v>
      </c>
      <c r="I50" s="162" t="s">
        <v>80</v>
      </c>
      <c r="J50" s="162" t="s">
        <v>36</v>
      </c>
      <c r="K50" s="162">
        <v>0.4</v>
      </c>
      <c r="L50" s="162" t="s">
        <v>145</v>
      </c>
      <c r="M50" s="162" t="s">
        <v>146</v>
      </c>
      <c r="N50" s="165" t="s">
        <v>147</v>
      </c>
      <c r="O50" s="161"/>
      <c r="P50" s="161" t="s">
        <v>101</v>
      </c>
      <c r="Q50" s="741">
        <v>39.619799999999998</v>
      </c>
      <c r="R50" s="654">
        <v>-86.062299999999993</v>
      </c>
      <c r="S50" s="161" t="s">
        <v>61</v>
      </c>
      <c r="T50" s="161"/>
      <c r="U50" s="161" t="s">
        <v>51</v>
      </c>
      <c r="V50" s="160"/>
      <c r="W50" s="166">
        <f>IF(AC50="Intr",0,G50*Definitions!$B$53)</f>
        <v>11520</v>
      </c>
      <c r="X50" s="166">
        <f>IF(AC50="Intr",0,G50*Definitions!$B$54)</f>
        <v>53760</v>
      </c>
      <c r="Y50" s="166">
        <f>IF(AC50="Intr",G50,G50*Definitions!$B$55)</f>
        <v>11520</v>
      </c>
      <c r="Z50" s="166"/>
      <c r="AA50" s="166"/>
      <c r="AB50" s="166"/>
      <c r="AC50" s="161"/>
      <c r="AD50" s="161"/>
      <c r="AE50" s="161"/>
      <c r="AF50" s="161"/>
      <c r="AG50" s="167"/>
      <c r="AH50" s="161"/>
    </row>
    <row r="51" spans="1:34" x14ac:dyDescent="0.2">
      <c r="A51" s="145">
        <v>43469</v>
      </c>
      <c r="B51" s="112" t="s">
        <v>144</v>
      </c>
      <c r="C51" s="112">
        <v>2019</v>
      </c>
      <c r="D51" s="112" t="s">
        <v>8</v>
      </c>
      <c r="E51" s="146">
        <v>-0.36</v>
      </c>
      <c r="F51" s="146" t="s">
        <v>32</v>
      </c>
      <c r="G51" s="147">
        <v>28800</v>
      </c>
      <c r="H51" s="148">
        <v>15</v>
      </c>
      <c r="I51" s="146" t="s">
        <v>80</v>
      </c>
      <c r="J51" s="146" t="s">
        <v>36</v>
      </c>
      <c r="K51" s="146">
        <v>0.18</v>
      </c>
      <c r="L51" s="146" t="s">
        <v>153</v>
      </c>
      <c r="M51" s="146" t="s">
        <v>154</v>
      </c>
      <c r="N51" s="149" t="s">
        <v>155</v>
      </c>
      <c r="O51" s="112"/>
      <c r="P51" s="112" t="s">
        <v>156</v>
      </c>
      <c r="Q51" s="742">
        <v>38.648809</v>
      </c>
      <c r="R51" s="840">
        <v>-85.771114999999995</v>
      </c>
      <c r="S51" s="112" t="s">
        <v>63</v>
      </c>
      <c r="T51" s="112"/>
      <c r="U51" s="112" t="s">
        <v>51</v>
      </c>
      <c r="V51" s="145"/>
      <c r="W51" s="150">
        <f>IF(AC51="Intr",0,G51*Definitions!$B$53)</f>
        <v>4320</v>
      </c>
      <c r="X51" s="150">
        <f>IF(AC51="Intr",0,G51*Definitions!$B$54)</f>
        <v>20160</v>
      </c>
      <c r="Y51" s="150">
        <f>IF(AC51="Intr",G51,G51*Definitions!$B$55)</f>
        <v>4320</v>
      </c>
      <c r="Z51" s="150"/>
      <c r="AA51" s="150"/>
      <c r="AB51" s="150"/>
      <c r="AC51" s="112"/>
      <c r="AD51" s="112"/>
      <c r="AE51" s="112"/>
      <c r="AF51" s="112"/>
      <c r="AG51" s="151"/>
      <c r="AH51" s="98" t="s">
        <v>157</v>
      </c>
    </row>
    <row r="52" spans="1:34" ht="14.45" customHeight="1" thickBot="1" x14ac:dyDescent="0.25">
      <c r="A52" s="145">
        <v>43469</v>
      </c>
      <c r="B52" s="112" t="s">
        <v>144</v>
      </c>
      <c r="C52" s="112">
        <v>2019</v>
      </c>
      <c r="D52" s="112" t="s">
        <v>8</v>
      </c>
      <c r="E52" s="146">
        <v>-1.2</v>
      </c>
      <c r="F52" s="146" t="s">
        <v>32</v>
      </c>
      <c r="G52" s="147">
        <v>96000</v>
      </c>
      <c r="H52" s="148">
        <v>15</v>
      </c>
      <c r="I52" s="146" t="s">
        <v>80</v>
      </c>
      <c r="J52" s="146" t="s">
        <v>38</v>
      </c>
      <c r="K52" s="146">
        <v>0.3</v>
      </c>
      <c r="L52" s="146" t="s">
        <v>153</v>
      </c>
      <c r="M52" s="146" t="s">
        <v>154</v>
      </c>
      <c r="N52" s="149" t="s">
        <v>155</v>
      </c>
      <c r="O52" s="112"/>
      <c r="P52" s="112" t="s">
        <v>156</v>
      </c>
      <c r="Q52" s="743">
        <v>38.648809</v>
      </c>
      <c r="R52" s="841">
        <v>-85.771114999999995</v>
      </c>
      <c r="S52" s="112" t="s">
        <v>63</v>
      </c>
      <c r="T52" s="112"/>
      <c r="U52" s="112" t="s">
        <v>51</v>
      </c>
      <c r="V52" s="145"/>
      <c r="W52" s="150">
        <f>IF(AC52="Intr",0,G52*Definitions!$B$53)</f>
        <v>14400</v>
      </c>
      <c r="X52" s="150">
        <f>IF(AC52="Intr",0,G52*Definitions!$B$54)</f>
        <v>67200</v>
      </c>
      <c r="Y52" s="150">
        <f>IF(AC52="Intr",G52,G52*Definitions!$B$55)</f>
        <v>14400</v>
      </c>
      <c r="Z52" s="150"/>
      <c r="AA52" s="150"/>
      <c r="AB52" s="150"/>
      <c r="AC52" s="112"/>
      <c r="AD52" s="112"/>
      <c r="AE52" s="112"/>
      <c r="AF52" s="112"/>
      <c r="AG52" s="151"/>
      <c r="AH52" s="112"/>
    </row>
    <row r="53" spans="1:34" ht="14.45" customHeight="1" x14ac:dyDescent="0.2">
      <c r="A53" s="58">
        <v>43480</v>
      </c>
      <c r="B53" s="59" t="s">
        <v>144</v>
      </c>
      <c r="C53" s="59">
        <v>2019</v>
      </c>
      <c r="D53" s="59" t="s">
        <v>5</v>
      </c>
      <c r="E53" s="60">
        <v>-590</v>
      </c>
      <c r="F53" s="60" t="s">
        <v>33</v>
      </c>
      <c r="G53" s="61">
        <v>236000</v>
      </c>
      <c r="H53" s="62">
        <v>19</v>
      </c>
      <c r="I53" s="60" t="s">
        <v>80</v>
      </c>
      <c r="J53" s="60" t="s">
        <v>40</v>
      </c>
      <c r="K53" s="60">
        <v>984</v>
      </c>
      <c r="L53" s="60" t="s">
        <v>148</v>
      </c>
      <c r="M53" s="60" t="s">
        <v>150</v>
      </c>
      <c r="N53" s="63" t="s">
        <v>149</v>
      </c>
      <c r="O53" s="59"/>
      <c r="P53" s="59" t="s">
        <v>151</v>
      </c>
      <c r="Q53" s="744">
        <v>40.731900000000003</v>
      </c>
      <c r="R53" s="842">
        <v>-85.194299999999998</v>
      </c>
      <c r="S53" s="59" t="s">
        <v>61</v>
      </c>
      <c r="T53" s="59"/>
      <c r="U53" s="59" t="s">
        <v>51</v>
      </c>
      <c r="V53" s="58"/>
      <c r="W53" s="65">
        <f>IF(AC53="Intr",0,G53*Definitions!$B$53)</f>
        <v>35400</v>
      </c>
      <c r="X53" s="65">
        <f>IF(AC53="Intr",0,G53*Definitions!$B$54)</f>
        <v>165200</v>
      </c>
      <c r="Y53" s="65">
        <f>IF(AC53="Intr",G53,G53*Definitions!$B$55)</f>
        <v>35400</v>
      </c>
      <c r="Z53" s="65"/>
      <c r="AA53" s="65"/>
      <c r="AB53" s="65"/>
      <c r="AC53" s="59"/>
      <c r="AD53" s="59"/>
      <c r="AE53" s="59"/>
      <c r="AF53" s="59"/>
      <c r="AG53" s="66"/>
      <c r="AH53" s="59" t="s">
        <v>152</v>
      </c>
    </row>
    <row r="54" spans="1:34" x14ac:dyDescent="0.2">
      <c r="A54" s="97">
        <v>43496</v>
      </c>
      <c r="B54" s="98" t="s">
        <v>144</v>
      </c>
      <c r="C54" s="98">
        <v>2019</v>
      </c>
      <c r="D54" s="98" t="s">
        <v>7</v>
      </c>
      <c r="E54" s="99">
        <v>-1.34</v>
      </c>
      <c r="F54" s="99" t="s">
        <v>32</v>
      </c>
      <c r="G54" s="100">
        <v>107200</v>
      </c>
      <c r="H54" s="101">
        <v>21</v>
      </c>
      <c r="I54" s="99" t="s">
        <v>80</v>
      </c>
      <c r="J54" s="99" t="s">
        <v>36</v>
      </c>
      <c r="K54" s="99">
        <v>0.56000000000000005</v>
      </c>
      <c r="L54" s="99" t="s">
        <v>159</v>
      </c>
      <c r="M54" s="99" t="s">
        <v>160</v>
      </c>
      <c r="N54" s="102" t="s">
        <v>161</v>
      </c>
      <c r="O54" s="98"/>
      <c r="P54" s="98" t="s">
        <v>162</v>
      </c>
      <c r="Q54" s="730">
        <v>39.709899999999998</v>
      </c>
      <c r="R54" s="645">
        <v>-86.334699999999998</v>
      </c>
      <c r="S54" s="98" t="s">
        <v>61</v>
      </c>
      <c r="T54" s="98" t="s">
        <v>1548</v>
      </c>
      <c r="U54" s="98" t="s">
        <v>50</v>
      </c>
      <c r="V54" s="97">
        <v>45117</v>
      </c>
      <c r="W54" s="103">
        <f>IF(AC54="Intr",0,G54*[1]Data!$B$53)</f>
        <v>16080</v>
      </c>
      <c r="X54" s="103">
        <f>IF(AC54="Intr",0,G54*[1]Data!$B$54)</f>
        <v>75040</v>
      </c>
      <c r="Y54" s="103">
        <f>IF(AC54="Intr",G54,G54*[1]Data!$B$55)</f>
        <v>16080</v>
      </c>
      <c r="Z54" s="103"/>
      <c r="AA54" s="103"/>
      <c r="AB54" s="103"/>
      <c r="AC54" s="98"/>
      <c r="AD54" s="98" t="s">
        <v>1549</v>
      </c>
      <c r="AE54" s="98"/>
      <c r="AF54" s="98"/>
      <c r="AG54" s="104"/>
      <c r="AH54" s="98" t="s">
        <v>1555</v>
      </c>
    </row>
    <row r="55" spans="1:34" x14ac:dyDescent="0.2">
      <c r="A55" s="58">
        <v>43501</v>
      </c>
      <c r="B55" s="59" t="s">
        <v>163</v>
      </c>
      <c r="C55" s="59">
        <v>2019</v>
      </c>
      <c r="D55" s="59" t="s">
        <v>2</v>
      </c>
      <c r="E55" s="60">
        <v>-0.78</v>
      </c>
      <c r="F55" s="60" t="s">
        <v>32</v>
      </c>
      <c r="G55" s="61">
        <v>74100</v>
      </c>
      <c r="H55" s="62">
        <v>14</v>
      </c>
      <c r="I55" s="60" t="s">
        <v>80</v>
      </c>
      <c r="J55" s="60" t="s">
        <v>38</v>
      </c>
      <c r="K55" s="60">
        <v>0.19400000000000001</v>
      </c>
      <c r="L55" s="60" t="s">
        <v>726</v>
      </c>
      <c r="M55" s="60" t="s">
        <v>164</v>
      </c>
      <c r="N55" s="63" t="s">
        <v>165</v>
      </c>
      <c r="O55" s="59"/>
      <c r="P55" s="59" t="s">
        <v>166</v>
      </c>
      <c r="Q55" s="745">
        <v>41.448847000000001</v>
      </c>
      <c r="R55" s="637">
        <v>-86.624937000000003</v>
      </c>
      <c r="S55" s="59" t="s">
        <v>63</v>
      </c>
      <c r="T55" s="59"/>
      <c r="U55" s="59" t="s">
        <v>51</v>
      </c>
      <c r="V55" s="58"/>
      <c r="W55" s="65">
        <f>IF(AC55="Intr",0,G55*Definitions!$B$53)</f>
        <v>11115</v>
      </c>
      <c r="X55" s="65">
        <f>IF(AC55="Intr",0,G55*Definitions!$B$54)</f>
        <v>51870</v>
      </c>
      <c r="Y55" s="65">
        <f>IF(AC55="Intr",G55,G55*Definitions!$B$55)</f>
        <v>11115</v>
      </c>
      <c r="Z55" s="65"/>
      <c r="AA55" s="65"/>
      <c r="AB55" s="65"/>
      <c r="AC55" s="59"/>
      <c r="AD55" s="59"/>
      <c r="AE55" s="59"/>
      <c r="AF55" s="59"/>
      <c r="AG55" s="66"/>
      <c r="AH55" s="59" t="s">
        <v>167</v>
      </c>
    </row>
    <row r="56" spans="1:34" x14ac:dyDescent="0.2">
      <c r="A56" s="307">
        <v>43517</v>
      </c>
      <c r="B56" s="308" t="s">
        <v>163</v>
      </c>
      <c r="C56" s="308">
        <v>2019</v>
      </c>
      <c r="D56" s="308" t="s">
        <v>11</v>
      </c>
      <c r="E56" s="309">
        <v>-373</v>
      </c>
      <c r="F56" s="309" t="s">
        <v>33</v>
      </c>
      <c r="G56" s="310">
        <v>149200</v>
      </c>
      <c r="H56" s="311">
        <v>16</v>
      </c>
      <c r="I56" s="309" t="s">
        <v>80</v>
      </c>
      <c r="J56" s="309" t="s">
        <v>39</v>
      </c>
      <c r="K56" s="309">
        <v>1248</v>
      </c>
      <c r="L56" s="309" t="s">
        <v>168</v>
      </c>
      <c r="M56" s="309" t="s">
        <v>169</v>
      </c>
      <c r="N56" s="312" t="s">
        <v>170</v>
      </c>
      <c r="O56" s="308"/>
      <c r="P56" s="308" t="s">
        <v>89</v>
      </c>
      <c r="Q56" s="737">
        <v>38.088090000000001</v>
      </c>
      <c r="R56" s="651">
        <v>-87.490740000000002</v>
      </c>
      <c r="S56" s="308" t="s">
        <v>63</v>
      </c>
      <c r="T56" s="308"/>
      <c r="U56" s="308" t="s">
        <v>51</v>
      </c>
      <c r="V56" s="307"/>
      <c r="W56" s="313">
        <f>IF(AC56="Intr",0,G56*Definitions!$B$53)</f>
        <v>22380</v>
      </c>
      <c r="X56" s="313">
        <f>IF(AC56="Intr",0,G56*Definitions!$B$54)</f>
        <v>104440</v>
      </c>
      <c r="Y56" s="313">
        <f>IF(AC56="Intr",G56,G56*Definitions!$B$55)</f>
        <v>22380</v>
      </c>
      <c r="Z56" s="313"/>
      <c r="AA56" s="313"/>
      <c r="AB56" s="313"/>
      <c r="AC56" s="308"/>
      <c r="AD56" s="358"/>
      <c r="AE56" s="308"/>
      <c r="AF56" s="308"/>
      <c r="AG56" s="314"/>
      <c r="AH56" s="308" t="s">
        <v>171</v>
      </c>
    </row>
    <row r="57" spans="1:34" x14ac:dyDescent="0.2">
      <c r="A57" s="307">
        <v>43517</v>
      </c>
      <c r="B57" s="308" t="s">
        <v>163</v>
      </c>
      <c r="C57" s="308">
        <v>2019</v>
      </c>
      <c r="D57" s="308" t="s">
        <v>11</v>
      </c>
      <c r="E57" s="309">
        <v>-0.39</v>
      </c>
      <c r="F57" s="309" t="s">
        <v>32</v>
      </c>
      <c r="G57" s="310">
        <v>31200</v>
      </c>
      <c r="H57" s="311">
        <v>16</v>
      </c>
      <c r="I57" s="309" t="s">
        <v>80</v>
      </c>
      <c r="J57" s="309" t="s">
        <v>36</v>
      </c>
      <c r="K57" s="309">
        <v>0.19700000000000001</v>
      </c>
      <c r="L57" s="309" t="s">
        <v>168</v>
      </c>
      <c r="M57" s="309" t="s">
        <v>169</v>
      </c>
      <c r="N57" s="312" t="s">
        <v>170</v>
      </c>
      <c r="O57" s="308"/>
      <c r="P57" s="308" t="s">
        <v>89</v>
      </c>
      <c r="Q57" s="737">
        <v>38.088090000000001</v>
      </c>
      <c r="R57" s="843">
        <v>-87.490740000000002</v>
      </c>
      <c r="S57" s="308" t="s">
        <v>63</v>
      </c>
      <c r="T57" s="308"/>
      <c r="U57" s="308" t="s">
        <v>51</v>
      </c>
      <c r="V57" s="307"/>
      <c r="W57" s="313">
        <f>IF(AC57="Intr",0,G57*Definitions!$B$53)</f>
        <v>4680</v>
      </c>
      <c r="X57" s="313">
        <f>IF(AC57="Intr",0,G57*Definitions!$B$54)</f>
        <v>21840</v>
      </c>
      <c r="Y57" s="313">
        <f>IF(AC57="Intr",G57,G57*Definitions!$B$55)</f>
        <v>4680</v>
      </c>
      <c r="Z57" s="313"/>
      <c r="AA57" s="313"/>
      <c r="AB57" s="313"/>
      <c r="AC57" s="308"/>
      <c r="AD57" s="308"/>
      <c r="AE57" s="308"/>
      <c r="AF57" s="308"/>
      <c r="AG57" s="314"/>
      <c r="AH57" s="308" t="s">
        <v>172</v>
      </c>
    </row>
    <row r="58" spans="1:34" x14ac:dyDescent="0.2">
      <c r="A58" s="97">
        <v>43536</v>
      </c>
      <c r="B58" s="98" t="s">
        <v>173</v>
      </c>
      <c r="C58" s="98">
        <v>2019</v>
      </c>
      <c r="D58" s="98" t="s">
        <v>10</v>
      </c>
      <c r="E58" s="99">
        <v>-6.5000000000000002E-2</v>
      </c>
      <c r="F58" s="99" t="s">
        <v>32</v>
      </c>
      <c r="G58" s="100">
        <v>5200</v>
      </c>
      <c r="H58" s="101">
        <v>27</v>
      </c>
      <c r="I58" s="99" t="s">
        <v>81</v>
      </c>
      <c r="J58" s="99" t="s">
        <v>38</v>
      </c>
      <c r="K58" s="99">
        <v>0.02</v>
      </c>
      <c r="L58" s="99" t="s">
        <v>174</v>
      </c>
      <c r="M58" s="99" t="s">
        <v>103</v>
      </c>
      <c r="N58" s="102" t="s">
        <v>175</v>
      </c>
      <c r="O58" s="98"/>
      <c r="P58" s="98" t="s">
        <v>176</v>
      </c>
      <c r="Q58" s="746"/>
      <c r="R58" s="655"/>
      <c r="S58" s="98" t="s">
        <v>61</v>
      </c>
      <c r="T58" s="98" t="s">
        <v>1545</v>
      </c>
      <c r="U58" s="98" t="s">
        <v>50</v>
      </c>
      <c r="V58" s="97">
        <v>45313</v>
      </c>
      <c r="W58" s="103">
        <f>IF(AC58="Intr",0,G58*[1]Data!$B$53)</f>
        <v>780</v>
      </c>
      <c r="X58" s="103">
        <f>IF(AC58="Intr",0,G58*[1]Data!$B$54)</f>
        <v>3639.9999999999995</v>
      </c>
      <c r="Y58" s="103">
        <f>IF(AC58="Intr",G58,G58*[1]Data!$B$55)</f>
        <v>780</v>
      </c>
      <c r="Z58" s="103"/>
      <c r="AA58" s="103"/>
      <c r="AB58" s="103"/>
      <c r="AC58" s="98"/>
      <c r="AD58" s="98" t="s">
        <v>1546</v>
      </c>
      <c r="AE58" s="98"/>
      <c r="AF58" s="98"/>
      <c r="AG58" s="104"/>
      <c r="AH58" s="98" t="s">
        <v>1547</v>
      </c>
    </row>
    <row r="59" spans="1:34" x14ac:dyDescent="0.2">
      <c r="A59" s="29">
        <v>43539</v>
      </c>
      <c r="B59" s="30" t="s">
        <v>173</v>
      </c>
      <c r="C59" s="30">
        <v>2019</v>
      </c>
      <c r="D59" s="30" t="s">
        <v>11</v>
      </c>
      <c r="E59" s="217">
        <v>-0.56000000000000005</v>
      </c>
      <c r="F59" s="217" t="s">
        <v>32</v>
      </c>
      <c r="G59" s="218">
        <v>44800</v>
      </c>
      <c r="H59" s="219">
        <v>22</v>
      </c>
      <c r="I59" s="217" t="s">
        <v>80</v>
      </c>
      <c r="J59" s="217" t="s">
        <v>36</v>
      </c>
      <c r="K59" s="217">
        <v>0.28000000000000003</v>
      </c>
      <c r="L59" s="217" t="s">
        <v>177</v>
      </c>
      <c r="M59" s="217" t="s">
        <v>178</v>
      </c>
      <c r="N59" s="67" t="s">
        <v>179</v>
      </c>
      <c r="O59" s="30"/>
      <c r="P59" s="30" t="s">
        <v>89</v>
      </c>
      <c r="Q59" s="747">
        <v>37.967419999999997</v>
      </c>
      <c r="R59" s="636">
        <v>-87.618340000000003</v>
      </c>
      <c r="S59" s="30" t="s">
        <v>61</v>
      </c>
      <c r="T59" s="30"/>
      <c r="U59" s="30" t="s">
        <v>51</v>
      </c>
      <c r="V59" s="29"/>
      <c r="W59" s="31">
        <f>IF(AC59="Intr",0,G59*Definitions!$B$53)</f>
        <v>6720</v>
      </c>
      <c r="X59" s="31">
        <f>IF(AC59="Intr",0,G59*Definitions!$B$54)</f>
        <v>31359.999999999996</v>
      </c>
      <c r="Y59" s="31">
        <f>IF(AC59="Intr",G59,G59*Definitions!$B$55)</f>
        <v>6720</v>
      </c>
      <c r="Z59" s="31"/>
      <c r="AA59" s="31"/>
      <c r="AB59" s="31"/>
      <c r="AC59" s="30"/>
      <c r="AD59" s="30"/>
      <c r="AE59" s="30"/>
      <c r="AF59" s="30"/>
      <c r="AG59" s="32"/>
      <c r="AH59" s="98" t="s">
        <v>180</v>
      </c>
    </row>
    <row r="60" spans="1:34" x14ac:dyDescent="0.2">
      <c r="A60" s="29">
        <v>43539</v>
      </c>
      <c r="B60" s="30" t="s">
        <v>173</v>
      </c>
      <c r="C60" s="30">
        <v>2019</v>
      </c>
      <c r="D60" s="30" t="s">
        <v>11</v>
      </c>
      <c r="E60" s="217">
        <v>-2.08</v>
      </c>
      <c r="F60" s="217" t="s">
        <v>32</v>
      </c>
      <c r="G60" s="218">
        <v>166400</v>
      </c>
      <c r="H60" s="219">
        <v>22</v>
      </c>
      <c r="I60" s="217" t="s">
        <v>80</v>
      </c>
      <c r="J60" s="217" t="s">
        <v>38</v>
      </c>
      <c r="K60" s="217">
        <v>0.52</v>
      </c>
      <c r="L60" s="217" t="s">
        <v>177</v>
      </c>
      <c r="M60" s="217" t="s">
        <v>178</v>
      </c>
      <c r="N60" s="67" t="s">
        <v>179</v>
      </c>
      <c r="O60" s="30"/>
      <c r="P60" s="30" t="s">
        <v>89</v>
      </c>
      <c r="Q60" s="747">
        <v>37.967419999999997</v>
      </c>
      <c r="R60" s="636">
        <v>-87.618340000000003</v>
      </c>
      <c r="S60" s="30" t="s">
        <v>61</v>
      </c>
      <c r="T60" s="30"/>
      <c r="U60" s="30" t="s">
        <v>51</v>
      </c>
      <c r="V60" s="29"/>
      <c r="W60" s="31">
        <f>IF(AC60="Intr",0,G60*Definitions!$B$53)</f>
        <v>24960</v>
      </c>
      <c r="X60" s="31">
        <f>IF(AC60="Intr",0,G60*Definitions!$B$54)</f>
        <v>116479.99999999999</v>
      </c>
      <c r="Y60" s="31">
        <f>IF(AC60="Intr",G60,G60*Definitions!$B$55)</f>
        <v>24960</v>
      </c>
      <c r="Z60" s="31"/>
      <c r="AA60" s="31"/>
      <c r="AB60" s="31"/>
      <c r="AC60" s="30"/>
      <c r="AD60" s="30"/>
      <c r="AE60" s="30"/>
      <c r="AF60" s="30"/>
      <c r="AG60" s="32"/>
      <c r="AH60" s="30"/>
    </row>
    <row r="61" spans="1:34" x14ac:dyDescent="0.2">
      <c r="A61" s="145">
        <v>43543</v>
      </c>
      <c r="B61" s="112" t="s">
        <v>173</v>
      </c>
      <c r="C61" s="112">
        <v>2019</v>
      </c>
      <c r="D61" s="112" t="s">
        <v>6</v>
      </c>
      <c r="E61" s="146">
        <v>-100</v>
      </c>
      <c r="F61" s="146" t="s">
        <v>33</v>
      </c>
      <c r="G61" s="147">
        <v>40000</v>
      </c>
      <c r="H61" s="148">
        <v>23</v>
      </c>
      <c r="I61" s="146" t="s">
        <v>80</v>
      </c>
      <c r="J61" s="146" t="s">
        <v>41</v>
      </c>
      <c r="K61" s="146">
        <v>293</v>
      </c>
      <c r="L61" s="146" t="s">
        <v>181</v>
      </c>
      <c r="M61" s="146" t="s">
        <v>182</v>
      </c>
      <c r="N61" s="149" t="s">
        <v>183</v>
      </c>
      <c r="O61" s="112"/>
      <c r="P61" s="112" t="s">
        <v>162</v>
      </c>
      <c r="Q61" s="729">
        <v>39.713005000000003</v>
      </c>
      <c r="R61" s="591">
        <v>-86.566770000000005</v>
      </c>
      <c r="S61" s="112" t="s">
        <v>62</v>
      </c>
      <c r="T61" s="112"/>
      <c r="U61" s="112" t="s">
        <v>51</v>
      </c>
      <c r="V61" s="145"/>
      <c r="W61" s="150">
        <f>IF(AC61="Intr",0,G61*Definitions!$B$53)</f>
        <v>6000</v>
      </c>
      <c r="X61" s="150">
        <f>IF(AC61="Intr",0,G61*Definitions!$B$54)</f>
        <v>28000</v>
      </c>
      <c r="Y61" s="150">
        <f>IF(AC61="Intr",G61,G61*Definitions!$B$55)</f>
        <v>6000</v>
      </c>
      <c r="Z61" s="150"/>
      <c r="AA61" s="150"/>
      <c r="AB61" s="150"/>
      <c r="AC61" s="112"/>
      <c r="AD61" s="112"/>
      <c r="AE61" s="112"/>
      <c r="AF61" s="112"/>
      <c r="AG61" s="151"/>
      <c r="AH61" s="112"/>
    </row>
    <row r="62" spans="1:34" x14ac:dyDescent="0.2">
      <c r="A62" s="160">
        <v>43543</v>
      </c>
      <c r="B62" s="161" t="s">
        <v>173</v>
      </c>
      <c r="C62" s="161">
        <v>2019</v>
      </c>
      <c r="D62" s="161" t="s">
        <v>8</v>
      </c>
      <c r="E62" s="162">
        <v>-0.44</v>
      </c>
      <c r="F62" s="162" t="s">
        <v>32</v>
      </c>
      <c r="G62" s="163">
        <v>35200</v>
      </c>
      <c r="H62" s="164">
        <v>20</v>
      </c>
      <c r="I62" s="162" t="s">
        <v>80</v>
      </c>
      <c r="J62" s="162" t="s">
        <v>36</v>
      </c>
      <c r="K62" s="162">
        <v>0.23799999999999999</v>
      </c>
      <c r="L62" s="162" t="s">
        <v>726</v>
      </c>
      <c r="M62" s="162" t="s">
        <v>184</v>
      </c>
      <c r="N62" s="165" t="s">
        <v>185</v>
      </c>
      <c r="O62" s="161"/>
      <c r="P62" s="161" t="s">
        <v>156</v>
      </c>
      <c r="Q62" s="741">
        <v>38.76343</v>
      </c>
      <c r="R62" s="654">
        <v>-85.829970000000003</v>
      </c>
      <c r="S62" s="161" t="s">
        <v>63</v>
      </c>
      <c r="T62" s="161"/>
      <c r="U62" s="161" t="s">
        <v>51</v>
      </c>
      <c r="V62" s="494"/>
      <c r="W62" s="166">
        <f>IF(AC62="Intr",0,G62*Definitions!$B$53)</f>
        <v>5280</v>
      </c>
      <c r="X62" s="166">
        <f>IF(AC62="Intr",0,G62*Definitions!$B$54)</f>
        <v>24640</v>
      </c>
      <c r="Y62" s="166">
        <f>IF(AC62="Intr",G62,G62*Definitions!$B$55)</f>
        <v>5280</v>
      </c>
      <c r="Z62" s="166"/>
      <c r="AA62" s="166"/>
      <c r="AB62" s="166"/>
      <c r="AC62" s="161"/>
      <c r="AD62" s="161"/>
      <c r="AE62" s="161"/>
      <c r="AF62" s="161"/>
      <c r="AG62" s="167"/>
      <c r="AH62" s="161" t="s">
        <v>187</v>
      </c>
    </row>
    <row r="63" spans="1:34" x14ac:dyDescent="0.2">
      <c r="A63" s="160">
        <v>43543</v>
      </c>
      <c r="B63" s="161" t="s">
        <v>173</v>
      </c>
      <c r="C63" s="161">
        <v>2019</v>
      </c>
      <c r="D63" s="161" t="s">
        <v>8</v>
      </c>
      <c r="E63" s="162">
        <v>-0.45</v>
      </c>
      <c r="F63" s="162" t="s">
        <v>32</v>
      </c>
      <c r="G63" s="163">
        <v>36000</v>
      </c>
      <c r="H63" s="164">
        <v>20</v>
      </c>
      <c r="I63" s="162" t="s">
        <v>80</v>
      </c>
      <c r="J63" s="162" t="s">
        <v>37</v>
      </c>
      <c r="K63" s="162">
        <v>0.45</v>
      </c>
      <c r="L63" s="162" t="s">
        <v>726</v>
      </c>
      <c r="M63" s="162" t="s">
        <v>184</v>
      </c>
      <c r="N63" s="165" t="s">
        <v>185</v>
      </c>
      <c r="O63" s="161"/>
      <c r="P63" s="161" t="s">
        <v>156</v>
      </c>
      <c r="Q63" s="741">
        <v>38.76343</v>
      </c>
      <c r="R63" s="654">
        <v>-85.829970000000003</v>
      </c>
      <c r="S63" s="161" t="s">
        <v>63</v>
      </c>
      <c r="T63" s="161"/>
      <c r="U63" s="161" t="s">
        <v>51</v>
      </c>
      <c r="V63" s="160"/>
      <c r="W63" s="166">
        <f>IF(AC63="Intr",0,G63*Definitions!$B$53)</f>
        <v>5400</v>
      </c>
      <c r="X63" s="166">
        <f>IF(AC63="Intr",0,G63*Definitions!$B$54)</f>
        <v>25200</v>
      </c>
      <c r="Y63" s="166">
        <f>IF(AC63="Intr",G63,G63*Definitions!$B$55)</f>
        <v>5400</v>
      </c>
      <c r="Z63" s="166"/>
      <c r="AA63" s="166"/>
      <c r="AB63" s="166"/>
      <c r="AC63" s="161"/>
      <c r="AD63" s="161"/>
      <c r="AE63" s="161"/>
      <c r="AF63" s="161"/>
      <c r="AG63" s="167"/>
      <c r="AH63" s="161" t="s">
        <v>186</v>
      </c>
    </row>
    <row r="64" spans="1:34" x14ac:dyDescent="0.2">
      <c r="A64" s="145">
        <v>43549</v>
      </c>
      <c r="B64" s="112" t="s">
        <v>173</v>
      </c>
      <c r="C64" s="112">
        <v>2019</v>
      </c>
      <c r="D64" s="112" t="s">
        <v>1</v>
      </c>
      <c r="E64" s="146">
        <v>-2.88</v>
      </c>
      <c r="F64" s="146" t="s">
        <v>32</v>
      </c>
      <c r="G64" s="147">
        <v>273600</v>
      </c>
      <c r="H64" s="148">
        <v>32</v>
      </c>
      <c r="I64" s="146" t="s">
        <v>80</v>
      </c>
      <c r="J64" s="146" t="s">
        <v>38</v>
      </c>
      <c r="K64" s="146">
        <v>0.72</v>
      </c>
      <c r="L64" s="146" t="s">
        <v>188</v>
      </c>
      <c r="M64" s="146" t="s">
        <v>189</v>
      </c>
      <c r="N64" s="149" t="s">
        <v>190</v>
      </c>
      <c r="O64" s="112"/>
      <c r="P64" s="112" t="s">
        <v>166</v>
      </c>
      <c r="Q64" s="729">
        <v>41.696399999999997</v>
      </c>
      <c r="R64" s="591">
        <v>-86.842100000000002</v>
      </c>
      <c r="S64" s="112" t="s">
        <v>61</v>
      </c>
      <c r="T64" s="112"/>
      <c r="U64" s="112" t="s">
        <v>51</v>
      </c>
      <c r="V64" s="145"/>
      <c r="W64" s="150">
        <f>IF(AC64="Intr",0,G64*Definitions!$B$53)</f>
        <v>41040</v>
      </c>
      <c r="X64" s="150">
        <f>IF(AC64="Intr",0,G64*Definitions!$B$54)</f>
        <v>191520</v>
      </c>
      <c r="Y64" s="150">
        <f>IF(AC64="Intr",G64,G64*Definitions!$B$55)</f>
        <v>41040</v>
      </c>
      <c r="Z64" s="150"/>
      <c r="AA64" s="150"/>
      <c r="AB64" s="150"/>
      <c r="AC64" s="112"/>
      <c r="AD64" s="112"/>
      <c r="AE64" s="112"/>
      <c r="AF64" s="112"/>
      <c r="AG64" s="151"/>
      <c r="AH64" s="112"/>
    </row>
    <row r="65" spans="1:34" x14ac:dyDescent="0.2">
      <c r="A65" s="97">
        <v>43549</v>
      </c>
      <c r="B65" s="98" t="s">
        <v>173</v>
      </c>
      <c r="C65" s="98">
        <v>2019</v>
      </c>
      <c r="D65" s="98" t="s">
        <v>7</v>
      </c>
      <c r="E65" s="99">
        <v>-0.19</v>
      </c>
      <c r="F65" s="99" t="s">
        <v>32</v>
      </c>
      <c r="G65" s="100">
        <v>15200</v>
      </c>
      <c r="H65" s="101">
        <v>25</v>
      </c>
      <c r="I65" s="99" t="s">
        <v>81</v>
      </c>
      <c r="J65" s="99" t="s">
        <v>36</v>
      </c>
      <c r="K65" s="99">
        <v>0.19</v>
      </c>
      <c r="L65" s="99" t="s">
        <v>191</v>
      </c>
      <c r="M65" s="99" t="s">
        <v>103</v>
      </c>
      <c r="N65" s="102" t="s">
        <v>192</v>
      </c>
      <c r="O65" s="98"/>
      <c r="P65" s="98" t="s">
        <v>137</v>
      </c>
      <c r="Q65" s="739">
        <v>39.941353999999997</v>
      </c>
      <c r="R65" s="652">
        <v>-86.024953999999994</v>
      </c>
      <c r="S65" s="98" t="s">
        <v>61</v>
      </c>
      <c r="T65" s="98" t="s">
        <v>1548</v>
      </c>
      <c r="U65" s="98" t="s">
        <v>50</v>
      </c>
      <c r="V65" s="97">
        <v>45117</v>
      </c>
      <c r="W65" s="103">
        <f>IF(AC65="Intr",0,G65*[1]Data!$B$53)</f>
        <v>2280</v>
      </c>
      <c r="X65" s="103">
        <f>IF(AC65="Intr",0,G65*[1]Data!$B$54)</f>
        <v>10640</v>
      </c>
      <c r="Y65" s="103">
        <f>IF(AC65="Intr",G65,G65*[1]Data!$B$55)</f>
        <v>2280</v>
      </c>
      <c r="Z65" s="103"/>
      <c r="AA65" s="103"/>
      <c r="AB65" s="103"/>
      <c r="AC65" s="98"/>
      <c r="AD65" s="98" t="s">
        <v>1549</v>
      </c>
      <c r="AE65" s="98"/>
      <c r="AF65" s="98"/>
      <c r="AG65" s="104"/>
      <c r="AH65" s="98" t="s">
        <v>1556</v>
      </c>
    </row>
    <row r="66" spans="1:34" x14ac:dyDescent="0.2">
      <c r="A66" s="97">
        <v>43565</v>
      </c>
      <c r="B66" s="98" t="s">
        <v>193</v>
      </c>
      <c r="C66" s="98">
        <v>2019</v>
      </c>
      <c r="D66" s="98" t="s">
        <v>7</v>
      </c>
      <c r="E66" s="99">
        <v>-0.83</v>
      </c>
      <c r="F66" s="99" t="s">
        <v>32</v>
      </c>
      <c r="G66" s="100">
        <v>66400</v>
      </c>
      <c r="H66" s="101">
        <v>29</v>
      </c>
      <c r="I66" s="99" t="s">
        <v>80</v>
      </c>
      <c r="J66" s="99" t="s">
        <v>36</v>
      </c>
      <c r="K66" s="99">
        <v>0.55000000000000004</v>
      </c>
      <c r="L66" s="99" t="s">
        <v>194</v>
      </c>
      <c r="M66" s="99" t="s">
        <v>195</v>
      </c>
      <c r="N66" s="102" t="s">
        <v>196</v>
      </c>
      <c r="O66" s="98"/>
      <c r="P66" s="98" t="s">
        <v>121</v>
      </c>
      <c r="Q66" s="730">
        <v>39.830199999999998</v>
      </c>
      <c r="R66" s="645">
        <v>-85.928700000000006</v>
      </c>
      <c r="S66" s="98" t="s">
        <v>61</v>
      </c>
      <c r="T66" s="98" t="s">
        <v>1548</v>
      </c>
      <c r="U66" s="98" t="s">
        <v>50</v>
      </c>
      <c r="V66" s="97">
        <v>45117</v>
      </c>
      <c r="W66" s="103">
        <f>IF(AC66="Intr",0,G66*[1]Data!$B$53)</f>
        <v>9960</v>
      </c>
      <c r="X66" s="103">
        <f>IF(AC66="Intr",0,G66*[1]Data!$B$54)</f>
        <v>46480</v>
      </c>
      <c r="Y66" s="103">
        <f>IF(AC66="Intr",G66,G66*[1]Data!$B$55)</f>
        <v>9960</v>
      </c>
      <c r="Z66" s="103"/>
      <c r="AA66" s="103"/>
      <c r="AB66" s="103"/>
      <c r="AC66" s="98"/>
      <c r="AD66" s="98" t="s">
        <v>1549</v>
      </c>
      <c r="AE66" s="98"/>
      <c r="AF66" s="98"/>
      <c r="AG66" s="104"/>
      <c r="AH66" s="98" t="s">
        <v>1557</v>
      </c>
    </row>
    <row r="67" spans="1:34" x14ac:dyDescent="0.2">
      <c r="A67" s="58">
        <v>43570</v>
      </c>
      <c r="B67" s="59" t="s">
        <v>193</v>
      </c>
      <c r="C67" s="59">
        <v>2019</v>
      </c>
      <c r="D67" s="59" t="s">
        <v>1</v>
      </c>
      <c r="E67" s="60">
        <v>-0.19600000000000001</v>
      </c>
      <c r="F67" s="60" t="s">
        <v>32</v>
      </c>
      <c r="G67" s="61">
        <v>18620</v>
      </c>
      <c r="H67" s="62">
        <v>34</v>
      </c>
      <c r="I67" s="60" t="s">
        <v>80</v>
      </c>
      <c r="J67" s="60" t="s">
        <v>38</v>
      </c>
      <c r="K67" s="60">
        <v>0.19600000000000001</v>
      </c>
      <c r="L67" s="60" t="s">
        <v>243</v>
      </c>
      <c r="M67" s="60" t="s">
        <v>244</v>
      </c>
      <c r="N67" s="63" t="s">
        <v>245</v>
      </c>
      <c r="O67" s="59"/>
      <c r="P67" s="59" t="s">
        <v>166</v>
      </c>
      <c r="Q67" s="745">
        <v>41.664400000000001</v>
      </c>
      <c r="R67" s="637">
        <v>-86.893900000000002</v>
      </c>
      <c r="S67" s="59" t="s">
        <v>62</v>
      </c>
      <c r="T67" s="59"/>
      <c r="U67" s="59" t="s">
        <v>51</v>
      </c>
      <c r="V67" s="58"/>
      <c r="W67" s="65">
        <f>G67*0.15</f>
        <v>2793</v>
      </c>
      <c r="X67" s="65">
        <f>G67*0.7</f>
        <v>13034</v>
      </c>
      <c r="Y67" s="65">
        <f>G67*0.15</f>
        <v>2793</v>
      </c>
      <c r="Z67" s="65"/>
      <c r="AA67" s="65"/>
      <c r="AB67" s="65"/>
      <c r="AC67" s="59"/>
      <c r="AD67" s="59"/>
      <c r="AE67" s="59"/>
      <c r="AF67" s="59"/>
      <c r="AG67" s="66"/>
      <c r="AH67" s="59"/>
    </row>
    <row r="68" spans="1:34" x14ac:dyDescent="0.2">
      <c r="A68" s="88">
        <v>43570</v>
      </c>
      <c r="B68" s="89" t="s">
        <v>193</v>
      </c>
      <c r="C68" s="89">
        <v>2019</v>
      </c>
      <c r="D68" s="89" t="s">
        <v>6</v>
      </c>
      <c r="E68" s="90">
        <v>-1.8</v>
      </c>
      <c r="F68" s="90" t="s">
        <v>32</v>
      </c>
      <c r="G68" s="91">
        <v>144000</v>
      </c>
      <c r="H68" s="92">
        <v>24</v>
      </c>
      <c r="I68" s="90" t="s">
        <v>80</v>
      </c>
      <c r="J68" s="90" t="s">
        <v>38</v>
      </c>
      <c r="K68" s="90">
        <v>0.45</v>
      </c>
      <c r="L68" s="90" t="s">
        <v>197</v>
      </c>
      <c r="M68" s="90" t="s">
        <v>198</v>
      </c>
      <c r="N68" s="93" t="s">
        <v>199</v>
      </c>
      <c r="O68" s="89"/>
      <c r="P68" s="89" t="s">
        <v>200</v>
      </c>
      <c r="Q68" s="735">
        <v>38.698700000000002</v>
      </c>
      <c r="R68" s="649">
        <v>-87.505099999999999</v>
      </c>
      <c r="S68" s="89" t="s">
        <v>61</v>
      </c>
      <c r="T68" s="89"/>
      <c r="U68" s="89" t="s">
        <v>51</v>
      </c>
      <c r="V68" s="88"/>
      <c r="W68" s="95">
        <f>IF(AC68="Intr",0,G68*Definitions!$B$53)</f>
        <v>21600</v>
      </c>
      <c r="X68" s="95">
        <f>IF(AC68="Intr",0,G68*Definitions!$B$54)</f>
        <v>100800</v>
      </c>
      <c r="Y68" s="95">
        <f>IF(AC68="Intr",G68,G68*Definitions!$B$55)</f>
        <v>21600</v>
      </c>
      <c r="Z68" s="95"/>
      <c r="AA68" s="95"/>
      <c r="AB68" s="95"/>
      <c r="AC68" s="89"/>
      <c r="AD68" s="89"/>
      <c r="AE68" s="89"/>
      <c r="AF68" s="89"/>
      <c r="AG68" s="96"/>
      <c r="AH68" s="89" t="s">
        <v>201</v>
      </c>
    </row>
    <row r="69" spans="1:34" ht="13.5" thickBot="1" x14ac:dyDescent="0.25">
      <c r="A69" s="168">
        <v>43580</v>
      </c>
      <c r="B69" s="169" t="s">
        <v>193</v>
      </c>
      <c r="C69" s="169">
        <v>2019</v>
      </c>
      <c r="D69" s="169" t="s">
        <v>6</v>
      </c>
      <c r="E69" s="170">
        <v>-0.88</v>
      </c>
      <c r="F69" s="170" t="s">
        <v>32</v>
      </c>
      <c r="G69" s="171">
        <v>70400</v>
      </c>
      <c r="H69" s="172">
        <v>35</v>
      </c>
      <c r="I69" s="170" t="s">
        <v>80</v>
      </c>
      <c r="J69" s="170" t="s">
        <v>38</v>
      </c>
      <c r="K69" s="170">
        <v>0.22</v>
      </c>
      <c r="L69" s="170" t="s">
        <v>202</v>
      </c>
      <c r="M69" s="170" t="s">
        <v>203</v>
      </c>
      <c r="N69" s="173" t="s">
        <v>204</v>
      </c>
      <c r="O69" s="169"/>
      <c r="P69" s="169" t="s">
        <v>205</v>
      </c>
      <c r="Q69" s="748">
        <v>39.430500000000002</v>
      </c>
      <c r="R69" s="844">
        <v>-87.39</v>
      </c>
      <c r="S69" s="169" t="s">
        <v>63</v>
      </c>
      <c r="T69" s="169"/>
      <c r="U69" s="169" t="s">
        <v>51</v>
      </c>
      <c r="V69" s="168"/>
      <c r="W69" s="174">
        <f>IF(AC69="Intr",0,G69*Definitions!$B$53)</f>
        <v>10560</v>
      </c>
      <c r="X69" s="174">
        <f>IF(AC69="Intr",0,G69*Definitions!$B$54)</f>
        <v>49280</v>
      </c>
      <c r="Y69" s="174">
        <f>IF(AC69="Intr",G69,G69*Definitions!$B$55)</f>
        <v>10560</v>
      </c>
      <c r="Z69" s="174"/>
      <c r="AA69" s="174"/>
      <c r="AB69" s="174"/>
      <c r="AC69" s="169"/>
      <c r="AD69" s="169"/>
      <c r="AE69" s="169"/>
      <c r="AF69" s="169"/>
      <c r="AG69" s="175"/>
      <c r="AH69" s="169"/>
    </row>
    <row r="70" spans="1:34" x14ac:dyDescent="0.2">
      <c r="A70" s="97">
        <v>43591</v>
      </c>
      <c r="B70" s="98" t="s">
        <v>95</v>
      </c>
      <c r="C70" s="98">
        <v>2019</v>
      </c>
      <c r="D70" s="98" t="s">
        <v>10</v>
      </c>
      <c r="E70" s="99">
        <v>-2.1</v>
      </c>
      <c r="F70" s="99" t="s">
        <v>32</v>
      </c>
      <c r="G70" s="100">
        <v>168000</v>
      </c>
      <c r="H70" s="101">
        <v>33</v>
      </c>
      <c r="I70" s="99" t="s">
        <v>80</v>
      </c>
      <c r="J70" s="99" t="s">
        <v>38</v>
      </c>
      <c r="K70" s="99">
        <v>0.51400000000000001</v>
      </c>
      <c r="L70" s="99" t="s">
        <v>726</v>
      </c>
      <c r="M70" s="99" t="s">
        <v>206</v>
      </c>
      <c r="N70" s="102" t="s">
        <v>207</v>
      </c>
      <c r="O70" s="98"/>
      <c r="P70" s="98" t="s">
        <v>84</v>
      </c>
      <c r="Q70" s="730">
        <v>38.343494</v>
      </c>
      <c r="R70" s="845">
        <v>-85.664545000000004</v>
      </c>
      <c r="S70" s="98" t="s">
        <v>63</v>
      </c>
      <c r="T70" s="98" t="s">
        <v>1545</v>
      </c>
      <c r="U70" s="98" t="s">
        <v>50</v>
      </c>
      <c r="V70" s="97">
        <v>45313</v>
      </c>
      <c r="W70" s="103">
        <f>IF(AC70="Intr",0,G70*[1]Data!$B$53)</f>
        <v>25200</v>
      </c>
      <c r="X70" s="103">
        <f>IF(AC70="Intr",0,G70*[1]Data!$B$54)</f>
        <v>117599.99999999999</v>
      </c>
      <c r="Y70" s="103">
        <f>IF(AC70="Intr",G70,G70*[1]Data!$B$55)</f>
        <v>25200</v>
      </c>
      <c r="Z70" s="103"/>
      <c r="AA70" s="103"/>
      <c r="AB70" s="103"/>
      <c r="AC70" s="98"/>
      <c r="AD70" s="98" t="s">
        <v>1546</v>
      </c>
      <c r="AE70" s="98"/>
      <c r="AF70" s="98"/>
      <c r="AG70" s="104"/>
      <c r="AH70" s="98" t="s">
        <v>1547</v>
      </c>
    </row>
    <row r="71" spans="1:34" x14ac:dyDescent="0.2">
      <c r="A71" s="207">
        <v>43591</v>
      </c>
      <c r="B71" s="208" t="s">
        <v>95</v>
      </c>
      <c r="C71" s="208">
        <v>2019</v>
      </c>
      <c r="D71" s="208" t="s">
        <v>10</v>
      </c>
      <c r="E71" s="209">
        <v>-449</v>
      </c>
      <c r="F71" s="209" t="s">
        <v>33</v>
      </c>
      <c r="G71" s="210">
        <v>179600</v>
      </c>
      <c r="H71" s="211">
        <v>33</v>
      </c>
      <c r="I71" s="209" t="s">
        <v>80</v>
      </c>
      <c r="J71" s="209" t="s">
        <v>40</v>
      </c>
      <c r="K71" s="209">
        <v>374</v>
      </c>
      <c r="L71" s="209" t="s">
        <v>726</v>
      </c>
      <c r="M71" s="209" t="s">
        <v>206</v>
      </c>
      <c r="N71" s="212" t="s">
        <v>207</v>
      </c>
      <c r="O71" s="208"/>
      <c r="P71" s="208" t="s">
        <v>84</v>
      </c>
      <c r="Q71" s="749">
        <v>38.343494</v>
      </c>
      <c r="R71" s="641">
        <v>-85.664545000000004</v>
      </c>
      <c r="S71" s="208" t="s">
        <v>63</v>
      </c>
      <c r="T71" s="208"/>
      <c r="U71" s="208" t="s">
        <v>51</v>
      </c>
      <c r="V71" s="207"/>
      <c r="W71" s="213">
        <f>IF(AC71="Intr",0,G71*Definitions!$B$53)</f>
        <v>26940</v>
      </c>
      <c r="X71" s="213">
        <f>IF(AC71="Intr",0,G71*Definitions!$B$54)</f>
        <v>125719.99999999999</v>
      </c>
      <c r="Y71" s="213">
        <f>IF(AC71="Intr",G71,G71*Definitions!$B$55)</f>
        <v>26940</v>
      </c>
      <c r="Z71" s="213"/>
      <c r="AA71" s="213"/>
      <c r="AB71" s="213"/>
      <c r="AC71" s="208"/>
      <c r="AD71" s="208"/>
      <c r="AE71" s="208"/>
      <c r="AF71" s="208"/>
      <c r="AG71" s="214"/>
      <c r="AH71" s="98" t="s">
        <v>208</v>
      </c>
    </row>
    <row r="72" spans="1:34" x14ac:dyDescent="0.2">
      <c r="A72" s="168">
        <v>43598</v>
      </c>
      <c r="B72" s="169" t="s">
        <v>95</v>
      </c>
      <c r="C72" s="169">
        <v>2019</v>
      </c>
      <c r="D72" s="169" t="s">
        <v>2</v>
      </c>
      <c r="E72" s="170">
        <v>-310</v>
      </c>
      <c r="F72" s="170" t="s">
        <v>33</v>
      </c>
      <c r="G72" s="171">
        <v>155000</v>
      </c>
      <c r="H72" s="172">
        <v>26</v>
      </c>
      <c r="I72" s="170" t="s">
        <v>80</v>
      </c>
      <c r="J72" s="170" t="s">
        <v>39</v>
      </c>
      <c r="K72" s="170">
        <v>310</v>
      </c>
      <c r="L72" s="170" t="s">
        <v>726</v>
      </c>
      <c r="M72" s="170" t="s">
        <v>213</v>
      </c>
      <c r="N72" s="173" t="s">
        <v>214</v>
      </c>
      <c r="O72" s="169"/>
      <c r="P72" s="169" t="s">
        <v>215</v>
      </c>
      <c r="Q72" s="732">
        <v>41.411769</v>
      </c>
      <c r="R72" s="646">
        <v>-86.488748999999999</v>
      </c>
      <c r="S72" s="169" t="s">
        <v>63</v>
      </c>
      <c r="T72" s="169"/>
      <c r="U72" s="169" t="s">
        <v>51</v>
      </c>
      <c r="V72" s="168"/>
      <c r="W72" s="174">
        <f>IF(AC72="Intr",0,G72*Definitions!$B$53)</f>
        <v>23250</v>
      </c>
      <c r="X72" s="174">
        <f>IF(AC72="Intr",0,G72*Definitions!$B$54)</f>
        <v>108500</v>
      </c>
      <c r="Y72" s="174">
        <f>IF(AC72="Intr",G72,G72*Definitions!$B$55)</f>
        <v>23250</v>
      </c>
      <c r="Z72" s="174"/>
      <c r="AA72" s="174"/>
      <c r="AB72" s="174"/>
      <c r="AC72" s="169"/>
      <c r="AD72" s="169"/>
      <c r="AE72" s="169"/>
      <c r="AF72" s="169"/>
      <c r="AG72" s="175"/>
      <c r="AH72" s="169" t="s">
        <v>231</v>
      </c>
    </row>
    <row r="73" spans="1:34" x14ac:dyDescent="0.2">
      <c r="A73" s="168">
        <v>43598</v>
      </c>
      <c r="B73" s="169" t="s">
        <v>95</v>
      </c>
      <c r="C73" s="169">
        <v>2019</v>
      </c>
      <c r="D73" s="169" t="s">
        <v>2</v>
      </c>
      <c r="E73" s="170">
        <v>-3</v>
      </c>
      <c r="F73" s="170" t="s">
        <v>32</v>
      </c>
      <c r="G73" s="171">
        <v>285000</v>
      </c>
      <c r="H73" s="172">
        <v>26</v>
      </c>
      <c r="I73" s="170" t="s">
        <v>80</v>
      </c>
      <c r="J73" s="170" t="s">
        <v>38</v>
      </c>
      <c r="K73" s="170">
        <v>0.75</v>
      </c>
      <c r="L73" s="170" t="s">
        <v>726</v>
      </c>
      <c r="M73" s="170" t="s">
        <v>213</v>
      </c>
      <c r="N73" s="173" t="s">
        <v>214</v>
      </c>
      <c r="O73" s="169"/>
      <c r="P73" s="169" t="s">
        <v>215</v>
      </c>
      <c r="Q73" s="732">
        <v>41.411769</v>
      </c>
      <c r="R73" s="646">
        <v>-86.488748999999999</v>
      </c>
      <c r="S73" s="169" t="s">
        <v>63</v>
      </c>
      <c r="T73" s="169"/>
      <c r="U73" s="169" t="s">
        <v>51</v>
      </c>
      <c r="V73" s="168"/>
      <c r="W73" s="174">
        <f>IF(AC73="Intr",0,G73*Definitions!$B$53)</f>
        <v>42750</v>
      </c>
      <c r="X73" s="174">
        <f>IF(AC73="Intr",0,G73*Definitions!$B$54)</f>
        <v>199500</v>
      </c>
      <c r="Y73" s="174">
        <f>IF(AC73="Intr",G73,G73*Definitions!$B$55)</f>
        <v>42750</v>
      </c>
      <c r="Z73" s="174"/>
      <c r="AA73" s="174"/>
      <c r="AB73" s="174"/>
      <c r="AC73" s="169"/>
      <c r="AD73" s="169"/>
      <c r="AE73" s="169"/>
      <c r="AF73" s="169"/>
      <c r="AG73" s="175"/>
      <c r="AH73" s="169" t="s">
        <v>231</v>
      </c>
    </row>
    <row r="74" spans="1:34" x14ac:dyDescent="0.2">
      <c r="A74" s="282">
        <v>43598</v>
      </c>
      <c r="B74" s="114" t="s">
        <v>95</v>
      </c>
      <c r="C74" s="114">
        <v>2019</v>
      </c>
      <c r="D74" s="114" t="s">
        <v>6</v>
      </c>
      <c r="E74" s="270">
        <v>-219</v>
      </c>
      <c r="F74" s="270" t="s">
        <v>33</v>
      </c>
      <c r="G74" s="283">
        <v>87600</v>
      </c>
      <c r="H74" s="284">
        <v>30</v>
      </c>
      <c r="I74" s="270" t="s">
        <v>80</v>
      </c>
      <c r="J74" s="270" t="s">
        <v>41</v>
      </c>
      <c r="K74" s="270">
        <v>219</v>
      </c>
      <c r="L74" s="270" t="s">
        <v>209</v>
      </c>
      <c r="M74" s="270" t="s">
        <v>210</v>
      </c>
      <c r="N74" s="285" t="s">
        <v>211</v>
      </c>
      <c r="O74" s="114"/>
      <c r="P74" s="114" t="s">
        <v>162</v>
      </c>
      <c r="Q74" s="750" t="s">
        <v>226</v>
      </c>
      <c r="R74" s="635" t="s">
        <v>226</v>
      </c>
      <c r="S74" s="114" t="s">
        <v>63</v>
      </c>
      <c r="T74" s="114"/>
      <c r="U74" s="114" t="s">
        <v>51</v>
      </c>
      <c r="V74" s="282"/>
      <c r="W74" s="286">
        <f>IF(AC74="Intr",0,G74*Definitions!$B$53)</f>
        <v>13140</v>
      </c>
      <c r="X74" s="286">
        <f>IF(AC74="Intr",0,G74*Definitions!$B$54)</f>
        <v>61319.999999999993</v>
      </c>
      <c r="Y74" s="286">
        <f>IF(AC74="Intr",G74,G74*Definitions!$B$55)</f>
        <v>13140</v>
      </c>
      <c r="Z74" s="286"/>
      <c r="AA74" s="286"/>
      <c r="AB74" s="286"/>
      <c r="AC74" s="114"/>
      <c r="AD74" s="114"/>
      <c r="AE74" s="114"/>
      <c r="AF74" s="114"/>
      <c r="AG74" s="287"/>
      <c r="AH74" s="114" t="s">
        <v>212</v>
      </c>
    </row>
    <row r="75" spans="1:34" x14ac:dyDescent="0.2">
      <c r="A75" s="282">
        <v>43598</v>
      </c>
      <c r="B75" s="114" t="s">
        <v>95</v>
      </c>
      <c r="C75" s="114">
        <v>2019</v>
      </c>
      <c r="D75" s="114" t="s">
        <v>6</v>
      </c>
      <c r="E75" s="270">
        <v>-452</v>
      </c>
      <c r="F75" s="270" t="s">
        <v>33</v>
      </c>
      <c r="G75" s="283">
        <v>180800</v>
      </c>
      <c r="H75" s="284">
        <v>30</v>
      </c>
      <c r="I75" s="270" t="s">
        <v>80</v>
      </c>
      <c r="J75" s="270" t="s">
        <v>39</v>
      </c>
      <c r="K75" s="270">
        <v>452</v>
      </c>
      <c r="L75" s="270" t="s">
        <v>209</v>
      </c>
      <c r="M75" s="270" t="s">
        <v>210</v>
      </c>
      <c r="N75" s="285" t="s">
        <v>211</v>
      </c>
      <c r="O75" s="114"/>
      <c r="P75" s="114" t="s">
        <v>162</v>
      </c>
      <c r="Q75" s="750" t="s">
        <v>226</v>
      </c>
      <c r="R75" s="635" t="s">
        <v>226</v>
      </c>
      <c r="S75" s="114" t="s">
        <v>63</v>
      </c>
      <c r="T75" s="114"/>
      <c r="U75" s="114" t="s">
        <v>51</v>
      </c>
      <c r="V75" s="282"/>
      <c r="W75" s="286">
        <f>IF(AC75="Intr",0,G75*Definitions!$B$53)</f>
        <v>27120</v>
      </c>
      <c r="X75" s="286">
        <f>IF(AC75="Intr",0,G75*Definitions!$B$54)</f>
        <v>126559.99999999999</v>
      </c>
      <c r="Y75" s="286">
        <f>IF(AC75="Intr",G75,G75*Definitions!$B$55)</f>
        <v>27120</v>
      </c>
      <c r="Z75" s="286"/>
      <c r="AA75" s="286"/>
      <c r="AB75" s="286"/>
      <c r="AC75" s="114"/>
      <c r="AD75" s="114"/>
      <c r="AE75" s="114"/>
      <c r="AF75" s="114"/>
      <c r="AG75" s="287"/>
      <c r="AH75" s="114" t="s">
        <v>212</v>
      </c>
    </row>
    <row r="76" spans="1:34" x14ac:dyDescent="0.2">
      <c r="A76" s="29">
        <v>43598</v>
      </c>
      <c r="B76" s="30" t="s">
        <v>95</v>
      </c>
      <c r="C76" s="30">
        <v>2019</v>
      </c>
      <c r="D76" s="30" t="s">
        <v>10</v>
      </c>
      <c r="E76" s="306">
        <v>-1615</v>
      </c>
      <c r="F76" s="217" t="s">
        <v>33</v>
      </c>
      <c r="G76" s="218">
        <v>646000</v>
      </c>
      <c r="H76" s="219">
        <v>28</v>
      </c>
      <c r="I76" s="217" t="s">
        <v>80</v>
      </c>
      <c r="J76" s="217" t="s">
        <v>41</v>
      </c>
      <c r="K76" s="382">
        <v>1345.5</v>
      </c>
      <c r="L76" s="217" t="s">
        <v>726</v>
      </c>
      <c r="M76" s="217" t="s">
        <v>218</v>
      </c>
      <c r="N76" s="67" t="s">
        <v>219</v>
      </c>
      <c r="O76" s="30"/>
      <c r="P76" s="30" t="s">
        <v>84</v>
      </c>
      <c r="Q76" s="747">
        <v>38.435600000000001</v>
      </c>
      <c r="R76" s="636">
        <v>-85.763999999999996</v>
      </c>
      <c r="S76" s="30" t="s">
        <v>63</v>
      </c>
      <c r="T76" s="30"/>
      <c r="U76" s="30" t="s">
        <v>51</v>
      </c>
      <c r="V76" s="29"/>
      <c r="W76" s="31">
        <f>IF(AC76="Intr",0,G76*Definitions!$B$53)</f>
        <v>96900</v>
      </c>
      <c r="X76" s="31">
        <f>IF(AC76="Intr",0,G76*Definitions!$B$54)</f>
        <v>452200</v>
      </c>
      <c r="Y76" s="31">
        <f>IF(AC76="Intr",G76,G76*Definitions!$B$55)</f>
        <v>96900</v>
      </c>
      <c r="Z76" s="31"/>
      <c r="AA76" s="31"/>
      <c r="AB76" s="31"/>
      <c r="AC76" s="30"/>
      <c r="AD76" s="30"/>
      <c r="AE76" s="30"/>
      <c r="AF76" s="30"/>
      <c r="AG76" s="32"/>
      <c r="AH76" s="30" t="s">
        <v>220</v>
      </c>
    </row>
    <row r="77" spans="1:34" x14ac:dyDescent="0.2">
      <c r="A77" s="29">
        <v>43598</v>
      </c>
      <c r="B77" s="30" t="s">
        <v>95</v>
      </c>
      <c r="C77" s="30">
        <v>2019</v>
      </c>
      <c r="D77" s="30" t="s">
        <v>10</v>
      </c>
      <c r="E77" s="217">
        <v>-111</v>
      </c>
      <c r="F77" s="217" t="s">
        <v>33</v>
      </c>
      <c r="G77" s="218">
        <v>44400</v>
      </c>
      <c r="H77" s="219">
        <v>28</v>
      </c>
      <c r="I77" s="217" t="s">
        <v>80</v>
      </c>
      <c r="J77" s="217" t="s">
        <v>39</v>
      </c>
      <c r="K77" s="217">
        <v>92.5</v>
      </c>
      <c r="L77" s="217" t="s">
        <v>726</v>
      </c>
      <c r="M77" s="217" t="s">
        <v>218</v>
      </c>
      <c r="N77" s="67" t="s">
        <v>219</v>
      </c>
      <c r="O77" s="30"/>
      <c r="P77" s="30" t="s">
        <v>84</v>
      </c>
      <c r="Q77" s="747">
        <v>38.435600000000001</v>
      </c>
      <c r="R77" s="636">
        <v>-85.763999999999996</v>
      </c>
      <c r="S77" s="30" t="s">
        <v>63</v>
      </c>
      <c r="T77" s="30"/>
      <c r="U77" s="30" t="s">
        <v>51</v>
      </c>
      <c r="V77" s="29"/>
      <c r="W77" s="31">
        <f>IF(AC77="Intr",0,G77*Definitions!$B$53)</f>
        <v>6660</v>
      </c>
      <c r="X77" s="31">
        <f>IF(AC77="Intr",0,G77*Definitions!$B$54)</f>
        <v>31079.999999999996</v>
      </c>
      <c r="Y77" s="31">
        <f>IF(AC77="Intr",G77,G77*Definitions!$B$55)</f>
        <v>6660</v>
      </c>
      <c r="Z77" s="31"/>
      <c r="AA77" s="31"/>
      <c r="AB77" s="31"/>
      <c r="AC77" s="30"/>
      <c r="AD77" s="30"/>
      <c r="AE77" s="30"/>
      <c r="AF77" s="30"/>
      <c r="AG77" s="32"/>
      <c r="AH77" s="30" t="s">
        <v>220</v>
      </c>
    </row>
    <row r="78" spans="1:34" x14ac:dyDescent="0.2">
      <c r="A78" s="97">
        <v>43598</v>
      </c>
      <c r="B78" s="98" t="s">
        <v>95</v>
      </c>
      <c r="C78" s="98">
        <v>2019</v>
      </c>
      <c r="D78" s="98" t="s">
        <v>10</v>
      </c>
      <c r="E78" s="99">
        <v>-0.66900000000000004</v>
      </c>
      <c r="F78" s="99" t="s">
        <v>32</v>
      </c>
      <c r="G78" s="100">
        <v>53520</v>
      </c>
      <c r="H78" s="101">
        <v>28</v>
      </c>
      <c r="I78" s="99" t="s">
        <v>80</v>
      </c>
      <c r="J78" s="99" t="s">
        <v>36</v>
      </c>
      <c r="K78" s="99">
        <v>0.29599999999999999</v>
      </c>
      <c r="L78" s="99" t="s">
        <v>726</v>
      </c>
      <c r="M78" s="99" t="s">
        <v>218</v>
      </c>
      <c r="N78" s="102" t="s">
        <v>219</v>
      </c>
      <c r="O78" s="98"/>
      <c r="P78" s="98" t="s">
        <v>84</v>
      </c>
      <c r="Q78" s="730">
        <v>38.435600000000001</v>
      </c>
      <c r="R78" s="645">
        <v>-85.763999999999996</v>
      </c>
      <c r="S78" s="98" t="s">
        <v>63</v>
      </c>
      <c r="T78" s="98" t="s">
        <v>1545</v>
      </c>
      <c r="U78" s="98" t="s">
        <v>50</v>
      </c>
      <c r="V78" s="97">
        <v>45313</v>
      </c>
      <c r="W78" s="103">
        <f>IF(AC78="Intr",0,G78*[1]Data!$B$53)</f>
        <v>8028</v>
      </c>
      <c r="X78" s="103">
        <f>IF(AC78="Intr",0,G78*[1]Data!$B$54)</f>
        <v>37464</v>
      </c>
      <c r="Y78" s="103">
        <f>IF(AC78="Intr",G78,G78*[1]Data!$B$55)</f>
        <v>8028</v>
      </c>
      <c r="Z78" s="103"/>
      <c r="AA78" s="103"/>
      <c r="AB78" s="103"/>
      <c r="AC78" s="98"/>
      <c r="AD78" s="98" t="s">
        <v>1546</v>
      </c>
      <c r="AE78" s="98"/>
      <c r="AF78" s="98"/>
      <c r="AG78" s="104"/>
      <c r="AH78" s="98" t="s">
        <v>1547</v>
      </c>
    </row>
    <row r="79" spans="1:34" x14ac:dyDescent="0.2">
      <c r="A79" s="97">
        <v>43598</v>
      </c>
      <c r="B79" s="98" t="s">
        <v>95</v>
      </c>
      <c r="C79" s="98">
        <v>2019</v>
      </c>
      <c r="D79" s="98" t="s">
        <v>10</v>
      </c>
      <c r="E79" s="99">
        <v>-0.23100000000000001</v>
      </c>
      <c r="F79" s="99" t="s">
        <v>32</v>
      </c>
      <c r="G79" s="100">
        <v>18480</v>
      </c>
      <c r="H79" s="101">
        <v>28</v>
      </c>
      <c r="I79" s="99" t="s">
        <v>80</v>
      </c>
      <c r="J79" s="99" t="s">
        <v>38</v>
      </c>
      <c r="K79" s="99">
        <v>0.14799999999999999</v>
      </c>
      <c r="L79" s="99" t="s">
        <v>726</v>
      </c>
      <c r="M79" s="99" t="s">
        <v>218</v>
      </c>
      <c r="N79" s="102" t="s">
        <v>219</v>
      </c>
      <c r="O79" s="98"/>
      <c r="P79" s="98" t="s">
        <v>84</v>
      </c>
      <c r="Q79" s="730">
        <v>38.435600000000001</v>
      </c>
      <c r="R79" s="645">
        <v>-85.763999999999996</v>
      </c>
      <c r="S79" s="98" t="s">
        <v>63</v>
      </c>
      <c r="T79" s="98" t="s">
        <v>1545</v>
      </c>
      <c r="U79" s="98" t="s">
        <v>50</v>
      </c>
      <c r="V79" s="97">
        <v>45313</v>
      </c>
      <c r="W79" s="103">
        <f>IF(AC79="Intr",0,G79*[1]Data!$B$53)</f>
        <v>2772</v>
      </c>
      <c r="X79" s="103">
        <f>IF(AC79="Intr",0,G79*[1]Data!$B$54)</f>
        <v>12936</v>
      </c>
      <c r="Y79" s="103">
        <f>IF(AC79="Intr",G79,G79*[1]Data!$B$55)</f>
        <v>2772</v>
      </c>
      <c r="Z79" s="103"/>
      <c r="AA79" s="103"/>
      <c r="AB79" s="103"/>
      <c r="AC79" s="98"/>
      <c r="AD79" s="98" t="s">
        <v>1546</v>
      </c>
      <c r="AE79" s="98"/>
      <c r="AF79" s="98"/>
      <c r="AG79" s="104"/>
      <c r="AH79" s="98" t="s">
        <v>1547</v>
      </c>
    </row>
    <row r="80" spans="1:34" x14ac:dyDescent="0.2">
      <c r="A80" s="97">
        <v>43598</v>
      </c>
      <c r="B80" s="98" t="s">
        <v>95</v>
      </c>
      <c r="C80" s="98">
        <v>2019</v>
      </c>
      <c r="D80" s="98" t="s">
        <v>7</v>
      </c>
      <c r="E80" s="99">
        <v>-197</v>
      </c>
      <c r="F80" s="99" t="s">
        <v>33</v>
      </c>
      <c r="G80" s="100">
        <v>88650</v>
      </c>
      <c r="H80" s="101">
        <v>30</v>
      </c>
      <c r="I80" s="99" t="s">
        <v>80</v>
      </c>
      <c r="J80" s="99" t="s">
        <v>41</v>
      </c>
      <c r="K80" s="99">
        <v>197</v>
      </c>
      <c r="L80" s="99" t="s">
        <v>209</v>
      </c>
      <c r="M80" s="99" t="s">
        <v>210</v>
      </c>
      <c r="N80" s="102" t="s">
        <v>211</v>
      </c>
      <c r="O80" s="98"/>
      <c r="P80" s="98" t="s">
        <v>162</v>
      </c>
      <c r="Q80" s="730" t="s">
        <v>226</v>
      </c>
      <c r="R80" s="645" t="s">
        <v>226</v>
      </c>
      <c r="S80" s="98" t="s">
        <v>63</v>
      </c>
      <c r="T80" s="98" t="s">
        <v>1548</v>
      </c>
      <c r="U80" s="98" t="s">
        <v>50</v>
      </c>
      <c r="V80" s="97">
        <v>45117</v>
      </c>
      <c r="W80" s="103">
        <f>IF(AC80="Intr",0,G80*[1]Data!$B$53)</f>
        <v>13297.5</v>
      </c>
      <c r="X80" s="103">
        <f>IF(AC80="Intr",0,G80*[1]Data!$B$54)</f>
        <v>62054.999999999993</v>
      </c>
      <c r="Y80" s="103">
        <f>IF(AC80="Intr",G80,G80*[1]Data!$B$55)</f>
        <v>13297.5</v>
      </c>
      <c r="Z80" s="103"/>
      <c r="AA80" s="103"/>
      <c r="AB80" s="103"/>
      <c r="AC80" s="98"/>
      <c r="AD80" s="98" t="s">
        <v>1549</v>
      </c>
      <c r="AE80" s="98"/>
      <c r="AF80" s="98"/>
      <c r="AG80" s="104"/>
      <c r="AH80" s="98" t="s">
        <v>1745</v>
      </c>
    </row>
    <row r="81" spans="1:34" x14ac:dyDescent="0.2">
      <c r="A81" s="97">
        <v>43598</v>
      </c>
      <c r="B81" s="98" t="s">
        <v>95</v>
      </c>
      <c r="C81" s="98">
        <v>2019</v>
      </c>
      <c r="D81" s="98" t="s">
        <v>7</v>
      </c>
      <c r="E81" s="99">
        <v>-269</v>
      </c>
      <c r="F81" s="99" t="s">
        <v>33</v>
      </c>
      <c r="G81" s="100">
        <v>121050</v>
      </c>
      <c r="H81" s="101">
        <v>30</v>
      </c>
      <c r="I81" s="99" t="s">
        <v>80</v>
      </c>
      <c r="J81" s="99" t="s">
        <v>40</v>
      </c>
      <c r="K81" s="99">
        <v>269</v>
      </c>
      <c r="L81" s="99" t="s">
        <v>209</v>
      </c>
      <c r="M81" s="99" t="s">
        <v>210</v>
      </c>
      <c r="N81" s="102" t="s">
        <v>211</v>
      </c>
      <c r="O81" s="98"/>
      <c r="P81" s="98" t="s">
        <v>162</v>
      </c>
      <c r="Q81" s="730" t="s">
        <v>226</v>
      </c>
      <c r="R81" s="645" t="s">
        <v>226</v>
      </c>
      <c r="S81" s="98" t="s">
        <v>63</v>
      </c>
      <c r="T81" s="98" t="s">
        <v>1548</v>
      </c>
      <c r="U81" s="98" t="s">
        <v>50</v>
      </c>
      <c r="V81" s="97">
        <v>45538</v>
      </c>
      <c r="W81" s="103">
        <f>IF(AC81="Intr",0,G81*Definitions!$B$53)</f>
        <v>18157.5</v>
      </c>
      <c r="X81" s="103">
        <f>IF(AC81="Intr",0,G81*Definitions!$B$54)</f>
        <v>84735</v>
      </c>
      <c r="Y81" s="103">
        <f>IF(AC81="Intr",G81,G81*Definitions!$B$55)</f>
        <v>18157.5</v>
      </c>
      <c r="Z81" s="103"/>
      <c r="AA81" s="103"/>
      <c r="AB81" s="103"/>
      <c r="AC81" s="98"/>
      <c r="AD81" s="98"/>
      <c r="AE81" s="98"/>
      <c r="AF81" s="98"/>
      <c r="AG81" s="104"/>
      <c r="AH81" s="98" t="s">
        <v>1746</v>
      </c>
    </row>
    <row r="82" spans="1:34" x14ac:dyDescent="0.2">
      <c r="A82" s="97">
        <v>43598</v>
      </c>
      <c r="B82" s="98" t="s">
        <v>95</v>
      </c>
      <c r="C82" s="98">
        <v>2019</v>
      </c>
      <c r="D82" s="98" t="s">
        <v>7</v>
      </c>
      <c r="E82" s="99">
        <v>-437</v>
      </c>
      <c r="F82" s="99" t="s">
        <v>33</v>
      </c>
      <c r="G82" s="100">
        <v>196650</v>
      </c>
      <c r="H82" s="101">
        <v>30</v>
      </c>
      <c r="I82" s="99" t="s">
        <v>80</v>
      </c>
      <c r="J82" s="99" t="s">
        <v>39</v>
      </c>
      <c r="K82" s="99">
        <v>437</v>
      </c>
      <c r="L82" s="99" t="s">
        <v>209</v>
      </c>
      <c r="M82" s="99" t="s">
        <v>210</v>
      </c>
      <c r="N82" s="102" t="s">
        <v>211</v>
      </c>
      <c r="O82" s="98"/>
      <c r="P82" s="98" t="s">
        <v>162</v>
      </c>
      <c r="Q82" s="730" t="s">
        <v>226</v>
      </c>
      <c r="R82" s="645" t="s">
        <v>226</v>
      </c>
      <c r="S82" s="98" t="s">
        <v>63</v>
      </c>
      <c r="T82" s="98" t="s">
        <v>1548</v>
      </c>
      <c r="U82" s="98" t="s">
        <v>50</v>
      </c>
      <c r="V82" s="97">
        <v>45538</v>
      </c>
      <c r="W82" s="103">
        <f>IF(AC82="Intr",0,G82*Definitions!$B$53)</f>
        <v>29497.5</v>
      </c>
      <c r="X82" s="103">
        <f>IF(AC82="Intr",0,G82*Definitions!$B$54)</f>
        <v>137655</v>
      </c>
      <c r="Y82" s="103">
        <f>IF(AC82="Intr",G82,G82*Definitions!$B$55)</f>
        <v>29497.5</v>
      </c>
      <c r="Z82" s="103"/>
      <c r="AA82" s="103"/>
      <c r="AB82" s="103"/>
      <c r="AC82" s="98"/>
      <c r="AD82" s="98"/>
      <c r="AE82" s="98"/>
      <c r="AF82" s="98"/>
      <c r="AG82" s="104"/>
      <c r="AH82" s="98" t="s">
        <v>1747</v>
      </c>
    </row>
    <row r="83" spans="1:34" ht="13.5" thickBot="1" x14ac:dyDescent="0.25">
      <c r="A83" s="97">
        <v>43598</v>
      </c>
      <c r="B83" s="98" t="s">
        <v>95</v>
      </c>
      <c r="C83" s="98">
        <v>2019</v>
      </c>
      <c r="D83" s="98" t="s">
        <v>7</v>
      </c>
      <c r="E83" s="99">
        <v>-0.06</v>
      </c>
      <c r="F83" s="99" t="s">
        <v>32</v>
      </c>
      <c r="G83" s="100">
        <v>4800</v>
      </c>
      <c r="H83" s="101">
        <v>36</v>
      </c>
      <c r="I83" s="99" t="s">
        <v>81</v>
      </c>
      <c r="J83" s="99" t="s">
        <v>36</v>
      </c>
      <c r="K83" s="99">
        <v>0.06</v>
      </c>
      <c r="L83" s="99" t="s">
        <v>216</v>
      </c>
      <c r="M83" s="99" t="s">
        <v>103</v>
      </c>
      <c r="N83" s="565" t="s">
        <v>217</v>
      </c>
      <c r="O83" s="568"/>
      <c r="P83" s="98" t="s">
        <v>162</v>
      </c>
      <c r="Q83" s="730">
        <v>39.77534</v>
      </c>
      <c r="R83" s="645">
        <v>-86.360380000000006</v>
      </c>
      <c r="S83" s="98" t="s">
        <v>61</v>
      </c>
      <c r="T83" s="98" t="s">
        <v>1548</v>
      </c>
      <c r="U83" s="98" t="s">
        <v>50</v>
      </c>
      <c r="V83" s="97">
        <v>45117</v>
      </c>
      <c r="W83" s="103">
        <f>IF(AC83="Intr",0,G83*[1]Data!$B$53)</f>
        <v>720</v>
      </c>
      <c r="X83" s="103">
        <f>IF(AC83="Intr",0,G83*[1]Data!$B$54)</f>
        <v>3360</v>
      </c>
      <c r="Y83" s="103">
        <f>IF(AC83="Intr",G83,G83*[1]Data!$B$55)</f>
        <v>720</v>
      </c>
      <c r="Z83" s="103"/>
      <c r="AA83" s="103"/>
      <c r="AB83" s="103"/>
      <c r="AC83" s="98"/>
      <c r="AD83" s="98" t="s">
        <v>1549</v>
      </c>
      <c r="AE83" s="98"/>
      <c r="AF83" s="98"/>
      <c r="AG83" s="104"/>
      <c r="AH83" s="98" t="s">
        <v>1558</v>
      </c>
    </row>
    <row r="84" spans="1:34" x14ac:dyDescent="0.2">
      <c r="A84" s="152">
        <v>43606</v>
      </c>
      <c r="B84" s="153" t="s">
        <v>95</v>
      </c>
      <c r="C84" s="153">
        <v>2019</v>
      </c>
      <c r="D84" s="153" t="s">
        <v>1</v>
      </c>
      <c r="E84" s="154">
        <v>-2</v>
      </c>
      <c r="F84" s="154" t="s">
        <v>32</v>
      </c>
      <c r="G84" s="155">
        <v>190000</v>
      </c>
      <c r="H84" s="156">
        <v>31</v>
      </c>
      <c r="I84" s="154" t="s">
        <v>80</v>
      </c>
      <c r="J84" s="154" t="s">
        <v>36</v>
      </c>
      <c r="K84" s="154" t="s">
        <v>229</v>
      </c>
      <c r="L84" s="154" t="s">
        <v>224</v>
      </c>
      <c r="M84" s="154" t="s">
        <v>225</v>
      </c>
      <c r="N84" s="157" t="s">
        <v>228</v>
      </c>
      <c r="O84" s="153"/>
      <c r="P84" s="153" t="s">
        <v>227</v>
      </c>
      <c r="Q84" s="751" t="s">
        <v>226</v>
      </c>
      <c r="R84" s="656" t="s">
        <v>226</v>
      </c>
      <c r="S84" s="153" t="s">
        <v>63</v>
      </c>
      <c r="T84" s="153"/>
      <c r="U84" s="153" t="s">
        <v>51</v>
      </c>
      <c r="V84" s="152"/>
      <c r="W84" s="158">
        <f>IF(AC84="Intr",0,G84*Definitions!$B$53)</f>
        <v>28500</v>
      </c>
      <c r="X84" s="158">
        <f>IF(AC84="Intr",0,G84*Definitions!$B$54)</f>
        <v>133000</v>
      </c>
      <c r="Y84" s="158">
        <f>IF(AC84="Intr",G84,G84*Definitions!$B$55)</f>
        <v>28500</v>
      </c>
      <c r="Z84" s="158"/>
      <c r="AA84" s="158"/>
      <c r="AB84" s="158"/>
      <c r="AC84" s="153"/>
      <c r="AD84" s="153"/>
      <c r="AE84" s="153"/>
      <c r="AF84" s="153"/>
      <c r="AG84" s="159"/>
      <c r="AH84" s="153" t="s">
        <v>230</v>
      </c>
    </row>
    <row r="85" spans="1:34" x14ac:dyDescent="0.2">
      <c r="A85" s="97">
        <v>43606</v>
      </c>
      <c r="B85" s="98" t="s">
        <v>95</v>
      </c>
      <c r="C85" s="98">
        <v>2019</v>
      </c>
      <c r="D85" s="98" t="s">
        <v>7</v>
      </c>
      <c r="E85" s="99">
        <v>-0.47</v>
      </c>
      <c r="F85" s="99" t="s">
        <v>32</v>
      </c>
      <c r="G85" s="100">
        <v>37600</v>
      </c>
      <c r="H85" s="101">
        <v>38</v>
      </c>
      <c r="I85" s="99" t="s">
        <v>81</v>
      </c>
      <c r="J85" s="99" t="s">
        <v>36</v>
      </c>
      <c r="K85" s="99">
        <v>0.47</v>
      </c>
      <c r="L85" s="99" t="s">
        <v>221</v>
      </c>
      <c r="M85" s="99" t="s">
        <v>103</v>
      </c>
      <c r="N85" s="102" t="s">
        <v>222</v>
      </c>
      <c r="O85" s="98"/>
      <c r="P85" s="98" t="s">
        <v>223</v>
      </c>
      <c r="Q85" s="739">
        <v>40.220768</v>
      </c>
      <c r="R85" s="645">
        <v>-85.443589000000003</v>
      </c>
      <c r="S85" s="98" t="s">
        <v>61</v>
      </c>
      <c r="T85" s="98" t="s">
        <v>1548</v>
      </c>
      <c r="U85" s="98" t="s">
        <v>50</v>
      </c>
      <c r="V85" s="97">
        <v>45117</v>
      </c>
      <c r="W85" s="103">
        <f>IF(AC85="Intr",0,G85*[1]Data!$B$53)</f>
        <v>5640</v>
      </c>
      <c r="X85" s="103">
        <f>IF(AC85="Intr",0,G85*[1]Data!$B$54)</f>
        <v>26320</v>
      </c>
      <c r="Y85" s="103">
        <f>IF(AC85="Intr",G85,G85*[1]Data!$B$55)</f>
        <v>5640</v>
      </c>
      <c r="Z85" s="103"/>
      <c r="AA85" s="103"/>
      <c r="AB85" s="103"/>
      <c r="AC85" s="98"/>
      <c r="AD85" s="98" t="s">
        <v>1549</v>
      </c>
      <c r="AE85" s="98"/>
      <c r="AF85" s="98"/>
      <c r="AG85" s="104"/>
      <c r="AH85" s="98" t="s">
        <v>1556</v>
      </c>
    </row>
    <row r="86" spans="1:34" x14ac:dyDescent="0.2">
      <c r="A86" s="88">
        <v>43643</v>
      </c>
      <c r="B86" s="89" t="s">
        <v>232</v>
      </c>
      <c r="C86" s="89">
        <v>2019</v>
      </c>
      <c r="D86" s="89" t="s">
        <v>9</v>
      </c>
      <c r="E86" s="90">
        <v>-249</v>
      </c>
      <c r="F86" s="90" t="s">
        <v>33</v>
      </c>
      <c r="G86" s="91">
        <v>99600</v>
      </c>
      <c r="H86" s="92">
        <v>39</v>
      </c>
      <c r="I86" s="90" t="s">
        <v>80</v>
      </c>
      <c r="J86" s="90" t="s">
        <v>39</v>
      </c>
      <c r="K86" s="90">
        <v>249</v>
      </c>
      <c r="L86" s="90" t="s">
        <v>233</v>
      </c>
      <c r="M86" s="90" t="s">
        <v>234</v>
      </c>
      <c r="N86" s="93" t="s">
        <v>235</v>
      </c>
      <c r="O86" s="89"/>
      <c r="P86" s="89" t="s">
        <v>236</v>
      </c>
      <c r="Q86" s="735" t="s">
        <v>226</v>
      </c>
      <c r="R86" s="649" t="s">
        <v>226</v>
      </c>
      <c r="S86" s="89" t="s">
        <v>63</v>
      </c>
      <c r="T86" s="89"/>
      <c r="U86" s="89" t="s">
        <v>51</v>
      </c>
      <c r="V86" s="88"/>
      <c r="W86" s="95">
        <f>IF(AC86="Intr",0,G86*Definitions!$B$53)</f>
        <v>14940</v>
      </c>
      <c r="X86" s="95">
        <f>IF(AC86="Intr",0,G86*Definitions!$B$54)</f>
        <v>69720</v>
      </c>
      <c r="Y86" s="95">
        <f>IF(AC86="Intr",G86,G86*Definitions!$B$55)</f>
        <v>14940</v>
      </c>
      <c r="Z86" s="95"/>
      <c r="AA86" s="95"/>
      <c r="AB86" s="95"/>
      <c r="AC86" s="89"/>
      <c r="AD86" s="89"/>
      <c r="AE86" s="89"/>
      <c r="AF86" s="89"/>
      <c r="AG86" s="96"/>
      <c r="AH86" s="89" t="s">
        <v>237</v>
      </c>
    </row>
    <row r="87" spans="1:34" x14ac:dyDescent="0.2">
      <c r="A87" s="97">
        <v>43647</v>
      </c>
      <c r="B87" s="98" t="s">
        <v>238</v>
      </c>
      <c r="C87" s="98">
        <v>2019</v>
      </c>
      <c r="D87" s="98" t="s">
        <v>7</v>
      </c>
      <c r="E87" s="99">
        <v>-0.04</v>
      </c>
      <c r="F87" s="99" t="s">
        <v>32</v>
      </c>
      <c r="G87" s="100">
        <v>3200</v>
      </c>
      <c r="H87" s="101">
        <v>42</v>
      </c>
      <c r="I87" s="99" t="s">
        <v>81</v>
      </c>
      <c r="J87" s="99" t="s">
        <v>36</v>
      </c>
      <c r="K87" s="99">
        <v>0.04</v>
      </c>
      <c r="L87" s="99" t="s">
        <v>247</v>
      </c>
      <c r="M87" s="99" t="s">
        <v>103</v>
      </c>
      <c r="N87" s="102" t="s">
        <v>248</v>
      </c>
      <c r="O87" s="98"/>
      <c r="P87" s="98" t="s">
        <v>137</v>
      </c>
      <c r="Q87" s="730" t="s">
        <v>226</v>
      </c>
      <c r="R87" s="645" t="s">
        <v>226</v>
      </c>
      <c r="S87" s="98" t="s">
        <v>61</v>
      </c>
      <c r="T87" s="98" t="s">
        <v>1548</v>
      </c>
      <c r="U87" s="98" t="s">
        <v>50</v>
      </c>
      <c r="V87" s="97">
        <v>45117</v>
      </c>
      <c r="W87" s="103">
        <f>IF(AC87="Intr",0,G87*[1]Data!$B$53)</f>
        <v>480</v>
      </c>
      <c r="X87" s="103">
        <f>IF(AC87="Intr",0,G87*[1]Data!$B$54)</f>
        <v>2240</v>
      </c>
      <c r="Y87" s="103">
        <f>IF(AC87="Intr",G87,G87*[1]Data!$B$55)</f>
        <v>480</v>
      </c>
      <c r="Z87" s="103"/>
      <c r="AA87" s="103"/>
      <c r="AB87" s="103"/>
      <c r="AC87" s="98"/>
      <c r="AD87" s="107" t="s">
        <v>1549</v>
      </c>
      <c r="AE87" s="98"/>
      <c r="AF87" s="98"/>
      <c r="AG87" s="104"/>
      <c r="AH87" s="98" t="s">
        <v>1556</v>
      </c>
    </row>
    <row r="88" spans="1:34" ht="13.5" thickBot="1" x14ac:dyDescent="0.25">
      <c r="A88" s="495">
        <v>43647</v>
      </c>
      <c r="B88" s="496" t="s">
        <v>238</v>
      </c>
      <c r="C88" s="496">
        <v>2019</v>
      </c>
      <c r="D88" s="496" t="s">
        <v>8</v>
      </c>
      <c r="E88" s="497">
        <v>-3.04</v>
      </c>
      <c r="F88" s="497" t="s">
        <v>32</v>
      </c>
      <c r="G88" s="498">
        <v>243200</v>
      </c>
      <c r="H88" s="499">
        <v>40</v>
      </c>
      <c r="I88" s="497" t="s">
        <v>80</v>
      </c>
      <c r="J88" s="497" t="s">
        <v>38</v>
      </c>
      <c r="K88" s="497">
        <v>0.76</v>
      </c>
      <c r="L88" s="497" t="s">
        <v>239</v>
      </c>
      <c r="M88" s="562" t="s">
        <v>240</v>
      </c>
      <c r="N88" s="500" t="s">
        <v>241</v>
      </c>
      <c r="O88" s="496"/>
      <c r="P88" s="496" t="s">
        <v>121</v>
      </c>
      <c r="Q88" s="752">
        <v>39.825400000000002</v>
      </c>
      <c r="R88" s="846">
        <v>-85.781899999999993</v>
      </c>
      <c r="S88" s="496" t="s">
        <v>61</v>
      </c>
      <c r="T88" s="496"/>
      <c r="U88" s="496" t="s">
        <v>51</v>
      </c>
      <c r="V88" s="495"/>
      <c r="W88" s="501">
        <f>IF(AC88="Intr",0,G88*Definitions!$B$53)</f>
        <v>36480</v>
      </c>
      <c r="X88" s="501">
        <f>IF(AC88="Intr",0,G88*Definitions!$B$54)</f>
        <v>170240</v>
      </c>
      <c r="Y88" s="501">
        <f>IF(AC88="Intr",G88,G88*Definitions!$B$55)</f>
        <v>36480</v>
      </c>
      <c r="Z88" s="501"/>
      <c r="AA88" s="501"/>
      <c r="AB88" s="501"/>
      <c r="AC88" s="496"/>
      <c r="AD88" s="502"/>
      <c r="AE88" s="496"/>
      <c r="AF88" s="496"/>
      <c r="AG88" s="503"/>
      <c r="AH88" s="496" t="s">
        <v>242</v>
      </c>
    </row>
    <row r="89" spans="1:34" x14ac:dyDescent="0.2">
      <c r="A89" s="160">
        <v>43699</v>
      </c>
      <c r="B89" s="161" t="s">
        <v>249</v>
      </c>
      <c r="C89" s="295">
        <v>2019</v>
      </c>
      <c r="D89" s="161" t="s">
        <v>2</v>
      </c>
      <c r="E89" s="162">
        <v>-75</v>
      </c>
      <c r="F89" s="162" t="s">
        <v>33</v>
      </c>
      <c r="G89" s="163">
        <v>37500</v>
      </c>
      <c r="H89" s="164">
        <v>51</v>
      </c>
      <c r="I89" s="162" t="s">
        <v>80</v>
      </c>
      <c r="J89" s="162" t="s">
        <v>39</v>
      </c>
      <c r="K89" s="162">
        <v>75</v>
      </c>
      <c r="L89" s="162" t="s">
        <v>258</v>
      </c>
      <c r="M89" s="162" t="s">
        <v>256</v>
      </c>
      <c r="N89" s="165" t="s">
        <v>257</v>
      </c>
      <c r="O89" s="161"/>
      <c r="P89" s="161" t="s">
        <v>259</v>
      </c>
      <c r="Q89" s="741">
        <v>41.145899999999997</v>
      </c>
      <c r="R89" s="654">
        <v>-87.257599999999996</v>
      </c>
      <c r="S89" s="161" t="s">
        <v>61</v>
      </c>
      <c r="T89" s="161"/>
      <c r="U89" s="161" t="s">
        <v>51</v>
      </c>
      <c r="V89" s="160"/>
      <c r="W89" s="166">
        <f>IF(AC89="Intr",0,G89*Definitions!$B$53)</f>
        <v>5625</v>
      </c>
      <c r="X89" s="166">
        <f>IF(AC89="Intr",0,G89*Definitions!$B$54)</f>
        <v>26250</v>
      </c>
      <c r="Y89" s="166">
        <f>IF(AC89="Intr",G89,G89*Definitions!$B$55)</f>
        <v>5625</v>
      </c>
      <c r="Z89" s="166"/>
      <c r="AA89" s="166"/>
      <c r="AB89" s="166"/>
      <c r="AC89" s="161"/>
      <c r="AD89" s="161"/>
      <c r="AE89" s="161"/>
      <c r="AF89" s="161"/>
      <c r="AG89" s="167"/>
      <c r="AH89" s="161" t="s">
        <v>263</v>
      </c>
    </row>
    <row r="90" spans="1:34" x14ac:dyDescent="0.2">
      <c r="A90" s="41">
        <v>43699</v>
      </c>
      <c r="B90" s="42" t="s">
        <v>249</v>
      </c>
      <c r="C90" s="42">
        <v>2019</v>
      </c>
      <c r="D90" s="42" t="s">
        <v>5</v>
      </c>
      <c r="E90" s="320">
        <v>-0.14099999999999999</v>
      </c>
      <c r="F90" s="320" t="s">
        <v>32</v>
      </c>
      <c r="G90" s="343">
        <v>11280</v>
      </c>
      <c r="H90" s="344">
        <v>45</v>
      </c>
      <c r="I90" s="320" t="s">
        <v>80</v>
      </c>
      <c r="J90" s="320" t="s">
        <v>37</v>
      </c>
      <c r="K90" s="320">
        <v>4.7E-2</v>
      </c>
      <c r="L90" s="320" t="s">
        <v>252</v>
      </c>
      <c r="M90" s="320" t="s">
        <v>253</v>
      </c>
      <c r="N90" s="73" t="s">
        <v>254</v>
      </c>
      <c r="O90" s="42"/>
      <c r="P90" s="42" t="s">
        <v>255</v>
      </c>
      <c r="Q90" s="753">
        <v>40.9495</v>
      </c>
      <c r="R90" s="593">
        <v>-85.309299999999993</v>
      </c>
      <c r="S90" s="42" t="s">
        <v>61</v>
      </c>
      <c r="T90" s="42"/>
      <c r="U90" s="42" t="s">
        <v>51</v>
      </c>
      <c r="V90" s="41"/>
      <c r="W90" s="43">
        <f>IF(AC90="Intr",0,G90*Definitions!$B$53)</f>
        <v>1692</v>
      </c>
      <c r="X90" s="43">
        <f>IF(AC90="Intr",0,G90*Definitions!$B$54)</f>
        <v>7895.9999999999991</v>
      </c>
      <c r="Y90" s="43">
        <f>IF(AC90="Intr",G90,G90*Definitions!$B$55)</f>
        <v>1692</v>
      </c>
      <c r="Z90" s="43"/>
      <c r="AA90" s="43"/>
      <c r="AB90" s="43"/>
      <c r="AC90" s="42"/>
      <c r="AD90" s="42"/>
      <c r="AE90" s="42"/>
      <c r="AF90" s="42"/>
      <c r="AG90" s="44"/>
      <c r="AH90" s="42"/>
    </row>
    <row r="91" spans="1:34" x14ac:dyDescent="0.2">
      <c r="A91" s="97">
        <v>43699</v>
      </c>
      <c r="B91" s="98" t="s">
        <v>249</v>
      </c>
      <c r="C91" s="108">
        <v>2019</v>
      </c>
      <c r="D91" s="98" t="s">
        <v>7</v>
      </c>
      <c r="E91" s="99">
        <v>-0.01</v>
      </c>
      <c r="F91" s="99" t="s">
        <v>32</v>
      </c>
      <c r="G91" s="100">
        <v>800</v>
      </c>
      <c r="H91" s="101">
        <v>49</v>
      </c>
      <c r="I91" s="99" t="s">
        <v>81</v>
      </c>
      <c r="J91" s="99" t="s">
        <v>38</v>
      </c>
      <c r="K91" s="99">
        <v>3.0000000000000001E-3</v>
      </c>
      <c r="L91" s="99" t="s">
        <v>250</v>
      </c>
      <c r="M91" s="99" t="s">
        <v>103</v>
      </c>
      <c r="N91" s="102" t="s">
        <v>251</v>
      </c>
      <c r="O91" s="98"/>
      <c r="P91" s="98" t="s">
        <v>137</v>
      </c>
      <c r="Q91" s="739">
        <v>40.056927000000002</v>
      </c>
      <c r="R91" s="652">
        <v>-86.101277999999994</v>
      </c>
      <c r="S91" s="98" t="s">
        <v>61</v>
      </c>
      <c r="T91" s="98" t="s">
        <v>1548</v>
      </c>
      <c r="U91" s="98" t="s">
        <v>50</v>
      </c>
      <c r="V91" s="97">
        <v>45117</v>
      </c>
      <c r="W91" s="103">
        <f>IF(AC91="Intr",0,G91*[1]Data!$B$53)</f>
        <v>120</v>
      </c>
      <c r="X91" s="103">
        <f>IF(AC91="Intr",0,G91*[1]Data!$B$54)</f>
        <v>560</v>
      </c>
      <c r="Y91" s="103">
        <f>IF(AC91="Intr",G91,G91*[1]Data!$B$55)</f>
        <v>120</v>
      </c>
      <c r="Z91" s="103"/>
      <c r="AA91" s="103"/>
      <c r="AB91" s="103"/>
      <c r="AC91" s="98"/>
      <c r="AD91" s="109" t="s">
        <v>1549</v>
      </c>
      <c r="AE91" s="98"/>
      <c r="AF91" s="98"/>
      <c r="AG91" s="104"/>
      <c r="AH91" s="98" t="s">
        <v>1559</v>
      </c>
    </row>
    <row r="92" spans="1:34" x14ac:dyDescent="0.2">
      <c r="A92" s="97">
        <v>43699</v>
      </c>
      <c r="B92" s="98" t="s">
        <v>249</v>
      </c>
      <c r="C92" s="98">
        <v>2019</v>
      </c>
      <c r="D92" s="98" t="s">
        <v>7</v>
      </c>
      <c r="E92" s="99">
        <v>-0.88</v>
      </c>
      <c r="F92" s="99" t="s">
        <v>32</v>
      </c>
      <c r="G92" s="100">
        <v>70400</v>
      </c>
      <c r="H92" s="101">
        <v>50</v>
      </c>
      <c r="I92" s="99" t="s">
        <v>80</v>
      </c>
      <c r="J92" s="99" t="s">
        <v>38</v>
      </c>
      <c r="K92" s="99">
        <v>0.22</v>
      </c>
      <c r="L92" s="99" t="s">
        <v>260</v>
      </c>
      <c r="M92" s="99" t="s">
        <v>261</v>
      </c>
      <c r="N92" s="102" t="s">
        <v>262</v>
      </c>
      <c r="O92" s="98"/>
      <c r="P92" s="98" t="s">
        <v>137</v>
      </c>
      <c r="Q92" s="730">
        <v>40.068300000000001</v>
      </c>
      <c r="R92" s="645">
        <v>-86.104799999999997</v>
      </c>
      <c r="S92" s="98" t="s">
        <v>61</v>
      </c>
      <c r="T92" s="98" t="s">
        <v>1548</v>
      </c>
      <c r="U92" s="98" t="s">
        <v>50</v>
      </c>
      <c r="V92" s="97">
        <v>45117</v>
      </c>
      <c r="W92" s="103">
        <f>IF(AC92="Intr",0,G92*[1]Data!$B$53)</f>
        <v>10560</v>
      </c>
      <c r="X92" s="103">
        <f>IF(AC92="Intr",0,G92*[1]Data!$B$54)</f>
        <v>49280</v>
      </c>
      <c r="Y92" s="103">
        <f>IF(AC92="Intr",G92,G92*[1]Data!$B$55)</f>
        <v>10560</v>
      </c>
      <c r="Z92" s="103"/>
      <c r="AA92" s="103"/>
      <c r="AB92" s="103"/>
      <c r="AC92" s="98"/>
      <c r="AD92" s="98" t="s">
        <v>1549</v>
      </c>
      <c r="AE92" s="98"/>
      <c r="AF92" s="98"/>
      <c r="AG92" s="104"/>
      <c r="AH92" s="98" t="s">
        <v>1550</v>
      </c>
    </row>
    <row r="93" spans="1:34" ht="13.5" thickBot="1" x14ac:dyDescent="0.25">
      <c r="A93" s="58">
        <v>43712</v>
      </c>
      <c r="B93" s="59" t="s">
        <v>96</v>
      </c>
      <c r="C93" s="59">
        <v>2019</v>
      </c>
      <c r="D93" s="59" t="s">
        <v>10</v>
      </c>
      <c r="E93" s="60">
        <v>-50</v>
      </c>
      <c r="F93" s="60" t="s">
        <v>33</v>
      </c>
      <c r="G93" s="61">
        <v>20000</v>
      </c>
      <c r="H93" s="62">
        <v>46</v>
      </c>
      <c r="I93" s="60" t="s">
        <v>80</v>
      </c>
      <c r="J93" s="60" t="s">
        <v>40</v>
      </c>
      <c r="K93" s="60">
        <v>25</v>
      </c>
      <c r="L93" s="60" t="s">
        <v>264</v>
      </c>
      <c r="M93" s="60" t="s">
        <v>265</v>
      </c>
      <c r="N93" s="63" t="s">
        <v>266</v>
      </c>
      <c r="O93" s="59"/>
      <c r="P93" s="59" t="s">
        <v>84</v>
      </c>
      <c r="Q93" s="754">
        <v>38.326115000000001</v>
      </c>
      <c r="R93" s="847">
        <v>-85.740533999999997</v>
      </c>
      <c r="S93" s="59" t="s">
        <v>63</v>
      </c>
      <c r="T93" s="59"/>
      <c r="U93" s="59" t="s">
        <v>51</v>
      </c>
      <c r="V93" s="58"/>
      <c r="W93" s="65">
        <f>IF(AC93="Intr",0,G93*Definitions!$B$53)</f>
        <v>3000</v>
      </c>
      <c r="X93" s="65">
        <f>IF(AC93="Intr",0,G93*Definitions!$B$54)</f>
        <v>14000</v>
      </c>
      <c r="Y93" s="65">
        <f>IF(AC93="Intr",G93,G93*Definitions!$B$55)</f>
        <v>3000</v>
      </c>
      <c r="Z93" s="65"/>
      <c r="AA93" s="65"/>
      <c r="AB93" s="65"/>
      <c r="AC93" s="59"/>
      <c r="AD93" s="59"/>
      <c r="AE93" s="59"/>
      <c r="AF93" s="59"/>
      <c r="AG93" s="66"/>
      <c r="AH93" s="59"/>
    </row>
    <row r="94" spans="1:34" x14ac:dyDescent="0.2">
      <c r="A94" s="97">
        <v>43712</v>
      </c>
      <c r="B94" s="98" t="s">
        <v>96</v>
      </c>
      <c r="C94" s="98">
        <v>2019</v>
      </c>
      <c r="D94" s="98" t="s">
        <v>10</v>
      </c>
      <c r="E94" s="99">
        <v>-0.05</v>
      </c>
      <c r="F94" s="99" t="s">
        <v>32</v>
      </c>
      <c r="G94" s="100">
        <v>4000</v>
      </c>
      <c r="H94" s="101">
        <v>46</v>
      </c>
      <c r="I94" s="99" t="s">
        <v>80</v>
      </c>
      <c r="J94" s="99" t="s">
        <v>36</v>
      </c>
      <c r="K94" s="99">
        <v>2.5999999999999999E-2</v>
      </c>
      <c r="L94" s="99" t="s">
        <v>264</v>
      </c>
      <c r="M94" s="99" t="s">
        <v>265</v>
      </c>
      <c r="N94" s="102" t="s">
        <v>266</v>
      </c>
      <c r="O94" s="98"/>
      <c r="P94" s="98" t="s">
        <v>84</v>
      </c>
      <c r="Q94" s="730">
        <v>38.321562</v>
      </c>
      <c r="R94" s="845">
        <v>-85.748953999999998</v>
      </c>
      <c r="S94" s="98" t="s">
        <v>63</v>
      </c>
      <c r="T94" s="98" t="s">
        <v>1545</v>
      </c>
      <c r="U94" s="98" t="s">
        <v>50</v>
      </c>
      <c r="V94" s="97">
        <v>45313</v>
      </c>
      <c r="W94" s="103">
        <f>IF(AC94="Intr",0,G94*[1]Data!$B$53)</f>
        <v>600</v>
      </c>
      <c r="X94" s="103">
        <f>IF(AC94="Intr",0,G94*[1]Data!$B$54)</f>
        <v>2800</v>
      </c>
      <c r="Y94" s="103">
        <f>IF(AC94="Intr",G94,G94*[1]Data!$B$55)</f>
        <v>600</v>
      </c>
      <c r="Z94" s="103"/>
      <c r="AA94" s="103"/>
      <c r="AB94" s="103"/>
      <c r="AC94" s="98"/>
      <c r="AD94" s="98" t="s">
        <v>1546</v>
      </c>
      <c r="AE94" s="98"/>
      <c r="AF94" s="98"/>
      <c r="AG94" s="104"/>
      <c r="AH94" s="98" t="s">
        <v>1547</v>
      </c>
    </row>
    <row r="95" spans="1:34" x14ac:dyDescent="0.2">
      <c r="A95" s="97">
        <v>43712</v>
      </c>
      <c r="B95" s="98" t="s">
        <v>96</v>
      </c>
      <c r="C95" s="98">
        <v>2019</v>
      </c>
      <c r="D95" s="98" t="s">
        <v>10</v>
      </c>
      <c r="E95" s="99">
        <v>-0.44</v>
      </c>
      <c r="F95" s="99" t="s">
        <v>32</v>
      </c>
      <c r="G95" s="100">
        <v>35200</v>
      </c>
      <c r="H95" s="101">
        <v>46</v>
      </c>
      <c r="I95" s="99" t="s">
        <v>80</v>
      </c>
      <c r="J95" s="99" t="s">
        <v>38</v>
      </c>
      <c r="K95" s="99">
        <v>0.111</v>
      </c>
      <c r="L95" s="99" t="s">
        <v>264</v>
      </c>
      <c r="M95" s="99" t="s">
        <v>265</v>
      </c>
      <c r="N95" s="119" t="s">
        <v>266</v>
      </c>
      <c r="O95" s="570"/>
      <c r="P95" s="98" t="s">
        <v>84</v>
      </c>
      <c r="Q95" s="730">
        <v>38.321562</v>
      </c>
      <c r="R95" s="645">
        <v>-85.748953999999998</v>
      </c>
      <c r="S95" s="98" t="s">
        <v>63</v>
      </c>
      <c r="T95" s="98" t="s">
        <v>1545</v>
      </c>
      <c r="U95" s="98" t="s">
        <v>50</v>
      </c>
      <c r="V95" s="97">
        <v>45313</v>
      </c>
      <c r="W95" s="103">
        <f>IF(AC95="Intr",0,G95*[1]Data!$B$53)</f>
        <v>5280</v>
      </c>
      <c r="X95" s="103">
        <f>IF(AC95="Intr",0,G95*[1]Data!$B$54)</f>
        <v>24640</v>
      </c>
      <c r="Y95" s="103">
        <f>IF(AC95="Intr",G95,G95*[1]Data!$B$55)</f>
        <v>5280</v>
      </c>
      <c r="Z95" s="103"/>
      <c r="AA95" s="103"/>
      <c r="AB95" s="103"/>
      <c r="AC95" s="98"/>
      <c r="AD95" s="98" t="s">
        <v>1546</v>
      </c>
      <c r="AE95" s="98"/>
      <c r="AF95" s="98"/>
      <c r="AG95" s="104"/>
      <c r="AH95" s="98" t="s">
        <v>1547</v>
      </c>
    </row>
    <row r="96" spans="1:34" x14ac:dyDescent="0.2">
      <c r="A96" s="274">
        <v>43724</v>
      </c>
      <c r="B96" s="275" t="s">
        <v>96</v>
      </c>
      <c r="C96" s="275">
        <v>2019</v>
      </c>
      <c r="D96" s="275" t="s">
        <v>3</v>
      </c>
      <c r="E96" s="276">
        <v>-1.1850000000000001</v>
      </c>
      <c r="F96" s="276" t="s">
        <v>32</v>
      </c>
      <c r="G96" s="277">
        <v>142200</v>
      </c>
      <c r="H96" s="278">
        <v>52</v>
      </c>
      <c r="I96" s="276" t="s">
        <v>80</v>
      </c>
      <c r="J96" s="276" t="s">
        <v>38</v>
      </c>
      <c r="K96" s="276">
        <v>0.40100000000000002</v>
      </c>
      <c r="L96" s="276" t="s">
        <v>267</v>
      </c>
      <c r="M96" s="276" t="s">
        <v>268</v>
      </c>
      <c r="N96" s="279" t="s">
        <v>269</v>
      </c>
      <c r="O96" s="275"/>
      <c r="P96" s="275" t="s">
        <v>270</v>
      </c>
      <c r="Q96" s="755">
        <v>41.538167000000001</v>
      </c>
      <c r="R96" s="848">
        <v>-85.780034999999998</v>
      </c>
      <c r="S96" s="275" t="s">
        <v>63</v>
      </c>
      <c r="T96" s="275"/>
      <c r="U96" s="275" t="s">
        <v>51</v>
      </c>
      <c r="V96" s="274"/>
      <c r="W96" s="280">
        <f>IF(AC96="Intr",0,G96*Definitions!$B$53)</f>
        <v>21330</v>
      </c>
      <c r="X96" s="280">
        <f>IF(AC96="Intr",0,G96*Definitions!$B$54)</f>
        <v>99540</v>
      </c>
      <c r="Y96" s="280">
        <f>IF(AC96="Intr",G96,G96*Definitions!$B$55)</f>
        <v>21330</v>
      </c>
      <c r="Z96" s="280"/>
      <c r="AA96" s="280"/>
      <c r="AB96" s="280"/>
      <c r="AC96" s="275"/>
      <c r="AD96" s="275"/>
      <c r="AE96" s="275"/>
      <c r="AF96" s="275"/>
      <c r="AG96" s="281"/>
      <c r="AH96" s="275" t="s">
        <v>271</v>
      </c>
    </row>
    <row r="97" spans="1:34" x14ac:dyDescent="0.2">
      <c r="A97" s="323">
        <v>43726</v>
      </c>
      <c r="B97" s="324" t="s">
        <v>96</v>
      </c>
      <c r="C97" s="324">
        <v>2019</v>
      </c>
      <c r="D97" s="324" t="s">
        <v>6</v>
      </c>
      <c r="E97" s="325">
        <v>-0.74</v>
      </c>
      <c r="F97" s="325" t="s">
        <v>32</v>
      </c>
      <c r="G97" s="326">
        <v>59200</v>
      </c>
      <c r="H97" s="327">
        <v>43</v>
      </c>
      <c r="I97" s="325" t="s">
        <v>80</v>
      </c>
      <c r="J97" s="325" t="s">
        <v>36</v>
      </c>
      <c r="K97" s="325">
        <v>0.308</v>
      </c>
      <c r="L97" s="325" t="s">
        <v>726</v>
      </c>
      <c r="M97" s="325" t="s">
        <v>272</v>
      </c>
      <c r="N97" s="328" t="s">
        <v>273</v>
      </c>
      <c r="O97" s="324"/>
      <c r="P97" s="324" t="s">
        <v>274</v>
      </c>
      <c r="Q97" s="756">
        <v>40.4514</v>
      </c>
      <c r="R97" s="658">
        <v>-86.893600000000006</v>
      </c>
      <c r="S97" s="324" t="s">
        <v>63</v>
      </c>
      <c r="T97" s="324"/>
      <c r="U97" s="324" t="s">
        <v>51</v>
      </c>
      <c r="V97" s="323"/>
      <c r="W97" s="329">
        <f>IF(AC97="Intr",0,G97*Definitions!$B$53)</f>
        <v>8880</v>
      </c>
      <c r="X97" s="329">
        <f>IF(AC97="Intr",0,G97*Definitions!$B$54)</f>
        <v>41440</v>
      </c>
      <c r="Y97" s="329">
        <f>IF(AC97="Intr",G97,G97*Definitions!$B$55)</f>
        <v>8880</v>
      </c>
      <c r="Z97" s="329"/>
      <c r="AA97" s="329"/>
      <c r="AB97" s="329"/>
      <c r="AC97" s="324"/>
      <c r="AD97" s="324"/>
      <c r="AE97" s="324"/>
      <c r="AF97" s="324"/>
      <c r="AG97" s="330"/>
      <c r="AH97" s="324" t="s">
        <v>275</v>
      </c>
    </row>
    <row r="98" spans="1:34" x14ac:dyDescent="0.2">
      <c r="A98" s="323">
        <v>43726</v>
      </c>
      <c r="B98" s="324" t="s">
        <v>96</v>
      </c>
      <c r="C98" s="324">
        <v>2019</v>
      </c>
      <c r="D98" s="324" t="s">
        <v>6</v>
      </c>
      <c r="E98" s="325">
        <v>-0.62</v>
      </c>
      <c r="F98" s="325" t="s">
        <v>32</v>
      </c>
      <c r="G98" s="326">
        <v>49600</v>
      </c>
      <c r="H98" s="327">
        <v>43</v>
      </c>
      <c r="I98" s="325" t="s">
        <v>80</v>
      </c>
      <c r="J98" s="325" t="s">
        <v>38</v>
      </c>
      <c r="K98" s="325">
        <v>0.17299999999999999</v>
      </c>
      <c r="L98" s="325" t="s">
        <v>726</v>
      </c>
      <c r="M98" s="325" t="s">
        <v>272</v>
      </c>
      <c r="N98" s="328" t="s">
        <v>273</v>
      </c>
      <c r="O98" s="324"/>
      <c r="P98" s="324" t="s">
        <v>274</v>
      </c>
      <c r="Q98" s="756">
        <v>40.4514</v>
      </c>
      <c r="R98" s="658">
        <v>-86.893600000000006</v>
      </c>
      <c r="S98" s="324" t="s">
        <v>63</v>
      </c>
      <c r="T98" s="324"/>
      <c r="U98" s="324" t="s">
        <v>51</v>
      </c>
      <c r="V98" s="323"/>
      <c r="W98" s="329">
        <f>IF(AC98="Intr",0,G98*Definitions!$B$53)</f>
        <v>7440</v>
      </c>
      <c r="X98" s="329">
        <f>IF(AC98="Intr",0,G98*Definitions!$B$54)</f>
        <v>34720</v>
      </c>
      <c r="Y98" s="329">
        <f>IF(AC98="Intr",G98,G98*Definitions!$B$55)</f>
        <v>7440</v>
      </c>
      <c r="Z98" s="329"/>
      <c r="AA98" s="329"/>
      <c r="AB98" s="329"/>
      <c r="AC98" s="324"/>
      <c r="AD98" s="324"/>
      <c r="AE98" s="324"/>
      <c r="AF98" s="324"/>
      <c r="AG98" s="330"/>
      <c r="AH98" s="324" t="s">
        <v>275</v>
      </c>
    </row>
    <row r="99" spans="1:34" x14ac:dyDescent="0.2">
      <c r="A99" s="307">
        <v>43726</v>
      </c>
      <c r="B99" s="308" t="s">
        <v>96</v>
      </c>
      <c r="C99" s="308">
        <v>2019</v>
      </c>
      <c r="D99" s="308" t="s">
        <v>11</v>
      </c>
      <c r="E99" s="309">
        <v>-0.02</v>
      </c>
      <c r="F99" s="309" t="s">
        <v>32</v>
      </c>
      <c r="G99" s="310">
        <v>1600</v>
      </c>
      <c r="H99" s="311">
        <v>47</v>
      </c>
      <c r="I99" s="309" t="s">
        <v>80</v>
      </c>
      <c r="J99" s="309" t="s">
        <v>36</v>
      </c>
      <c r="K99" s="309">
        <v>0.01</v>
      </c>
      <c r="L99" s="309" t="s">
        <v>726</v>
      </c>
      <c r="M99" s="309" t="s">
        <v>277</v>
      </c>
      <c r="N99" s="312" t="s">
        <v>278</v>
      </c>
      <c r="O99" s="308"/>
      <c r="P99" s="308" t="s">
        <v>279</v>
      </c>
      <c r="Q99" s="737">
        <v>38.207332000000001</v>
      </c>
      <c r="R99" s="651">
        <v>-86.780664000000002</v>
      </c>
      <c r="S99" s="308" t="s">
        <v>63</v>
      </c>
      <c r="T99" s="308"/>
      <c r="U99" s="308" t="s">
        <v>51</v>
      </c>
      <c r="V99" s="307"/>
      <c r="W99" s="313">
        <f>IF(AC99="Intr",0,G99*Definitions!$B$53)</f>
        <v>240</v>
      </c>
      <c r="X99" s="313">
        <f>IF(AC99="Intr",0,G99*Definitions!$B$54)</f>
        <v>1120</v>
      </c>
      <c r="Y99" s="313">
        <f>IF(AC99="Intr",G99,G99*Definitions!$B$55)</f>
        <v>240</v>
      </c>
      <c r="Z99" s="313"/>
      <c r="AA99" s="313"/>
      <c r="AB99" s="313"/>
      <c r="AC99" s="308"/>
      <c r="AD99" s="308"/>
      <c r="AE99" s="308"/>
      <c r="AF99" s="308"/>
      <c r="AG99" s="314"/>
      <c r="AH99" s="308" t="s">
        <v>276</v>
      </c>
    </row>
    <row r="100" spans="1:34" x14ac:dyDescent="0.2">
      <c r="A100" s="97">
        <v>43734</v>
      </c>
      <c r="B100" s="98" t="s">
        <v>96</v>
      </c>
      <c r="C100" s="98">
        <v>2019</v>
      </c>
      <c r="D100" s="98" t="s">
        <v>7</v>
      </c>
      <c r="E100" s="99">
        <v>-0.15</v>
      </c>
      <c r="F100" s="99" t="s">
        <v>32</v>
      </c>
      <c r="G100" s="100">
        <v>12000</v>
      </c>
      <c r="H100" s="101">
        <v>55</v>
      </c>
      <c r="I100" s="99" t="s">
        <v>81</v>
      </c>
      <c r="J100" s="99" t="s">
        <v>36</v>
      </c>
      <c r="K100" s="99">
        <v>0.15</v>
      </c>
      <c r="L100" s="99" t="s">
        <v>280</v>
      </c>
      <c r="M100" s="99" t="s">
        <v>103</v>
      </c>
      <c r="N100" s="102" t="s">
        <v>281</v>
      </c>
      <c r="O100" s="98"/>
      <c r="P100" s="98" t="s">
        <v>162</v>
      </c>
      <c r="Q100" s="730">
        <v>39.669618</v>
      </c>
      <c r="R100" s="645">
        <v>-86.420428000000001</v>
      </c>
      <c r="S100" s="98" t="s">
        <v>61</v>
      </c>
      <c r="T100" s="98" t="s">
        <v>1548</v>
      </c>
      <c r="U100" s="98" t="s">
        <v>50</v>
      </c>
      <c r="V100" s="97">
        <v>45117</v>
      </c>
      <c r="W100" s="103">
        <f>IF(AC100="Intr",0,G100*[1]Data!$B$53)</f>
        <v>1800</v>
      </c>
      <c r="X100" s="103">
        <f>IF(AC100="Intr",0,G100*[1]Data!$B$54)</f>
        <v>8400</v>
      </c>
      <c r="Y100" s="103">
        <f>IF(AC100="Intr",G100,G100*[1]Data!$B$55)</f>
        <v>1800</v>
      </c>
      <c r="Z100" s="103"/>
      <c r="AA100" s="103"/>
      <c r="AB100" s="103"/>
      <c r="AC100" s="98"/>
      <c r="AD100" s="98" t="s">
        <v>1549</v>
      </c>
      <c r="AE100" s="98"/>
      <c r="AF100" s="98"/>
      <c r="AG100" s="104"/>
      <c r="AH100" s="98" t="s">
        <v>1556</v>
      </c>
    </row>
    <row r="101" spans="1:34" s="110" customFormat="1" x14ac:dyDescent="0.2">
      <c r="A101" s="97">
        <v>43734</v>
      </c>
      <c r="B101" s="98" t="s">
        <v>96</v>
      </c>
      <c r="C101" s="98">
        <v>2019</v>
      </c>
      <c r="D101" s="98" t="s">
        <v>7</v>
      </c>
      <c r="E101" s="99">
        <v>-1.58</v>
      </c>
      <c r="F101" s="99" t="s">
        <v>32</v>
      </c>
      <c r="G101" s="100">
        <v>126400</v>
      </c>
      <c r="H101" s="101">
        <v>37</v>
      </c>
      <c r="I101" s="99" t="s">
        <v>80</v>
      </c>
      <c r="J101" s="99" t="s">
        <v>36</v>
      </c>
      <c r="K101" s="99">
        <v>0.79</v>
      </c>
      <c r="L101" s="99" t="s">
        <v>726</v>
      </c>
      <c r="M101" s="99" t="s">
        <v>282</v>
      </c>
      <c r="N101" s="102" t="s">
        <v>283</v>
      </c>
      <c r="O101" s="98"/>
      <c r="P101" s="98" t="s">
        <v>162</v>
      </c>
      <c r="Q101" s="730">
        <v>39.613258000000002</v>
      </c>
      <c r="R101" s="645">
        <v>-86.480226000000002</v>
      </c>
      <c r="S101" s="98" t="s">
        <v>63</v>
      </c>
      <c r="T101" s="98" t="s">
        <v>1560</v>
      </c>
      <c r="U101" s="98" t="s">
        <v>50</v>
      </c>
      <c r="V101" s="97">
        <v>45265</v>
      </c>
      <c r="W101" s="103">
        <f>IF(AC101="Intr",0,G101*[1]Data!$B$53)</f>
        <v>18960</v>
      </c>
      <c r="X101" s="103">
        <f>IF(AC101="Intr",0,G101*[1]Data!$B$54)</f>
        <v>88480</v>
      </c>
      <c r="Y101" s="103">
        <f>IF(AC101="Intr",G101,G101*[1]Data!$B$55)</f>
        <v>18960</v>
      </c>
      <c r="Z101" s="103"/>
      <c r="AA101" s="103"/>
      <c r="AB101" s="103"/>
      <c r="AC101" s="98"/>
      <c r="AD101" s="98" t="s">
        <v>1561</v>
      </c>
      <c r="AE101" s="98"/>
      <c r="AF101" s="98"/>
      <c r="AG101" s="104"/>
      <c r="AH101" s="98" t="s">
        <v>1562</v>
      </c>
    </row>
    <row r="102" spans="1:34" s="110" customFormat="1" x14ac:dyDescent="0.2">
      <c r="A102" s="97">
        <v>43740</v>
      </c>
      <c r="B102" s="98" t="s">
        <v>98</v>
      </c>
      <c r="C102" s="98">
        <v>2019</v>
      </c>
      <c r="D102" s="98" t="s">
        <v>7</v>
      </c>
      <c r="E102" s="99">
        <v>-0.29399999999999998</v>
      </c>
      <c r="F102" s="99" t="s">
        <v>32</v>
      </c>
      <c r="G102" s="100">
        <v>23520</v>
      </c>
      <c r="H102" s="101">
        <v>53</v>
      </c>
      <c r="I102" s="99" t="s">
        <v>81</v>
      </c>
      <c r="J102" s="99" t="s">
        <v>36</v>
      </c>
      <c r="K102" s="99">
        <v>0.14699999999999999</v>
      </c>
      <c r="L102" s="99" t="s">
        <v>284</v>
      </c>
      <c r="M102" s="99" t="s">
        <v>103</v>
      </c>
      <c r="N102" s="102" t="s">
        <v>285</v>
      </c>
      <c r="O102" s="98"/>
      <c r="P102" s="98" t="s">
        <v>286</v>
      </c>
      <c r="Q102" s="730">
        <v>40.101590000000002</v>
      </c>
      <c r="R102" s="645">
        <v>-85.975290000000001</v>
      </c>
      <c r="S102" s="98" t="s">
        <v>62</v>
      </c>
      <c r="T102" s="98" t="s">
        <v>1563</v>
      </c>
      <c r="U102" s="98" t="s">
        <v>50</v>
      </c>
      <c r="V102" s="97">
        <v>45265</v>
      </c>
      <c r="W102" s="103">
        <f>IF(AC102="Intr",0,G102*[1]Data!$B$53)</f>
        <v>3528</v>
      </c>
      <c r="X102" s="103">
        <f>IF(AC102="Intr",0,G102*[1]Data!$B$54)</f>
        <v>16464</v>
      </c>
      <c r="Y102" s="103">
        <f>IF(AC102="Intr",G102,G102*[1]Data!$B$55)</f>
        <v>3528</v>
      </c>
      <c r="Z102" s="103"/>
      <c r="AA102" s="103"/>
      <c r="AB102" s="103"/>
      <c r="AC102" s="98"/>
      <c r="AD102" s="98" t="s">
        <v>1564</v>
      </c>
      <c r="AE102" s="98"/>
      <c r="AF102" s="98"/>
      <c r="AG102" s="104"/>
      <c r="AH102" s="98" t="s">
        <v>1565</v>
      </c>
    </row>
    <row r="103" spans="1:34" x14ac:dyDescent="0.2">
      <c r="A103" s="97">
        <v>43740</v>
      </c>
      <c r="B103" s="98" t="s">
        <v>98</v>
      </c>
      <c r="C103" s="98">
        <v>2019</v>
      </c>
      <c r="D103" s="98" t="s">
        <v>7</v>
      </c>
      <c r="E103" s="99">
        <v>-0.85</v>
      </c>
      <c r="F103" s="99" t="s">
        <v>32</v>
      </c>
      <c r="G103" s="100">
        <v>68000</v>
      </c>
      <c r="H103" s="101">
        <v>53</v>
      </c>
      <c r="I103" s="99" t="s">
        <v>81</v>
      </c>
      <c r="J103" s="99" t="s">
        <v>38</v>
      </c>
      <c r="K103" s="99">
        <v>0.34</v>
      </c>
      <c r="L103" s="99" t="s">
        <v>284</v>
      </c>
      <c r="M103" s="99" t="s">
        <v>103</v>
      </c>
      <c r="N103" s="102" t="s">
        <v>285</v>
      </c>
      <c r="O103" s="98"/>
      <c r="P103" s="98" t="s">
        <v>286</v>
      </c>
      <c r="Q103" s="730">
        <v>40.101590000000002</v>
      </c>
      <c r="R103" s="645">
        <v>-85.975290000000001</v>
      </c>
      <c r="S103" s="98" t="s">
        <v>62</v>
      </c>
      <c r="T103" s="98" t="s">
        <v>1563</v>
      </c>
      <c r="U103" s="98" t="s">
        <v>50</v>
      </c>
      <c r="V103" s="97">
        <v>45265</v>
      </c>
      <c r="W103" s="103">
        <f>IF(AC103="Intr",0,G103*[1]Data!$B$53)</f>
        <v>10200</v>
      </c>
      <c r="X103" s="103">
        <f>IF(AC103="Intr",0,G103*[1]Data!$B$54)</f>
        <v>47600</v>
      </c>
      <c r="Y103" s="103">
        <f>IF(AC103="Intr",G103,G103*[1]Data!$B$55)</f>
        <v>10200</v>
      </c>
      <c r="Z103" s="103"/>
      <c r="AA103" s="103"/>
      <c r="AB103" s="103"/>
      <c r="AC103" s="98"/>
      <c r="AD103" s="98" t="s">
        <v>1564</v>
      </c>
      <c r="AE103" s="98"/>
      <c r="AF103" s="98"/>
      <c r="AG103" s="104"/>
      <c r="AH103" s="98" t="s">
        <v>1566</v>
      </c>
    </row>
    <row r="104" spans="1:34" x14ac:dyDescent="0.2">
      <c r="A104" s="160">
        <v>43753</v>
      </c>
      <c r="B104" s="161" t="s">
        <v>98</v>
      </c>
      <c r="C104" s="161">
        <v>2019</v>
      </c>
      <c r="D104" s="161" t="s">
        <v>1</v>
      </c>
      <c r="E104" s="162">
        <v>-2.4E-2</v>
      </c>
      <c r="F104" s="162" t="s">
        <v>32</v>
      </c>
      <c r="G104" s="163">
        <v>2280</v>
      </c>
      <c r="H104" s="164">
        <v>44</v>
      </c>
      <c r="I104" s="162" t="s">
        <v>80</v>
      </c>
      <c r="J104" s="162" t="s">
        <v>36</v>
      </c>
      <c r="K104" s="162">
        <v>1.2E-2</v>
      </c>
      <c r="L104" s="162" t="s">
        <v>927</v>
      </c>
      <c r="M104" s="162" t="s">
        <v>287</v>
      </c>
      <c r="N104" s="165" t="s">
        <v>288</v>
      </c>
      <c r="O104" s="161"/>
      <c r="P104" s="161" t="s">
        <v>166</v>
      </c>
      <c r="Q104" s="741">
        <v>41.721879000000001</v>
      </c>
      <c r="R104" s="654">
        <v>-86.756603999999996</v>
      </c>
      <c r="S104" s="161" t="s">
        <v>62</v>
      </c>
      <c r="T104" s="161"/>
      <c r="U104" s="161" t="s">
        <v>51</v>
      </c>
      <c r="V104" s="160"/>
      <c r="W104" s="166">
        <f>IF(AC104="Intr",0,G104*Definitions!$B$53)</f>
        <v>342</v>
      </c>
      <c r="X104" s="166">
        <f>IF(AC104="Intr",0,G104*Definitions!$B$54)</f>
        <v>1596</v>
      </c>
      <c r="Y104" s="166">
        <f>IF(AC104="Intr",G104,G104*Definitions!$B$55)</f>
        <v>342</v>
      </c>
      <c r="Z104" s="166"/>
      <c r="AA104" s="166"/>
      <c r="AB104" s="166"/>
      <c r="AC104" s="161"/>
      <c r="AD104" s="161"/>
      <c r="AE104" s="161"/>
      <c r="AF104" s="161"/>
      <c r="AG104" s="167"/>
      <c r="AH104" s="161"/>
    </row>
    <row r="105" spans="1:34" x14ac:dyDescent="0.2">
      <c r="A105" s="160">
        <v>43753</v>
      </c>
      <c r="B105" s="161" t="s">
        <v>98</v>
      </c>
      <c r="C105" s="161">
        <v>2019</v>
      </c>
      <c r="D105" s="161" t="s">
        <v>1</v>
      </c>
      <c r="E105" s="162">
        <v>-3.0000000000000001E-3</v>
      </c>
      <c r="F105" s="162" t="s">
        <v>32</v>
      </c>
      <c r="G105" s="163">
        <v>285</v>
      </c>
      <c r="H105" s="164">
        <v>44</v>
      </c>
      <c r="I105" s="162" t="s">
        <v>80</v>
      </c>
      <c r="J105" s="162" t="s">
        <v>37</v>
      </c>
      <c r="K105" s="162">
        <v>1E-3</v>
      </c>
      <c r="L105" s="162" t="s">
        <v>927</v>
      </c>
      <c r="M105" s="162" t="s">
        <v>287</v>
      </c>
      <c r="N105" s="165" t="s">
        <v>288</v>
      </c>
      <c r="O105" s="161"/>
      <c r="P105" s="161" t="s">
        <v>166</v>
      </c>
      <c r="Q105" s="757">
        <v>41.721879000000001</v>
      </c>
      <c r="R105" s="654">
        <v>-86.756603999999996</v>
      </c>
      <c r="S105" s="161" t="s">
        <v>62</v>
      </c>
      <c r="T105" s="161"/>
      <c r="U105" s="161" t="s">
        <v>51</v>
      </c>
      <c r="V105" s="160"/>
      <c r="W105" s="166">
        <f>IF(AC105="Intr",0,G105*Definitions!$B$53)</f>
        <v>42.75</v>
      </c>
      <c r="X105" s="166">
        <f>IF(AC105="Intr",0,G105*Definitions!$B$54)</f>
        <v>199.5</v>
      </c>
      <c r="Y105" s="166">
        <f>IF(AC105="Intr",G105,G105*Definitions!$B$55)</f>
        <v>42.75</v>
      </c>
      <c r="Z105" s="166"/>
      <c r="AA105" s="166"/>
      <c r="AB105" s="166"/>
      <c r="AC105" s="161"/>
      <c r="AD105" s="161"/>
      <c r="AE105" s="161"/>
      <c r="AF105" s="161"/>
      <c r="AG105" s="167"/>
      <c r="AH105" s="161"/>
    </row>
    <row r="106" spans="1:34" x14ac:dyDescent="0.2">
      <c r="A106" s="160">
        <v>43753</v>
      </c>
      <c r="B106" s="161" t="s">
        <v>98</v>
      </c>
      <c r="C106" s="161">
        <v>2019</v>
      </c>
      <c r="D106" s="161" t="s">
        <v>1</v>
      </c>
      <c r="E106" s="162">
        <v>-0.52500000000000002</v>
      </c>
      <c r="F106" s="162" t="s">
        <v>32</v>
      </c>
      <c r="G106" s="163">
        <v>49875</v>
      </c>
      <c r="H106" s="164">
        <v>44</v>
      </c>
      <c r="I106" s="162" t="s">
        <v>80</v>
      </c>
      <c r="J106" s="162" t="s">
        <v>38</v>
      </c>
      <c r="K106" s="162">
        <v>0.17499999999999999</v>
      </c>
      <c r="L106" s="162" t="s">
        <v>927</v>
      </c>
      <c r="M106" s="162" t="s">
        <v>287</v>
      </c>
      <c r="N106" s="165" t="s">
        <v>288</v>
      </c>
      <c r="O106" s="161"/>
      <c r="P106" s="161" t="s">
        <v>166</v>
      </c>
      <c r="Q106" s="741">
        <v>41.721879000000001</v>
      </c>
      <c r="R106" s="654">
        <v>-86.756603999999996</v>
      </c>
      <c r="S106" s="161" t="s">
        <v>62</v>
      </c>
      <c r="T106" s="161"/>
      <c r="U106" s="161" t="s">
        <v>51</v>
      </c>
      <c r="V106" s="160"/>
      <c r="W106" s="166">
        <f>IF(AC106="Intr",0,G106*Definitions!$B$53)</f>
        <v>7481.25</v>
      </c>
      <c r="X106" s="166">
        <f>IF(AC106="Intr",0,G106*Definitions!$B$54)</f>
        <v>34912.5</v>
      </c>
      <c r="Y106" s="166">
        <f>IF(AC106="Intr",G106,G106*Definitions!$B$55)</f>
        <v>7481.25</v>
      </c>
      <c r="Z106" s="166"/>
      <c r="AA106" s="166"/>
      <c r="AB106" s="166"/>
      <c r="AC106" s="161"/>
      <c r="AD106" s="161"/>
      <c r="AE106" s="161"/>
      <c r="AF106" s="161"/>
      <c r="AG106" s="167"/>
      <c r="AH106" s="161"/>
    </row>
    <row r="107" spans="1:34" x14ac:dyDescent="0.2">
      <c r="A107" s="168">
        <v>43760</v>
      </c>
      <c r="B107" s="169" t="s">
        <v>98</v>
      </c>
      <c r="C107" s="169">
        <v>2019</v>
      </c>
      <c r="D107" s="169" t="s">
        <v>1</v>
      </c>
      <c r="E107" s="170">
        <v>-1.51</v>
      </c>
      <c r="F107" s="170" t="s">
        <v>32</v>
      </c>
      <c r="G107" s="171">
        <v>143450</v>
      </c>
      <c r="H107" s="172">
        <v>57</v>
      </c>
      <c r="I107" s="170" t="s">
        <v>80</v>
      </c>
      <c r="J107" s="170" t="s">
        <v>38</v>
      </c>
      <c r="K107" s="170">
        <v>0.33779999999999999</v>
      </c>
      <c r="L107" s="170" t="s">
        <v>927</v>
      </c>
      <c r="M107" s="170" t="s">
        <v>289</v>
      </c>
      <c r="N107" s="173" t="s">
        <v>290</v>
      </c>
      <c r="O107" s="169"/>
      <c r="P107" s="169" t="s">
        <v>166</v>
      </c>
      <c r="Q107" s="732" t="s">
        <v>291</v>
      </c>
      <c r="R107" s="646">
        <v>-86.756743999999998</v>
      </c>
      <c r="S107" s="169" t="s">
        <v>62</v>
      </c>
      <c r="T107" s="169"/>
      <c r="U107" s="169" t="s">
        <v>51</v>
      </c>
      <c r="V107" s="168"/>
      <c r="W107" s="174">
        <f>IF(AC107="Intr",0,G107*Definitions!$B$53)</f>
        <v>21517.5</v>
      </c>
      <c r="X107" s="174">
        <f>IF(AC107="Intr",0,G107*Definitions!$B$54)</f>
        <v>100415</v>
      </c>
      <c r="Y107" s="174">
        <f>IF(AC107="Intr",G107,G107*Definitions!$B$55)</f>
        <v>21517.5</v>
      </c>
      <c r="Z107" s="174"/>
      <c r="AA107" s="174"/>
      <c r="AB107" s="174"/>
      <c r="AC107" s="169"/>
      <c r="AD107" s="169"/>
      <c r="AE107" s="169"/>
      <c r="AF107" s="169"/>
      <c r="AG107" s="175"/>
      <c r="AH107" s="169" t="s">
        <v>292</v>
      </c>
    </row>
    <row r="108" spans="1:34" x14ac:dyDescent="0.2">
      <c r="A108" s="97">
        <v>43760</v>
      </c>
      <c r="B108" s="98" t="s">
        <v>98</v>
      </c>
      <c r="C108" s="98">
        <v>2019</v>
      </c>
      <c r="D108" s="98" t="s">
        <v>7</v>
      </c>
      <c r="E108" s="99">
        <v>-1.774</v>
      </c>
      <c r="F108" s="99" t="s">
        <v>32</v>
      </c>
      <c r="G108" s="100">
        <v>141920</v>
      </c>
      <c r="H108" s="101">
        <v>56</v>
      </c>
      <c r="I108" s="99" t="s">
        <v>81</v>
      </c>
      <c r="J108" s="99" t="s">
        <v>36</v>
      </c>
      <c r="K108" s="99">
        <v>1.774</v>
      </c>
      <c r="L108" s="99" t="s">
        <v>293</v>
      </c>
      <c r="M108" s="99" t="s">
        <v>103</v>
      </c>
      <c r="N108" s="102" t="s">
        <v>294</v>
      </c>
      <c r="O108" s="98"/>
      <c r="P108" s="98" t="s">
        <v>101</v>
      </c>
      <c r="Q108" s="730">
        <v>39.635689999999997</v>
      </c>
      <c r="R108" s="645">
        <v>-86.065020000000004</v>
      </c>
      <c r="S108" s="98" t="s">
        <v>61</v>
      </c>
      <c r="T108" s="98" t="s">
        <v>1563</v>
      </c>
      <c r="U108" s="98" t="s">
        <v>50</v>
      </c>
      <c r="V108" s="97">
        <v>45265</v>
      </c>
      <c r="W108" s="103">
        <f>IF(AC108="Intr",0,G108*[1]Data!$B$53)</f>
        <v>21288</v>
      </c>
      <c r="X108" s="103">
        <f>IF(AC108="Intr",0,G108*[1]Data!$B$54)</f>
        <v>99344</v>
      </c>
      <c r="Y108" s="103">
        <f>IF(AC108="Intr",G108,G108*[1]Data!$B$55)</f>
        <v>21288</v>
      </c>
      <c r="Z108" s="103"/>
      <c r="AA108" s="103"/>
      <c r="AB108" s="103"/>
      <c r="AC108" s="98"/>
      <c r="AD108" s="98" t="s">
        <v>1564</v>
      </c>
      <c r="AE108" s="98"/>
      <c r="AF108" s="98"/>
      <c r="AG108" s="104"/>
      <c r="AH108" s="98" t="s">
        <v>1567</v>
      </c>
    </row>
    <row r="109" spans="1:34" x14ac:dyDescent="0.2">
      <c r="A109" s="282">
        <v>43761</v>
      </c>
      <c r="B109" s="114" t="s">
        <v>98</v>
      </c>
      <c r="C109" s="114">
        <v>2019</v>
      </c>
      <c r="D109" s="114" t="s">
        <v>8</v>
      </c>
      <c r="E109" s="417">
        <v>-1279</v>
      </c>
      <c r="F109" s="270" t="s">
        <v>33</v>
      </c>
      <c r="G109" s="283">
        <v>511600</v>
      </c>
      <c r="H109" s="284">
        <v>48</v>
      </c>
      <c r="I109" s="270" t="s">
        <v>80</v>
      </c>
      <c r="J109" s="270" t="s">
        <v>40</v>
      </c>
      <c r="K109" s="417">
        <v>1066</v>
      </c>
      <c r="L109" s="270" t="s">
        <v>726</v>
      </c>
      <c r="M109" s="270" t="s">
        <v>295</v>
      </c>
      <c r="N109" s="285" t="s">
        <v>296</v>
      </c>
      <c r="O109" s="114"/>
      <c r="P109" s="114" t="s">
        <v>156</v>
      </c>
      <c r="Q109" s="750">
        <v>38.740200000000002</v>
      </c>
      <c r="R109" s="635">
        <v>-85.753</v>
      </c>
      <c r="S109" s="114" t="s">
        <v>63</v>
      </c>
      <c r="T109" s="114"/>
      <c r="U109" s="114" t="s">
        <v>51</v>
      </c>
      <c r="V109" s="282"/>
      <c r="W109" s="286">
        <f>IF(AC109="Intr",0,G109*Definitions!$B$53)</f>
        <v>76740</v>
      </c>
      <c r="X109" s="286">
        <f>IF(AC109="Intr",0,G109*Definitions!$B$54)</f>
        <v>358120</v>
      </c>
      <c r="Y109" s="286">
        <f>IF(AC109="Intr",G109,G109*Definitions!$B$55)</f>
        <v>76740</v>
      </c>
      <c r="Z109" s="286"/>
      <c r="AA109" s="286"/>
      <c r="AB109" s="286"/>
      <c r="AC109" s="114"/>
      <c r="AD109" s="114"/>
      <c r="AE109" s="114"/>
      <c r="AF109" s="114"/>
      <c r="AG109" s="287"/>
      <c r="AH109" s="114"/>
    </row>
    <row r="110" spans="1:34" x14ac:dyDescent="0.2">
      <c r="A110" s="282">
        <v>43761</v>
      </c>
      <c r="B110" s="114" t="s">
        <v>98</v>
      </c>
      <c r="C110" s="114">
        <v>2019</v>
      </c>
      <c r="D110" s="114" t="s">
        <v>8</v>
      </c>
      <c r="E110" s="270">
        <v>-356</v>
      </c>
      <c r="F110" s="270" t="s">
        <v>33</v>
      </c>
      <c r="G110" s="283">
        <v>142400</v>
      </c>
      <c r="H110" s="284">
        <v>48</v>
      </c>
      <c r="I110" s="270" t="s">
        <v>80</v>
      </c>
      <c r="J110" s="270" t="s">
        <v>39</v>
      </c>
      <c r="K110" s="270">
        <v>297</v>
      </c>
      <c r="L110" s="270" t="s">
        <v>726</v>
      </c>
      <c r="M110" s="270" t="s">
        <v>295</v>
      </c>
      <c r="N110" s="285" t="s">
        <v>296</v>
      </c>
      <c r="O110" s="114"/>
      <c r="P110" s="114" t="s">
        <v>156</v>
      </c>
      <c r="Q110" s="750">
        <v>38.740200000000002</v>
      </c>
      <c r="R110" s="635">
        <v>-85.753</v>
      </c>
      <c r="S110" s="114" t="s">
        <v>63</v>
      </c>
      <c r="T110" s="114"/>
      <c r="U110" s="114" t="s">
        <v>51</v>
      </c>
      <c r="V110" s="282"/>
      <c r="W110" s="286">
        <f>IF(AC110="Intr",0,G110*Definitions!$B$53)</f>
        <v>21360</v>
      </c>
      <c r="X110" s="286">
        <f>IF(AC110="Intr",0,G110*Definitions!$B$54)</f>
        <v>99680</v>
      </c>
      <c r="Y110" s="286">
        <f>IF(AC110="Intr",G110,G110*Definitions!$B$55)</f>
        <v>21360</v>
      </c>
      <c r="Z110" s="286"/>
      <c r="AA110" s="286"/>
      <c r="AB110" s="286"/>
      <c r="AC110" s="114"/>
      <c r="AD110" s="114"/>
      <c r="AE110" s="114"/>
      <c r="AF110" s="114"/>
      <c r="AG110" s="287"/>
      <c r="AH110" s="114"/>
    </row>
    <row r="111" spans="1:34" x14ac:dyDescent="0.2">
      <c r="A111" s="282">
        <v>43761</v>
      </c>
      <c r="B111" s="114" t="s">
        <v>98</v>
      </c>
      <c r="C111" s="114">
        <v>2019</v>
      </c>
      <c r="D111" s="114" t="s">
        <v>8</v>
      </c>
      <c r="E111" s="270">
        <v>-1.69</v>
      </c>
      <c r="F111" s="270" t="s">
        <v>32</v>
      </c>
      <c r="G111" s="283">
        <v>135200</v>
      </c>
      <c r="H111" s="284">
        <v>48</v>
      </c>
      <c r="I111" s="270" t="s">
        <v>80</v>
      </c>
      <c r="J111" s="270" t="s">
        <v>36</v>
      </c>
      <c r="K111" s="270">
        <v>0.70699999999999996</v>
      </c>
      <c r="L111" s="270" t="s">
        <v>726</v>
      </c>
      <c r="M111" s="270" t="s">
        <v>295</v>
      </c>
      <c r="N111" s="285" t="s">
        <v>296</v>
      </c>
      <c r="O111" s="114"/>
      <c r="P111" s="114" t="s">
        <v>156</v>
      </c>
      <c r="Q111" s="750">
        <v>38.740200000000002</v>
      </c>
      <c r="R111" s="635">
        <v>-85.753</v>
      </c>
      <c r="S111" s="114" t="s">
        <v>63</v>
      </c>
      <c r="T111" s="114"/>
      <c r="U111" s="114" t="s">
        <v>51</v>
      </c>
      <c r="V111" s="282"/>
      <c r="W111" s="286">
        <f>IF(AC111="Intr",0,G111*Definitions!$B$53)</f>
        <v>20280</v>
      </c>
      <c r="X111" s="286">
        <f>IF(AC111="Intr",0,G111*Definitions!$B$54)</f>
        <v>94640</v>
      </c>
      <c r="Y111" s="286">
        <f>IF(AC111="Intr",G111,G111*Definitions!$B$55)</f>
        <v>20280</v>
      </c>
      <c r="Z111" s="286"/>
      <c r="AA111" s="286"/>
      <c r="AB111" s="286"/>
      <c r="AC111" s="114"/>
      <c r="AD111" s="114"/>
      <c r="AE111" s="114"/>
      <c r="AF111" s="114"/>
      <c r="AG111" s="287"/>
      <c r="AH111" s="114"/>
    </row>
    <row r="112" spans="1:34" x14ac:dyDescent="0.2">
      <c r="A112" s="282">
        <v>43761</v>
      </c>
      <c r="B112" s="114" t="s">
        <v>98</v>
      </c>
      <c r="C112" s="114">
        <v>2019</v>
      </c>
      <c r="D112" s="114" t="s">
        <v>8</v>
      </c>
      <c r="E112" s="270">
        <v>-0.69</v>
      </c>
      <c r="F112" s="270" t="s">
        <v>32</v>
      </c>
      <c r="G112" s="283">
        <v>55200</v>
      </c>
      <c r="H112" s="284">
        <v>48</v>
      </c>
      <c r="I112" s="270" t="s">
        <v>80</v>
      </c>
      <c r="J112" s="270" t="s">
        <v>38</v>
      </c>
      <c r="K112" s="270">
        <v>0.16300000000000001</v>
      </c>
      <c r="L112" s="270" t="s">
        <v>726</v>
      </c>
      <c r="M112" s="270" t="s">
        <v>295</v>
      </c>
      <c r="N112" s="285" t="s">
        <v>296</v>
      </c>
      <c r="O112" s="114"/>
      <c r="P112" s="114" t="s">
        <v>156</v>
      </c>
      <c r="Q112" s="750">
        <v>38.740200000000002</v>
      </c>
      <c r="R112" s="635">
        <v>-85.753</v>
      </c>
      <c r="S112" s="114" t="s">
        <v>63</v>
      </c>
      <c r="T112" s="114"/>
      <c r="U112" s="114" t="s">
        <v>51</v>
      </c>
      <c r="V112" s="282"/>
      <c r="W112" s="286">
        <f>IF(AC112="Intr",0,G112*Definitions!$B$53)</f>
        <v>8280</v>
      </c>
      <c r="X112" s="286">
        <f>IF(AC112="Intr",0,G112*Definitions!$B$54)</f>
        <v>38640</v>
      </c>
      <c r="Y112" s="286">
        <f>IF(AC112="Intr",G112,G112*Definitions!$B$55)</f>
        <v>8280</v>
      </c>
      <c r="Z112" s="286"/>
      <c r="AA112" s="286"/>
      <c r="AB112" s="286"/>
      <c r="AC112" s="114"/>
      <c r="AD112" s="114"/>
      <c r="AE112" s="114"/>
      <c r="AF112" s="114"/>
      <c r="AG112" s="287"/>
      <c r="AH112" s="114"/>
    </row>
    <row r="113" spans="1:34" x14ac:dyDescent="0.2">
      <c r="A113" s="97">
        <v>43812</v>
      </c>
      <c r="B113" s="98" t="s">
        <v>134</v>
      </c>
      <c r="C113" s="98">
        <v>2019</v>
      </c>
      <c r="D113" s="98" t="s">
        <v>10</v>
      </c>
      <c r="E113" s="99">
        <v>-8.5299999999999994</v>
      </c>
      <c r="F113" s="99" t="s">
        <v>32</v>
      </c>
      <c r="G113" s="100">
        <v>682400</v>
      </c>
      <c r="H113" s="101">
        <v>58</v>
      </c>
      <c r="I113" s="99" t="s">
        <v>80</v>
      </c>
      <c r="J113" s="99" t="s">
        <v>36</v>
      </c>
      <c r="K113" s="99">
        <v>5.83</v>
      </c>
      <c r="L113" s="99" t="s">
        <v>726</v>
      </c>
      <c r="M113" s="99" t="s">
        <v>297</v>
      </c>
      <c r="N113" s="102" t="s">
        <v>298</v>
      </c>
      <c r="O113" s="98"/>
      <c r="P113" s="98" t="s">
        <v>84</v>
      </c>
      <c r="Q113" s="730">
        <v>38.291400000000003</v>
      </c>
      <c r="R113" s="645">
        <v>-85.758399999999995</v>
      </c>
      <c r="S113" s="98" t="s">
        <v>63</v>
      </c>
      <c r="T113" s="98" t="s">
        <v>1545</v>
      </c>
      <c r="U113" s="98" t="s">
        <v>50</v>
      </c>
      <c r="V113" s="97">
        <v>45313</v>
      </c>
      <c r="W113" s="103">
        <f>IF(AC113="Intr",0,G113*[1]Data!$B$53)</f>
        <v>102360</v>
      </c>
      <c r="X113" s="103">
        <f>IF(AC113="Intr",0,G113*[1]Data!$B$54)</f>
        <v>477679.99999999994</v>
      </c>
      <c r="Y113" s="103">
        <f>IF(AC113="Intr",G113,G113*[1]Data!$B$55)</f>
        <v>102360</v>
      </c>
      <c r="Z113" s="103"/>
      <c r="AA113" s="103"/>
      <c r="AB113" s="103"/>
      <c r="AC113" s="98"/>
      <c r="AD113" s="98" t="s">
        <v>1546</v>
      </c>
      <c r="AE113" s="98"/>
      <c r="AF113" s="98"/>
      <c r="AG113" s="104"/>
      <c r="AH113" s="98" t="s">
        <v>1547</v>
      </c>
    </row>
    <row r="114" spans="1:34" x14ac:dyDescent="0.2">
      <c r="A114" s="97">
        <v>43812</v>
      </c>
      <c r="B114" s="98" t="s">
        <v>134</v>
      </c>
      <c r="C114" s="98">
        <v>2019</v>
      </c>
      <c r="D114" s="98" t="s">
        <v>10</v>
      </c>
      <c r="E114" s="99">
        <v>-2.68</v>
      </c>
      <c r="F114" s="99" t="s">
        <v>32</v>
      </c>
      <c r="G114" s="100">
        <v>214400</v>
      </c>
      <c r="H114" s="101">
        <v>58</v>
      </c>
      <c r="I114" s="99" t="s">
        <v>80</v>
      </c>
      <c r="J114" s="99" t="s">
        <v>38</v>
      </c>
      <c r="K114" s="99">
        <v>2.02</v>
      </c>
      <c r="L114" s="99" t="s">
        <v>726</v>
      </c>
      <c r="M114" s="99" t="s">
        <v>297</v>
      </c>
      <c r="N114" s="102" t="s">
        <v>298</v>
      </c>
      <c r="O114" s="98"/>
      <c r="P114" s="98" t="s">
        <v>84</v>
      </c>
      <c r="Q114" s="730">
        <v>38.291400000000003</v>
      </c>
      <c r="R114" s="645">
        <v>-85.758399999999995</v>
      </c>
      <c r="S114" s="98" t="s">
        <v>63</v>
      </c>
      <c r="T114" s="98" t="s">
        <v>1545</v>
      </c>
      <c r="U114" s="98" t="s">
        <v>50</v>
      </c>
      <c r="V114" s="97">
        <v>45313</v>
      </c>
      <c r="W114" s="103">
        <f>IF(AC114="Intr",0,G114*[1]Data!$B$53)</f>
        <v>32160</v>
      </c>
      <c r="X114" s="103">
        <f>IF(AC114="Intr",0,G114*[1]Data!$B$54)</f>
        <v>150080</v>
      </c>
      <c r="Y114" s="103">
        <f>IF(AC114="Intr",G114,G114*[1]Data!$B$55)</f>
        <v>32160</v>
      </c>
      <c r="Z114" s="103"/>
      <c r="AA114" s="103"/>
      <c r="AB114" s="103"/>
      <c r="AC114" s="98"/>
      <c r="AD114" s="98" t="s">
        <v>1546</v>
      </c>
      <c r="AE114" s="98"/>
      <c r="AF114" s="98"/>
      <c r="AG114" s="104"/>
      <c r="AH114" s="98" t="s">
        <v>1547</v>
      </c>
    </row>
    <row r="115" spans="1:34" x14ac:dyDescent="0.2">
      <c r="A115" s="529"/>
      <c r="B115" s="530"/>
      <c r="C115" s="530"/>
      <c r="D115" s="530"/>
      <c r="E115" s="531"/>
      <c r="F115" s="531"/>
      <c r="G115" s="532"/>
      <c r="H115" s="533"/>
      <c r="I115" s="531"/>
      <c r="J115" s="531"/>
      <c r="K115" s="531"/>
      <c r="L115" s="531"/>
      <c r="M115" s="531"/>
      <c r="N115" s="534"/>
      <c r="O115" s="530"/>
      <c r="P115" s="530"/>
      <c r="Q115" s="758"/>
      <c r="R115" s="659"/>
      <c r="S115" s="530"/>
      <c r="T115" s="530"/>
      <c r="U115" s="530"/>
      <c r="V115" s="529"/>
      <c r="W115" s="535"/>
      <c r="X115" s="535"/>
      <c r="Y115" s="535"/>
      <c r="Z115" s="535"/>
      <c r="AA115" s="535"/>
      <c r="AB115" s="535"/>
      <c r="AC115" s="530"/>
      <c r="AD115" s="530"/>
      <c r="AE115" s="530"/>
      <c r="AF115" s="530"/>
      <c r="AG115" s="536"/>
      <c r="AH115" s="530"/>
    </row>
    <row r="116" spans="1:34" x14ac:dyDescent="0.2">
      <c r="A116" s="97">
        <v>43832</v>
      </c>
      <c r="B116" s="98" t="s">
        <v>144</v>
      </c>
      <c r="C116" s="98">
        <v>2020</v>
      </c>
      <c r="D116" s="98" t="s">
        <v>4</v>
      </c>
      <c r="E116" s="99">
        <v>-0.28000000000000003</v>
      </c>
      <c r="F116" s="99" t="s">
        <v>32</v>
      </c>
      <c r="G116" s="100">
        <v>22400</v>
      </c>
      <c r="H116" s="101">
        <v>65</v>
      </c>
      <c r="I116" s="99" t="s">
        <v>80</v>
      </c>
      <c r="J116" s="99" t="s">
        <v>38</v>
      </c>
      <c r="K116" s="99">
        <v>7.0000000000000007E-2</v>
      </c>
      <c r="L116" s="99" t="s">
        <v>303</v>
      </c>
      <c r="M116" s="99" t="s">
        <v>304</v>
      </c>
      <c r="N116" s="102" t="s">
        <v>306</v>
      </c>
      <c r="O116" s="98"/>
      <c r="P116" s="98" t="s">
        <v>255</v>
      </c>
      <c r="Q116" s="730">
        <v>41.040500999999999</v>
      </c>
      <c r="R116" s="645">
        <v>-85.186507000000006</v>
      </c>
      <c r="S116" s="98" t="s">
        <v>61</v>
      </c>
      <c r="T116" s="98" t="s">
        <v>1568</v>
      </c>
      <c r="U116" s="98" t="s">
        <v>50</v>
      </c>
      <c r="V116" s="97" t="s">
        <v>1569</v>
      </c>
      <c r="W116" s="103">
        <f>IF(AC116="Intr",0,G116*[1]Data!$B53)</f>
        <v>3360</v>
      </c>
      <c r="X116" s="103">
        <v>15680</v>
      </c>
      <c r="Y116" s="103">
        <v>3360</v>
      </c>
      <c r="Z116" s="103"/>
      <c r="AA116" s="103"/>
      <c r="AB116" s="103"/>
      <c r="AC116" s="98"/>
      <c r="AD116" s="98" t="s">
        <v>1570</v>
      </c>
      <c r="AE116" s="98"/>
      <c r="AF116" s="98"/>
      <c r="AG116" s="104"/>
      <c r="AH116" s="98" t="s">
        <v>1571</v>
      </c>
    </row>
    <row r="117" spans="1:34" x14ac:dyDescent="0.2">
      <c r="A117" s="97">
        <v>43832</v>
      </c>
      <c r="B117" s="98" t="s">
        <v>144</v>
      </c>
      <c r="C117" s="98">
        <v>2020</v>
      </c>
      <c r="D117" s="98" t="s">
        <v>4</v>
      </c>
      <c r="E117" s="99">
        <v>-1.98</v>
      </c>
      <c r="F117" s="99" t="s">
        <v>32</v>
      </c>
      <c r="G117" s="100">
        <v>158400</v>
      </c>
      <c r="H117" s="101">
        <v>65</v>
      </c>
      <c r="I117" s="99" t="s">
        <v>80</v>
      </c>
      <c r="J117" s="99" t="s">
        <v>37</v>
      </c>
      <c r="K117" s="99">
        <v>0.66</v>
      </c>
      <c r="L117" s="99" t="s">
        <v>303</v>
      </c>
      <c r="M117" s="99" t="s">
        <v>304</v>
      </c>
      <c r="N117" s="102" t="s">
        <v>306</v>
      </c>
      <c r="O117" s="98"/>
      <c r="P117" s="98" t="s">
        <v>255</v>
      </c>
      <c r="Q117" s="730">
        <v>41.040500999999999</v>
      </c>
      <c r="R117" s="645">
        <v>-85.186507000000006</v>
      </c>
      <c r="S117" s="98" t="s">
        <v>61</v>
      </c>
      <c r="T117" s="98" t="s">
        <v>1568</v>
      </c>
      <c r="U117" s="98" t="s">
        <v>50</v>
      </c>
      <c r="V117" s="97">
        <v>45306</v>
      </c>
      <c r="W117" s="103">
        <f>IF(AC117="Intr",0,G117*[1]Data!$B53)</f>
        <v>23760</v>
      </c>
      <c r="X117" s="103">
        <v>110880</v>
      </c>
      <c r="Y117" s="103">
        <v>23760</v>
      </c>
      <c r="Z117" s="103"/>
      <c r="AA117" s="103"/>
      <c r="AB117" s="103"/>
      <c r="AC117" s="98"/>
      <c r="AD117" s="98" t="s">
        <v>1570</v>
      </c>
      <c r="AE117" s="98"/>
      <c r="AF117" s="98"/>
      <c r="AG117" s="104"/>
      <c r="AH117" s="98" t="s">
        <v>1572</v>
      </c>
    </row>
    <row r="118" spans="1:34" x14ac:dyDescent="0.2">
      <c r="A118" s="97">
        <v>43832</v>
      </c>
      <c r="B118" s="98" t="s">
        <v>144</v>
      </c>
      <c r="C118" s="98">
        <v>2020</v>
      </c>
      <c r="D118" s="98" t="s">
        <v>4</v>
      </c>
      <c r="E118" s="99">
        <v>-0.94</v>
      </c>
      <c r="F118" s="99" t="s">
        <v>32</v>
      </c>
      <c r="G118" s="100">
        <v>75200</v>
      </c>
      <c r="H118" s="101">
        <v>65</v>
      </c>
      <c r="I118" s="99" t="s">
        <v>81</v>
      </c>
      <c r="J118" s="99" t="s">
        <v>38</v>
      </c>
      <c r="K118" s="99">
        <v>0.3</v>
      </c>
      <c r="L118" s="99" t="s">
        <v>303</v>
      </c>
      <c r="M118" s="99" t="s">
        <v>103</v>
      </c>
      <c r="N118" s="102" t="s">
        <v>305</v>
      </c>
      <c r="O118" s="98"/>
      <c r="P118" s="98" t="s">
        <v>255</v>
      </c>
      <c r="Q118" s="730">
        <v>41.040500999999999</v>
      </c>
      <c r="R118" s="645">
        <v>-85.186507000000006</v>
      </c>
      <c r="S118" s="98" t="s">
        <v>61</v>
      </c>
      <c r="T118" s="98" t="s">
        <v>1568</v>
      </c>
      <c r="U118" s="98" t="s">
        <v>50</v>
      </c>
      <c r="V118" s="97">
        <v>45233</v>
      </c>
      <c r="W118" s="103">
        <v>11280</v>
      </c>
      <c r="X118" s="103">
        <v>52640</v>
      </c>
      <c r="Y118" s="103">
        <v>11280</v>
      </c>
      <c r="Z118" s="103"/>
      <c r="AA118" s="103"/>
      <c r="AB118" s="103"/>
      <c r="AC118" s="98"/>
      <c r="AD118" s="98" t="s">
        <v>1570</v>
      </c>
      <c r="AE118" s="98"/>
      <c r="AF118" s="98"/>
      <c r="AG118" s="104"/>
      <c r="AH118" s="98" t="s">
        <v>1573</v>
      </c>
    </row>
    <row r="119" spans="1:34" ht="25.5" x14ac:dyDescent="0.2">
      <c r="A119" s="288">
        <v>43833</v>
      </c>
      <c r="B119" s="289" t="s">
        <v>144</v>
      </c>
      <c r="C119" s="289">
        <v>2020</v>
      </c>
      <c r="D119" s="289" t="s">
        <v>7</v>
      </c>
      <c r="E119" s="386">
        <v>-4362</v>
      </c>
      <c r="F119" s="331" t="s">
        <v>33</v>
      </c>
      <c r="G119" s="332">
        <v>1962900</v>
      </c>
      <c r="H119" s="333">
        <v>54</v>
      </c>
      <c r="I119" s="331" t="s">
        <v>80</v>
      </c>
      <c r="J119" s="331" t="s">
        <v>41</v>
      </c>
      <c r="K119" s="386">
        <v>3636</v>
      </c>
      <c r="L119" s="331" t="s">
        <v>987</v>
      </c>
      <c r="M119" s="331" t="s">
        <v>300</v>
      </c>
      <c r="N119" s="290" t="s">
        <v>299</v>
      </c>
      <c r="O119" s="289"/>
      <c r="P119" s="289" t="s">
        <v>301</v>
      </c>
      <c r="Q119" s="733">
        <v>39.697620000000001</v>
      </c>
      <c r="R119" s="647">
        <v>-86.182540000000003</v>
      </c>
      <c r="S119" s="289" t="s">
        <v>63</v>
      </c>
      <c r="T119" s="289" t="s">
        <v>1837</v>
      </c>
      <c r="U119" s="289" t="s">
        <v>51</v>
      </c>
      <c r="V119" s="288" t="s">
        <v>1962</v>
      </c>
      <c r="W119" s="293">
        <v>294435</v>
      </c>
      <c r="X119" s="293">
        <f>IF(AC119="Intr",0,G119*Definitions!$B$54)</f>
        <v>1374030</v>
      </c>
      <c r="Y119" s="293">
        <f>IF(AC119="Intr",G119,G119*Definitions!$B$55)</f>
        <v>294435</v>
      </c>
      <c r="Z119" s="293"/>
      <c r="AA119" s="293"/>
      <c r="AB119" s="293"/>
      <c r="AC119" s="289"/>
      <c r="AD119" s="292" t="s">
        <v>1963</v>
      </c>
      <c r="AE119" s="289"/>
      <c r="AF119" s="289"/>
      <c r="AG119" s="294"/>
      <c r="AH119" s="292" t="s">
        <v>1964</v>
      </c>
    </row>
    <row r="120" spans="1:34" x14ac:dyDescent="0.2">
      <c r="A120" s="288">
        <v>43833</v>
      </c>
      <c r="B120" s="289" t="s">
        <v>144</v>
      </c>
      <c r="C120" s="289">
        <v>2020</v>
      </c>
      <c r="D120" s="289" t="s">
        <v>7</v>
      </c>
      <c r="E120" s="386">
        <v>-5028</v>
      </c>
      <c r="F120" s="331" t="s">
        <v>33</v>
      </c>
      <c r="G120" s="332">
        <v>2262600</v>
      </c>
      <c r="H120" s="333">
        <v>54</v>
      </c>
      <c r="I120" s="331" t="s">
        <v>80</v>
      </c>
      <c r="J120" s="331" t="s">
        <v>40</v>
      </c>
      <c r="K120" s="386">
        <v>2085</v>
      </c>
      <c r="L120" s="331" t="s">
        <v>987</v>
      </c>
      <c r="M120" s="331" t="s">
        <v>300</v>
      </c>
      <c r="N120" s="290" t="s">
        <v>299</v>
      </c>
      <c r="O120" s="289"/>
      <c r="P120" s="289" t="s">
        <v>301</v>
      </c>
      <c r="Q120" s="733">
        <v>39.697620000000001</v>
      </c>
      <c r="R120" s="647">
        <v>-86.182540000000003</v>
      </c>
      <c r="S120" s="289" t="s">
        <v>63</v>
      </c>
      <c r="T120" s="289"/>
      <c r="U120" s="289" t="s">
        <v>51</v>
      </c>
      <c r="V120" s="288"/>
      <c r="W120" s="293">
        <v>339390</v>
      </c>
      <c r="X120" s="293">
        <f>IF(AC120="Intr",0,G120*Definitions!$B$54)</f>
        <v>1583820</v>
      </c>
      <c r="Y120" s="293">
        <f>IF(AC120="Intr",G120,G120*Definitions!$B$55)</f>
        <v>339390</v>
      </c>
      <c r="Z120" s="293"/>
      <c r="AA120" s="293"/>
      <c r="AB120" s="293"/>
      <c r="AC120" s="289"/>
      <c r="AD120" s="289"/>
      <c r="AE120" s="289"/>
      <c r="AF120" s="289"/>
      <c r="AG120" s="294"/>
      <c r="AH120" s="289" t="s">
        <v>302</v>
      </c>
    </row>
    <row r="121" spans="1:34" x14ac:dyDescent="0.2">
      <c r="A121" s="288">
        <v>43833</v>
      </c>
      <c r="B121" s="289" t="s">
        <v>144</v>
      </c>
      <c r="C121" s="289">
        <v>2020</v>
      </c>
      <c r="D121" s="289" t="s">
        <v>7</v>
      </c>
      <c r="E121" s="386">
        <v>-2688</v>
      </c>
      <c r="F121" s="331" t="s">
        <v>33</v>
      </c>
      <c r="G121" s="332">
        <v>1209600</v>
      </c>
      <c r="H121" s="333">
        <v>54</v>
      </c>
      <c r="I121" s="331" t="s">
        <v>80</v>
      </c>
      <c r="J121" s="331" t="s">
        <v>39</v>
      </c>
      <c r="K121" s="386">
        <v>2240</v>
      </c>
      <c r="L121" s="331" t="s">
        <v>987</v>
      </c>
      <c r="M121" s="331" t="s">
        <v>300</v>
      </c>
      <c r="N121" s="290" t="s">
        <v>299</v>
      </c>
      <c r="O121" s="289"/>
      <c r="P121" s="289" t="s">
        <v>301</v>
      </c>
      <c r="Q121" s="733">
        <v>39.697620000000001</v>
      </c>
      <c r="R121" s="647">
        <v>-86.182540000000003</v>
      </c>
      <c r="S121" s="289" t="s">
        <v>63</v>
      </c>
      <c r="T121" s="289"/>
      <c r="U121" s="289" t="s">
        <v>51</v>
      </c>
      <c r="V121" s="288"/>
      <c r="W121" s="293">
        <f>IF(AC121="Intr",0,G121*Definitions!$B$53)</f>
        <v>181440</v>
      </c>
      <c r="X121" s="293">
        <f>IF(AC121="Intr",0,G121*Definitions!$B$54)</f>
        <v>846720</v>
      </c>
      <c r="Y121" s="293">
        <f>IF(AC121="Intr",G121,G121*Definitions!$B$55)</f>
        <v>181440</v>
      </c>
      <c r="Z121" s="293"/>
      <c r="AA121" s="293"/>
      <c r="AB121" s="293"/>
      <c r="AC121" s="289"/>
      <c r="AD121" s="289"/>
      <c r="AE121" s="289"/>
      <c r="AF121" s="289"/>
      <c r="AG121" s="294"/>
      <c r="AH121" s="289" t="s">
        <v>302</v>
      </c>
    </row>
    <row r="122" spans="1:34" x14ac:dyDescent="0.2">
      <c r="A122" s="168">
        <v>43836</v>
      </c>
      <c r="B122" s="169" t="s">
        <v>144</v>
      </c>
      <c r="C122" s="169">
        <v>2020</v>
      </c>
      <c r="D122" s="169" t="s">
        <v>10</v>
      </c>
      <c r="E122" s="383">
        <v>-1080</v>
      </c>
      <c r="F122" s="170" t="s">
        <v>33</v>
      </c>
      <c r="G122" s="171">
        <v>432000</v>
      </c>
      <c r="H122" s="172">
        <v>67</v>
      </c>
      <c r="I122" s="170" t="s">
        <v>80</v>
      </c>
      <c r="J122" s="170" t="s">
        <v>40</v>
      </c>
      <c r="K122" s="170">
        <v>900</v>
      </c>
      <c r="L122" s="170" t="s">
        <v>315</v>
      </c>
      <c r="M122" s="170" t="s">
        <v>316</v>
      </c>
      <c r="N122" s="173" t="s">
        <v>317</v>
      </c>
      <c r="O122" s="169"/>
      <c r="P122" s="169" t="s">
        <v>84</v>
      </c>
      <c r="Q122" s="732">
        <v>38.345939000000001</v>
      </c>
      <c r="R122" s="849">
        <v>-85.696188000000006</v>
      </c>
      <c r="S122" s="169" t="s">
        <v>61</v>
      </c>
      <c r="T122" s="169"/>
      <c r="U122" s="169" t="s">
        <v>51</v>
      </c>
      <c r="V122" s="168"/>
      <c r="W122" s="174">
        <f>IF(AC122="Intr",0,G122*Definitions!$B$53)</f>
        <v>64800</v>
      </c>
      <c r="X122" s="174">
        <f>IF(AC122="Intr",0,G122*Definitions!$B$54)</f>
        <v>302400</v>
      </c>
      <c r="Y122" s="174">
        <f>IF(AC122="Intr",G122,G122*Definitions!$B$55)</f>
        <v>64800</v>
      </c>
      <c r="Z122" s="174"/>
      <c r="AA122" s="174"/>
      <c r="AB122" s="174"/>
      <c r="AC122" s="169"/>
      <c r="AD122" s="169"/>
      <c r="AE122" s="169"/>
      <c r="AF122" s="169"/>
      <c r="AG122" s="175"/>
      <c r="AH122" s="169"/>
    </row>
    <row r="123" spans="1:34" x14ac:dyDescent="0.2">
      <c r="A123" s="504">
        <v>43836</v>
      </c>
      <c r="B123" s="505" t="s">
        <v>144</v>
      </c>
      <c r="C123" s="505">
        <v>2020</v>
      </c>
      <c r="D123" s="505" t="s">
        <v>8</v>
      </c>
      <c r="E123" s="506">
        <v>-0.46</v>
      </c>
      <c r="F123" s="506" t="s">
        <v>32</v>
      </c>
      <c r="G123" s="507">
        <v>36800</v>
      </c>
      <c r="H123" s="508">
        <v>61</v>
      </c>
      <c r="I123" s="506" t="s">
        <v>80</v>
      </c>
      <c r="J123" s="506" t="s">
        <v>36</v>
      </c>
      <c r="K123" s="506">
        <v>0.19</v>
      </c>
      <c r="L123" s="506" t="s">
        <v>987</v>
      </c>
      <c r="M123" s="506" t="s">
        <v>311</v>
      </c>
      <c r="N123" s="509" t="s">
        <v>312</v>
      </c>
      <c r="O123" s="505"/>
      <c r="P123" s="505" t="s">
        <v>313</v>
      </c>
      <c r="Q123" s="759">
        <v>38.957999999999998</v>
      </c>
      <c r="R123" s="850">
        <v>-85.858999999999995</v>
      </c>
      <c r="S123" s="505" t="s">
        <v>63</v>
      </c>
      <c r="T123" s="505"/>
      <c r="U123" s="505" t="s">
        <v>51</v>
      </c>
      <c r="V123" s="504"/>
      <c r="W123" s="510">
        <f>IF(AC123="Intr",0,G123*Definitions!$B$53)</f>
        <v>5520</v>
      </c>
      <c r="X123" s="510">
        <f>IF(AC123="Intr",0,G123*Definitions!$B$54)</f>
        <v>25760</v>
      </c>
      <c r="Y123" s="510">
        <f>IF(AC123="Intr",G123,G123*Definitions!$B$55)</f>
        <v>5520</v>
      </c>
      <c r="Z123" s="510"/>
      <c r="AA123" s="510"/>
      <c r="AB123" s="510"/>
      <c r="AC123" s="505"/>
      <c r="AD123" s="505"/>
      <c r="AE123" s="505"/>
      <c r="AF123" s="505"/>
      <c r="AG123" s="511"/>
      <c r="AH123" s="505" t="s">
        <v>314</v>
      </c>
    </row>
    <row r="124" spans="1:34" x14ac:dyDescent="0.2">
      <c r="A124" s="504">
        <v>43836</v>
      </c>
      <c r="B124" s="505" t="s">
        <v>144</v>
      </c>
      <c r="C124" s="505">
        <v>2020</v>
      </c>
      <c r="D124" s="505" t="s">
        <v>8</v>
      </c>
      <c r="E124" s="506">
        <v>-452</v>
      </c>
      <c r="F124" s="506" t="s">
        <v>33</v>
      </c>
      <c r="G124" s="507">
        <v>180800</v>
      </c>
      <c r="H124" s="508">
        <v>61</v>
      </c>
      <c r="I124" s="506" t="s">
        <v>80</v>
      </c>
      <c r="J124" s="506" t="s">
        <v>41</v>
      </c>
      <c r="K124" s="506">
        <v>377</v>
      </c>
      <c r="L124" s="506" t="s">
        <v>987</v>
      </c>
      <c r="M124" s="506" t="s">
        <v>311</v>
      </c>
      <c r="N124" s="509" t="s">
        <v>312</v>
      </c>
      <c r="O124" s="505"/>
      <c r="P124" s="505" t="s">
        <v>313</v>
      </c>
      <c r="Q124" s="759">
        <v>38.957999999999998</v>
      </c>
      <c r="R124" s="850">
        <v>-85.858999999999995</v>
      </c>
      <c r="S124" s="505" t="s">
        <v>63</v>
      </c>
      <c r="T124" s="505"/>
      <c r="U124" s="505" t="s">
        <v>51</v>
      </c>
      <c r="V124" s="504"/>
      <c r="W124" s="510">
        <f>IF(AC124="Intr",0,G124*Definitions!$B$53)</f>
        <v>27120</v>
      </c>
      <c r="X124" s="510">
        <f>IF(AC124="Intr",0,G124*Definitions!$B$54)</f>
        <v>126559.99999999999</v>
      </c>
      <c r="Y124" s="510">
        <f>IF(AC124="Intr",G124,G124*Definitions!$B$55)</f>
        <v>27120</v>
      </c>
      <c r="Z124" s="510"/>
      <c r="AA124" s="510"/>
      <c r="AB124" s="510"/>
      <c r="AC124" s="505"/>
      <c r="AD124" s="505"/>
      <c r="AE124" s="505"/>
      <c r="AF124" s="505"/>
      <c r="AG124" s="511"/>
      <c r="AH124" s="505" t="s">
        <v>314</v>
      </c>
    </row>
    <row r="125" spans="1:34" x14ac:dyDescent="0.2">
      <c r="A125" s="504">
        <v>43836</v>
      </c>
      <c r="B125" s="505" t="s">
        <v>144</v>
      </c>
      <c r="C125" s="505">
        <v>2020</v>
      </c>
      <c r="D125" s="505" t="s">
        <v>8</v>
      </c>
      <c r="E125" s="506">
        <v>-30</v>
      </c>
      <c r="F125" s="506" t="s">
        <v>33</v>
      </c>
      <c r="G125" s="507">
        <v>12000</v>
      </c>
      <c r="H125" s="508">
        <v>61</v>
      </c>
      <c r="I125" s="506" t="s">
        <v>80</v>
      </c>
      <c r="J125" s="506" t="s">
        <v>40</v>
      </c>
      <c r="K125" s="506">
        <v>25</v>
      </c>
      <c r="L125" s="506" t="s">
        <v>987</v>
      </c>
      <c r="M125" s="506" t="s">
        <v>311</v>
      </c>
      <c r="N125" s="509" t="s">
        <v>312</v>
      </c>
      <c r="O125" s="505"/>
      <c r="P125" s="505" t="s">
        <v>313</v>
      </c>
      <c r="Q125" s="759">
        <v>38.957999999999998</v>
      </c>
      <c r="R125" s="850">
        <v>-85.858999999999995</v>
      </c>
      <c r="S125" s="505" t="s">
        <v>63</v>
      </c>
      <c r="T125" s="505"/>
      <c r="U125" s="505" t="s">
        <v>51</v>
      </c>
      <c r="V125" s="504"/>
      <c r="W125" s="510">
        <f>IF(AC125="Intr",0,G125*Definitions!$B$53)</f>
        <v>1800</v>
      </c>
      <c r="X125" s="510">
        <f>IF(AC125="Intr",0,G125*Definitions!$B$54)</f>
        <v>8400</v>
      </c>
      <c r="Y125" s="510">
        <f>IF(AC125="Intr",G125,G125*Definitions!$B$55)</f>
        <v>1800</v>
      </c>
      <c r="Z125" s="510"/>
      <c r="AA125" s="510"/>
      <c r="AB125" s="510"/>
      <c r="AC125" s="505"/>
      <c r="AD125" s="505"/>
      <c r="AE125" s="505"/>
      <c r="AF125" s="505"/>
      <c r="AG125" s="511"/>
      <c r="AH125" s="505" t="s">
        <v>314</v>
      </c>
    </row>
    <row r="126" spans="1:34" x14ac:dyDescent="0.2">
      <c r="A126" s="97">
        <v>43837</v>
      </c>
      <c r="B126" s="98" t="s">
        <v>144</v>
      </c>
      <c r="C126" s="98">
        <v>2020</v>
      </c>
      <c r="D126" s="98" t="s">
        <v>4</v>
      </c>
      <c r="E126" s="99">
        <v>-0.64</v>
      </c>
      <c r="F126" s="99" t="s">
        <v>32</v>
      </c>
      <c r="G126" s="100">
        <v>51200</v>
      </c>
      <c r="H126" s="101">
        <v>69</v>
      </c>
      <c r="I126" s="99" t="s">
        <v>80</v>
      </c>
      <c r="J126" s="99" t="s">
        <v>36</v>
      </c>
      <c r="K126" s="99">
        <v>0.18</v>
      </c>
      <c r="L126" s="99" t="s">
        <v>307</v>
      </c>
      <c r="M126" s="99" t="s">
        <v>308</v>
      </c>
      <c r="N126" s="102" t="s">
        <v>309</v>
      </c>
      <c r="O126" s="98"/>
      <c r="P126" s="98" t="s">
        <v>310</v>
      </c>
      <c r="Q126" s="730">
        <v>41.301699999999997</v>
      </c>
      <c r="R126" s="845">
        <v>-85.07</v>
      </c>
      <c r="S126" s="98" t="s">
        <v>63</v>
      </c>
      <c r="T126" s="98" t="s">
        <v>1568</v>
      </c>
      <c r="U126" s="98" t="s">
        <v>50</v>
      </c>
      <c r="V126" s="97">
        <v>45233</v>
      </c>
      <c r="W126" s="103">
        <f>IF(AC126="Intr",0,G126*[1]Data!$B$53)</f>
        <v>7680</v>
      </c>
      <c r="X126" s="103">
        <f>IF(AC126="Intr",0,G126*[1]Data!$B$54)</f>
        <v>35840</v>
      </c>
      <c r="Y126" s="103">
        <f>IF(AC126="Intr",G126,G126*[1]Data!$B$55)</f>
        <v>7680</v>
      </c>
      <c r="Z126" s="103"/>
      <c r="AA126" s="103"/>
      <c r="AB126" s="103"/>
      <c r="AC126" s="98"/>
      <c r="AD126" s="98" t="s">
        <v>1570</v>
      </c>
      <c r="AE126" s="98"/>
      <c r="AF126" s="98"/>
      <c r="AG126" s="104"/>
      <c r="AH126" s="98" t="s">
        <v>1574</v>
      </c>
    </row>
    <row r="127" spans="1:34" x14ac:dyDescent="0.2">
      <c r="A127" s="97">
        <v>43837</v>
      </c>
      <c r="B127" s="98" t="s">
        <v>144</v>
      </c>
      <c r="C127" s="98">
        <v>2020</v>
      </c>
      <c r="D127" s="98" t="s">
        <v>4</v>
      </c>
      <c r="E127" s="99">
        <v>-6.37</v>
      </c>
      <c r="F127" s="99" t="s">
        <v>32</v>
      </c>
      <c r="G127" s="100">
        <v>509600</v>
      </c>
      <c r="H127" s="101">
        <v>69</v>
      </c>
      <c r="I127" s="99" t="s">
        <v>80</v>
      </c>
      <c r="J127" s="99" t="s">
        <v>38</v>
      </c>
      <c r="K127" s="99">
        <v>0.02</v>
      </c>
      <c r="L127" s="99" t="s">
        <v>307</v>
      </c>
      <c r="M127" s="99" t="s">
        <v>308</v>
      </c>
      <c r="N127" s="102" t="s">
        <v>309</v>
      </c>
      <c r="O127" s="98"/>
      <c r="P127" s="98" t="s">
        <v>310</v>
      </c>
      <c r="Q127" s="730">
        <v>41.301699999999997</v>
      </c>
      <c r="R127" s="845">
        <v>-85.07</v>
      </c>
      <c r="S127" s="98" t="s">
        <v>63</v>
      </c>
      <c r="T127" s="98" t="s">
        <v>1568</v>
      </c>
      <c r="U127" s="98" t="s">
        <v>50</v>
      </c>
      <c r="V127" s="97">
        <v>45233</v>
      </c>
      <c r="W127" s="103">
        <f>IF(AC127="Intr",0,G127*[1]Data!$B$53)</f>
        <v>76440</v>
      </c>
      <c r="X127" s="103">
        <f>IF(AC127="Intr",0,G127*[1]Data!$B$54)</f>
        <v>356720</v>
      </c>
      <c r="Y127" s="103">
        <f>IF(AC127="Intr",G127,G127*[1]Data!$B$55)</f>
        <v>76440</v>
      </c>
      <c r="Z127" s="103"/>
      <c r="AA127" s="103"/>
      <c r="AB127" s="103"/>
      <c r="AC127" s="98"/>
      <c r="AD127" s="98" t="s">
        <v>1570</v>
      </c>
      <c r="AE127" s="98"/>
      <c r="AF127" s="98"/>
      <c r="AG127" s="104"/>
      <c r="AH127" s="98" t="s">
        <v>1575</v>
      </c>
    </row>
    <row r="128" spans="1:34" x14ac:dyDescent="0.2">
      <c r="A128" s="282">
        <v>43838</v>
      </c>
      <c r="B128" s="114" t="s">
        <v>144</v>
      </c>
      <c r="C128" s="114">
        <v>2020</v>
      </c>
      <c r="D128" s="114" t="s">
        <v>9</v>
      </c>
      <c r="E128" s="270">
        <v>-245</v>
      </c>
      <c r="F128" s="270" t="s">
        <v>33</v>
      </c>
      <c r="G128" s="283">
        <v>98000</v>
      </c>
      <c r="H128" s="284">
        <v>64</v>
      </c>
      <c r="I128" s="270" t="s">
        <v>80</v>
      </c>
      <c r="J128" s="270" t="s">
        <v>40</v>
      </c>
      <c r="K128" s="270">
        <v>245</v>
      </c>
      <c r="L128" s="270" t="s">
        <v>318</v>
      </c>
      <c r="M128" s="270" t="s">
        <v>319</v>
      </c>
      <c r="N128" s="285" t="s">
        <v>320</v>
      </c>
      <c r="O128" s="114"/>
      <c r="P128" s="114" t="s">
        <v>321</v>
      </c>
      <c r="Q128" s="750">
        <v>39.291739999999997</v>
      </c>
      <c r="R128" s="635">
        <v>-86.755350000000007</v>
      </c>
      <c r="S128" s="114" t="s">
        <v>61</v>
      </c>
      <c r="T128" s="114"/>
      <c r="U128" s="114" t="s">
        <v>51</v>
      </c>
      <c r="V128" s="282"/>
      <c r="W128" s="286">
        <f>IF(AC128="Intr",0,G128*Definitions!$B$53)</f>
        <v>14700</v>
      </c>
      <c r="X128" s="286">
        <f>IF(AC128="Intr",0,G128*Definitions!$B$54)</f>
        <v>68600</v>
      </c>
      <c r="Y128" s="286">
        <f>IF(AC128="Intr",G128,G128*Definitions!$B$55)</f>
        <v>14700</v>
      </c>
      <c r="Z128" s="286"/>
      <c r="AA128" s="286"/>
      <c r="AB128" s="286"/>
      <c r="AC128" s="114"/>
      <c r="AD128" s="114"/>
      <c r="AE128" s="114"/>
      <c r="AF128" s="114"/>
      <c r="AG128" s="287"/>
      <c r="AH128" s="114" t="s">
        <v>322</v>
      </c>
    </row>
    <row r="129" spans="1:34" x14ac:dyDescent="0.2">
      <c r="A129" s="58">
        <v>43844</v>
      </c>
      <c r="B129" s="59" t="s">
        <v>144</v>
      </c>
      <c r="C129" s="59">
        <v>2020</v>
      </c>
      <c r="D129" s="59" t="s">
        <v>11</v>
      </c>
      <c r="E129" s="60">
        <v>-342.6</v>
      </c>
      <c r="F129" s="60" t="s">
        <v>33</v>
      </c>
      <c r="G129" s="61">
        <v>137040</v>
      </c>
      <c r="H129" s="62">
        <v>62</v>
      </c>
      <c r="I129" s="60" t="s">
        <v>80</v>
      </c>
      <c r="J129" s="60" t="s">
        <v>41</v>
      </c>
      <c r="K129" s="60">
        <v>382.1</v>
      </c>
      <c r="L129" s="60" t="s">
        <v>987</v>
      </c>
      <c r="M129" s="60" t="s">
        <v>323</v>
      </c>
      <c r="N129" s="63" t="s">
        <v>324</v>
      </c>
      <c r="O129" s="59"/>
      <c r="P129" s="59" t="s">
        <v>325</v>
      </c>
      <c r="Q129" s="745">
        <v>38.039839999999998</v>
      </c>
      <c r="R129" s="637">
        <v>-87.244799999999998</v>
      </c>
      <c r="S129" s="59" t="s">
        <v>63</v>
      </c>
      <c r="T129" s="59"/>
      <c r="U129" s="59" t="s">
        <v>51</v>
      </c>
      <c r="V129" s="58"/>
      <c r="W129" s="65">
        <f>IF(AC129="Intr",0,G129*Definitions!$B$53)</f>
        <v>20556</v>
      </c>
      <c r="X129" s="65">
        <f>IF(AC129="Intr",0,G129*Definitions!$B$54)</f>
        <v>95928</v>
      </c>
      <c r="Y129" s="65">
        <f>IF(AC129="Intr",G129,G129*Definitions!$B$55)</f>
        <v>20556</v>
      </c>
      <c r="Z129" s="65"/>
      <c r="AA129" s="65"/>
      <c r="AB129" s="65"/>
      <c r="AC129" s="59"/>
      <c r="AD129" s="59"/>
      <c r="AE129" s="59"/>
      <c r="AF129" s="59"/>
      <c r="AG129" s="66"/>
      <c r="AH129" s="59" t="s">
        <v>326</v>
      </c>
    </row>
    <row r="130" spans="1:34" x14ac:dyDescent="0.2">
      <c r="A130" s="176">
        <v>43860</v>
      </c>
      <c r="B130" s="38" t="s">
        <v>144</v>
      </c>
      <c r="C130" s="38">
        <v>2020</v>
      </c>
      <c r="D130" s="38" t="s">
        <v>1</v>
      </c>
      <c r="E130" s="177">
        <v>-0.43</v>
      </c>
      <c r="F130" s="177" t="s">
        <v>32</v>
      </c>
      <c r="G130" s="178">
        <v>40850</v>
      </c>
      <c r="H130" s="179">
        <v>41</v>
      </c>
      <c r="I130" s="177" t="s">
        <v>80</v>
      </c>
      <c r="J130" s="177" t="s">
        <v>36</v>
      </c>
      <c r="K130" s="177">
        <v>0.23</v>
      </c>
      <c r="L130" s="177" t="s">
        <v>327</v>
      </c>
      <c r="M130" s="177" t="s">
        <v>328</v>
      </c>
      <c r="N130" s="70" t="s">
        <v>329</v>
      </c>
      <c r="O130" s="38"/>
      <c r="P130" s="38" t="s">
        <v>227</v>
      </c>
      <c r="Q130" s="760">
        <v>41.46067</v>
      </c>
      <c r="R130" s="590">
        <v>-87.405949000000007</v>
      </c>
      <c r="S130" s="38" t="s">
        <v>61</v>
      </c>
      <c r="T130" s="38"/>
      <c r="U130" s="38" t="s">
        <v>51</v>
      </c>
      <c r="V130" s="37"/>
      <c r="W130" s="180">
        <f>IF(AC130="Intr",0,G130*Definitions!$B$53)</f>
        <v>6127.5</v>
      </c>
      <c r="X130" s="180">
        <f>IF(AC130="Intr",0,G130*Definitions!$B$54)</f>
        <v>28595</v>
      </c>
      <c r="Y130" s="180">
        <f>IF(AC130="Intr",G130,G130*Definitions!$B$55)</f>
        <v>6127.5</v>
      </c>
      <c r="Z130" s="180"/>
      <c r="AA130" s="180"/>
      <c r="AB130" s="180"/>
      <c r="AC130" s="38"/>
      <c r="AD130" s="38"/>
      <c r="AE130" s="38"/>
      <c r="AF130" s="38"/>
      <c r="AG130" s="40"/>
      <c r="AH130" s="38" t="s">
        <v>348</v>
      </c>
    </row>
    <row r="131" spans="1:34" x14ac:dyDescent="0.2">
      <c r="A131" s="307">
        <v>43866</v>
      </c>
      <c r="B131" s="308" t="s">
        <v>163</v>
      </c>
      <c r="C131" s="308">
        <v>2020</v>
      </c>
      <c r="D131" s="308" t="s">
        <v>4</v>
      </c>
      <c r="E131" s="309">
        <v>-740</v>
      </c>
      <c r="F131" s="309" t="s">
        <v>33</v>
      </c>
      <c r="G131" s="310">
        <v>333000</v>
      </c>
      <c r="H131" s="311">
        <v>71</v>
      </c>
      <c r="I131" s="309" t="s">
        <v>80</v>
      </c>
      <c r="J131" s="309" t="s">
        <v>39</v>
      </c>
      <c r="K131" s="309">
        <v>996</v>
      </c>
      <c r="L131" s="309" t="s">
        <v>330</v>
      </c>
      <c r="M131" s="309" t="s">
        <v>331</v>
      </c>
      <c r="N131" s="312" t="s">
        <v>332</v>
      </c>
      <c r="O131" s="308"/>
      <c r="P131" s="308" t="s">
        <v>255</v>
      </c>
      <c r="Q131" s="737">
        <v>41.082869000000002</v>
      </c>
      <c r="R131" s="651">
        <v>-85.149878000000001</v>
      </c>
      <c r="S131" s="308" t="s">
        <v>61</v>
      </c>
      <c r="T131" s="308"/>
      <c r="U131" s="308" t="s">
        <v>51</v>
      </c>
      <c r="V131" s="307"/>
      <c r="W131" s="313">
        <f>IF(AC131="Intr",0,G131*Definitions!$B$53)</f>
        <v>49950</v>
      </c>
      <c r="X131" s="313">
        <f>IF(AC131="Intr",0,G131*Definitions!$B$54)</f>
        <v>233099.99999999997</v>
      </c>
      <c r="Y131" s="313">
        <f>IF(AC131="Intr",G131,G131*Definitions!$B$55)</f>
        <v>49950</v>
      </c>
      <c r="Z131" s="313"/>
      <c r="AA131" s="313"/>
      <c r="AB131" s="313"/>
      <c r="AC131" s="308"/>
      <c r="AD131" s="308"/>
      <c r="AE131" s="308"/>
      <c r="AF131" s="308"/>
      <c r="AG131" s="314"/>
      <c r="AH131" s="308"/>
    </row>
    <row r="132" spans="1:34" x14ac:dyDescent="0.2">
      <c r="A132" s="307">
        <v>43866</v>
      </c>
      <c r="B132" s="308" t="s">
        <v>163</v>
      </c>
      <c r="C132" s="308">
        <v>2020</v>
      </c>
      <c r="D132" s="308" t="s">
        <v>4</v>
      </c>
      <c r="E132" s="309">
        <v>-1.1085</v>
      </c>
      <c r="F132" s="309" t="s">
        <v>32</v>
      </c>
      <c r="G132" s="310">
        <v>88680</v>
      </c>
      <c r="H132" s="311">
        <v>71</v>
      </c>
      <c r="I132" s="309" t="s">
        <v>80</v>
      </c>
      <c r="J132" s="309" t="s">
        <v>38</v>
      </c>
      <c r="K132" s="309">
        <v>0.26</v>
      </c>
      <c r="L132" s="309" t="s">
        <v>330</v>
      </c>
      <c r="M132" s="309" t="s">
        <v>331</v>
      </c>
      <c r="N132" s="312" t="s">
        <v>332</v>
      </c>
      <c r="O132" s="308"/>
      <c r="P132" s="308" t="s">
        <v>255</v>
      </c>
      <c r="Q132" s="737">
        <v>41.082869000000002</v>
      </c>
      <c r="R132" s="651">
        <v>-85.149878000000001</v>
      </c>
      <c r="S132" s="308" t="s">
        <v>61</v>
      </c>
      <c r="T132" s="308"/>
      <c r="U132" s="308" t="s">
        <v>51</v>
      </c>
      <c r="V132" s="307"/>
      <c r="W132" s="313">
        <f>IF(AC132="Intr",0,G132*Definitions!$B$53)</f>
        <v>13302</v>
      </c>
      <c r="X132" s="313">
        <f>IF(AC132="Intr",0,G132*Definitions!$B$54)</f>
        <v>62075.999999999993</v>
      </c>
      <c r="Y132" s="313">
        <f>IF(AC132="Intr",G132,G132*Definitions!$B$55)</f>
        <v>13302</v>
      </c>
      <c r="Z132" s="313"/>
      <c r="AA132" s="313"/>
      <c r="AB132" s="313"/>
      <c r="AC132" s="308"/>
      <c r="AD132" s="308"/>
      <c r="AE132" s="308"/>
      <c r="AF132" s="308"/>
      <c r="AG132" s="314"/>
      <c r="AH132" s="308"/>
    </row>
    <row r="133" spans="1:34" x14ac:dyDescent="0.2">
      <c r="A133" s="58">
        <v>43866</v>
      </c>
      <c r="B133" s="59" t="s">
        <v>163</v>
      </c>
      <c r="C133" s="59">
        <v>2020</v>
      </c>
      <c r="D133" s="59" t="s">
        <v>5</v>
      </c>
      <c r="E133" s="60">
        <v>-174</v>
      </c>
      <c r="F133" s="60" t="s">
        <v>33</v>
      </c>
      <c r="G133" s="61">
        <v>69600</v>
      </c>
      <c r="H133" s="62">
        <v>75</v>
      </c>
      <c r="I133" s="60" t="s">
        <v>80</v>
      </c>
      <c r="J133" s="60" t="s">
        <v>39</v>
      </c>
      <c r="K133" s="60">
        <v>174</v>
      </c>
      <c r="L133" s="60" t="s">
        <v>333</v>
      </c>
      <c r="M133" s="60" t="s">
        <v>334</v>
      </c>
      <c r="N133" s="63" t="s">
        <v>335</v>
      </c>
      <c r="O133" s="59"/>
      <c r="P133" s="59" t="s">
        <v>255</v>
      </c>
      <c r="Q133" s="745">
        <v>41.078288999999998</v>
      </c>
      <c r="R133" s="637">
        <v>-85.225233000000003</v>
      </c>
      <c r="S133" s="59" t="s">
        <v>61</v>
      </c>
      <c r="T133" s="59"/>
      <c r="U133" s="59" t="s">
        <v>51</v>
      </c>
      <c r="V133" s="58"/>
      <c r="W133" s="65">
        <f>IF(AC133="Intr",0,G133*Definitions!$B$53)</f>
        <v>10440</v>
      </c>
      <c r="X133" s="65">
        <f>IF(AC133="Intr",0,G133*Definitions!$B$54)</f>
        <v>48720</v>
      </c>
      <c r="Y133" s="65">
        <f>IF(AC133="Intr",G133,G133*Definitions!$B$55)</f>
        <v>10440</v>
      </c>
      <c r="Z133" s="65"/>
      <c r="AA133" s="65"/>
      <c r="AB133" s="65"/>
      <c r="AC133" s="59"/>
      <c r="AD133" s="59"/>
      <c r="AE133" s="59"/>
      <c r="AF133" s="59"/>
      <c r="AG133" s="66"/>
      <c r="AH133" s="59" t="s">
        <v>336</v>
      </c>
    </row>
    <row r="134" spans="1:34" x14ac:dyDescent="0.2">
      <c r="A134" s="45">
        <v>43880</v>
      </c>
      <c r="B134" s="46" t="s">
        <v>163</v>
      </c>
      <c r="C134" s="46">
        <v>2020</v>
      </c>
      <c r="D134" s="46" t="s">
        <v>1</v>
      </c>
      <c r="E134" s="181">
        <v>-0.74099999999999999</v>
      </c>
      <c r="F134" s="181" t="s">
        <v>32</v>
      </c>
      <c r="G134" s="182">
        <v>70395</v>
      </c>
      <c r="H134" s="183">
        <v>76</v>
      </c>
      <c r="I134" s="181" t="s">
        <v>80</v>
      </c>
      <c r="J134" s="181" t="s">
        <v>36</v>
      </c>
      <c r="K134" s="181">
        <v>0.49399999999999999</v>
      </c>
      <c r="L134" s="181" t="s">
        <v>345</v>
      </c>
      <c r="M134" s="181" t="s">
        <v>346</v>
      </c>
      <c r="N134" s="76" t="s">
        <v>347</v>
      </c>
      <c r="O134" s="46"/>
      <c r="P134" s="46" t="s">
        <v>227</v>
      </c>
      <c r="Q134" s="761">
        <v>41.420119999999997</v>
      </c>
      <c r="R134" s="660">
        <v>-87.31165</v>
      </c>
      <c r="S134" s="46" t="s">
        <v>63</v>
      </c>
      <c r="T134" s="46"/>
      <c r="U134" s="46" t="s">
        <v>51</v>
      </c>
      <c r="V134" s="45"/>
      <c r="W134" s="47">
        <f>IF(AC134="Intr",0,G134*Definitions!$B$53)</f>
        <v>10559.25</v>
      </c>
      <c r="X134" s="47">
        <f>IF(AC134="Intr",0,G134*Definitions!$B$54)</f>
        <v>49276.5</v>
      </c>
      <c r="Y134" s="47">
        <f>IF(AC134="Intr",G134,G134*Definitions!$B$55)</f>
        <v>10559.25</v>
      </c>
      <c r="Z134" s="47"/>
      <c r="AA134" s="47"/>
      <c r="AB134" s="47"/>
      <c r="AC134" s="46"/>
      <c r="AD134" s="46"/>
      <c r="AE134" s="46"/>
      <c r="AF134" s="46"/>
      <c r="AG134" s="48"/>
      <c r="AH134" s="46"/>
    </row>
    <row r="135" spans="1:34" x14ac:dyDescent="0.2">
      <c r="A135" s="97">
        <v>43880</v>
      </c>
      <c r="B135" s="98" t="s">
        <v>163</v>
      </c>
      <c r="C135" s="98">
        <v>2020</v>
      </c>
      <c r="D135" s="98" t="s">
        <v>7</v>
      </c>
      <c r="E135" s="99">
        <v>-0.504</v>
      </c>
      <c r="F135" s="99" t="s">
        <v>32</v>
      </c>
      <c r="G135" s="100">
        <v>40320</v>
      </c>
      <c r="H135" s="101">
        <v>80</v>
      </c>
      <c r="I135" s="99" t="s">
        <v>80</v>
      </c>
      <c r="J135" s="99" t="s">
        <v>36</v>
      </c>
      <c r="K135" s="99">
        <v>0.21</v>
      </c>
      <c r="L135" s="99" t="s">
        <v>337</v>
      </c>
      <c r="M135" s="99" t="s">
        <v>338</v>
      </c>
      <c r="N135" s="102" t="s">
        <v>339</v>
      </c>
      <c r="O135" s="98"/>
      <c r="P135" s="98" t="s">
        <v>162</v>
      </c>
      <c r="Q135" s="730">
        <v>39.624200000000002</v>
      </c>
      <c r="R135" s="645">
        <v>-86.468299999999999</v>
      </c>
      <c r="S135" s="98" t="s">
        <v>61</v>
      </c>
      <c r="T135" s="98" t="s">
        <v>1563</v>
      </c>
      <c r="U135" s="98" t="s">
        <v>50</v>
      </c>
      <c r="V135" s="97">
        <v>45265</v>
      </c>
      <c r="W135" s="103">
        <f>IF(AC135="Intr",0,G135*[1]Data!$B$53)</f>
        <v>6048</v>
      </c>
      <c r="X135" s="103">
        <f>IF(AC135="Intr",0,G135*[1]Data!$B$54)</f>
        <v>28224</v>
      </c>
      <c r="Y135" s="103">
        <f>IF(AC135="Intr",G135,G135*[1]Data!$B$55)</f>
        <v>6048</v>
      </c>
      <c r="Z135" s="103"/>
      <c r="AA135" s="103"/>
      <c r="AB135" s="103"/>
      <c r="AC135" s="98"/>
      <c r="AD135" s="98" t="s">
        <v>1564</v>
      </c>
      <c r="AE135" s="98"/>
      <c r="AF135" s="98"/>
      <c r="AG135" s="104"/>
      <c r="AH135" s="98" t="s">
        <v>1576</v>
      </c>
    </row>
    <row r="136" spans="1:34" x14ac:dyDescent="0.2">
      <c r="A136" s="97">
        <v>43880</v>
      </c>
      <c r="B136" s="98" t="s">
        <v>163</v>
      </c>
      <c r="C136" s="98">
        <v>2020</v>
      </c>
      <c r="D136" s="98" t="s">
        <v>7</v>
      </c>
      <c r="E136" s="99">
        <v>-0.11</v>
      </c>
      <c r="F136" s="99" t="s">
        <v>32</v>
      </c>
      <c r="G136" s="100">
        <v>8800</v>
      </c>
      <c r="H136" s="101">
        <v>80</v>
      </c>
      <c r="I136" s="99" t="s">
        <v>80</v>
      </c>
      <c r="J136" s="99" t="s">
        <v>37</v>
      </c>
      <c r="K136" s="99">
        <v>0.03</v>
      </c>
      <c r="L136" s="99" t="s">
        <v>337</v>
      </c>
      <c r="M136" s="99" t="s">
        <v>338</v>
      </c>
      <c r="N136" s="102" t="s">
        <v>339</v>
      </c>
      <c r="O136" s="98"/>
      <c r="P136" s="98" t="s">
        <v>162</v>
      </c>
      <c r="Q136" s="730">
        <v>39.624200000000002</v>
      </c>
      <c r="R136" s="645">
        <v>-86.468299999999999</v>
      </c>
      <c r="S136" s="98" t="s">
        <v>61</v>
      </c>
      <c r="T136" s="98" t="s">
        <v>1563</v>
      </c>
      <c r="U136" s="98" t="s">
        <v>50</v>
      </c>
      <c r="V136" s="97">
        <v>45265</v>
      </c>
      <c r="W136" s="103">
        <f>IF(AC136="Intr",0,G136*[1]Data!$B$53)</f>
        <v>1320</v>
      </c>
      <c r="X136" s="103">
        <f>IF(AC136="Intr",0,G136*[1]Data!$B$54)</f>
        <v>6160</v>
      </c>
      <c r="Y136" s="103">
        <f>IF(AC136="Intr",G136,G136*[1]Data!$B$55)</f>
        <v>1320</v>
      </c>
      <c r="Z136" s="103"/>
      <c r="AA136" s="103"/>
      <c r="AB136" s="103"/>
      <c r="AC136" s="98"/>
      <c r="AD136" s="98" t="s">
        <v>1564</v>
      </c>
      <c r="AE136" s="98"/>
      <c r="AF136" s="98"/>
      <c r="AG136" s="104"/>
      <c r="AH136" s="98" t="s">
        <v>1576</v>
      </c>
    </row>
    <row r="137" spans="1:34" x14ac:dyDescent="0.2">
      <c r="A137" s="97">
        <v>43880</v>
      </c>
      <c r="B137" s="98" t="s">
        <v>163</v>
      </c>
      <c r="C137" s="98">
        <v>2020</v>
      </c>
      <c r="D137" s="98" t="s">
        <v>7</v>
      </c>
      <c r="E137" s="99">
        <v>-1.042</v>
      </c>
      <c r="F137" s="99" t="s">
        <v>32</v>
      </c>
      <c r="G137" s="100">
        <v>83360</v>
      </c>
      <c r="H137" s="101">
        <v>80</v>
      </c>
      <c r="I137" s="99" t="s">
        <v>80</v>
      </c>
      <c r="J137" s="99" t="s">
        <v>38</v>
      </c>
      <c r="K137" s="99">
        <v>0.28999999999999998</v>
      </c>
      <c r="L137" s="99" t="s">
        <v>337</v>
      </c>
      <c r="M137" s="99" t="s">
        <v>338</v>
      </c>
      <c r="N137" s="102" t="s">
        <v>339</v>
      </c>
      <c r="O137" s="98"/>
      <c r="P137" s="98" t="s">
        <v>162</v>
      </c>
      <c r="Q137" s="730">
        <v>39.624200000000002</v>
      </c>
      <c r="R137" s="845">
        <v>-86.468299999999999</v>
      </c>
      <c r="S137" s="98" t="s">
        <v>61</v>
      </c>
      <c r="T137" s="98" t="s">
        <v>1563</v>
      </c>
      <c r="U137" s="98" t="s">
        <v>50</v>
      </c>
      <c r="V137" s="97">
        <v>45265</v>
      </c>
      <c r="W137" s="103">
        <f>IF(AC137="Intr",0,G137*[1]Data!$B$53)</f>
        <v>12504</v>
      </c>
      <c r="X137" s="103">
        <f>IF(AC137="Intr",0,G137*[1]Data!$B$54)</f>
        <v>58351.999999999993</v>
      </c>
      <c r="Y137" s="103">
        <f>IF(AC137="Intr",G137,G137*[1]Data!$B$55)</f>
        <v>12504</v>
      </c>
      <c r="Z137" s="103"/>
      <c r="AA137" s="103"/>
      <c r="AB137" s="103"/>
      <c r="AC137" s="98"/>
      <c r="AD137" s="98" t="s">
        <v>1564</v>
      </c>
      <c r="AE137" s="98"/>
      <c r="AF137" s="98"/>
      <c r="AG137" s="104"/>
      <c r="AH137" s="98" t="s">
        <v>1576</v>
      </c>
    </row>
    <row r="138" spans="1:34" ht="25.5" x14ac:dyDescent="0.2">
      <c r="A138" s="97">
        <v>43880</v>
      </c>
      <c r="B138" s="98" t="s">
        <v>163</v>
      </c>
      <c r="C138" s="98">
        <v>2020</v>
      </c>
      <c r="D138" s="98" t="s">
        <v>7</v>
      </c>
      <c r="E138" s="99">
        <v>-1.95</v>
      </c>
      <c r="F138" s="99" t="s">
        <v>32</v>
      </c>
      <c r="G138" s="100">
        <v>156000</v>
      </c>
      <c r="H138" s="101">
        <v>80</v>
      </c>
      <c r="I138" s="99" t="s">
        <v>81</v>
      </c>
      <c r="J138" s="99" t="s">
        <v>36</v>
      </c>
      <c r="K138" s="99">
        <v>1.95</v>
      </c>
      <c r="L138" s="99" t="s">
        <v>337</v>
      </c>
      <c r="M138" s="99" t="s">
        <v>103</v>
      </c>
      <c r="N138" s="102" t="s">
        <v>340</v>
      </c>
      <c r="O138" s="98"/>
      <c r="P138" s="98" t="s">
        <v>162</v>
      </c>
      <c r="Q138" s="730">
        <v>39.624200000000002</v>
      </c>
      <c r="R138" s="845">
        <v>-86.468299999999999</v>
      </c>
      <c r="S138" s="98" t="s">
        <v>61</v>
      </c>
      <c r="T138" s="98" t="s">
        <v>1563</v>
      </c>
      <c r="U138" s="98" t="s">
        <v>50</v>
      </c>
      <c r="V138" s="97">
        <v>45265</v>
      </c>
      <c r="W138" s="103">
        <f>IF(AC138="Intr",0,G138*[1]Data!$B$53)</f>
        <v>23400</v>
      </c>
      <c r="X138" s="103">
        <f>IF(AC138="Intr",0,G138*[1]Data!$B$54)</f>
        <v>109200</v>
      </c>
      <c r="Y138" s="103">
        <f>IF(AC138="Intr",G138,G138*[1]Data!$B$55)</f>
        <v>23400</v>
      </c>
      <c r="Z138" s="103"/>
      <c r="AA138" s="103"/>
      <c r="AB138" s="103"/>
      <c r="AC138" s="98"/>
      <c r="AD138" s="98" t="s">
        <v>1564</v>
      </c>
      <c r="AE138" s="98"/>
      <c r="AF138" s="98"/>
      <c r="AG138" s="104"/>
      <c r="AH138" s="106" t="s">
        <v>1577</v>
      </c>
    </row>
    <row r="139" spans="1:34" x14ac:dyDescent="0.2">
      <c r="A139" s="97">
        <v>43880</v>
      </c>
      <c r="B139" s="98" t="s">
        <v>163</v>
      </c>
      <c r="C139" s="98">
        <v>2020</v>
      </c>
      <c r="D139" s="98" t="s">
        <v>7</v>
      </c>
      <c r="E139" s="99">
        <v>-0.65</v>
      </c>
      <c r="F139" s="99" t="s">
        <v>32</v>
      </c>
      <c r="G139" s="100">
        <v>52000</v>
      </c>
      <c r="H139" s="101">
        <v>80</v>
      </c>
      <c r="I139" s="99" t="s">
        <v>81</v>
      </c>
      <c r="J139" s="99" t="s">
        <v>38</v>
      </c>
      <c r="K139" s="99">
        <v>0.26</v>
      </c>
      <c r="L139" s="99" t="s">
        <v>337</v>
      </c>
      <c r="M139" s="99" t="s">
        <v>103</v>
      </c>
      <c r="N139" s="102" t="s">
        <v>340</v>
      </c>
      <c r="O139" s="98"/>
      <c r="P139" s="98" t="s">
        <v>162</v>
      </c>
      <c r="Q139" s="730">
        <v>39.624200000000002</v>
      </c>
      <c r="R139" s="845">
        <v>-86.468299999999999</v>
      </c>
      <c r="S139" s="98" t="s">
        <v>61</v>
      </c>
      <c r="T139" s="98" t="s">
        <v>1563</v>
      </c>
      <c r="U139" s="98" t="s">
        <v>50</v>
      </c>
      <c r="V139" s="97">
        <v>45265</v>
      </c>
      <c r="W139" s="103">
        <f>IF(AC139="Intr",0,G139*[1]Data!$B$53)</f>
        <v>7800</v>
      </c>
      <c r="X139" s="103">
        <f>IF(AC139="Intr",0,G139*[1]Data!$B$54)</f>
        <v>36400</v>
      </c>
      <c r="Y139" s="103">
        <f>IF(AC139="Intr",G139,G139*[1]Data!$B$55)</f>
        <v>7800</v>
      </c>
      <c r="Z139" s="103"/>
      <c r="AA139" s="103"/>
      <c r="AB139" s="103"/>
      <c r="AC139" s="98"/>
      <c r="AD139" s="98" t="s">
        <v>1564</v>
      </c>
      <c r="AE139" s="98"/>
      <c r="AF139" s="98"/>
      <c r="AG139" s="104"/>
      <c r="AH139" s="98" t="s">
        <v>1578</v>
      </c>
    </row>
    <row r="140" spans="1:34" x14ac:dyDescent="0.2">
      <c r="A140" s="88">
        <v>43880</v>
      </c>
      <c r="B140" s="89" t="s">
        <v>163</v>
      </c>
      <c r="C140" s="89">
        <v>2020</v>
      </c>
      <c r="D140" s="89" t="s">
        <v>7</v>
      </c>
      <c r="E140" s="90">
        <v>-300</v>
      </c>
      <c r="F140" s="90" t="s">
        <v>33</v>
      </c>
      <c r="G140" s="91">
        <v>135000</v>
      </c>
      <c r="H140" s="92">
        <v>74</v>
      </c>
      <c r="I140" s="90" t="s">
        <v>80</v>
      </c>
      <c r="J140" s="90" t="s">
        <v>40</v>
      </c>
      <c r="K140" s="90">
        <v>333.3</v>
      </c>
      <c r="L140" s="90" t="s">
        <v>341</v>
      </c>
      <c r="M140" s="90" t="s">
        <v>342</v>
      </c>
      <c r="N140" s="93" t="s">
        <v>343</v>
      </c>
      <c r="O140" s="89"/>
      <c r="P140" s="89" t="s">
        <v>117</v>
      </c>
      <c r="Q140" s="735">
        <v>39.939478000000001</v>
      </c>
      <c r="R140" s="851">
        <v>-86.259861000000001</v>
      </c>
      <c r="S140" s="89" t="s">
        <v>63</v>
      </c>
      <c r="T140" s="89"/>
      <c r="U140" s="89" t="s">
        <v>51</v>
      </c>
      <c r="V140" s="88"/>
      <c r="W140" s="95">
        <f>IF(AC140="Intr",0,G140*Definitions!$B$53)</f>
        <v>20250</v>
      </c>
      <c r="X140" s="95">
        <f>IF(AC140="Intr",0,G140*Definitions!$B$54)</f>
        <v>94500</v>
      </c>
      <c r="Y140" s="95">
        <f>IF(AC140="Intr",G140,G140*Definitions!$B$55)</f>
        <v>20250</v>
      </c>
      <c r="Z140" s="95"/>
      <c r="AA140" s="95"/>
      <c r="AB140" s="95"/>
      <c r="AC140" s="89"/>
      <c r="AD140" s="89"/>
      <c r="AE140" s="89"/>
      <c r="AF140" s="89"/>
      <c r="AG140" s="96"/>
      <c r="AH140" s="89" t="s">
        <v>344</v>
      </c>
    </row>
    <row r="141" spans="1:34" x14ac:dyDescent="0.2">
      <c r="A141" s="29">
        <v>43888</v>
      </c>
      <c r="B141" s="30" t="s">
        <v>163</v>
      </c>
      <c r="C141" s="30">
        <v>2020</v>
      </c>
      <c r="D141" s="30" t="s">
        <v>6</v>
      </c>
      <c r="E141" s="217">
        <v>-0.18</v>
      </c>
      <c r="F141" s="217" t="s">
        <v>32</v>
      </c>
      <c r="G141" s="218">
        <v>14400</v>
      </c>
      <c r="H141" s="219">
        <v>77</v>
      </c>
      <c r="I141" s="217" t="s">
        <v>80</v>
      </c>
      <c r="J141" s="217" t="s">
        <v>37</v>
      </c>
      <c r="K141" s="217">
        <v>0.18</v>
      </c>
      <c r="L141" s="217" t="s">
        <v>349</v>
      </c>
      <c r="M141" s="217" t="s">
        <v>350</v>
      </c>
      <c r="N141" s="566" t="s">
        <v>351</v>
      </c>
      <c r="O141" s="569"/>
      <c r="P141" s="30" t="s">
        <v>352</v>
      </c>
      <c r="Q141" s="747">
        <v>40.418909999999997</v>
      </c>
      <c r="R141" s="852">
        <v>-87.442430000000002</v>
      </c>
      <c r="S141" s="30" t="s">
        <v>62</v>
      </c>
      <c r="T141" s="30"/>
      <c r="U141" s="30" t="s">
        <v>51</v>
      </c>
      <c r="V141" s="29"/>
      <c r="W141" s="31">
        <f>IF(AC141="Intr",0,G141*Definitions!$B$53)</f>
        <v>2160</v>
      </c>
      <c r="X141" s="31">
        <f>IF(AC141="Intr",0,G141*Definitions!$B$54)</f>
        <v>10080</v>
      </c>
      <c r="Y141" s="31">
        <f>IF(AC141="Intr",G141,G141*Definitions!$B$55)</f>
        <v>2160</v>
      </c>
      <c r="Z141" s="31"/>
      <c r="AA141" s="31"/>
      <c r="AB141" s="31"/>
      <c r="AC141" s="30"/>
      <c r="AD141" s="30"/>
      <c r="AE141" s="30"/>
      <c r="AF141" s="30"/>
      <c r="AG141" s="32"/>
      <c r="AH141" s="30" t="s">
        <v>357</v>
      </c>
    </row>
    <row r="142" spans="1:34" x14ac:dyDescent="0.2">
      <c r="A142" s="207">
        <v>43893</v>
      </c>
      <c r="B142" s="208" t="s">
        <v>173</v>
      </c>
      <c r="C142" s="208">
        <v>2020</v>
      </c>
      <c r="D142" s="208" t="s">
        <v>8</v>
      </c>
      <c r="E142" s="209">
        <v>-168</v>
      </c>
      <c r="F142" s="209" t="s">
        <v>33</v>
      </c>
      <c r="G142" s="210">
        <v>67200</v>
      </c>
      <c r="H142" s="211">
        <v>85</v>
      </c>
      <c r="I142" s="209" t="s">
        <v>80</v>
      </c>
      <c r="J142" s="209" t="s">
        <v>41</v>
      </c>
      <c r="K142" s="209">
        <v>140</v>
      </c>
      <c r="L142" s="209" t="s">
        <v>353</v>
      </c>
      <c r="M142" s="209" t="s">
        <v>354</v>
      </c>
      <c r="N142" s="212" t="s">
        <v>355</v>
      </c>
      <c r="O142" s="208"/>
      <c r="P142" s="208" t="s">
        <v>356</v>
      </c>
      <c r="Q142" s="749">
        <v>39.020642000000002</v>
      </c>
      <c r="R142" s="641">
        <v>-85.638099999999994</v>
      </c>
      <c r="S142" s="208" t="s">
        <v>61</v>
      </c>
      <c r="T142" s="208"/>
      <c r="U142" s="208" t="s">
        <v>51</v>
      </c>
      <c r="V142" s="207"/>
      <c r="W142" s="213">
        <f>IF(AC142="Intr",0,G142*Definitions!$B$53)</f>
        <v>10080</v>
      </c>
      <c r="X142" s="213">
        <f>IF(AC142="Intr",0,G142*Definitions!$B$54)</f>
        <v>47040</v>
      </c>
      <c r="Y142" s="213">
        <f>IF(AC142="Intr",G142,G142*Definitions!$B$55)</f>
        <v>10080</v>
      </c>
      <c r="Z142" s="213"/>
      <c r="AA142" s="213"/>
      <c r="AB142" s="213"/>
      <c r="AC142" s="208"/>
      <c r="AD142" s="208"/>
      <c r="AE142" s="208"/>
      <c r="AF142" s="208"/>
      <c r="AG142" s="214"/>
      <c r="AH142" s="208" t="s">
        <v>358</v>
      </c>
    </row>
    <row r="143" spans="1:34" x14ac:dyDescent="0.2">
      <c r="A143" s="207">
        <v>43893</v>
      </c>
      <c r="B143" s="208" t="s">
        <v>173</v>
      </c>
      <c r="C143" s="208">
        <v>2020</v>
      </c>
      <c r="D143" s="208" t="s">
        <v>8</v>
      </c>
      <c r="E143" s="209">
        <v>-1.2</v>
      </c>
      <c r="F143" s="209" t="s">
        <v>32</v>
      </c>
      <c r="G143" s="210">
        <v>96000</v>
      </c>
      <c r="H143" s="211">
        <v>85</v>
      </c>
      <c r="I143" s="209" t="s">
        <v>80</v>
      </c>
      <c r="J143" s="209" t="s">
        <v>36</v>
      </c>
      <c r="K143" s="209">
        <v>0.91</v>
      </c>
      <c r="L143" s="209" t="s">
        <v>353</v>
      </c>
      <c r="M143" s="209" t="s">
        <v>354</v>
      </c>
      <c r="N143" s="212" t="s">
        <v>355</v>
      </c>
      <c r="O143" s="208"/>
      <c r="P143" s="208" t="s">
        <v>356</v>
      </c>
      <c r="Q143" s="749">
        <v>39.020642000000002</v>
      </c>
      <c r="R143" s="641">
        <v>-85.638099999999994</v>
      </c>
      <c r="S143" s="208" t="s">
        <v>61</v>
      </c>
      <c r="T143" s="208"/>
      <c r="U143" s="208" t="s">
        <v>51</v>
      </c>
      <c r="V143" s="207"/>
      <c r="W143" s="213">
        <f>IF(AC143="Intr",0,G143*Definitions!$B$53)</f>
        <v>14400</v>
      </c>
      <c r="X143" s="213">
        <f>IF(AC143="Intr",0,G143*Definitions!$B$54)</f>
        <v>67200</v>
      </c>
      <c r="Y143" s="213">
        <f>IF(AC143="Intr",G143,G143*Definitions!$B$55)</f>
        <v>14400</v>
      </c>
      <c r="Z143" s="213"/>
      <c r="AA143" s="213"/>
      <c r="AB143" s="213"/>
      <c r="AC143" s="208"/>
      <c r="AD143" s="208"/>
      <c r="AE143" s="208"/>
      <c r="AF143" s="208"/>
      <c r="AG143" s="214"/>
      <c r="AH143" s="208" t="s">
        <v>358</v>
      </c>
    </row>
    <row r="144" spans="1:34" x14ac:dyDescent="0.2">
      <c r="A144" s="207">
        <v>43893</v>
      </c>
      <c r="B144" s="208" t="s">
        <v>173</v>
      </c>
      <c r="C144" s="208">
        <v>2020</v>
      </c>
      <c r="D144" s="208" t="s">
        <v>8</v>
      </c>
      <c r="E144" s="209">
        <v>-0.14000000000000001</v>
      </c>
      <c r="F144" s="209" t="s">
        <v>32</v>
      </c>
      <c r="G144" s="210">
        <v>11200</v>
      </c>
      <c r="H144" s="211">
        <v>85</v>
      </c>
      <c r="I144" s="209" t="s">
        <v>80</v>
      </c>
      <c r="J144" s="209" t="s">
        <v>37</v>
      </c>
      <c r="K144" s="209">
        <v>0.04</v>
      </c>
      <c r="L144" s="209" t="s">
        <v>353</v>
      </c>
      <c r="M144" s="209" t="s">
        <v>354</v>
      </c>
      <c r="N144" s="212" t="s">
        <v>355</v>
      </c>
      <c r="O144" s="208"/>
      <c r="P144" s="208" t="s">
        <v>356</v>
      </c>
      <c r="Q144" s="749">
        <v>39.020642000000002</v>
      </c>
      <c r="R144" s="641">
        <v>-85.638099999999994</v>
      </c>
      <c r="S144" s="208" t="s">
        <v>61</v>
      </c>
      <c r="T144" s="208"/>
      <c r="U144" s="208" t="s">
        <v>51</v>
      </c>
      <c r="V144" s="207"/>
      <c r="W144" s="213">
        <f>IF(AC144="Intr",0,G144*Definitions!$B$53)</f>
        <v>1680</v>
      </c>
      <c r="X144" s="213">
        <f>IF(AC144="Intr",0,G144*Definitions!$B$54)</f>
        <v>7839.9999999999991</v>
      </c>
      <c r="Y144" s="213">
        <f>IF(AC144="Intr",G144,G144*Definitions!$B$55)</f>
        <v>1680</v>
      </c>
      <c r="Z144" s="213"/>
      <c r="AA144" s="213"/>
      <c r="AB144" s="213"/>
      <c r="AC144" s="208"/>
      <c r="AD144" s="208"/>
      <c r="AE144" s="208"/>
      <c r="AF144" s="208"/>
      <c r="AG144" s="214"/>
      <c r="AH144" s="208" t="s">
        <v>358</v>
      </c>
    </row>
    <row r="145" spans="1:34" x14ac:dyDescent="0.2">
      <c r="A145" s="184">
        <v>43894</v>
      </c>
      <c r="B145" s="113" t="s">
        <v>173</v>
      </c>
      <c r="C145" s="113">
        <v>2020</v>
      </c>
      <c r="D145" s="113" t="s">
        <v>1</v>
      </c>
      <c r="E145" s="185">
        <v>-2.16</v>
      </c>
      <c r="F145" s="185" t="s">
        <v>32</v>
      </c>
      <c r="G145" s="186">
        <v>205200</v>
      </c>
      <c r="H145" s="187">
        <v>83</v>
      </c>
      <c r="I145" s="185" t="s">
        <v>80</v>
      </c>
      <c r="J145" s="185" t="s">
        <v>38</v>
      </c>
      <c r="K145" s="185">
        <v>0.9</v>
      </c>
      <c r="L145" s="185" t="s">
        <v>362</v>
      </c>
      <c r="M145" s="185" t="s">
        <v>363</v>
      </c>
      <c r="N145" s="188" t="s">
        <v>364</v>
      </c>
      <c r="O145" s="113"/>
      <c r="P145" s="113" t="s">
        <v>227</v>
      </c>
      <c r="Q145" s="762">
        <v>41.474299999999999</v>
      </c>
      <c r="R145" s="661">
        <v>-87.305679999999995</v>
      </c>
      <c r="S145" s="113" t="s">
        <v>61</v>
      </c>
      <c r="T145" s="113"/>
      <c r="U145" s="113" t="s">
        <v>51</v>
      </c>
      <c r="V145" s="184"/>
      <c r="W145" s="189">
        <f>IF(AC145="Intr",0,G145*Definitions!$B$53)</f>
        <v>30780</v>
      </c>
      <c r="X145" s="189">
        <f>IF(AC145="Intr",0,G145*Definitions!$B$54)</f>
        <v>143640</v>
      </c>
      <c r="Y145" s="189">
        <f>IF(AC145="Intr",G145,G145*Definitions!$B$55)</f>
        <v>30780</v>
      </c>
      <c r="Z145" s="189"/>
      <c r="AA145" s="189"/>
      <c r="AB145" s="189"/>
      <c r="AC145" s="113"/>
      <c r="AD145" s="113"/>
      <c r="AE145" s="113"/>
      <c r="AF145" s="113"/>
      <c r="AG145" s="190"/>
      <c r="AH145" s="113"/>
    </row>
    <row r="146" spans="1:34" x14ac:dyDescent="0.2">
      <c r="A146" s="282">
        <v>43895</v>
      </c>
      <c r="B146" s="114" t="s">
        <v>173</v>
      </c>
      <c r="C146" s="114">
        <v>2020</v>
      </c>
      <c r="D146" s="114" t="s">
        <v>11</v>
      </c>
      <c r="E146" s="270">
        <v>-1.76</v>
      </c>
      <c r="F146" s="270" t="s">
        <v>32</v>
      </c>
      <c r="G146" s="283">
        <v>140800</v>
      </c>
      <c r="H146" s="284">
        <v>87</v>
      </c>
      <c r="I146" s="270" t="s">
        <v>80</v>
      </c>
      <c r="J146" s="270" t="s">
        <v>38</v>
      </c>
      <c r="K146" s="270">
        <v>0.44</v>
      </c>
      <c r="L146" s="270" t="s">
        <v>359</v>
      </c>
      <c r="M146" s="270" t="s">
        <v>360</v>
      </c>
      <c r="N146" s="285" t="s">
        <v>361</v>
      </c>
      <c r="O146" s="114"/>
      <c r="P146" s="114" t="s">
        <v>89</v>
      </c>
      <c r="Q146" s="750">
        <v>37.954315999999999</v>
      </c>
      <c r="R146" s="635">
        <v>-87.570311000000004</v>
      </c>
      <c r="S146" s="114" t="s">
        <v>61</v>
      </c>
      <c r="T146" s="114"/>
      <c r="U146" s="114" t="s">
        <v>51</v>
      </c>
      <c r="V146" s="282"/>
      <c r="W146" s="286">
        <f>IF(AC146="Intr",0,G146*Definitions!$B$53)</f>
        <v>21120</v>
      </c>
      <c r="X146" s="286">
        <f>IF(AC146="Intr",0,G146*Definitions!$B$54)</f>
        <v>98560</v>
      </c>
      <c r="Y146" s="286">
        <f>IF(AC146="Intr",G146,G146*Definitions!$B$55)</f>
        <v>21120</v>
      </c>
      <c r="Z146" s="286"/>
      <c r="AA146" s="286"/>
      <c r="AB146" s="286"/>
      <c r="AC146" s="114"/>
      <c r="AD146" s="114"/>
      <c r="AE146" s="114"/>
      <c r="AF146" s="114"/>
      <c r="AG146" s="287"/>
      <c r="AH146" s="114"/>
    </row>
    <row r="147" spans="1:34" x14ac:dyDescent="0.2">
      <c r="A147" s="88">
        <v>43908</v>
      </c>
      <c r="B147" s="89" t="s">
        <v>173</v>
      </c>
      <c r="C147" s="89">
        <v>2020</v>
      </c>
      <c r="D147" s="89" t="s">
        <v>3</v>
      </c>
      <c r="E147" s="90">
        <v>-0.42</v>
      </c>
      <c r="F147" s="90" t="s">
        <v>32</v>
      </c>
      <c r="G147" s="91">
        <v>50400</v>
      </c>
      <c r="H147" s="92">
        <v>88</v>
      </c>
      <c r="I147" s="90" t="s">
        <v>80</v>
      </c>
      <c r="J147" s="90" t="s">
        <v>36</v>
      </c>
      <c r="K147" s="90">
        <v>0.21</v>
      </c>
      <c r="L147" s="90" t="s">
        <v>365</v>
      </c>
      <c r="M147" s="90" t="s">
        <v>366</v>
      </c>
      <c r="N147" s="93" t="s">
        <v>367</v>
      </c>
      <c r="O147" s="89"/>
      <c r="P147" s="89" t="s">
        <v>734</v>
      </c>
      <c r="Q147" s="735">
        <v>41.426081000000003</v>
      </c>
      <c r="R147" s="649">
        <v>-85.762451999999996</v>
      </c>
      <c r="S147" s="89" t="s">
        <v>61</v>
      </c>
      <c r="T147" s="89"/>
      <c r="U147" s="89" t="s">
        <v>51</v>
      </c>
      <c r="V147" s="88"/>
      <c r="W147" s="95">
        <f>IF(AC147="Intr",0,G147*Definitions!$B$53)</f>
        <v>7560</v>
      </c>
      <c r="X147" s="95">
        <f>IF(AC147="Intr",0,G147*Definitions!$B$54)</f>
        <v>35280</v>
      </c>
      <c r="Y147" s="95">
        <f>IF(AC147="Intr",G147,G147*Definitions!$B$55)</f>
        <v>7560</v>
      </c>
      <c r="Z147" s="95"/>
      <c r="AA147" s="95"/>
      <c r="AB147" s="95"/>
      <c r="AC147" s="89"/>
      <c r="AD147" s="89"/>
      <c r="AE147" s="89"/>
      <c r="AF147" s="89"/>
      <c r="AG147" s="96"/>
      <c r="AH147" s="89"/>
    </row>
    <row r="148" spans="1:34" x14ac:dyDescent="0.2">
      <c r="A148" s="97">
        <v>43908</v>
      </c>
      <c r="B148" s="98" t="s">
        <v>173</v>
      </c>
      <c r="C148" s="98">
        <v>2020</v>
      </c>
      <c r="D148" s="98" t="s">
        <v>7</v>
      </c>
      <c r="E148" s="99">
        <v>-0.03</v>
      </c>
      <c r="F148" s="99" t="s">
        <v>32</v>
      </c>
      <c r="G148" s="100">
        <v>2400</v>
      </c>
      <c r="H148" s="101">
        <v>89</v>
      </c>
      <c r="I148" s="99" t="s">
        <v>81</v>
      </c>
      <c r="J148" s="99" t="s">
        <v>36</v>
      </c>
      <c r="K148" s="99">
        <v>0.03</v>
      </c>
      <c r="L148" s="99" t="s">
        <v>368</v>
      </c>
      <c r="M148" s="99" t="s">
        <v>103</v>
      </c>
      <c r="N148" s="102" t="s">
        <v>369</v>
      </c>
      <c r="O148" s="98"/>
      <c r="P148" s="98" t="s">
        <v>137</v>
      </c>
      <c r="Q148" s="730">
        <v>40.044176999999998</v>
      </c>
      <c r="R148" s="645">
        <v>-86.156177999999997</v>
      </c>
      <c r="S148" s="98" t="s">
        <v>61</v>
      </c>
      <c r="T148" s="98" t="s">
        <v>1563</v>
      </c>
      <c r="U148" s="98" t="s">
        <v>50</v>
      </c>
      <c r="V148" s="97">
        <v>45265</v>
      </c>
      <c r="W148" s="103">
        <f>IF(AC148="Intr",0,G148*[1]Data!$B$53)</f>
        <v>360</v>
      </c>
      <c r="X148" s="103">
        <f>IF(AC148="Intr",0,G148*[1]Data!$B$54)</f>
        <v>1680</v>
      </c>
      <c r="Y148" s="103">
        <f>IF(AC148="Intr",G148,G148*[1]Data!$B$55)</f>
        <v>360</v>
      </c>
      <c r="Z148" s="103"/>
      <c r="AA148" s="103"/>
      <c r="AB148" s="103"/>
      <c r="AC148" s="98"/>
      <c r="AD148" s="98" t="s">
        <v>1564</v>
      </c>
      <c r="AE148" s="98"/>
      <c r="AF148" s="98"/>
      <c r="AG148" s="104"/>
      <c r="AH148" s="98" t="s">
        <v>1579</v>
      </c>
    </row>
    <row r="149" spans="1:34" x14ac:dyDescent="0.2">
      <c r="A149" s="29">
        <v>43914</v>
      </c>
      <c r="B149" s="30" t="s">
        <v>173</v>
      </c>
      <c r="C149" s="30">
        <v>2020</v>
      </c>
      <c r="D149" s="30" t="s">
        <v>9</v>
      </c>
      <c r="E149" s="217">
        <v>-186</v>
      </c>
      <c r="F149" s="217" t="s">
        <v>33</v>
      </c>
      <c r="G149" s="218">
        <v>74400</v>
      </c>
      <c r="H149" s="219">
        <v>81</v>
      </c>
      <c r="I149" s="217" t="s">
        <v>80</v>
      </c>
      <c r="J149" s="217" t="s">
        <v>40</v>
      </c>
      <c r="K149" s="217">
        <v>186</v>
      </c>
      <c r="L149" s="217" t="s">
        <v>987</v>
      </c>
      <c r="M149" s="217" t="s">
        <v>370</v>
      </c>
      <c r="N149" s="67" t="s">
        <v>371</v>
      </c>
      <c r="O149" s="30"/>
      <c r="P149" s="30" t="s">
        <v>313</v>
      </c>
      <c r="Q149" s="747">
        <v>38.94744</v>
      </c>
      <c r="R149" s="636">
        <v>-86.124170000000007</v>
      </c>
      <c r="S149" s="30" t="s">
        <v>63</v>
      </c>
      <c r="T149" s="30"/>
      <c r="U149" s="30" t="s">
        <v>51</v>
      </c>
      <c r="V149" s="29"/>
      <c r="W149" s="31">
        <f>IF(AC149="Intr",0,G149*Definitions!$B$53)</f>
        <v>11160</v>
      </c>
      <c r="X149" s="31">
        <f>IF(AC149="Intr",0,G149*Definitions!$B$54)</f>
        <v>52080</v>
      </c>
      <c r="Y149" s="31">
        <f>IF(AC149="Intr",G149,G149*Definitions!$B$55)</f>
        <v>11160</v>
      </c>
      <c r="Z149" s="31"/>
      <c r="AA149" s="31"/>
      <c r="AB149" s="31"/>
      <c r="AC149" s="30"/>
      <c r="AD149" s="30"/>
      <c r="AE149" s="30"/>
      <c r="AF149" s="30"/>
      <c r="AG149" s="32"/>
      <c r="AH149" s="30" t="s">
        <v>372</v>
      </c>
    </row>
    <row r="150" spans="1:34" x14ac:dyDescent="0.2">
      <c r="A150" s="29">
        <v>43914</v>
      </c>
      <c r="B150" s="30" t="s">
        <v>173</v>
      </c>
      <c r="C150" s="30">
        <v>2020</v>
      </c>
      <c r="D150" s="30" t="s">
        <v>9</v>
      </c>
      <c r="E150" s="217">
        <v>-86</v>
      </c>
      <c r="F150" s="217" t="s">
        <v>33</v>
      </c>
      <c r="G150" s="218">
        <v>34400</v>
      </c>
      <c r="H150" s="219">
        <v>81</v>
      </c>
      <c r="I150" s="217" t="s">
        <v>80</v>
      </c>
      <c r="J150" s="217" t="s">
        <v>39</v>
      </c>
      <c r="K150" s="217">
        <v>86</v>
      </c>
      <c r="L150" s="217" t="s">
        <v>987</v>
      </c>
      <c r="M150" s="217" t="s">
        <v>370</v>
      </c>
      <c r="N150" s="67" t="s">
        <v>371</v>
      </c>
      <c r="O150" s="30"/>
      <c r="P150" s="30" t="s">
        <v>313</v>
      </c>
      <c r="Q150" s="747">
        <v>38.94744</v>
      </c>
      <c r="R150" s="636">
        <v>-86.124170000000007</v>
      </c>
      <c r="S150" s="30" t="s">
        <v>63</v>
      </c>
      <c r="T150" s="30"/>
      <c r="U150" s="30" t="s">
        <v>51</v>
      </c>
      <c r="V150" s="29"/>
      <c r="W150" s="31">
        <f>IF(AC150="Intr",0,G150*Definitions!$B$53)</f>
        <v>5160</v>
      </c>
      <c r="X150" s="31">
        <f>IF(AC150="Intr",0,G150*Definitions!$B$54)</f>
        <v>24080</v>
      </c>
      <c r="Y150" s="31">
        <f>IF(AC150="Intr",G150,G150*Definitions!$B$55)</f>
        <v>5160</v>
      </c>
      <c r="Z150" s="31"/>
      <c r="AA150" s="31"/>
      <c r="AB150" s="31"/>
      <c r="AC150" s="30"/>
      <c r="AD150" s="30"/>
      <c r="AE150" s="30"/>
      <c r="AF150" s="30"/>
      <c r="AG150" s="32"/>
      <c r="AH150" s="30" t="s">
        <v>372</v>
      </c>
    </row>
    <row r="151" spans="1:34" x14ac:dyDescent="0.2">
      <c r="A151" s="207">
        <v>43914</v>
      </c>
      <c r="B151" s="208" t="s">
        <v>173</v>
      </c>
      <c r="C151" s="208">
        <v>2020</v>
      </c>
      <c r="D151" s="208" t="s">
        <v>9</v>
      </c>
      <c r="E151" s="209">
        <v>-500</v>
      </c>
      <c r="F151" s="209" t="s">
        <v>33</v>
      </c>
      <c r="G151" s="210">
        <v>200000</v>
      </c>
      <c r="H151" s="211">
        <v>78</v>
      </c>
      <c r="I151" s="209" t="s">
        <v>80</v>
      </c>
      <c r="J151" s="209" t="s">
        <v>41</v>
      </c>
      <c r="K151" s="209">
        <v>417</v>
      </c>
      <c r="L151" s="209" t="s">
        <v>987</v>
      </c>
      <c r="M151" s="209" t="s">
        <v>373</v>
      </c>
      <c r="N151" s="212" t="s">
        <v>374</v>
      </c>
      <c r="O151" s="208"/>
      <c r="P151" s="208" t="s">
        <v>375</v>
      </c>
      <c r="Q151" s="749">
        <v>38.480975000000001</v>
      </c>
      <c r="R151" s="641">
        <v>-86.864420999999993</v>
      </c>
      <c r="S151" s="208" t="s">
        <v>63</v>
      </c>
      <c r="T151" s="208"/>
      <c r="U151" s="208" t="s">
        <v>51</v>
      </c>
      <c r="V151" s="207"/>
      <c r="W151" s="213">
        <f>IF(AC151="Intr",0,G151*Definitions!$B$53)</f>
        <v>30000</v>
      </c>
      <c r="X151" s="213">
        <f>IF(AC151="Intr",0,G151*Definitions!$B$54)</f>
        <v>140000</v>
      </c>
      <c r="Y151" s="213">
        <f>IF(AC151="Intr",G151,G151*Definitions!$B$55)</f>
        <v>30000</v>
      </c>
      <c r="Z151" s="213"/>
      <c r="AA151" s="213"/>
      <c r="AB151" s="213"/>
      <c r="AC151" s="208"/>
      <c r="AD151" s="208"/>
      <c r="AE151" s="208"/>
      <c r="AF151" s="208"/>
      <c r="AG151" s="214"/>
      <c r="AH151" s="208"/>
    </row>
    <row r="152" spans="1:34" x14ac:dyDescent="0.2">
      <c r="A152" s="207">
        <v>43914</v>
      </c>
      <c r="B152" s="208" t="s">
        <v>173</v>
      </c>
      <c r="C152" s="208">
        <v>2020</v>
      </c>
      <c r="D152" s="208" t="s">
        <v>9</v>
      </c>
      <c r="E152" s="209">
        <v>-74</v>
      </c>
      <c r="F152" s="209" t="s">
        <v>33</v>
      </c>
      <c r="G152" s="210">
        <v>29600</v>
      </c>
      <c r="H152" s="211">
        <v>78</v>
      </c>
      <c r="I152" s="209" t="s">
        <v>80</v>
      </c>
      <c r="J152" s="209" t="s">
        <v>40</v>
      </c>
      <c r="K152" s="209">
        <v>62</v>
      </c>
      <c r="L152" s="209" t="s">
        <v>987</v>
      </c>
      <c r="M152" s="209" t="s">
        <v>373</v>
      </c>
      <c r="N152" s="212" t="s">
        <v>374</v>
      </c>
      <c r="O152" s="208"/>
      <c r="P152" s="208" t="s">
        <v>375</v>
      </c>
      <c r="Q152" s="763">
        <v>38.480975000000001</v>
      </c>
      <c r="R152" s="641">
        <v>-86.864420999999993</v>
      </c>
      <c r="S152" s="208" t="s">
        <v>63</v>
      </c>
      <c r="T152" s="208"/>
      <c r="U152" s="208" t="s">
        <v>51</v>
      </c>
      <c r="V152" s="207"/>
      <c r="W152" s="213">
        <f>IF(AC152="Intr",0,G152*Definitions!$B$53)</f>
        <v>4440</v>
      </c>
      <c r="X152" s="213">
        <f>IF(AC152="Intr",0,G152*Definitions!$B$54)</f>
        <v>20720</v>
      </c>
      <c r="Y152" s="213">
        <f>IF(AC152="Intr",G152,G152*Definitions!$B$55)</f>
        <v>4440</v>
      </c>
      <c r="Z152" s="213"/>
      <c r="AA152" s="213"/>
      <c r="AB152" s="213"/>
      <c r="AC152" s="208"/>
      <c r="AD152" s="208"/>
      <c r="AE152" s="208"/>
      <c r="AF152" s="208"/>
      <c r="AG152" s="214"/>
      <c r="AH152" s="208"/>
    </row>
    <row r="153" spans="1:34" x14ac:dyDescent="0.2">
      <c r="A153" s="97">
        <v>43914</v>
      </c>
      <c r="B153" s="98" t="s">
        <v>173</v>
      </c>
      <c r="C153" s="98">
        <v>2020</v>
      </c>
      <c r="D153" s="98" t="s">
        <v>7</v>
      </c>
      <c r="E153" s="99">
        <v>-0.31</v>
      </c>
      <c r="F153" s="99" t="s">
        <v>32</v>
      </c>
      <c r="G153" s="100">
        <v>24800</v>
      </c>
      <c r="H153" s="101">
        <v>92</v>
      </c>
      <c r="I153" s="99" t="s">
        <v>81</v>
      </c>
      <c r="J153" s="99" t="s">
        <v>37</v>
      </c>
      <c r="K153" s="99">
        <v>0.13</v>
      </c>
      <c r="L153" s="99" t="s">
        <v>337</v>
      </c>
      <c r="M153" s="99" t="s">
        <v>103</v>
      </c>
      <c r="N153" s="102" t="s">
        <v>665</v>
      </c>
      <c r="O153" s="98"/>
      <c r="P153" s="98" t="s">
        <v>162</v>
      </c>
      <c r="Q153" s="730">
        <v>39.623136000000002</v>
      </c>
      <c r="R153" s="645">
        <v>-86.477220000000003</v>
      </c>
      <c r="S153" s="98" t="s">
        <v>61</v>
      </c>
      <c r="T153" s="98" t="s">
        <v>1563</v>
      </c>
      <c r="U153" s="98" t="s">
        <v>50</v>
      </c>
      <c r="V153" s="97">
        <v>45265</v>
      </c>
      <c r="W153" s="103">
        <f>IF(AC153="Intr",0,G153*[1]Data!$B$53)</f>
        <v>3720</v>
      </c>
      <c r="X153" s="103">
        <f>IF(AC153="Intr",0,G153*[1]Data!$B$54)</f>
        <v>17360</v>
      </c>
      <c r="Y153" s="103">
        <f>IF(AC153="Intr",G153,G153*[1]Data!$B$55)</f>
        <v>3720</v>
      </c>
      <c r="Z153" s="103"/>
      <c r="AA153" s="103"/>
      <c r="AB153" s="103"/>
      <c r="AC153" s="98"/>
      <c r="AD153" s="98" t="s">
        <v>1564</v>
      </c>
      <c r="AE153" s="98"/>
      <c r="AF153" s="98"/>
      <c r="AG153" s="104"/>
      <c r="AH153" s="98" t="s">
        <v>1580</v>
      </c>
    </row>
    <row r="154" spans="1:34" x14ac:dyDescent="0.2">
      <c r="A154" s="274">
        <v>43915</v>
      </c>
      <c r="B154" s="275" t="s">
        <v>173</v>
      </c>
      <c r="C154" s="275">
        <v>2020</v>
      </c>
      <c r="D154" s="275" t="s">
        <v>8</v>
      </c>
      <c r="E154" s="276">
        <v>-144</v>
      </c>
      <c r="F154" s="276" t="s">
        <v>33</v>
      </c>
      <c r="G154" s="277">
        <v>57600</v>
      </c>
      <c r="H154" s="278">
        <v>72</v>
      </c>
      <c r="I154" s="276" t="s">
        <v>80</v>
      </c>
      <c r="J154" s="276" t="s">
        <v>40</v>
      </c>
      <c r="K154" s="276">
        <v>120</v>
      </c>
      <c r="L154" s="276" t="s">
        <v>376</v>
      </c>
      <c r="M154" s="276" t="s">
        <v>377</v>
      </c>
      <c r="N154" s="279" t="s">
        <v>378</v>
      </c>
      <c r="O154" s="275"/>
      <c r="P154" s="275" t="s">
        <v>121</v>
      </c>
      <c r="Q154" s="755">
        <v>39.808100000000003</v>
      </c>
      <c r="R154" s="657">
        <v>-85.926100000000005</v>
      </c>
      <c r="S154" s="275" t="s">
        <v>61</v>
      </c>
      <c r="T154" s="275"/>
      <c r="U154" s="275" t="s">
        <v>51</v>
      </c>
      <c r="V154" s="274"/>
      <c r="W154" s="280">
        <f>IF(AC154="Intr",0,G154*Definitions!$B$53)</f>
        <v>8640</v>
      </c>
      <c r="X154" s="280">
        <f>IF(AC154="Intr",0,G154*Definitions!$B$54)</f>
        <v>40320</v>
      </c>
      <c r="Y154" s="280">
        <f>IF(AC154="Intr",G154,G154*Definitions!$B$55)</f>
        <v>8640</v>
      </c>
      <c r="Z154" s="280"/>
      <c r="AA154" s="280"/>
      <c r="AB154" s="280"/>
      <c r="AC154" s="275"/>
      <c r="AD154" s="275"/>
      <c r="AE154" s="275"/>
      <c r="AF154" s="275"/>
      <c r="AG154" s="281"/>
      <c r="AH154" s="275"/>
    </row>
    <row r="155" spans="1:34" x14ac:dyDescent="0.2">
      <c r="A155" s="274">
        <v>43915</v>
      </c>
      <c r="B155" s="275" t="s">
        <v>173</v>
      </c>
      <c r="C155" s="275">
        <v>2020</v>
      </c>
      <c r="D155" s="275" t="s">
        <v>8</v>
      </c>
      <c r="E155" s="276">
        <v>-0.2</v>
      </c>
      <c r="F155" s="276" t="s">
        <v>32</v>
      </c>
      <c r="G155" s="277">
        <v>16000</v>
      </c>
      <c r="H155" s="278">
        <v>72</v>
      </c>
      <c r="I155" s="276" t="s">
        <v>80</v>
      </c>
      <c r="J155" s="276" t="s">
        <v>36</v>
      </c>
      <c r="K155" s="276">
        <v>7.0000000000000007E-2</v>
      </c>
      <c r="L155" s="276" t="s">
        <v>376</v>
      </c>
      <c r="M155" s="276" t="s">
        <v>377</v>
      </c>
      <c r="N155" s="279" t="s">
        <v>378</v>
      </c>
      <c r="O155" s="275"/>
      <c r="P155" s="275" t="s">
        <v>121</v>
      </c>
      <c r="Q155" s="755">
        <v>39.808100000000003</v>
      </c>
      <c r="R155" s="657">
        <v>-85.926100000000005</v>
      </c>
      <c r="S155" s="275" t="s">
        <v>61</v>
      </c>
      <c r="T155" s="275"/>
      <c r="U155" s="275" t="s">
        <v>51</v>
      </c>
      <c r="V155" s="274"/>
      <c r="W155" s="280">
        <f>IF(AC155="Intr",0,G155*Definitions!$B$53)</f>
        <v>2400</v>
      </c>
      <c r="X155" s="280">
        <f>IF(AC155="Intr",0,G155*Definitions!$B$54)</f>
        <v>11200</v>
      </c>
      <c r="Y155" s="280">
        <f>IF(AC155="Intr",G155,G155*Definitions!$B$55)</f>
        <v>2400</v>
      </c>
      <c r="Z155" s="280"/>
      <c r="AA155" s="280"/>
      <c r="AB155" s="280"/>
      <c r="AC155" s="275"/>
      <c r="AD155" s="275"/>
      <c r="AE155" s="275"/>
      <c r="AF155" s="275"/>
      <c r="AG155" s="281"/>
      <c r="AH155" s="275"/>
    </row>
    <row r="156" spans="1:34" x14ac:dyDescent="0.2">
      <c r="A156" s="274">
        <v>43915</v>
      </c>
      <c r="B156" s="275" t="s">
        <v>173</v>
      </c>
      <c r="C156" s="275">
        <v>2020</v>
      </c>
      <c r="D156" s="275" t="s">
        <v>8</v>
      </c>
      <c r="E156" s="276">
        <v>-0.36799999999999999</v>
      </c>
      <c r="F156" s="276" t="s">
        <v>32</v>
      </c>
      <c r="G156" s="277">
        <v>29440</v>
      </c>
      <c r="H156" s="278">
        <v>72</v>
      </c>
      <c r="I156" s="276" t="s">
        <v>80</v>
      </c>
      <c r="J156" s="276" t="s">
        <v>38</v>
      </c>
      <c r="K156" s="276">
        <v>0.1</v>
      </c>
      <c r="L156" s="276" t="s">
        <v>376</v>
      </c>
      <c r="M156" s="276" t="s">
        <v>377</v>
      </c>
      <c r="N156" s="279" t="s">
        <v>378</v>
      </c>
      <c r="O156" s="275"/>
      <c r="P156" s="275" t="s">
        <v>121</v>
      </c>
      <c r="Q156" s="755">
        <v>39.808100000000003</v>
      </c>
      <c r="R156" s="657">
        <v>-85.926100000000005</v>
      </c>
      <c r="S156" s="275" t="s">
        <v>61</v>
      </c>
      <c r="T156" s="275"/>
      <c r="U156" s="275" t="s">
        <v>51</v>
      </c>
      <c r="V156" s="274"/>
      <c r="W156" s="280">
        <f>IF(AC156="Intr",0,G156*Definitions!$B$53)</f>
        <v>4416</v>
      </c>
      <c r="X156" s="280">
        <f>IF(AC156="Intr",0,G156*Definitions!$B$54)</f>
        <v>20608</v>
      </c>
      <c r="Y156" s="280">
        <f>IF(AC156="Intr",G156,G156*Definitions!$B$55)</f>
        <v>4416</v>
      </c>
      <c r="Z156" s="280"/>
      <c r="AA156" s="280"/>
      <c r="AB156" s="280"/>
      <c r="AC156" s="275"/>
      <c r="AD156" s="275"/>
      <c r="AE156" s="275"/>
      <c r="AF156" s="275"/>
      <c r="AG156" s="281"/>
      <c r="AH156" s="275"/>
    </row>
    <row r="157" spans="1:34" x14ac:dyDescent="0.2">
      <c r="A157" s="288">
        <v>43921</v>
      </c>
      <c r="B157" s="289" t="s">
        <v>173</v>
      </c>
      <c r="C157" s="289">
        <v>2020</v>
      </c>
      <c r="D157" s="289" t="s">
        <v>7</v>
      </c>
      <c r="E157" s="331">
        <v>-8</v>
      </c>
      <c r="F157" s="331" t="s">
        <v>33</v>
      </c>
      <c r="G157" s="332">
        <v>3600</v>
      </c>
      <c r="H157" s="333">
        <v>73</v>
      </c>
      <c r="I157" s="331" t="s">
        <v>80</v>
      </c>
      <c r="J157" s="331" t="s">
        <v>40</v>
      </c>
      <c r="K157" s="331">
        <v>8</v>
      </c>
      <c r="L157" s="331" t="s">
        <v>379</v>
      </c>
      <c r="M157" s="331" t="s">
        <v>381</v>
      </c>
      <c r="N157" s="290" t="s">
        <v>380</v>
      </c>
      <c r="O157" s="289"/>
      <c r="P157" s="289" t="s">
        <v>162</v>
      </c>
      <c r="Q157" s="733">
        <v>39.615389999999998</v>
      </c>
      <c r="R157" s="647">
        <v>-86.503309999999999</v>
      </c>
      <c r="S157" s="289" t="s">
        <v>63</v>
      </c>
      <c r="T157" s="289"/>
      <c r="U157" s="289" t="s">
        <v>51</v>
      </c>
      <c r="V157" s="288"/>
      <c r="W157" s="293">
        <f>IF(AC157="Intr",0,G157*Definitions!$B$53)</f>
        <v>540</v>
      </c>
      <c r="X157" s="293">
        <f>IF(AC157="Intr",0,G157*Definitions!$B$54)</f>
        <v>2520</v>
      </c>
      <c r="Y157" s="293">
        <f>IF(AC157="Intr",G157,G157*Definitions!$B$55)</f>
        <v>540</v>
      </c>
      <c r="Z157" s="293"/>
      <c r="AA157" s="293"/>
      <c r="AB157" s="293"/>
      <c r="AC157" s="289"/>
      <c r="AD157" s="289"/>
      <c r="AE157" s="289"/>
      <c r="AF157" s="289"/>
      <c r="AG157" s="294"/>
      <c r="AH157" s="289" t="s">
        <v>382</v>
      </c>
    </row>
    <row r="158" spans="1:34" x14ac:dyDescent="0.2">
      <c r="A158" s="288">
        <v>43921</v>
      </c>
      <c r="B158" s="289" t="s">
        <v>173</v>
      </c>
      <c r="C158" s="289">
        <v>2020</v>
      </c>
      <c r="D158" s="289" t="s">
        <v>7</v>
      </c>
      <c r="E158" s="331">
        <v>-122</v>
      </c>
      <c r="F158" s="331" t="s">
        <v>33</v>
      </c>
      <c r="G158" s="332">
        <v>54900</v>
      </c>
      <c r="H158" s="333">
        <v>73</v>
      </c>
      <c r="I158" s="331" t="s">
        <v>80</v>
      </c>
      <c r="J158" s="331" t="s">
        <v>39</v>
      </c>
      <c r="K158" s="331">
        <v>122</v>
      </c>
      <c r="L158" s="331" t="s">
        <v>379</v>
      </c>
      <c r="M158" s="331" t="s">
        <v>381</v>
      </c>
      <c r="N158" s="290" t="s">
        <v>380</v>
      </c>
      <c r="O158" s="289"/>
      <c r="P158" s="289" t="s">
        <v>162</v>
      </c>
      <c r="Q158" s="733">
        <v>39.615389999999998</v>
      </c>
      <c r="R158" s="647">
        <v>-86.503309999999999</v>
      </c>
      <c r="S158" s="289" t="s">
        <v>63</v>
      </c>
      <c r="T158" s="289"/>
      <c r="U158" s="289" t="s">
        <v>51</v>
      </c>
      <c r="V158" s="288"/>
      <c r="W158" s="293">
        <f>IF(AC158="Intr",0,G158*Definitions!$B$53)</f>
        <v>8235</v>
      </c>
      <c r="X158" s="293">
        <f>IF(AC158="Intr",0,G158*Definitions!$B$54)</f>
        <v>38430</v>
      </c>
      <c r="Y158" s="293">
        <f>IF(AC158="Intr",G158,G158*Definitions!$B$55)</f>
        <v>8235</v>
      </c>
      <c r="Z158" s="293"/>
      <c r="AA158" s="293"/>
      <c r="AB158" s="293"/>
      <c r="AC158" s="289"/>
      <c r="AD158" s="289"/>
      <c r="AE158" s="289"/>
      <c r="AF158" s="289"/>
      <c r="AG158" s="294"/>
      <c r="AH158" s="289" t="s">
        <v>382</v>
      </c>
    </row>
    <row r="159" spans="1:34" x14ac:dyDescent="0.2">
      <c r="A159" s="191">
        <v>43922</v>
      </c>
      <c r="B159" s="192" t="s">
        <v>193</v>
      </c>
      <c r="C159" s="192">
        <v>2020</v>
      </c>
      <c r="D159" s="192" t="s">
        <v>1</v>
      </c>
      <c r="E159" s="193">
        <v>-8</v>
      </c>
      <c r="F159" s="193" t="s">
        <v>33</v>
      </c>
      <c r="G159" s="194">
        <v>4800</v>
      </c>
      <c r="H159" s="195">
        <v>66</v>
      </c>
      <c r="I159" s="193" t="s">
        <v>80</v>
      </c>
      <c r="J159" s="193" t="s">
        <v>39</v>
      </c>
      <c r="K159" s="193">
        <v>8</v>
      </c>
      <c r="L159" s="193" t="s">
        <v>987</v>
      </c>
      <c r="M159" s="193" t="s">
        <v>383</v>
      </c>
      <c r="N159" s="196" t="s">
        <v>384</v>
      </c>
      <c r="O159" s="192"/>
      <c r="P159" s="192" t="s">
        <v>385</v>
      </c>
      <c r="Q159" s="764">
        <v>41.587400000000002</v>
      </c>
      <c r="R159" s="662">
        <v>-87.124600000000001</v>
      </c>
      <c r="S159" s="192" t="s">
        <v>63</v>
      </c>
      <c r="T159" s="192"/>
      <c r="U159" s="192" t="s">
        <v>51</v>
      </c>
      <c r="V159" s="191"/>
      <c r="W159" s="197">
        <f>IF(AC159="Intr",0,G159*Definitions!$B$53)</f>
        <v>720</v>
      </c>
      <c r="X159" s="197">
        <f>IF(AC159="Intr",0,G159*Definitions!$B$54)</f>
        <v>3360</v>
      </c>
      <c r="Y159" s="197">
        <f>IF(AC159="Intr",G159,G159*Definitions!$B$55)</f>
        <v>720</v>
      </c>
      <c r="Z159" s="197"/>
      <c r="AA159" s="197"/>
      <c r="AB159" s="197"/>
      <c r="AC159" s="192"/>
      <c r="AD159" s="192"/>
      <c r="AE159" s="192"/>
      <c r="AF159" s="192"/>
      <c r="AG159" s="198"/>
      <c r="AH159" s="192"/>
    </row>
    <row r="160" spans="1:34" x14ac:dyDescent="0.2">
      <c r="A160" s="191">
        <v>43922</v>
      </c>
      <c r="B160" s="192" t="s">
        <v>193</v>
      </c>
      <c r="C160" s="192">
        <v>2020</v>
      </c>
      <c r="D160" s="192" t="s">
        <v>1</v>
      </c>
      <c r="E160" s="193">
        <v>-0.53200000000000003</v>
      </c>
      <c r="F160" s="193" t="s">
        <v>32</v>
      </c>
      <c r="G160" s="194">
        <v>50540</v>
      </c>
      <c r="H160" s="195">
        <v>66</v>
      </c>
      <c r="I160" s="193" t="s">
        <v>80</v>
      </c>
      <c r="J160" s="193" t="s">
        <v>38</v>
      </c>
      <c r="K160" s="193">
        <v>0.13300000000000001</v>
      </c>
      <c r="L160" s="193" t="s">
        <v>987</v>
      </c>
      <c r="M160" s="193" t="s">
        <v>383</v>
      </c>
      <c r="N160" s="196" t="s">
        <v>384</v>
      </c>
      <c r="O160" s="192"/>
      <c r="P160" s="192" t="s">
        <v>385</v>
      </c>
      <c r="Q160" s="764">
        <v>41.587400000000002</v>
      </c>
      <c r="R160" s="662">
        <v>-87.124600000000001</v>
      </c>
      <c r="S160" s="192" t="s">
        <v>63</v>
      </c>
      <c r="T160" s="192"/>
      <c r="U160" s="192" t="s">
        <v>51</v>
      </c>
      <c r="V160" s="191"/>
      <c r="W160" s="197">
        <f>IF(AC160="Intr",0,G160*Definitions!$B$53)</f>
        <v>7581</v>
      </c>
      <c r="X160" s="197">
        <f>IF(AC160="Intr",0,G160*Definitions!$B$54)</f>
        <v>35378</v>
      </c>
      <c r="Y160" s="197">
        <f>IF(AC160="Intr",G160,G160*Definitions!$B$55)</f>
        <v>7581</v>
      </c>
      <c r="Z160" s="197"/>
      <c r="AA160" s="197"/>
      <c r="AB160" s="197"/>
      <c r="AC160" s="192"/>
      <c r="AD160" s="192"/>
      <c r="AE160" s="192"/>
      <c r="AF160" s="192"/>
      <c r="AG160" s="198"/>
      <c r="AH160" s="192"/>
    </row>
    <row r="161" spans="1:34" x14ac:dyDescent="0.2">
      <c r="A161" s="191">
        <v>43922</v>
      </c>
      <c r="B161" s="192" t="s">
        <v>193</v>
      </c>
      <c r="C161" s="192">
        <v>2020</v>
      </c>
      <c r="D161" s="192" t="s">
        <v>1</v>
      </c>
      <c r="E161" s="193">
        <v>-0.38</v>
      </c>
      <c r="F161" s="193" t="s">
        <v>32</v>
      </c>
      <c r="G161" s="194">
        <v>36100</v>
      </c>
      <c r="H161" s="195">
        <v>66</v>
      </c>
      <c r="I161" s="193" t="s">
        <v>80</v>
      </c>
      <c r="J161" s="193" t="s">
        <v>36</v>
      </c>
      <c r="K161" s="193">
        <v>0.19</v>
      </c>
      <c r="L161" s="193" t="s">
        <v>987</v>
      </c>
      <c r="M161" s="193" t="s">
        <v>383</v>
      </c>
      <c r="N161" s="196" t="s">
        <v>384</v>
      </c>
      <c r="O161" s="192"/>
      <c r="P161" s="192" t="s">
        <v>385</v>
      </c>
      <c r="Q161" s="764">
        <v>41.587400000000002</v>
      </c>
      <c r="R161" s="662">
        <v>-87.124600000000001</v>
      </c>
      <c r="S161" s="192" t="s">
        <v>63</v>
      </c>
      <c r="T161" s="192"/>
      <c r="U161" s="192" t="s">
        <v>51</v>
      </c>
      <c r="V161" s="191"/>
      <c r="W161" s="197">
        <f>IF(AC161="Intr",0,G161*Definitions!$B$53)</f>
        <v>5415</v>
      </c>
      <c r="X161" s="197">
        <f>IF(AC161="Intr",0,G161*Definitions!$B$54)</f>
        <v>25270</v>
      </c>
      <c r="Y161" s="197">
        <f>IF(AC161="Intr",G161,G161*Definitions!$B$55)</f>
        <v>5415</v>
      </c>
      <c r="Z161" s="197"/>
      <c r="AA161" s="197"/>
      <c r="AB161" s="197"/>
      <c r="AC161" s="192"/>
      <c r="AD161" s="192"/>
      <c r="AE161" s="192"/>
      <c r="AF161" s="192"/>
      <c r="AG161" s="198"/>
      <c r="AH161" s="192"/>
    </row>
    <row r="162" spans="1:34" x14ac:dyDescent="0.2">
      <c r="A162" s="29">
        <v>43922</v>
      </c>
      <c r="B162" s="30" t="s">
        <v>193</v>
      </c>
      <c r="C162" s="30">
        <v>2020</v>
      </c>
      <c r="D162" s="30" t="s">
        <v>9</v>
      </c>
      <c r="E162" s="306">
        <v>-3236</v>
      </c>
      <c r="F162" s="217" t="s">
        <v>33</v>
      </c>
      <c r="G162" s="218">
        <v>1294400</v>
      </c>
      <c r="H162" s="219">
        <v>90</v>
      </c>
      <c r="I162" s="217" t="s">
        <v>80</v>
      </c>
      <c r="J162" s="217" t="s">
        <v>41</v>
      </c>
      <c r="K162" s="306">
        <v>2697</v>
      </c>
      <c r="L162" s="217" t="s">
        <v>987</v>
      </c>
      <c r="M162" s="217" t="s">
        <v>387</v>
      </c>
      <c r="N162" s="67" t="s">
        <v>388</v>
      </c>
      <c r="O162" s="30"/>
      <c r="P162" s="30" t="s">
        <v>386</v>
      </c>
      <c r="Q162" s="747">
        <v>38.503500000000003</v>
      </c>
      <c r="R162" s="636">
        <v>-86.635999999999996</v>
      </c>
      <c r="S162" s="30" t="s">
        <v>63</v>
      </c>
      <c r="T162" s="30"/>
      <c r="U162" s="30" t="s">
        <v>51</v>
      </c>
      <c r="V162" s="29"/>
      <c r="W162" s="31">
        <f>IF(AC162="Intr",0,G162*Definitions!$B$53)</f>
        <v>194160</v>
      </c>
      <c r="X162" s="31">
        <f>IF(AC162="Intr",0,G162*Definitions!$B$54)</f>
        <v>906080</v>
      </c>
      <c r="Y162" s="31">
        <f>IF(AC162="Intr",G162,G162*Definitions!$B$55)</f>
        <v>194160</v>
      </c>
      <c r="Z162" s="31"/>
      <c r="AA162" s="31"/>
      <c r="AB162" s="31"/>
      <c r="AC162" s="30"/>
      <c r="AD162" s="30"/>
      <c r="AE162" s="30"/>
      <c r="AF162" s="30"/>
      <c r="AG162" s="32"/>
      <c r="AH162" s="30"/>
    </row>
    <row r="163" spans="1:34" x14ac:dyDescent="0.2">
      <c r="A163" s="29">
        <v>43922</v>
      </c>
      <c r="B163" s="30" t="s">
        <v>193</v>
      </c>
      <c r="C163" s="30">
        <v>2020</v>
      </c>
      <c r="D163" s="30" t="s">
        <v>9</v>
      </c>
      <c r="E163" s="217">
        <v>-0.22</v>
      </c>
      <c r="F163" s="217" t="s">
        <v>32</v>
      </c>
      <c r="G163" s="218">
        <v>17600</v>
      </c>
      <c r="H163" s="219">
        <v>90</v>
      </c>
      <c r="I163" s="217" t="s">
        <v>80</v>
      </c>
      <c r="J163" s="217" t="s">
        <v>36</v>
      </c>
      <c r="K163" s="217">
        <v>0.09</v>
      </c>
      <c r="L163" s="217" t="s">
        <v>987</v>
      </c>
      <c r="M163" s="217" t="s">
        <v>387</v>
      </c>
      <c r="N163" s="67" t="s">
        <v>388</v>
      </c>
      <c r="O163" s="30"/>
      <c r="P163" s="30" t="s">
        <v>386</v>
      </c>
      <c r="Q163" s="747">
        <v>38.503500000000003</v>
      </c>
      <c r="R163" s="636">
        <v>-86.635999999999996</v>
      </c>
      <c r="S163" s="30" t="s">
        <v>63</v>
      </c>
      <c r="T163" s="30"/>
      <c r="U163" s="30" t="s">
        <v>51</v>
      </c>
      <c r="V163" s="29"/>
      <c r="W163" s="31">
        <f>IF(AC163="Intr",0,G163*Definitions!$B$53)</f>
        <v>2640</v>
      </c>
      <c r="X163" s="31">
        <f>IF(AC163="Intr",0,G163*Definitions!$B$54)</f>
        <v>12320</v>
      </c>
      <c r="Y163" s="31">
        <f>IF(AC163="Intr",G163,G163*Definitions!$B$55)</f>
        <v>2640</v>
      </c>
      <c r="Z163" s="31"/>
      <c r="AA163" s="31"/>
      <c r="AB163" s="31"/>
      <c r="AC163" s="30"/>
      <c r="AD163" s="30"/>
      <c r="AE163" s="30"/>
      <c r="AF163" s="30"/>
      <c r="AG163" s="32"/>
      <c r="AH163" s="30"/>
    </row>
    <row r="164" spans="1:34" x14ac:dyDescent="0.2">
      <c r="A164" s="29">
        <v>43922</v>
      </c>
      <c r="B164" s="30" t="s">
        <v>193</v>
      </c>
      <c r="C164" s="30">
        <v>2020</v>
      </c>
      <c r="D164" s="30" t="s">
        <v>9</v>
      </c>
      <c r="E164" s="217">
        <v>-0.01</v>
      </c>
      <c r="F164" s="217" t="s">
        <v>32</v>
      </c>
      <c r="G164" s="218">
        <v>800</v>
      </c>
      <c r="H164" s="219">
        <v>90</v>
      </c>
      <c r="I164" s="217" t="s">
        <v>80</v>
      </c>
      <c r="J164" s="217" t="s">
        <v>38</v>
      </c>
      <c r="K164" s="217">
        <v>4.0000000000000001E-3</v>
      </c>
      <c r="L164" s="217" t="s">
        <v>987</v>
      </c>
      <c r="M164" s="217" t="s">
        <v>387</v>
      </c>
      <c r="N164" s="67" t="s">
        <v>388</v>
      </c>
      <c r="O164" s="30"/>
      <c r="P164" s="30" t="s">
        <v>386</v>
      </c>
      <c r="Q164" s="747">
        <v>38.503500000000003</v>
      </c>
      <c r="R164" s="636">
        <v>-86.635999999999996</v>
      </c>
      <c r="S164" s="30" t="s">
        <v>63</v>
      </c>
      <c r="T164" s="30"/>
      <c r="U164" s="30" t="s">
        <v>51</v>
      </c>
      <c r="V164" s="29"/>
      <c r="W164" s="31">
        <f>IF(AC164="Intr",0,G164*Definitions!$B$53)</f>
        <v>120</v>
      </c>
      <c r="X164" s="31">
        <f>IF(AC164="Intr",0,G164*Definitions!$B$54)</f>
        <v>560</v>
      </c>
      <c r="Y164" s="31">
        <f>IF(AC164="Intr",G164,G164*Definitions!$B$55)</f>
        <v>120</v>
      </c>
      <c r="Z164" s="31"/>
      <c r="AA164" s="31"/>
      <c r="AB164" s="31"/>
      <c r="AC164" s="30"/>
      <c r="AD164" s="30"/>
      <c r="AE164" s="30"/>
      <c r="AF164" s="30"/>
      <c r="AG164" s="32"/>
      <c r="AH164" s="30"/>
    </row>
    <row r="165" spans="1:34" x14ac:dyDescent="0.2">
      <c r="A165" s="168">
        <v>43922</v>
      </c>
      <c r="B165" s="169" t="s">
        <v>193</v>
      </c>
      <c r="C165" s="169">
        <v>2020</v>
      </c>
      <c r="D165" s="169" t="s">
        <v>11</v>
      </c>
      <c r="E165" s="170">
        <v>-0.45200000000000001</v>
      </c>
      <c r="F165" s="170" t="s">
        <v>32</v>
      </c>
      <c r="G165" s="171">
        <v>36160</v>
      </c>
      <c r="H165" s="172">
        <v>82</v>
      </c>
      <c r="I165" s="170" t="s">
        <v>80</v>
      </c>
      <c r="J165" s="170" t="s">
        <v>38</v>
      </c>
      <c r="K165" s="170">
        <v>0.113</v>
      </c>
      <c r="L165" s="170" t="s">
        <v>987</v>
      </c>
      <c r="M165" s="170" t="s">
        <v>389</v>
      </c>
      <c r="N165" s="173" t="s">
        <v>390</v>
      </c>
      <c r="O165" s="169"/>
      <c r="P165" s="169" t="s">
        <v>325</v>
      </c>
      <c r="Q165" s="732">
        <v>38.174999999999997</v>
      </c>
      <c r="R165" s="646">
        <v>-87.415999999999997</v>
      </c>
      <c r="S165" s="169" t="s">
        <v>63</v>
      </c>
      <c r="T165" s="169"/>
      <c r="U165" s="169" t="s">
        <v>51</v>
      </c>
      <c r="V165" s="168"/>
      <c r="W165" s="174">
        <f>IF(AC165="Intr",0,G165*Definitions!$B$53)</f>
        <v>5424</v>
      </c>
      <c r="X165" s="174">
        <f>IF(AC165="Intr",0,G165*Definitions!$B$54)</f>
        <v>25312</v>
      </c>
      <c r="Y165" s="174">
        <f>IF(AC165="Intr",G165,G165*Definitions!$B$55)</f>
        <v>5424</v>
      </c>
      <c r="Z165" s="174"/>
      <c r="AA165" s="174"/>
      <c r="AB165" s="174"/>
      <c r="AC165" s="169"/>
      <c r="AD165" s="169"/>
      <c r="AE165" s="169"/>
      <c r="AF165" s="169"/>
      <c r="AG165" s="175"/>
      <c r="AH165" s="169"/>
    </row>
    <row r="166" spans="1:34" x14ac:dyDescent="0.2">
      <c r="A166" s="168">
        <v>43922</v>
      </c>
      <c r="B166" s="169" t="s">
        <v>193</v>
      </c>
      <c r="C166" s="169">
        <v>2020</v>
      </c>
      <c r="D166" s="169" t="s">
        <v>11</v>
      </c>
      <c r="E166" s="170">
        <v>-10</v>
      </c>
      <c r="F166" s="170" t="s">
        <v>33</v>
      </c>
      <c r="G166" s="171">
        <v>4000</v>
      </c>
      <c r="H166" s="172">
        <v>82</v>
      </c>
      <c r="I166" s="170" t="s">
        <v>80</v>
      </c>
      <c r="J166" s="170" t="s">
        <v>40</v>
      </c>
      <c r="K166" s="170">
        <v>10</v>
      </c>
      <c r="L166" s="170" t="s">
        <v>987</v>
      </c>
      <c r="M166" s="170" t="s">
        <v>389</v>
      </c>
      <c r="N166" s="173" t="s">
        <v>390</v>
      </c>
      <c r="O166" s="169"/>
      <c r="P166" s="169" t="s">
        <v>325</v>
      </c>
      <c r="Q166" s="732">
        <v>38.174999999999997</v>
      </c>
      <c r="R166" s="646">
        <v>-87.415999999999997</v>
      </c>
      <c r="S166" s="169" t="s">
        <v>63</v>
      </c>
      <c r="T166" s="169"/>
      <c r="U166" s="169" t="s">
        <v>51</v>
      </c>
      <c r="V166" s="168"/>
      <c r="W166" s="174">
        <f>IF(AC166="Intr",0,G166*Definitions!$B$53)</f>
        <v>600</v>
      </c>
      <c r="X166" s="174">
        <f>IF(AC166="Intr",0,G166*Definitions!$B$54)</f>
        <v>2800</v>
      </c>
      <c r="Y166" s="174">
        <f>IF(AC166="Intr",G166,G166*Definitions!$B$55)</f>
        <v>600</v>
      </c>
      <c r="Z166" s="174"/>
      <c r="AA166" s="174"/>
      <c r="AB166" s="174"/>
      <c r="AC166" s="169"/>
      <c r="AD166" s="169"/>
      <c r="AE166" s="169"/>
      <c r="AF166" s="169"/>
      <c r="AG166" s="175"/>
      <c r="AH166" s="169"/>
    </row>
    <row r="167" spans="1:34" x14ac:dyDescent="0.2">
      <c r="A167" s="168">
        <v>43922</v>
      </c>
      <c r="B167" s="169" t="s">
        <v>193</v>
      </c>
      <c r="C167" s="169">
        <v>2020</v>
      </c>
      <c r="D167" s="169" t="s">
        <v>11</v>
      </c>
      <c r="E167" s="170">
        <v>-118</v>
      </c>
      <c r="F167" s="170" t="s">
        <v>33</v>
      </c>
      <c r="G167" s="171">
        <v>47200</v>
      </c>
      <c r="H167" s="172">
        <v>82</v>
      </c>
      <c r="I167" s="170" t="s">
        <v>80</v>
      </c>
      <c r="J167" s="170" t="s">
        <v>39</v>
      </c>
      <c r="K167" s="170">
        <v>118</v>
      </c>
      <c r="L167" s="170" t="s">
        <v>987</v>
      </c>
      <c r="M167" s="170" t="s">
        <v>389</v>
      </c>
      <c r="N167" s="173" t="s">
        <v>390</v>
      </c>
      <c r="O167" s="169"/>
      <c r="P167" s="169" t="s">
        <v>325</v>
      </c>
      <c r="Q167" s="732">
        <v>38.174999999999997</v>
      </c>
      <c r="R167" s="646">
        <v>-87.415999999999997</v>
      </c>
      <c r="S167" s="169" t="s">
        <v>63</v>
      </c>
      <c r="T167" s="169"/>
      <c r="U167" s="169" t="s">
        <v>51</v>
      </c>
      <c r="V167" s="168"/>
      <c r="W167" s="174">
        <f>IF(AC167="Intr",0,G167*Definitions!$B$53)</f>
        <v>7080</v>
      </c>
      <c r="X167" s="174">
        <f>IF(AC167="Intr",0,G167*Definitions!$B$54)</f>
        <v>33040</v>
      </c>
      <c r="Y167" s="174">
        <f>IF(AC167="Intr",G167,G167*Definitions!$B$55)</f>
        <v>7080</v>
      </c>
      <c r="Z167" s="174"/>
      <c r="AA167" s="174"/>
      <c r="AB167" s="174"/>
      <c r="AC167" s="169"/>
      <c r="AD167" s="169"/>
      <c r="AE167" s="169"/>
      <c r="AF167" s="169"/>
      <c r="AG167" s="175"/>
      <c r="AH167" s="169"/>
    </row>
    <row r="168" spans="1:34" x14ac:dyDescent="0.2">
      <c r="A168" s="88">
        <v>43936</v>
      </c>
      <c r="B168" s="89" t="s">
        <v>193</v>
      </c>
      <c r="C168" s="89">
        <v>2020</v>
      </c>
      <c r="D168" s="89" t="s">
        <v>2</v>
      </c>
      <c r="E168" s="90">
        <v>-82</v>
      </c>
      <c r="F168" s="90" t="s">
        <v>33</v>
      </c>
      <c r="G168" s="91">
        <v>41000</v>
      </c>
      <c r="H168" s="92">
        <v>91</v>
      </c>
      <c r="I168" s="90" t="s">
        <v>80</v>
      </c>
      <c r="J168" s="90" t="s">
        <v>40</v>
      </c>
      <c r="K168" s="90">
        <v>82</v>
      </c>
      <c r="L168" s="90" t="s">
        <v>987</v>
      </c>
      <c r="M168" s="90" t="s">
        <v>394</v>
      </c>
      <c r="N168" s="93" t="s">
        <v>395</v>
      </c>
      <c r="O168" s="89"/>
      <c r="P168" s="89" t="s">
        <v>227</v>
      </c>
      <c r="Q168" s="735">
        <v>41.43</v>
      </c>
      <c r="R168" s="649">
        <v>-87.47</v>
      </c>
      <c r="S168" s="89" t="s">
        <v>63</v>
      </c>
      <c r="T168" s="89"/>
      <c r="U168" s="89" t="s">
        <v>51</v>
      </c>
      <c r="V168" s="88"/>
      <c r="W168" s="95">
        <v>6150</v>
      </c>
      <c r="X168" s="95">
        <v>28700</v>
      </c>
      <c r="Y168" s="95">
        <v>6150</v>
      </c>
      <c r="Z168" s="95"/>
      <c r="AA168" s="95"/>
      <c r="AB168" s="95"/>
      <c r="AC168" s="89"/>
      <c r="AD168" s="89"/>
      <c r="AE168" s="89"/>
      <c r="AF168" s="89"/>
      <c r="AG168" s="96"/>
      <c r="AH168" s="89"/>
    </row>
    <row r="169" spans="1:34" x14ac:dyDescent="0.2">
      <c r="A169" s="88">
        <v>43936</v>
      </c>
      <c r="B169" s="89" t="s">
        <v>193</v>
      </c>
      <c r="C169" s="89">
        <v>2020</v>
      </c>
      <c r="D169" s="89" t="s">
        <v>2</v>
      </c>
      <c r="E169" s="90">
        <v>-15</v>
      </c>
      <c r="F169" s="90" t="s">
        <v>33</v>
      </c>
      <c r="G169" s="91">
        <v>7500</v>
      </c>
      <c r="H169" s="92">
        <v>91</v>
      </c>
      <c r="I169" s="90" t="s">
        <v>80</v>
      </c>
      <c r="J169" s="90" t="s">
        <v>39</v>
      </c>
      <c r="K169" s="90">
        <v>15</v>
      </c>
      <c r="L169" s="90" t="s">
        <v>987</v>
      </c>
      <c r="M169" s="90" t="s">
        <v>394</v>
      </c>
      <c r="N169" s="93" t="s">
        <v>395</v>
      </c>
      <c r="O169" s="89"/>
      <c r="P169" s="89" t="s">
        <v>227</v>
      </c>
      <c r="Q169" s="735">
        <v>41.43</v>
      </c>
      <c r="R169" s="649">
        <v>-87.47</v>
      </c>
      <c r="S169" s="89" t="s">
        <v>63</v>
      </c>
      <c r="T169" s="89"/>
      <c r="U169" s="89" t="s">
        <v>51</v>
      </c>
      <c r="V169" s="88"/>
      <c r="W169" s="95">
        <v>1125</v>
      </c>
      <c r="X169" s="95">
        <v>5250</v>
      </c>
      <c r="Y169" s="95">
        <v>1125</v>
      </c>
      <c r="Z169" s="95"/>
      <c r="AA169" s="95"/>
      <c r="AB169" s="95"/>
      <c r="AC169" s="89"/>
      <c r="AD169" s="89"/>
      <c r="AE169" s="89"/>
      <c r="AF169" s="89"/>
      <c r="AG169" s="96"/>
      <c r="AH169" s="89"/>
    </row>
    <row r="170" spans="1:34" x14ac:dyDescent="0.2">
      <c r="A170" s="88">
        <v>43936</v>
      </c>
      <c r="B170" s="89" t="s">
        <v>193</v>
      </c>
      <c r="C170" s="89">
        <v>2020</v>
      </c>
      <c r="D170" s="89" t="s">
        <v>2</v>
      </c>
      <c r="E170" s="90">
        <v>-0.4</v>
      </c>
      <c r="F170" s="90" t="s">
        <v>32</v>
      </c>
      <c r="G170" s="91">
        <v>38000</v>
      </c>
      <c r="H170" s="92">
        <v>91</v>
      </c>
      <c r="I170" s="90" t="s">
        <v>80</v>
      </c>
      <c r="J170" s="90" t="s">
        <v>36</v>
      </c>
      <c r="K170" s="90">
        <v>0.2</v>
      </c>
      <c r="L170" s="90" t="s">
        <v>987</v>
      </c>
      <c r="M170" s="90" t="s">
        <v>394</v>
      </c>
      <c r="N170" s="93" t="s">
        <v>395</v>
      </c>
      <c r="O170" s="89"/>
      <c r="P170" s="89" t="s">
        <v>227</v>
      </c>
      <c r="Q170" s="735">
        <v>41.43</v>
      </c>
      <c r="R170" s="649">
        <v>-87.47</v>
      </c>
      <c r="S170" s="89" t="s">
        <v>63</v>
      </c>
      <c r="T170" s="89"/>
      <c r="U170" s="89" t="s">
        <v>51</v>
      </c>
      <c r="V170" s="88"/>
      <c r="W170" s="95">
        <v>5700</v>
      </c>
      <c r="X170" s="95">
        <v>26600</v>
      </c>
      <c r="Y170" s="95">
        <v>5700</v>
      </c>
      <c r="Z170" s="95"/>
      <c r="AA170" s="95"/>
      <c r="AB170" s="95"/>
      <c r="AC170" s="89"/>
      <c r="AD170" s="89"/>
      <c r="AE170" s="89"/>
      <c r="AF170" s="89"/>
      <c r="AG170" s="96"/>
      <c r="AH170" s="89"/>
    </row>
    <row r="171" spans="1:34" x14ac:dyDescent="0.2">
      <c r="A171" s="88">
        <v>43936</v>
      </c>
      <c r="B171" s="89" t="s">
        <v>193</v>
      </c>
      <c r="C171" s="89">
        <v>2020</v>
      </c>
      <c r="D171" s="89" t="s">
        <v>2</v>
      </c>
      <c r="E171" s="90">
        <v>-0.48599999999999999</v>
      </c>
      <c r="F171" s="90" t="s">
        <v>32</v>
      </c>
      <c r="G171" s="91">
        <v>46170</v>
      </c>
      <c r="H171" s="92">
        <v>91</v>
      </c>
      <c r="I171" s="90" t="s">
        <v>80</v>
      </c>
      <c r="J171" s="90" t="s">
        <v>37</v>
      </c>
      <c r="K171" s="90">
        <v>0.16200000000000001</v>
      </c>
      <c r="L171" s="90" t="s">
        <v>987</v>
      </c>
      <c r="M171" s="90" t="s">
        <v>394</v>
      </c>
      <c r="N171" s="93" t="s">
        <v>395</v>
      </c>
      <c r="O171" s="89"/>
      <c r="P171" s="89" t="s">
        <v>227</v>
      </c>
      <c r="Q171" s="735">
        <v>41.43</v>
      </c>
      <c r="R171" s="649">
        <v>-87.47</v>
      </c>
      <c r="S171" s="89" t="s">
        <v>63</v>
      </c>
      <c r="T171" s="89"/>
      <c r="U171" s="89" t="s">
        <v>51</v>
      </c>
      <c r="V171" s="88"/>
      <c r="W171" s="95">
        <v>6925.5</v>
      </c>
      <c r="X171" s="95">
        <v>32319</v>
      </c>
      <c r="Y171" s="95">
        <v>6925.5</v>
      </c>
      <c r="Z171" s="95"/>
      <c r="AA171" s="95"/>
      <c r="AB171" s="95"/>
      <c r="AC171" s="89"/>
      <c r="AD171" s="89"/>
      <c r="AE171" s="89"/>
      <c r="AF171" s="89"/>
      <c r="AG171" s="96"/>
      <c r="AH171" s="89"/>
    </row>
    <row r="172" spans="1:34" x14ac:dyDescent="0.2">
      <c r="A172" s="168">
        <v>43936</v>
      </c>
      <c r="B172" s="169" t="s">
        <v>193</v>
      </c>
      <c r="C172" s="169">
        <v>2020</v>
      </c>
      <c r="D172" s="169" t="s">
        <v>5</v>
      </c>
      <c r="E172" s="170">
        <v>-280</v>
      </c>
      <c r="F172" s="170" t="s">
        <v>33</v>
      </c>
      <c r="G172" s="171">
        <v>112000</v>
      </c>
      <c r="H172" s="172">
        <v>94</v>
      </c>
      <c r="I172" s="170" t="s">
        <v>80</v>
      </c>
      <c r="J172" s="170" t="s">
        <v>41</v>
      </c>
      <c r="K172" s="170">
        <v>233</v>
      </c>
      <c r="L172" s="170" t="s">
        <v>927</v>
      </c>
      <c r="M172" s="170" t="s">
        <v>401</v>
      </c>
      <c r="N172" s="173" t="s">
        <v>402</v>
      </c>
      <c r="O172" s="169"/>
      <c r="P172" s="169" t="s">
        <v>404</v>
      </c>
      <c r="Q172" s="732">
        <v>40.473500000000001</v>
      </c>
      <c r="R172" s="646">
        <v>-85.915199999999999</v>
      </c>
      <c r="S172" s="169" t="s">
        <v>63</v>
      </c>
      <c r="T172" s="169"/>
      <c r="U172" s="169" t="s">
        <v>51</v>
      </c>
      <c r="V172" s="168"/>
      <c r="W172" s="174">
        <v>16800</v>
      </c>
      <c r="X172" s="174">
        <v>78400</v>
      </c>
      <c r="Y172" s="174">
        <v>16800</v>
      </c>
      <c r="Z172" s="174"/>
      <c r="AA172" s="174"/>
      <c r="AB172" s="174"/>
      <c r="AC172" s="169"/>
      <c r="AD172" s="169"/>
      <c r="AE172" s="169"/>
      <c r="AF172" s="169"/>
      <c r="AG172" s="175"/>
      <c r="AH172" s="169" t="s">
        <v>403</v>
      </c>
    </row>
    <row r="173" spans="1:34" x14ac:dyDescent="0.2">
      <c r="A173" s="168">
        <v>43936</v>
      </c>
      <c r="B173" s="169" t="s">
        <v>193</v>
      </c>
      <c r="C173" s="169">
        <v>2020</v>
      </c>
      <c r="D173" s="169" t="s">
        <v>5</v>
      </c>
      <c r="E173" s="170">
        <v>-0.14000000000000001</v>
      </c>
      <c r="F173" s="170" t="s">
        <v>32</v>
      </c>
      <c r="G173" s="171">
        <v>11200</v>
      </c>
      <c r="H173" s="172">
        <v>94</v>
      </c>
      <c r="I173" s="170" t="s">
        <v>80</v>
      </c>
      <c r="J173" s="170" t="s">
        <v>36</v>
      </c>
      <c r="K173" s="170">
        <v>0.06</v>
      </c>
      <c r="L173" s="170" t="s">
        <v>927</v>
      </c>
      <c r="M173" s="170" t="s">
        <v>401</v>
      </c>
      <c r="N173" s="173" t="s">
        <v>402</v>
      </c>
      <c r="O173" s="169"/>
      <c r="P173" s="169" t="s">
        <v>404</v>
      </c>
      <c r="Q173" s="732">
        <v>40.473500000000001</v>
      </c>
      <c r="R173" s="646">
        <v>-85.915199999999999</v>
      </c>
      <c r="S173" s="169" t="s">
        <v>63</v>
      </c>
      <c r="T173" s="169"/>
      <c r="U173" s="169" t="s">
        <v>51</v>
      </c>
      <c r="V173" s="168"/>
      <c r="W173" s="174">
        <v>1680</v>
      </c>
      <c r="X173" s="174">
        <v>7840</v>
      </c>
      <c r="Y173" s="174">
        <v>1680</v>
      </c>
      <c r="Z173" s="174"/>
      <c r="AA173" s="174"/>
      <c r="AB173" s="174"/>
      <c r="AC173" s="169"/>
      <c r="AD173" s="169"/>
      <c r="AE173" s="169"/>
      <c r="AF173" s="169"/>
      <c r="AG173" s="175"/>
      <c r="AH173" s="169" t="s">
        <v>403</v>
      </c>
    </row>
    <row r="174" spans="1:34" x14ac:dyDescent="0.2">
      <c r="A174" s="97">
        <v>43936</v>
      </c>
      <c r="B174" s="98" t="s">
        <v>193</v>
      </c>
      <c r="C174" s="98">
        <v>2020</v>
      </c>
      <c r="D174" s="98" t="s">
        <v>7</v>
      </c>
      <c r="E174" s="99">
        <v>-1.05</v>
      </c>
      <c r="F174" s="99" t="s">
        <v>32</v>
      </c>
      <c r="G174" s="100">
        <v>84000</v>
      </c>
      <c r="H174" s="101">
        <v>93</v>
      </c>
      <c r="I174" s="99" t="s">
        <v>80</v>
      </c>
      <c r="J174" s="99" t="s">
        <v>38</v>
      </c>
      <c r="K174" s="99">
        <v>0.09</v>
      </c>
      <c r="L174" s="99" t="s">
        <v>396</v>
      </c>
      <c r="M174" s="99" t="s">
        <v>397</v>
      </c>
      <c r="N174" s="102" t="s">
        <v>398</v>
      </c>
      <c r="O174" s="98"/>
      <c r="P174" s="98" t="s">
        <v>137</v>
      </c>
      <c r="Q174" s="730">
        <v>39.9788</v>
      </c>
      <c r="R174" s="645">
        <v>-86.205200000000005</v>
      </c>
      <c r="S174" s="98" t="s">
        <v>61</v>
      </c>
      <c r="T174" s="98" t="s">
        <v>1563</v>
      </c>
      <c r="U174" s="98" t="s">
        <v>50</v>
      </c>
      <c r="V174" s="97">
        <v>45265</v>
      </c>
      <c r="W174" s="103">
        <v>12600</v>
      </c>
      <c r="X174" s="103">
        <v>58800</v>
      </c>
      <c r="Y174" s="103">
        <v>12600</v>
      </c>
      <c r="Z174" s="103"/>
      <c r="AA174" s="103"/>
      <c r="AB174" s="103"/>
      <c r="AC174" s="98"/>
      <c r="AD174" s="98" t="s">
        <v>1564</v>
      </c>
      <c r="AE174" s="98"/>
      <c r="AF174" s="98"/>
      <c r="AG174" s="104"/>
      <c r="AH174" s="98" t="s">
        <v>1576</v>
      </c>
    </row>
    <row r="175" spans="1:34" x14ac:dyDescent="0.2">
      <c r="A175" s="307">
        <v>43938</v>
      </c>
      <c r="B175" s="308" t="s">
        <v>193</v>
      </c>
      <c r="C175" s="308">
        <v>2020</v>
      </c>
      <c r="D175" s="308" t="s">
        <v>11</v>
      </c>
      <c r="E175" s="309">
        <v>-0.624</v>
      </c>
      <c r="F175" s="309" t="s">
        <v>32</v>
      </c>
      <c r="G175" s="310">
        <v>49920</v>
      </c>
      <c r="H175" s="311">
        <v>102</v>
      </c>
      <c r="I175" s="309" t="s">
        <v>80</v>
      </c>
      <c r="J175" s="309" t="s">
        <v>36</v>
      </c>
      <c r="K175" s="309">
        <v>0.26</v>
      </c>
      <c r="L175" s="309" t="s">
        <v>284</v>
      </c>
      <c r="M175" s="309" t="s">
        <v>391</v>
      </c>
      <c r="N175" s="312" t="s">
        <v>392</v>
      </c>
      <c r="O175" s="308"/>
      <c r="P175" s="308" t="s">
        <v>393</v>
      </c>
      <c r="Q175" s="737">
        <v>38.343862999999999</v>
      </c>
      <c r="R175" s="651">
        <v>-87.778317000000001</v>
      </c>
      <c r="S175" s="308" t="s">
        <v>62</v>
      </c>
      <c r="T175" s="308"/>
      <c r="U175" s="308" t="s">
        <v>51</v>
      </c>
      <c r="V175" s="307"/>
      <c r="W175" s="313">
        <f>IF(AC175="Intr",0,G175*Definitions!$B$53)</f>
        <v>7488</v>
      </c>
      <c r="X175" s="313">
        <f>IF(AC175="Intr",0,G175*Definitions!$B$54)</f>
        <v>34944</v>
      </c>
      <c r="Y175" s="313">
        <f>IF(AC175="Intr",G175,G175*Definitions!$B$55)</f>
        <v>7488</v>
      </c>
      <c r="Z175" s="313"/>
      <c r="AA175" s="313"/>
      <c r="AB175" s="313"/>
      <c r="AC175" s="308"/>
      <c r="AD175" s="308"/>
      <c r="AE175" s="308"/>
      <c r="AF175" s="308"/>
      <c r="AG175" s="314"/>
      <c r="AH175" s="308"/>
    </row>
    <row r="176" spans="1:34" x14ac:dyDescent="0.2">
      <c r="A176" s="359">
        <v>43942</v>
      </c>
      <c r="B176" s="360" t="s">
        <v>193</v>
      </c>
      <c r="C176" s="360">
        <v>2020</v>
      </c>
      <c r="D176" s="360" t="s">
        <v>8</v>
      </c>
      <c r="E176" s="361">
        <v>-1.35</v>
      </c>
      <c r="F176" s="361" t="s">
        <v>32</v>
      </c>
      <c r="G176" s="362">
        <v>108000</v>
      </c>
      <c r="H176" s="363">
        <v>106</v>
      </c>
      <c r="I176" s="361" t="s">
        <v>81</v>
      </c>
      <c r="J176" s="361" t="s">
        <v>38</v>
      </c>
      <c r="K176" s="361">
        <v>1.35</v>
      </c>
      <c r="L176" s="361" t="s">
        <v>399</v>
      </c>
      <c r="M176" s="361" t="s">
        <v>103</v>
      </c>
      <c r="N176" s="364" t="s">
        <v>400</v>
      </c>
      <c r="O176" s="360"/>
      <c r="P176" s="360" t="s">
        <v>101</v>
      </c>
      <c r="Q176" s="765">
        <v>39.484650000000002</v>
      </c>
      <c r="R176" s="663">
        <v>-86.010898999999995</v>
      </c>
      <c r="S176" s="360" t="s">
        <v>61</v>
      </c>
      <c r="T176" s="360"/>
      <c r="U176" s="360" t="s">
        <v>51</v>
      </c>
      <c r="V176" s="359"/>
      <c r="W176" s="365">
        <f>IF(AC176="Intr",0,G176*Definitions!$B$53)</f>
        <v>16200</v>
      </c>
      <c r="X176" s="365">
        <f>IF(AC176="Intr",0,G176*Definitions!$B$54)</f>
        <v>75600</v>
      </c>
      <c r="Y176" s="365">
        <f>IF(AC176="Intr",G176,G176*Definitions!$B$55)</f>
        <v>16200</v>
      </c>
      <c r="Z176" s="365"/>
      <c r="AA176" s="365"/>
      <c r="AB176" s="365"/>
      <c r="AC176" s="360"/>
      <c r="AD176" s="360"/>
      <c r="AE176" s="360"/>
      <c r="AF176" s="360"/>
      <c r="AG176" s="366"/>
      <c r="AH176" s="360" t="s">
        <v>412</v>
      </c>
    </row>
    <row r="177" spans="1:34" x14ac:dyDescent="0.2">
      <c r="A177" s="58">
        <v>43943</v>
      </c>
      <c r="B177" s="59" t="s">
        <v>193</v>
      </c>
      <c r="C177" s="59">
        <v>2020</v>
      </c>
      <c r="D177" s="59" t="s">
        <v>7</v>
      </c>
      <c r="E177" s="60">
        <v>-191</v>
      </c>
      <c r="F177" s="60" t="s">
        <v>33</v>
      </c>
      <c r="G177" s="61">
        <v>85950</v>
      </c>
      <c r="H177" s="62">
        <v>84</v>
      </c>
      <c r="I177" s="60" t="s">
        <v>80</v>
      </c>
      <c r="J177" s="60" t="s">
        <v>41</v>
      </c>
      <c r="K177" s="60">
        <v>159</v>
      </c>
      <c r="L177" s="60" t="s">
        <v>406</v>
      </c>
      <c r="M177" s="60" t="s">
        <v>405</v>
      </c>
      <c r="N177" s="63" t="s">
        <v>407</v>
      </c>
      <c r="O177" s="59"/>
      <c r="P177" s="59" t="s">
        <v>162</v>
      </c>
      <c r="Q177" s="745">
        <v>39.772599999999997</v>
      </c>
      <c r="R177" s="637">
        <v>-86.455299999999994</v>
      </c>
      <c r="S177" s="59" t="s">
        <v>61</v>
      </c>
      <c r="T177" s="59"/>
      <c r="U177" s="59" t="s">
        <v>51</v>
      </c>
      <c r="V177" s="58"/>
      <c r="W177" s="65">
        <f>IF(AC177="Intr",0,G177*Definitions!$B$53)</f>
        <v>12892.5</v>
      </c>
      <c r="X177" s="65">
        <f>IF(AC177="Intr",0,G177*Definitions!$B$54)</f>
        <v>60164.999999999993</v>
      </c>
      <c r="Y177" s="65">
        <f>IF(AC177="Intr",G177,G177*Definitions!$B$55)</f>
        <v>12892.5</v>
      </c>
      <c r="Z177" s="65"/>
      <c r="AA177" s="65"/>
      <c r="AB177" s="65"/>
      <c r="AC177" s="59"/>
      <c r="AD177" s="59"/>
      <c r="AE177" s="59"/>
      <c r="AF177" s="59"/>
      <c r="AG177" s="66"/>
      <c r="AH177" s="59"/>
    </row>
    <row r="178" spans="1:34" x14ac:dyDescent="0.2">
      <c r="A178" s="58">
        <v>43943</v>
      </c>
      <c r="B178" s="59" t="s">
        <v>193</v>
      </c>
      <c r="C178" s="59">
        <v>2020</v>
      </c>
      <c r="D178" s="59" t="s">
        <v>7</v>
      </c>
      <c r="E178" s="60">
        <v>-19</v>
      </c>
      <c r="F178" s="60" t="s">
        <v>33</v>
      </c>
      <c r="G178" s="61">
        <v>8550</v>
      </c>
      <c r="H178" s="62">
        <v>84</v>
      </c>
      <c r="I178" s="60" t="s">
        <v>80</v>
      </c>
      <c r="J178" s="60" t="s">
        <v>39</v>
      </c>
      <c r="K178" s="60">
        <v>16</v>
      </c>
      <c r="L178" s="60" t="s">
        <v>406</v>
      </c>
      <c r="M178" s="60" t="s">
        <v>405</v>
      </c>
      <c r="N178" s="63" t="s">
        <v>407</v>
      </c>
      <c r="O178" s="59"/>
      <c r="P178" s="59" t="s">
        <v>162</v>
      </c>
      <c r="Q178" s="745">
        <v>39.772599999999997</v>
      </c>
      <c r="R178" s="637">
        <v>-86.455299999999994</v>
      </c>
      <c r="S178" s="59" t="s">
        <v>61</v>
      </c>
      <c r="T178" s="59"/>
      <c r="U178" s="59" t="s">
        <v>51</v>
      </c>
      <c r="V178" s="58"/>
      <c r="W178" s="65">
        <f>IF(AC178="Intr",0,G178*Definitions!$B$53)</f>
        <v>1282.5</v>
      </c>
      <c r="X178" s="65">
        <f>IF(AC178="Intr",0,G178*Definitions!$B$54)</f>
        <v>5985</v>
      </c>
      <c r="Y178" s="65">
        <f>IF(AC178="Intr",G178,G178*Definitions!$B$55)</f>
        <v>1282.5</v>
      </c>
      <c r="Z178" s="65"/>
      <c r="AA178" s="65"/>
      <c r="AB178" s="65"/>
      <c r="AC178" s="59"/>
      <c r="AD178" s="59"/>
      <c r="AE178" s="59"/>
      <c r="AF178" s="59"/>
      <c r="AG178" s="66"/>
      <c r="AH178" s="59"/>
    </row>
    <row r="179" spans="1:34" x14ac:dyDescent="0.2">
      <c r="A179" s="97">
        <v>43943</v>
      </c>
      <c r="B179" s="98" t="s">
        <v>193</v>
      </c>
      <c r="C179" s="98">
        <v>2020</v>
      </c>
      <c r="D179" s="98" t="s">
        <v>7</v>
      </c>
      <c r="E179" s="99">
        <v>-0.03</v>
      </c>
      <c r="F179" s="99" t="s">
        <v>32</v>
      </c>
      <c r="G179" s="100">
        <v>2400</v>
      </c>
      <c r="H179" s="101">
        <v>84</v>
      </c>
      <c r="I179" s="99" t="s">
        <v>80</v>
      </c>
      <c r="J179" s="99" t="s">
        <v>37</v>
      </c>
      <c r="K179" s="99">
        <v>0.01</v>
      </c>
      <c r="L179" s="99" t="s">
        <v>406</v>
      </c>
      <c r="M179" s="99" t="s">
        <v>405</v>
      </c>
      <c r="N179" s="102" t="s">
        <v>407</v>
      </c>
      <c r="O179" s="98"/>
      <c r="P179" s="98" t="s">
        <v>162</v>
      </c>
      <c r="Q179" s="730">
        <v>39.772599999999997</v>
      </c>
      <c r="R179" s="645">
        <v>-86.455299999999994</v>
      </c>
      <c r="S179" s="98" t="s">
        <v>61</v>
      </c>
      <c r="T179" s="98" t="s">
        <v>1563</v>
      </c>
      <c r="U179" s="98" t="s">
        <v>50</v>
      </c>
      <c r="V179" s="97">
        <v>45265</v>
      </c>
      <c r="W179" s="103">
        <f>IF(AC179="Intr",0,G179*[1]Data!$B$53)</f>
        <v>360</v>
      </c>
      <c r="X179" s="103">
        <f>IF(AC179="Intr",0,G179*[1]Data!$B$54)</f>
        <v>1680</v>
      </c>
      <c r="Y179" s="103">
        <f>IF(AC179="Intr",G179,G179*[1]Data!$B$55)</f>
        <v>360</v>
      </c>
      <c r="Z179" s="103"/>
      <c r="AA179" s="103"/>
      <c r="AB179" s="103"/>
      <c r="AC179" s="98"/>
      <c r="AD179" s="98" t="s">
        <v>1564</v>
      </c>
      <c r="AE179" s="98"/>
      <c r="AF179" s="98"/>
      <c r="AG179" s="104"/>
      <c r="AH179" s="98" t="s">
        <v>1576</v>
      </c>
    </row>
    <row r="180" spans="1:34" x14ac:dyDescent="0.2">
      <c r="A180" s="97">
        <v>43943</v>
      </c>
      <c r="B180" s="98" t="s">
        <v>193</v>
      </c>
      <c r="C180" s="98">
        <v>2020</v>
      </c>
      <c r="D180" s="98" t="s">
        <v>7</v>
      </c>
      <c r="E180" s="99">
        <v>-0.12</v>
      </c>
      <c r="F180" s="99" t="s">
        <v>32</v>
      </c>
      <c r="G180" s="100">
        <v>9600</v>
      </c>
      <c r="H180" s="101">
        <v>84</v>
      </c>
      <c r="I180" s="99" t="s">
        <v>80</v>
      </c>
      <c r="J180" s="99" t="s">
        <v>38</v>
      </c>
      <c r="K180" s="99">
        <v>0.03</v>
      </c>
      <c r="L180" s="99" t="s">
        <v>406</v>
      </c>
      <c r="M180" s="99" t="s">
        <v>405</v>
      </c>
      <c r="N180" s="102" t="s">
        <v>407</v>
      </c>
      <c r="O180" s="98"/>
      <c r="P180" s="98" t="s">
        <v>162</v>
      </c>
      <c r="Q180" s="730">
        <v>39.772599999999997</v>
      </c>
      <c r="R180" s="645">
        <v>-86.455299999999994</v>
      </c>
      <c r="S180" s="98" t="s">
        <v>61</v>
      </c>
      <c r="T180" s="98" t="s">
        <v>1563</v>
      </c>
      <c r="U180" s="98" t="s">
        <v>50</v>
      </c>
      <c r="V180" s="97">
        <v>45265</v>
      </c>
      <c r="W180" s="103">
        <f>IF(AC180="Intr",0,G180*[1]Data!$B$53)</f>
        <v>1440</v>
      </c>
      <c r="X180" s="103">
        <f>IF(AC180="Intr",0,G180*[1]Data!$B$54)</f>
        <v>6720</v>
      </c>
      <c r="Y180" s="103">
        <f>IF(AC180="Intr",G180,G180*[1]Data!$B$55)</f>
        <v>1440</v>
      </c>
      <c r="Z180" s="103"/>
      <c r="AA180" s="103"/>
      <c r="AB180" s="103"/>
      <c r="AC180" s="98"/>
      <c r="AD180" s="98" t="s">
        <v>1564</v>
      </c>
      <c r="AE180" s="98"/>
      <c r="AF180" s="98"/>
      <c r="AG180" s="104"/>
      <c r="AH180" s="98" t="s">
        <v>1576</v>
      </c>
    </row>
    <row r="181" spans="1:34" x14ac:dyDescent="0.2">
      <c r="A181" s="296">
        <v>43949</v>
      </c>
      <c r="B181" s="297" t="s">
        <v>193</v>
      </c>
      <c r="C181" s="297">
        <v>2020</v>
      </c>
      <c r="D181" s="297" t="s">
        <v>2</v>
      </c>
      <c r="E181" s="298">
        <v>-0.12</v>
      </c>
      <c r="F181" s="298" t="s">
        <v>32</v>
      </c>
      <c r="G181" s="299">
        <v>11400</v>
      </c>
      <c r="H181" s="300">
        <v>97</v>
      </c>
      <c r="I181" s="298" t="s">
        <v>81</v>
      </c>
      <c r="J181" s="298" t="s">
        <v>38</v>
      </c>
      <c r="K181" s="298">
        <v>2.9000000000000001E-2</v>
      </c>
      <c r="L181" s="298" t="s">
        <v>408</v>
      </c>
      <c r="M181" s="298" t="s">
        <v>103</v>
      </c>
      <c r="N181" s="301" t="s">
        <v>666</v>
      </c>
      <c r="O181" s="297"/>
      <c r="P181" s="297" t="s">
        <v>166</v>
      </c>
      <c r="Q181" s="766">
        <v>41.604399999999998</v>
      </c>
      <c r="R181" s="664">
        <v>-86.719139999999996</v>
      </c>
      <c r="S181" s="297" t="s">
        <v>62</v>
      </c>
      <c r="T181" s="297"/>
      <c r="U181" s="297" t="s">
        <v>51</v>
      </c>
      <c r="V181" s="296"/>
      <c r="W181" s="302">
        <f>IF(AC181="Intr",0,G181*Definitions!$B$53)</f>
        <v>1710</v>
      </c>
      <c r="X181" s="302">
        <f>IF(AC181="Intr",0,G181*Definitions!$B$54)</f>
        <v>7979.9999999999991</v>
      </c>
      <c r="Y181" s="302">
        <f>IF(AC181="Intr",G181,G181*Definitions!$B$55)</f>
        <v>1710</v>
      </c>
      <c r="Z181" s="302"/>
      <c r="AA181" s="302"/>
      <c r="AB181" s="302"/>
      <c r="AC181" s="297"/>
      <c r="AD181" s="297"/>
      <c r="AE181" s="297"/>
      <c r="AF181" s="297"/>
      <c r="AG181" s="303"/>
      <c r="AH181" s="297" t="s">
        <v>667</v>
      </c>
    </row>
    <row r="182" spans="1:34" x14ac:dyDescent="0.2">
      <c r="A182" s="237">
        <v>43949</v>
      </c>
      <c r="B182" s="238" t="s">
        <v>193</v>
      </c>
      <c r="C182" s="238">
        <v>2020</v>
      </c>
      <c r="D182" s="238" t="s">
        <v>11</v>
      </c>
      <c r="E182" s="240">
        <v>-493</v>
      </c>
      <c r="F182" s="240" t="s">
        <v>33</v>
      </c>
      <c r="G182" s="317">
        <v>197200</v>
      </c>
      <c r="H182" s="318">
        <v>70</v>
      </c>
      <c r="I182" s="240" t="s">
        <v>80</v>
      </c>
      <c r="J182" s="240" t="s">
        <v>41</v>
      </c>
      <c r="K182" s="240">
        <v>384</v>
      </c>
      <c r="L182" s="240" t="s">
        <v>410</v>
      </c>
      <c r="M182" s="240" t="s">
        <v>409</v>
      </c>
      <c r="N182" s="319" t="s">
        <v>411</v>
      </c>
      <c r="O182" s="238"/>
      <c r="P182" s="238" t="s">
        <v>325</v>
      </c>
      <c r="Q182" s="734">
        <v>38.004486</v>
      </c>
      <c r="R182" s="648">
        <v>-87.404752000000002</v>
      </c>
      <c r="S182" s="238" t="s">
        <v>63</v>
      </c>
      <c r="T182" s="238"/>
      <c r="U182" s="238" t="s">
        <v>51</v>
      </c>
      <c r="V182" s="237"/>
      <c r="W182" s="244">
        <f>IF(AC182="Intr",0,G182*Definitions!$B$53)</f>
        <v>29580</v>
      </c>
      <c r="X182" s="244">
        <f>IF(AC182="Intr",0,G182*Definitions!$B$54)</f>
        <v>138040</v>
      </c>
      <c r="Y182" s="244">
        <f>IF(AC182="Intr",G182,G182*Definitions!$B$55)</f>
        <v>29580</v>
      </c>
      <c r="Z182" s="244"/>
      <c r="AA182" s="244"/>
      <c r="AB182" s="244"/>
      <c r="AC182" s="238"/>
      <c r="AD182" s="238"/>
      <c r="AE182" s="238"/>
      <c r="AF182" s="238"/>
      <c r="AG182" s="245"/>
      <c r="AH182" s="238"/>
    </row>
    <row r="183" spans="1:34" x14ac:dyDescent="0.2">
      <c r="A183" s="288">
        <v>43951</v>
      </c>
      <c r="B183" s="289" t="s">
        <v>193</v>
      </c>
      <c r="C183" s="289">
        <v>2020</v>
      </c>
      <c r="D183" s="289" t="s">
        <v>5</v>
      </c>
      <c r="E183" s="331">
        <v>-666</v>
      </c>
      <c r="F183" s="331" t="s">
        <v>33</v>
      </c>
      <c r="G183" s="332">
        <v>266400</v>
      </c>
      <c r="H183" s="333">
        <v>98</v>
      </c>
      <c r="I183" s="331" t="s">
        <v>80</v>
      </c>
      <c r="J183" s="331" t="s">
        <v>40</v>
      </c>
      <c r="K183" s="331">
        <v>555</v>
      </c>
      <c r="L183" s="331" t="s">
        <v>1122</v>
      </c>
      <c r="M183" s="331" t="s">
        <v>416</v>
      </c>
      <c r="N183" s="290" t="s">
        <v>417</v>
      </c>
      <c r="O183" s="289"/>
      <c r="P183" s="289" t="s">
        <v>418</v>
      </c>
      <c r="Q183" s="767">
        <v>40.451700000000002</v>
      </c>
      <c r="R183" s="665">
        <v>-84.997320000000002</v>
      </c>
      <c r="S183" s="289" t="s">
        <v>63</v>
      </c>
      <c r="T183" s="289"/>
      <c r="U183" s="289" t="s">
        <v>51</v>
      </c>
      <c r="V183" s="288"/>
      <c r="W183" s="293">
        <v>39960</v>
      </c>
      <c r="X183" s="293">
        <v>186480</v>
      </c>
      <c r="Y183" s="293">
        <v>39960</v>
      </c>
      <c r="Z183" s="293"/>
      <c r="AA183" s="293"/>
      <c r="AB183" s="293"/>
      <c r="AC183" s="289"/>
      <c r="AD183" s="289"/>
      <c r="AE183" s="289"/>
      <c r="AF183" s="289"/>
      <c r="AG183" s="294"/>
      <c r="AH183" s="289"/>
    </row>
    <row r="184" spans="1:34" x14ac:dyDescent="0.2">
      <c r="A184" s="199">
        <v>43955</v>
      </c>
      <c r="B184" s="200" t="s">
        <v>95</v>
      </c>
      <c r="C184" s="200">
        <v>2020</v>
      </c>
      <c r="D184" s="200" t="s">
        <v>1</v>
      </c>
      <c r="E184" s="201">
        <v>-0.53400000000000003</v>
      </c>
      <c r="F184" s="201" t="s">
        <v>32</v>
      </c>
      <c r="G184" s="202">
        <v>50730</v>
      </c>
      <c r="H184" s="203">
        <v>105</v>
      </c>
      <c r="I184" s="201" t="s">
        <v>80</v>
      </c>
      <c r="J184" s="201" t="s">
        <v>36</v>
      </c>
      <c r="K184" s="201">
        <v>0.35599999999999998</v>
      </c>
      <c r="L184" s="201" t="s">
        <v>413</v>
      </c>
      <c r="M184" s="201" t="s">
        <v>414</v>
      </c>
      <c r="N184" s="204" t="s">
        <v>415</v>
      </c>
      <c r="O184" s="200"/>
      <c r="P184" s="200" t="s">
        <v>227</v>
      </c>
      <c r="Q184" s="768">
        <v>41.382292999999997</v>
      </c>
      <c r="R184" s="666">
        <v>-87.332835000000003</v>
      </c>
      <c r="S184" s="200" t="s">
        <v>61</v>
      </c>
      <c r="T184" s="200"/>
      <c r="U184" s="200" t="s">
        <v>51</v>
      </c>
      <c r="V184" s="199"/>
      <c r="W184" s="205">
        <f>IF(AC184="Intr",0,G184*Definitions!$B$53)</f>
        <v>7609.5</v>
      </c>
      <c r="X184" s="205">
        <f>IF(AC184="Intr",0,G184*Definitions!$B$54)</f>
        <v>35511</v>
      </c>
      <c r="Y184" s="205">
        <f>IF(AC184="Intr",G184,G184*Definitions!$B$55)</f>
        <v>7609.5</v>
      </c>
      <c r="Z184" s="205"/>
      <c r="AA184" s="205"/>
      <c r="AB184" s="205"/>
      <c r="AC184" s="200"/>
      <c r="AD184" s="200"/>
      <c r="AE184" s="200"/>
      <c r="AF184" s="200"/>
      <c r="AG184" s="206"/>
      <c r="AH184" s="200"/>
    </row>
    <row r="185" spans="1:34" x14ac:dyDescent="0.2">
      <c r="A185" s="88">
        <v>43956</v>
      </c>
      <c r="B185" s="89" t="s">
        <v>95</v>
      </c>
      <c r="C185" s="89">
        <v>2020</v>
      </c>
      <c r="D185" s="89" t="s">
        <v>7</v>
      </c>
      <c r="E185" s="90">
        <v>-209</v>
      </c>
      <c r="F185" s="90" t="s">
        <v>33</v>
      </c>
      <c r="G185" s="91">
        <v>94050</v>
      </c>
      <c r="H185" s="92">
        <v>63</v>
      </c>
      <c r="I185" s="90" t="s">
        <v>80</v>
      </c>
      <c r="J185" s="90" t="s">
        <v>40</v>
      </c>
      <c r="K185" s="90">
        <v>209</v>
      </c>
      <c r="L185" s="90" t="s">
        <v>626</v>
      </c>
      <c r="M185" s="90" t="s">
        <v>424</v>
      </c>
      <c r="N185" s="93" t="s">
        <v>425</v>
      </c>
      <c r="O185" s="89"/>
      <c r="P185" s="89" t="s">
        <v>426</v>
      </c>
      <c r="Q185" s="735">
        <v>39.681193999999998</v>
      </c>
      <c r="R185" s="649">
        <v>-86.044255000000007</v>
      </c>
      <c r="S185" s="89" t="s">
        <v>63</v>
      </c>
      <c r="T185" s="89"/>
      <c r="U185" s="89" t="s">
        <v>51</v>
      </c>
      <c r="V185" s="88"/>
      <c r="W185" s="95">
        <f>IF(AC185="Intr",0,G185*Definitions!$B$53)</f>
        <v>14107.5</v>
      </c>
      <c r="X185" s="95">
        <f>IF(AC185="Intr",0,G185*Definitions!$B$54)</f>
        <v>65835</v>
      </c>
      <c r="Y185" s="95">
        <f>IF(AC185="Intr",G185,G185*Definitions!$B$55)</f>
        <v>14107.5</v>
      </c>
      <c r="Z185" s="95"/>
      <c r="AA185" s="95"/>
      <c r="AB185" s="95"/>
      <c r="AC185" s="89"/>
      <c r="AD185" s="89"/>
      <c r="AE185" s="89"/>
      <c r="AF185" s="89"/>
      <c r="AG185" s="96"/>
      <c r="AH185" s="89" t="s">
        <v>427</v>
      </c>
    </row>
    <row r="186" spans="1:34" ht="13.5" thickBot="1" x14ac:dyDescent="0.25">
      <c r="A186" s="168">
        <v>43956</v>
      </c>
      <c r="B186" s="169" t="s">
        <v>95</v>
      </c>
      <c r="C186" s="169">
        <v>2020</v>
      </c>
      <c r="D186" s="169" t="s">
        <v>7</v>
      </c>
      <c r="E186" s="170">
        <v>-153</v>
      </c>
      <c r="F186" s="170" t="s">
        <v>33</v>
      </c>
      <c r="G186" s="171">
        <v>68850</v>
      </c>
      <c r="H186" s="172">
        <v>104</v>
      </c>
      <c r="I186" s="170" t="s">
        <v>80</v>
      </c>
      <c r="J186" s="170" t="s">
        <v>41</v>
      </c>
      <c r="K186" s="170">
        <v>153</v>
      </c>
      <c r="L186" s="170" t="s">
        <v>406</v>
      </c>
      <c r="M186" s="170" t="s">
        <v>428</v>
      </c>
      <c r="N186" s="173" t="s">
        <v>429</v>
      </c>
      <c r="O186" s="169"/>
      <c r="P186" s="169" t="s">
        <v>137</v>
      </c>
      <c r="Q186" s="748">
        <v>39.9602</v>
      </c>
      <c r="R186" s="844">
        <v>-85.883099999999999</v>
      </c>
      <c r="S186" s="169" t="s">
        <v>61</v>
      </c>
      <c r="T186" s="169"/>
      <c r="U186" s="169" t="s">
        <v>51</v>
      </c>
      <c r="V186" s="168"/>
      <c r="W186" s="174">
        <f>IF(AC186="Intr",0,G186*Definitions!$B$53)</f>
        <v>10327.5</v>
      </c>
      <c r="X186" s="174">
        <f>IF(AC186="Intr",0,G186*Definitions!$B$54)</f>
        <v>48195</v>
      </c>
      <c r="Y186" s="174">
        <f>IF(AC186="Intr",G186,G186*Definitions!$B$55)</f>
        <v>10327.5</v>
      </c>
      <c r="Z186" s="174"/>
      <c r="AA186" s="174"/>
      <c r="AB186" s="174"/>
      <c r="AC186" s="169"/>
      <c r="AD186" s="169"/>
      <c r="AE186" s="169"/>
      <c r="AF186" s="169"/>
      <c r="AG186" s="175"/>
      <c r="AH186" s="169" t="s">
        <v>427</v>
      </c>
    </row>
    <row r="187" spans="1:34" ht="25.5" x14ac:dyDescent="0.2">
      <c r="A187" s="97">
        <v>43956</v>
      </c>
      <c r="B187" s="98" t="s">
        <v>95</v>
      </c>
      <c r="C187" s="98">
        <v>2020</v>
      </c>
      <c r="D187" s="98" t="s">
        <v>7</v>
      </c>
      <c r="E187" s="99">
        <v>-1.35</v>
      </c>
      <c r="F187" s="99" t="s">
        <v>32</v>
      </c>
      <c r="G187" s="100">
        <v>108000</v>
      </c>
      <c r="H187" s="101">
        <v>99</v>
      </c>
      <c r="I187" s="99" t="s">
        <v>80</v>
      </c>
      <c r="J187" s="99" t="s">
        <v>38</v>
      </c>
      <c r="K187" s="99">
        <v>0.43</v>
      </c>
      <c r="L187" s="99" t="s">
        <v>432</v>
      </c>
      <c r="M187" s="99" t="s">
        <v>430</v>
      </c>
      <c r="N187" s="102" t="s">
        <v>431</v>
      </c>
      <c r="O187" s="98"/>
      <c r="P187" s="98" t="s">
        <v>162</v>
      </c>
      <c r="Q187" s="730">
        <v>39.752732999999999</v>
      </c>
      <c r="R187" s="645">
        <v>-86.338806000000005</v>
      </c>
      <c r="S187" s="98" t="s">
        <v>63</v>
      </c>
      <c r="T187" s="106" t="s">
        <v>1740</v>
      </c>
      <c r="U187" s="98" t="s">
        <v>50</v>
      </c>
      <c r="V187" s="97" t="s">
        <v>1739</v>
      </c>
      <c r="W187" s="103">
        <f>IF(AC187="Intr",0,G187*Definitions!$B$53)</f>
        <v>16200</v>
      </c>
      <c r="X187" s="103">
        <f>IF(AC187="Intr",0,G187*Definitions!$B$54)</f>
        <v>75600</v>
      </c>
      <c r="Y187" s="103">
        <f>IF(AC187="Intr",G187,G187*Definitions!$B$55)</f>
        <v>16200</v>
      </c>
      <c r="Z187" s="103"/>
      <c r="AA187" s="103"/>
      <c r="AB187" s="103"/>
      <c r="AC187" s="98"/>
      <c r="AD187" s="98"/>
      <c r="AE187" s="98"/>
      <c r="AF187" s="98"/>
      <c r="AG187" s="104"/>
      <c r="AH187" s="98" t="s">
        <v>1738</v>
      </c>
    </row>
    <row r="188" spans="1:34" x14ac:dyDescent="0.2">
      <c r="A188" s="296">
        <v>43959</v>
      </c>
      <c r="B188" s="297" t="s">
        <v>422</v>
      </c>
      <c r="C188" s="297">
        <v>2020</v>
      </c>
      <c r="D188" s="297" t="s">
        <v>11</v>
      </c>
      <c r="E188" s="298">
        <v>-0.94</v>
      </c>
      <c r="F188" s="298" t="s">
        <v>32</v>
      </c>
      <c r="G188" s="299">
        <v>75200</v>
      </c>
      <c r="H188" s="300">
        <v>108</v>
      </c>
      <c r="I188" s="298" t="s">
        <v>80</v>
      </c>
      <c r="J188" s="298" t="s">
        <v>36</v>
      </c>
      <c r="K188" s="298">
        <v>0.39</v>
      </c>
      <c r="L188" s="298" t="s">
        <v>419</v>
      </c>
      <c r="M188" s="298" t="s">
        <v>420</v>
      </c>
      <c r="N188" s="301" t="s">
        <v>421</v>
      </c>
      <c r="O188" s="297"/>
      <c r="P188" s="297" t="s">
        <v>393</v>
      </c>
      <c r="Q188" s="766">
        <v>38.372483000000003</v>
      </c>
      <c r="R188" s="664">
        <v>-87.747861999999998</v>
      </c>
      <c r="S188" s="297" t="s">
        <v>62</v>
      </c>
      <c r="T188" s="297"/>
      <c r="U188" s="297" t="s">
        <v>51</v>
      </c>
      <c r="V188" s="296"/>
      <c r="W188" s="302">
        <f>IF(AC188="Intr",0,G188*Definitions!$B$53)</f>
        <v>11280</v>
      </c>
      <c r="X188" s="302">
        <f>IF(AC188="Intr",0,G188*Definitions!$B$54)</f>
        <v>52640</v>
      </c>
      <c r="Y188" s="302">
        <f>IF(AC188="Intr",G188,G188*Definitions!$B$55)</f>
        <v>11280</v>
      </c>
      <c r="Z188" s="302"/>
      <c r="AA188" s="302"/>
      <c r="AB188" s="302"/>
      <c r="AC188" s="297"/>
      <c r="AD188" s="297"/>
      <c r="AE188" s="297"/>
      <c r="AF188" s="297"/>
      <c r="AG188" s="303"/>
      <c r="AH188" s="297"/>
    </row>
    <row r="189" spans="1:34" x14ac:dyDescent="0.2">
      <c r="A189" s="79">
        <v>43983</v>
      </c>
      <c r="B189" s="80" t="s">
        <v>433</v>
      </c>
      <c r="C189" s="80">
        <v>2020</v>
      </c>
      <c r="D189" s="80" t="s">
        <v>11</v>
      </c>
      <c r="E189" s="81">
        <v>-0.14799999999999999</v>
      </c>
      <c r="F189" s="81" t="s">
        <v>32</v>
      </c>
      <c r="G189" s="82">
        <v>11840</v>
      </c>
      <c r="H189" s="83">
        <v>103</v>
      </c>
      <c r="I189" s="81" t="s">
        <v>81</v>
      </c>
      <c r="J189" s="81" t="s">
        <v>36</v>
      </c>
      <c r="K189" s="81">
        <v>0.14799999999999999</v>
      </c>
      <c r="L189" s="81" t="s">
        <v>1123</v>
      </c>
      <c r="M189" s="81" t="s">
        <v>103</v>
      </c>
      <c r="N189" s="84" t="s">
        <v>434</v>
      </c>
      <c r="O189" s="80"/>
      <c r="P189" s="80" t="s">
        <v>89</v>
      </c>
      <c r="Q189" s="770">
        <v>38.063870000000001</v>
      </c>
      <c r="R189" s="668">
        <v>-87.49342</v>
      </c>
      <c r="S189" s="80" t="s">
        <v>63</v>
      </c>
      <c r="T189" s="80"/>
      <c r="U189" s="80" t="s">
        <v>51</v>
      </c>
      <c r="V189" s="79"/>
      <c r="W189" s="86">
        <f>IF(AC189="Intr",0,G189*Definitions!$B$53)</f>
        <v>1776</v>
      </c>
      <c r="X189" s="86">
        <f>IF(AC189="Intr",0,G189*Definitions!$B$54)</f>
        <v>8288</v>
      </c>
      <c r="Y189" s="86">
        <f>IF(AC189="Intr",G189,G189*Definitions!$B$55)</f>
        <v>1776</v>
      </c>
      <c r="Z189" s="86"/>
      <c r="AA189" s="86"/>
      <c r="AB189" s="86"/>
      <c r="AC189" s="80"/>
      <c r="AD189" s="80"/>
      <c r="AE189" s="80"/>
      <c r="AF189" s="80"/>
      <c r="AG189" s="87"/>
      <c r="AH189" s="80" t="s">
        <v>1124</v>
      </c>
    </row>
    <row r="190" spans="1:34" x14ac:dyDescent="0.2">
      <c r="A190" s="97">
        <v>43991</v>
      </c>
      <c r="B190" s="98" t="s">
        <v>433</v>
      </c>
      <c r="C190" s="98">
        <v>2020</v>
      </c>
      <c r="D190" s="98" t="s">
        <v>10</v>
      </c>
      <c r="E190" s="99">
        <v>-1.08</v>
      </c>
      <c r="F190" s="99" t="s">
        <v>32</v>
      </c>
      <c r="G190" s="100">
        <v>86400</v>
      </c>
      <c r="H190" s="101">
        <v>116</v>
      </c>
      <c r="I190" s="99" t="s">
        <v>80</v>
      </c>
      <c r="J190" s="99" t="s">
        <v>36</v>
      </c>
      <c r="K190" s="99">
        <v>0.443</v>
      </c>
      <c r="L190" s="99" t="s">
        <v>438</v>
      </c>
      <c r="M190" s="99" t="s">
        <v>439</v>
      </c>
      <c r="N190" s="102" t="s">
        <v>440</v>
      </c>
      <c r="O190" s="98"/>
      <c r="P190" s="98" t="s">
        <v>84</v>
      </c>
      <c r="Q190" s="730">
        <v>38.325339999999997</v>
      </c>
      <c r="R190" s="645">
        <v>-84.688649999999996</v>
      </c>
      <c r="S190" s="98" t="s">
        <v>61</v>
      </c>
      <c r="T190" s="98" t="s">
        <v>1545</v>
      </c>
      <c r="U190" s="98" t="s">
        <v>50</v>
      </c>
      <c r="V190" s="97">
        <v>45313</v>
      </c>
      <c r="W190" s="103">
        <f>IF(AC190="Intr",0,G190*[1]Data!$B$53)</f>
        <v>12960</v>
      </c>
      <c r="X190" s="103">
        <f>IF(AC190="Intr",0,G190*[1]Data!$B$54)</f>
        <v>60479.999999999993</v>
      </c>
      <c r="Y190" s="103">
        <f>IF(AC190="Intr",G190,G190*[1]Data!$B$55)</f>
        <v>12960</v>
      </c>
      <c r="Z190" s="103"/>
      <c r="AA190" s="103"/>
      <c r="AB190" s="103"/>
      <c r="AC190" s="98"/>
      <c r="AD190" s="98" t="s">
        <v>1546</v>
      </c>
      <c r="AE190" s="98"/>
      <c r="AF190" s="98"/>
      <c r="AG190" s="104"/>
      <c r="AH190" s="98" t="s">
        <v>1547</v>
      </c>
    </row>
    <row r="191" spans="1:34" x14ac:dyDescent="0.2">
      <c r="A191" s="97">
        <v>43991</v>
      </c>
      <c r="B191" s="98" t="s">
        <v>433</v>
      </c>
      <c r="C191" s="98">
        <v>2020</v>
      </c>
      <c r="D191" s="98" t="s">
        <v>7</v>
      </c>
      <c r="E191" s="99">
        <v>-1.1000000000000001</v>
      </c>
      <c r="F191" s="99" t="s">
        <v>32</v>
      </c>
      <c r="G191" s="100">
        <v>88000</v>
      </c>
      <c r="H191" s="101">
        <v>100</v>
      </c>
      <c r="I191" s="99" t="s">
        <v>80</v>
      </c>
      <c r="J191" s="99" t="s">
        <v>36</v>
      </c>
      <c r="K191" s="99">
        <v>0.46</v>
      </c>
      <c r="L191" s="99" t="s">
        <v>435</v>
      </c>
      <c r="M191" s="99" t="s">
        <v>436</v>
      </c>
      <c r="N191" s="102" t="s">
        <v>437</v>
      </c>
      <c r="O191" s="98"/>
      <c r="P191" s="98" t="s">
        <v>426</v>
      </c>
      <c r="Q191" s="730">
        <v>39.659300000000002</v>
      </c>
      <c r="R191" s="845">
        <v>-86.305099999999996</v>
      </c>
      <c r="S191" s="98" t="s">
        <v>61</v>
      </c>
      <c r="T191" s="98" t="s">
        <v>1548</v>
      </c>
      <c r="U191" s="98" t="s">
        <v>50</v>
      </c>
      <c r="V191" s="97">
        <v>45538</v>
      </c>
      <c r="W191" s="103">
        <f>IF(AC191="Intr",0,G191*Definitions!$B$53)</f>
        <v>13200</v>
      </c>
      <c r="X191" s="103">
        <f>IF(AC191="Intr",0,G191*Definitions!$B$54)</f>
        <v>61599.999999999993</v>
      </c>
      <c r="Y191" s="103">
        <f>IF(AC191="Intr",G191,G191*Definitions!$B$55)</f>
        <v>13200</v>
      </c>
      <c r="Z191" s="103"/>
      <c r="AA191" s="103"/>
      <c r="AB191" s="103"/>
      <c r="AC191" s="98"/>
      <c r="AD191" s="98"/>
      <c r="AE191" s="98"/>
      <c r="AF191" s="98"/>
      <c r="AG191" s="104"/>
      <c r="AH191" s="98" t="s">
        <v>1741</v>
      </c>
    </row>
    <row r="192" spans="1:34" x14ac:dyDescent="0.2">
      <c r="A192" s="97">
        <v>43991</v>
      </c>
      <c r="B192" s="98" t="s">
        <v>433</v>
      </c>
      <c r="C192" s="98">
        <v>2020</v>
      </c>
      <c r="D192" s="98" t="s">
        <v>7</v>
      </c>
      <c r="E192" s="99">
        <v>-0.4</v>
      </c>
      <c r="F192" s="99" t="s">
        <v>32</v>
      </c>
      <c r="G192" s="100">
        <v>32000</v>
      </c>
      <c r="H192" s="101">
        <v>100</v>
      </c>
      <c r="I192" s="99" t="s">
        <v>80</v>
      </c>
      <c r="J192" s="99" t="s">
        <v>37</v>
      </c>
      <c r="K192" s="99">
        <v>0.11</v>
      </c>
      <c r="L192" s="99" t="s">
        <v>435</v>
      </c>
      <c r="M192" s="99" t="s">
        <v>436</v>
      </c>
      <c r="N192" s="102" t="s">
        <v>437</v>
      </c>
      <c r="O192" s="98"/>
      <c r="P192" s="98" t="s">
        <v>426</v>
      </c>
      <c r="Q192" s="730">
        <v>39.659300000000002</v>
      </c>
      <c r="R192" s="845">
        <v>-86.305099999999996</v>
      </c>
      <c r="S192" s="98" t="s">
        <v>61</v>
      </c>
      <c r="T192" s="98" t="s">
        <v>1834</v>
      </c>
      <c r="U192" s="98" t="s">
        <v>50</v>
      </c>
      <c r="V192" s="97">
        <v>45694</v>
      </c>
      <c r="W192" s="103">
        <f>IF(AC192="Intr",0,G192*Definitions!$B$53)</f>
        <v>4800</v>
      </c>
      <c r="X192" s="103">
        <f>IF(AC192="Intr",0,G192*Definitions!$B$54)</f>
        <v>22400</v>
      </c>
      <c r="Y192" s="103">
        <f>IF(AC192="Intr",G192,G192*Definitions!$B$55)</f>
        <v>4800</v>
      </c>
      <c r="Z192" s="103"/>
      <c r="AA192" s="103"/>
      <c r="AB192" s="103"/>
      <c r="AC192" s="98"/>
      <c r="AD192" s="98" t="s">
        <v>1831</v>
      </c>
      <c r="AE192" s="98"/>
      <c r="AF192" s="98"/>
      <c r="AG192" s="104"/>
      <c r="AH192" s="98" t="s">
        <v>1832</v>
      </c>
    </row>
    <row r="193" spans="1:34" x14ac:dyDescent="0.2">
      <c r="A193" s="176">
        <v>43999</v>
      </c>
      <c r="B193" s="38" t="s">
        <v>433</v>
      </c>
      <c r="C193" s="38">
        <v>2020</v>
      </c>
      <c r="D193" s="38" t="s">
        <v>1</v>
      </c>
      <c r="E193" s="177">
        <v>-0.15</v>
      </c>
      <c r="F193" s="177" t="s">
        <v>32</v>
      </c>
      <c r="G193" s="178">
        <v>14250</v>
      </c>
      <c r="H193" s="179">
        <v>110</v>
      </c>
      <c r="I193" s="177" t="s">
        <v>80</v>
      </c>
      <c r="J193" s="177" t="s">
        <v>36</v>
      </c>
      <c r="K193" s="177">
        <v>0.1</v>
      </c>
      <c r="L193" s="177" t="s">
        <v>408</v>
      </c>
      <c r="M193" s="177" t="s">
        <v>443</v>
      </c>
      <c r="N193" s="70" t="s">
        <v>444</v>
      </c>
      <c r="O193" s="38"/>
      <c r="P193" s="38" t="s">
        <v>227</v>
      </c>
      <c r="Q193" s="760">
        <v>41.56006</v>
      </c>
      <c r="R193" s="853">
        <v>-87.464039999999997</v>
      </c>
      <c r="S193" s="38" t="s">
        <v>62</v>
      </c>
      <c r="T193" s="38"/>
      <c r="U193" s="38" t="s">
        <v>51</v>
      </c>
      <c r="V193" s="37"/>
      <c r="W193" s="180">
        <f>IF(AC193="Intr",0,G193*Definitions!$B$53)</f>
        <v>2137.5</v>
      </c>
      <c r="X193" s="180">
        <f>IF(AC193="Intr",0,G193*Definitions!$B$54)</f>
        <v>9975</v>
      </c>
      <c r="Y193" s="180">
        <f>IF(AC193="Intr",G193,G193*Definitions!$B$55)</f>
        <v>2137.5</v>
      </c>
      <c r="Z193" s="180"/>
      <c r="AA193" s="180"/>
      <c r="AB193" s="180"/>
      <c r="AC193" s="38"/>
      <c r="AD193" s="38"/>
      <c r="AE193" s="38"/>
      <c r="AF193" s="38"/>
      <c r="AG193" s="40"/>
      <c r="AH193" s="38"/>
    </row>
    <row r="194" spans="1:34" x14ac:dyDescent="0.2">
      <c r="A194" s="58">
        <v>43999</v>
      </c>
      <c r="B194" s="59" t="s">
        <v>433</v>
      </c>
      <c r="C194" s="59">
        <v>2020</v>
      </c>
      <c r="D194" s="59" t="s">
        <v>1</v>
      </c>
      <c r="E194" s="60">
        <v>-0.3</v>
      </c>
      <c r="F194" s="60" t="s">
        <v>32</v>
      </c>
      <c r="G194" s="61">
        <v>28500</v>
      </c>
      <c r="H194" s="62">
        <v>107</v>
      </c>
      <c r="I194" s="60" t="s">
        <v>81</v>
      </c>
      <c r="J194" s="60" t="s">
        <v>36</v>
      </c>
      <c r="K194" s="60">
        <v>0.3</v>
      </c>
      <c r="L194" s="60" t="s">
        <v>441</v>
      </c>
      <c r="M194" s="60" t="s">
        <v>103</v>
      </c>
      <c r="N194" s="63" t="s">
        <v>442</v>
      </c>
      <c r="O194" s="59"/>
      <c r="P194" s="59" t="s">
        <v>227</v>
      </c>
      <c r="Q194" s="745">
        <v>41.566719999999997</v>
      </c>
      <c r="R194" s="854">
        <v>-87.404290000000003</v>
      </c>
      <c r="S194" s="59" t="s">
        <v>61</v>
      </c>
      <c r="T194" s="59"/>
      <c r="U194" s="59" t="s">
        <v>51</v>
      </c>
      <c r="V194" s="58"/>
      <c r="W194" s="65">
        <f>IF(AC194="Intr",0,G194*Definitions!$B$53)</f>
        <v>4275</v>
      </c>
      <c r="X194" s="65">
        <f>IF(AC194="Intr",0,G194*Definitions!$B$54)</f>
        <v>19950</v>
      </c>
      <c r="Y194" s="65">
        <f>IF(AC194="Intr",G194,G194*Definitions!$B$55)</f>
        <v>4275</v>
      </c>
      <c r="Z194" s="65"/>
      <c r="AA194" s="65"/>
      <c r="AB194" s="65"/>
      <c r="AC194" s="59"/>
      <c r="AD194" s="59"/>
      <c r="AE194" s="59"/>
      <c r="AF194" s="59"/>
      <c r="AG194" s="66"/>
      <c r="AH194" s="59"/>
    </row>
    <row r="195" spans="1:34" x14ac:dyDescent="0.2">
      <c r="A195" s="207">
        <v>44004</v>
      </c>
      <c r="B195" s="208" t="s">
        <v>433</v>
      </c>
      <c r="C195" s="208">
        <v>2020</v>
      </c>
      <c r="D195" s="208" t="s">
        <v>1</v>
      </c>
      <c r="E195" s="209">
        <v>-5.2630000000000003E-2</v>
      </c>
      <c r="F195" s="209" t="s">
        <v>32</v>
      </c>
      <c r="G195" s="210">
        <v>4999.8599999999997</v>
      </c>
      <c r="H195" s="211">
        <v>123</v>
      </c>
      <c r="I195" s="209" t="s">
        <v>80</v>
      </c>
      <c r="J195" s="209" t="s">
        <v>36</v>
      </c>
      <c r="K195" s="209">
        <v>0</v>
      </c>
      <c r="L195" s="209" t="s">
        <v>445</v>
      </c>
      <c r="M195" s="209" t="s">
        <v>446</v>
      </c>
      <c r="N195" s="212" t="s">
        <v>447</v>
      </c>
      <c r="O195" s="208"/>
      <c r="P195" s="208" t="s">
        <v>385</v>
      </c>
      <c r="Q195" s="749">
        <v>41.458440000000003</v>
      </c>
      <c r="R195" s="641">
        <v>-87.145560000000003</v>
      </c>
      <c r="S195" s="208" t="s">
        <v>61</v>
      </c>
      <c r="T195" s="208"/>
      <c r="U195" s="208" t="s">
        <v>51</v>
      </c>
      <c r="V195" s="207"/>
      <c r="W195" s="213">
        <f>IF(AC195="Intr",0,G195*Definitions!$B$53)</f>
        <v>749.97899999999993</v>
      </c>
      <c r="X195" s="213">
        <f>IF(AC195="Intr",0,G195*Definitions!$B$54)</f>
        <v>3499.9019999999996</v>
      </c>
      <c r="Y195" s="213">
        <f>IF(AC195="Intr",G195,G195*Definitions!$B$55)</f>
        <v>749.97899999999993</v>
      </c>
      <c r="Z195" s="213"/>
      <c r="AA195" s="213"/>
      <c r="AB195" s="213"/>
      <c r="AC195" s="208"/>
      <c r="AD195" s="208"/>
      <c r="AE195" s="208"/>
      <c r="AF195" s="208"/>
      <c r="AG195" s="214"/>
      <c r="AH195" s="208" t="s">
        <v>448</v>
      </c>
    </row>
    <row r="196" spans="1:34" x14ac:dyDescent="0.2">
      <c r="A196" s="97">
        <v>44006</v>
      </c>
      <c r="B196" s="98" t="s">
        <v>433</v>
      </c>
      <c r="C196" s="98">
        <v>2020</v>
      </c>
      <c r="D196" s="98" t="s">
        <v>10</v>
      </c>
      <c r="E196" s="99">
        <v>-7.0000000000000007E-2</v>
      </c>
      <c r="F196" s="99" t="s">
        <v>32</v>
      </c>
      <c r="G196" s="100">
        <v>5600</v>
      </c>
      <c r="H196" s="101">
        <v>124</v>
      </c>
      <c r="I196" s="99" t="s">
        <v>80</v>
      </c>
      <c r="J196" s="99" t="s">
        <v>36</v>
      </c>
      <c r="K196" s="99">
        <v>3.5000000000000003E-2</v>
      </c>
      <c r="L196" s="99" t="s">
        <v>449</v>
      </c>
      <c r="M196" s="99" t="s">
        <v>450</v>
      </c>
      <c r="N196" s="102" t="s">
        <v>451</v>
      </c>
      <c r="O196" s="98"/>
      <c r="P196" s="98" t="s">
        <v>176</v>
      </c>
      <c r="Q196" s="730">
        <v>39.019474000000002</v>
      </c>
      <c r="R196" s="645">
        <v>-84.929779999999994</v>
      </c>
      <c r="S196" s="98" t="s">
        <v>63</v>
      </c>
      <c r="T196" s="98" t="s">
        <v>1545</v>
      </c>
      <c r="U196" s="98" t="s">
        <v>50</v>
      </c>
      <c r="V196" s="97">
        <v>45313</v>
      </c>
      <c r="W196" s="103">
        <f>IF(AC196="Intr",0,G196*[1]Data!$B$53)</f>
        <v>840</v>
      </c>
      <c r="X196" s="103">
        <f>IF(AC196="Intr",0,G196*[1]Data!$B$54)</f>
        <v>3919.9999999999995</v>
      </c>
      <c r="Y196" s="103">
        <f>IF(AC196="Intr",G196,G196*[1]Data!$B$55)</f>
        <v>840</v>
      </c>
      <c r="Z196" s="103"/>
      <c r="AA196" s="103"/>
      <c r="AB196" s="103"/>
      <c r="AC196" s="98"/>
      <c r="AD196" s="98" t="s">
        <v>1546</v>
      </c>
      <c r="AE196" s="98"/>
      <c r="AF196" s="98"/>
      <c r="AG196" s="104"/>
      <c r="AH196" s="98" t="s">
        <v>1547</v>
      </c>
    </row>
    <row r="197" spans="1:34" x14ac:dyDescent="0.2">
      <c r="A197" s="97">
        <v>44006</v>
      </c>
      <c r="B197" s="98" t="s">
        <v>433</v>
      </c>
      <c r="C197" s="98">
        <v>2020</v>
      </c>
      <c r="D197" s="98" t="s">
        <v>10</v>
      </c>
      <c r="E197" s="99">
        <v>-0.74399999999999999</v>
      </c>
      <c r="F197" s="99" t="s">
        <v>32</v>
      </c>
      <c r="G197" s="100">
        <v>59520</v>
      </c>
      <c r="H197" s="101">
        <v>124</v>
      </c>
      <c r="I197" s="99" t="s">
        <v>80</v>
      </c>
      <c r="J197" s="99" t="s">
        <v>38</v>
      </c>
      <c r="K197" s="99">
        <v>0.186</v>
      </c>
      <c r="L197" s="99" t="s">
        <v>449</v>
      </c>
      <c r="M197" s="99" t="s">
        <v>450</v>
      </c>
      <c r="N197" s="102" t="s">
        <v>451</v>
      </c>
      <c r="O197" s="98"/>
      <c r="P197" s="98" t="s">
        <v>176</v>
      </c>
      <c r="Q197" s="730">
        <v>39.019474000000002</v>
      </c>
      <c r="R197" s="645">
        <v>-84.929779999999994</v>
      </c>
      <c r="S197" s="98" t="s">
        <v>63</v>
      </c>
      <c r="T197" s="98" t="s">
        <v>1545</v>
      </c>
      <c r="U197" s="98" t="s">
        <v>50</v>
      </c>
      <c r="V197" s="97">
        <v>45313</v>
      </c>
      <c r="W197" s="103">
        <f>IF(AC197="Intr",0,G197*[1]Data!$B$53)</f>
        <v>8928</v>
      </c>
      <c r="X197" s="103">
        <f>IF(AC197="Intr",0,G197*[1]Data!$B$54)</f>
        <v>41664</v>
      </c>
      <c r="Y197" s="103">
        <f>IF(AC197="Intr",G197,G197*[1]Data!$B$55)</f>
        <v>8928</v>
      </c>
      <c r="Z197" s="103"/>
      <c r="AA197" s="103"/>
      <c r="AB197" s="103"/>
      <c r="AC197" s="98"/>
      <c r="AD197" s="98" t="s">
        <v>1546</v>
      </c>
      <c r="AE197" s="98"/>
      <c r="AF197" s="98"/>
      <c r="AG197" s="104"/>
      <c r="AH197" s="98" t="s">
        <v>1547</v>
      </c>
    </row>
    <row r="198" spans="1:34" x14ac:dyDescent="0.2">
      <c r="A198" s="97">
        <v>44008</v>
      </c>
      <c r="B198" s="98" t="s">
        <v>433</v>
      </c>
      <c r="C198" s="98">
        <v>2020</v>
      </c>
      <c r="D198" s="98" t="s">
        <v>4</v>
      </c>
      <c r="E198" s="99">
        <v>-0.28000000000000003</v>
      </c>
      <c r="F198" s="99" t="s">
        <v>32</v>
      </c>
      <c r="G198" s="100">
        <v>22400</v>
      </c>
      <c r="H198" s="101">
        <v>114</v>
      </c>
      <c r="I198" s="99" t="s">
        <v>80</v>
      </c>
      <c r="J198" s="99" t="s">
        <v>37</v>
      </c>
      <c r="K198" s="99">
        <v>0.14000000000000001</v>
      </c>
      <c r="L198" s="99" t="s">
        <v>457</v>
      </c>
      <c r="M198" s="99" t="s">
        <v>458</v>
      </c>
      <c r="N198" s="102" t="s">
        <v>483</v>
      </c>
      <c r="O198" s="98"/>
      <c r="P198" s="98" t="s">
        <v>255</v>
      </c>
      <c r="Q198" s="730">
        <v>41.183199999999999</v>
      </c>
      <c r="R198" s="645">
        <v>-85.092799999999997</v>
      </c>
      <c r="S198" s="98" t="s">
        <v>61</v>
      </c>
      <c r="T198" s="98" t="s">
        <v>1568</v>
      </c>
      <c r="U198" s="98" t="s">
        <v>50</v>
      </c>
      <c r="V198" s="97">
        <v>45306</v>
      </c>
      <c r="W198" s="103">
        <f>IF(AC198="Intr",0,G198*[1]Data!$B$53)</f>
        <v>3360</v>
      </c>
      <c r="X198" s="103">
        <f>IF(AC198="Intr",0,G198*[1]Data!$B$54)</f>
        <v>15679.999999999998</v>
      </c>
      <c r="Y198" s="103">
        <f>IF(AC198="Intr",G198,G198*[1]Data!$B$55)</f>
        <v>3360</v>
      </c>
      <c r="Z198" s="103"/>
      <c r="AA198" s="103"/>
      <c r="AB198" s="103"/>
      <c r="AC198" s="98"/>
      <c r="AD198" s="98" t="s">
        <v>1570</v>
      </c>
      <c r="AE198" s="98"/>
      <c r="AF198" s="98"/>
      <c r="AG198" s="104"/>
      <c r="AH198" s="98" t="s">
        <v>1574</v>
      </c>
    </row>
    <row r="199" spans="1:34" x14ac:dyDescent="0.2">
      <c r="A199" s="136">
        <v>44008</v>
      </c>
      <c r="B199" s="137" t="s">
        <v>433</v>
      </c>
      <c r="C199" s="137">
        <v>2020</v>
      </c>
      <c r="D199" s="137" t="s">
        <v>5</v>
      </c>
      <c r="E199" s="139">
        <v>-114</v>
      </c>
      <c r="F199" s="139" t="s">
        <v>33</v>
      </c>
      <c r="G199" s="140">
        <v>45600</v>
      </c>
      <c r="H199" s="141">
        <v>115</v>
      </c>
      <c r="I199" s="139" t="s">
        <v>80</v>
      </c>
      <c r="J199" s="139" t="s">
        <v>39</v>
      </c>
      <c r="K199" s="139">
        <v>52</v>
      </c>
      <c r="L199" s="139" t="s">
        <v>452</v>
      </c>
      <c r="M199" s="139" t="s">
        <v>453</v>
      </c>
      <c r="N199" s="142" t="s">
        <v>454</v>
      </c>
      <c r="O199" s="137"/>
      <c r="P199" s="137" t="s">
        <v>455</v>
      </c>
      <c r="Q199" s="728">
        <v>40.836100000000002</v>
      </c>
      <c r="R199" s="644">
        <v>-85.805700000000002</v>
      </c>
      <c r="S199" s="137" t="s">
        <v>63</v>
      </c>
      <c r="T199" s="137"/>
      <c r="U199" s="137" t="s">
        <v>51</v>
      </c>
      <c r="V199" s="136"/>
      <c r="W199" s="143">
        <f>IF(AC199="Intr",0,G199*Definitions!$B$53)</f>
        <v>6840</v>
      </c>
      <c r="X199" s="143">
        <f>IF(AC199="Intr",0,G199*Definitions!$B$54)</f>
        <v>31919.999999999996</v>
      </c>
      <c r="Y199" s="143">
        <f>IF(AC199="Intr",G199,G199*Definitions!$B$55)</f>
        <v>6840</v>
      </c>
      <c r="Z199" s="143"/>
      <c r="AA199" s="143"/>
      <c r="AB199" s="143"/>
      <c r="AC199" s="137"/>
      <c r="AD199" s="137"/>
      <c r="AE199" s="137"/>
      <c r="AF199" s="137"/>
      <c r="AG199" s="144"/>
      <c r="AH199" s="137" t="s">
        <v>456</v>
      </c>
    </row>
    <row r="200" spans="1:34" x14ac:dyDescent="0.2">
      <c r="A200" s="136">
        <v>44008</v>
      </c>
      <c r="B200" s="137" t="s">
        <v>433</v>
      </c>
      <c r="C200" s="137">
        <v>2020</v>
      </c>
      <c r="D200" s="137" t="s">
        <v>5</v>
      </c>
      <c r="E200" s="139">
        <v>-0.4</v>
      </c>
      <c r="F200" s="139" t="s">
        <v>32</v>
      </c>
      <c r="G200" s="140">
        <v>32000</v>
      </c>
      <c r="H200" s="141">
        <v>115</v>
      </c>
      <c r="I200" s="139" t="s">
        <v>80</v>
      </c>
      <c r="J200" s="139" t="s">
        <v>36</v>
      </c>
      <c r="K200" s="139">
        <v>0.18</v>
      </c>
      <c r="L200" s="139" t="s">
        <v>452</v>
      </c>
      <c r="M200" s="139" t="s">
        <v>453</v>
      </c>
      <c r="N200" s="142" t="s">
        <v>454</v>
      </c>
      <c r="O200" s="137"/>
      <c r="P200" s="137" t="s">
        <v>455</v>
      </c>
      <c r="Q200" s="728">
        <v>40.836100000000002</v>
      </c>
      <c r="R200" s="644">
        <v>-85.805700000000002</v>
      </c>
      <c r="S200" s="137" t="s">
        <v>63</v>
      </c>
      <c r="T200" s="137"/>
      <c r="U200" s="137" t="s">
        <v>51</v>
      </c>
      <c r="V200" s="136"/>
      <c r="W200" s="143">
        <f>IF(AC200="Intr",0,G200*Definitions!$B$53)</f>
        <v>4800</v>
      </c>
      <c r="X200" s="143">
        <f>IF(AC200="Intr",0,G200*Definitions!$B$54)</f>
        <v>22400</v>
      </c>
      <c r="Y200" s="143">
        <f>IF(AC200="Intr",G200,G200*Definitions!$B$55)</f>
        <v>4800</v>
      </c>
      <c r="Z200" s="143"/>
      <c r="AA200" s="143"/>
      <c r="AB200" s="143"/>
      <c r="AC200" s="137"/>
      <c r="AD200" s="137"/>
      <c r="AE200" s="137"/>
      <c r="AF200" s="137"/>
      <c r="AG200" s="144"/>
      <c r="AH200" s="137"/>
    </row>
    <row r="201" spans="1:34" x14ac:dyDescent="0.2">
      <c r="A201" s="274">
        <v>44021</v>
      </c>
      <c r="B201" s="275" t="s">
        <v>238</v>
      </c>
      <c r="C201" s="275">
        <v>2020</v>
      </c>
      <c r="D201" s="275" t="s">
        <v>3</v>
      </c>
      <c r="E201" s="276">
        <v>-850</v>
      </c>
      <c r="F201" s="276" t="s">
        <v>33</v>
      </c>
      <c r="G201" s="277">
        <v>510000</v>
      </c>
      <c r="H201" s="278">
        <v>129</v>
      </c>
      <c r="I201" s="276" t="s">
        <v>80</v>
      </c>
      <c r="J201" s="276" t="s">
        <v>40</v>
      </c>
      <c r="K201" s="276">
        <v>850</v>
      </c>
      <c r="L201" s="276" t="s">
        <v>467</v>
      </c>
      <c r="M201" s="276" t="s">
        <v>465</v>
      </c>
      <c r="N201" s="279" t="s">
        <v>466</v>
      </c>
      <c r="O201" s="275"/>
      <c r="P201" s="275" t="s">
        <v>468</v>
      </c>
      <c r="Q201" s="755">
        <v>41.652929999999998</v>
      </c>
      <c r="R201" s="848">
        <v>-85.610738999999995</v>
      </c>
      <c r="S201" s="275" t="s">
        <v>61</v>
      </c>
      <c r="T201" s="275"/>
      <c r="U201" s="275" t="s">
        <v>51</v>
      </c>
      <c r="V201" s="274"/>
      <c r="W201" s="280">
        <f>IF(AC201="Intr",0,G201*Definitions!$B$53)</f>
        <v>76500</v>
      </c>
      <c r="X201" s="280">
        <f>IF(AC201="Intr",0,G201*Definitions!$B$54)</f>
        <v>357000</v>
      </c>
      <c r="Y201" s="280">
        <f>IF(AC201="Intr",G201,G201*Definitions!$B$55)</f>
        <v>76500</v>
      </c>
      <c r="Z201" s="280"/>
      <c r="AA201" s="280"/>
      <c r="AB201" s="280"/>
      <c r="AC201" s="275"/>
      <c r="AD201" s="275"/>
      <c r="AE201" s="275"/>
      <c r="AF201" s="275"/>
      <c r="AG201" s="281"/>
      <c r="AH201" s="275" t="s">
        <v>1125</v>
      </c>
    </row>
    <row r="202" spans="1:34" x14ac:dyDescent="0.2">
      <c r="A202" s="237">
        <v>44028</v>
      </c>
      <c r="B202" s="238" t="s">
        <v>238</v>
      </c>
      <c r="C202" s="238">
        <v>2020</v>
      </c>
      <c r="D202" s="238" t="s">
        <v>8</v>
      </c>
      <c r="E202" s="240">
        <v>-0.87</v>
      </c>
      <c r="F202" s="240" t="s">
        <v>32</v>
      </c>
      <c r="G202" s="317">
        <v>69600</v>
      </c>
      <c r="H202" s="318">
        <v>117</v>
      </c>
      <c r="I202" s="240" t="s">
        <v>80</v>
      </c>
      <c r="J202" s="240" t="s">
        <v>38</v>
      </c>
      <c r="K202" s="240">
        <v>0.2</v>
      </c>
      <c r="L202" s="240" t="s">
        <v>459</v>
      </c>
      <c r="M202" s="240" t="s">
        <v>462</v>
      </c>
      <c r="N202" s="319" t="s">
        <v>461</v>
      </c>
      <c r="O202" s="238"/>
      <c r="P202" s="238" t="s">
        <v>101</v>
      </c>
      <c r="Q202" s="734">
        <v>39.403750000000002</v>
      </c>
      <c r="R202" s="855">
        <v>-85.987942000000004</v>
      </c>
      <c r="S202" s="238" t="s">
        <v>63</v>
      </c>
      <c r="T202" s="238"/>
      <c r="U202" s="238" t="s">
        <v>51</v>
      </c>
      <c r="V202" s="237"/>
      <c r="W202" s="244">
        <f>IF(AC202="Intr",0,G202*Definitions!$B$53)</f>
        <v>10440</v>
      </c>
      <c r="X202" s="244">
        <f>IF(AC202="Intr",0,G202*Definitions!$B$54)</f>
        <v>48720</v>
      </c>
      <c r="Y202" s="244">
        <f>IF(AC202="Intr",G202,G202*Definitions!$B$55)</f>
        <v>10440</v>
      </c>
      <c r="Z202" s="244"/>
      <c r="AA202" s="244"/>
      <c r="AB202" s="244"/>
      <c r="AC202" s="238"/>
      <c r="AD202" s="238"/>
      <c r="AE202" s="238"/>
      <c r="AF202" s="238"/>
      <c r="AG202" s="245"/>
      <c r="AH202" s="238" t="s">
        <v>463</v>
      </c>
    </row>
    <row r="203" spans="1:34" x14ac:dyDescent="0.2">
      <c r="A203" s="237">
        <v>44028</v>
      </c>
      <c r="B203" s="238" t="s">
        <v>238</v>
      </c>
      <c r="C203" s="238">
        <v>2020</v>
      </c>
      <c r="D203" s="238" t="s">
        <v>8</v>
      </c>
      <c r="E203" s="240">
        <v>-0.19</v>
      </c>
      <c r="F203" s="240" t="s">
        <v>32</v>
      </c>
      <c r="G203" s="317">
        <v>15200</v>
      </c>
      <c r="H203" s="318">
        <v>117</v>
      </c>
      <c r="I203" s="240" t="s">
        <v>80</v>
      </c>
      <c r="J203" s="240" t="s">
        <v>36</v>
      </c>
      <c r="K203" s="240">
        <v>0.19</v>
      </c>
      <c r="L203" s="240" t="s">
        <v>459</v>
      </c>
      <c r="M203" s="240" t="s">
        <v>462</v>
      </c>
      <c r="N203" s="319" t="s">
        <v>461</v>
      </c>
      <c r="O203" s="238"/>
      <c r="P203" s="238" t="s">
        <v>101</v>
      </c>
      <c r="Q203" s="734">
        <v>39.403750000000002</v>
      </c>
      <c r="R203" s="648">
        <v>-85.987942000000004</v>
      </c>
      <c r="S203" s="238" t="s">
        <v>63</v>
      </c>
      <c r="T203" s="238"/>
      <c r="U203" s="238" t="s">
        <v>51</v>
      </c>
      <c r="V203" s="237"/>
      <c r="W203" s="244">
        <f>IF(AC203="Intr",0,G203*Definitions!$B$53)</f>
        <v>2280</v>
      </c>
      <c r="X203" s="244">
        <f>IF(AC203="Intr",0,G203*Definitions!$B$54)</f>
        <v>10640</v>
      </c>
      <c r="Y203" s="244">
        <f>IF(AC203="Intr",G203,G203*Definitions!$B$55)</f>
        <v>2280</v>
      </c>
      <c r="Z203" s="244"/>
      <c r="AA203" s="244"/>
      <c r="AB203" s="244"/>
      <c r="AC203" s="238"/>
      <c r="AD203" s="238"/>
      <c r="AE203" s="238"/>
      <c r="AF203" s="238"/>
      <c r="AG203" s="245"/>
      <c r="AH203" s="98" t="s">
        <v>464</v>
      </c>
    </row>
    <row r="204" spans="1:34" x14ac:dyDescent="0.2">
      <c r="A204" s="237">
        <v>44028</v>
      </c>
      <c r="B204" s="238" t="s">
        <v>238</v>
      </c>
      <c r="C204" s="238">
        <v>2020</v>
      </c>
      <c r="D204" s="238" t="s">
        <v>8</v>
      </c>
      <c r="E204" s="240">
        <v>-81</v>
      </c>
      <c r="F204" s="240" t="s">
        <v>33</v>
      </c>
      <c r="G204" s="317">
        <v>32400</v>
      </c>
      <c r="H204" s="318">
        <v>117</v>
      </c>
      <c r="I204" s="240" t="s">
        <v>80</v>
      </c>
      <c r="J204" s="240" t="s">
        <v>41</v>
      </c>
      <c r="K204" s="240">
        <v>81</v>
      </c>
      <c r="L204" s="240" t="s">
        <v>459</v>
      </c>
      <c r="M204" s="240" t="s">
        <v>462</v>
      </c>
      <c r="N204" s="319" t="s">
        <v>461</v>
      </c>
      <c r="O204" s="238"/>
      <c r="P204" s="238" t="s">
        <v>101</v>
      </c>
      <c r="Q204" s="734">
        <v>39.403750000000002</v>
      </c>
      <c r="R204" s="648">
        <v>-85.987942000000004</v>
      </c>
      <c r="S204" s="238" t="s">
        <v>63</v>
      </c>
      <c r="T204" s="238"/>
      <c r="U204" s="238" t="s">
        <v>51</v>
      </c>
      <c r="V204" s="237"/>
      <c r="W204" s="244">
        <f>IF(AC204="Intr",0,G204*Definitions!$B$53)</f>
        <v>4860</v>
      </c>
      <c r="X204" s="244">
        <f>IF(AC204="Intr",0,G204*Definitions!$B$54)</f>
        <v>22680</v>
      </c>
      <c r="Y204" s="244">
        <f>IF(AC204="Intr",G204,G204*Definitions!$B$55)</f>
        <v>4860</v>
      </c>
      <c r="Z204" s="244"/>
      <c r="AA204" s="244"/>
      <c r="AB204" s="244"/>
      <c r="AC204" s="238"/>
      <c r="AD204" s="238"/>
      <c r="AE204" s="238"/>
      <c r="AF204" s="238"/>
      <c r="AG204" s="245"/>
      <c r="AH204" s="238"/>
    </row>
    <row r="205" spans="1:34" x14ac:dyDescent="0.2">
      <c r="A205" s="237">
        <v>44028</v>
      </c>
      <c r="B205" s="238" t="s">
        <v>238</v>
      </c>
      <c r="C205" s="238">
        <v>2020</v>
      </c>
      <c r="D205" s="238" t="s">
        <v>8</v>
      </c>
      <c r="E205" s="240">
        <v>-21</v>
      </c>
      <c r="F205" s="240" t="s">
        <v>33</v>
      </c>
      <c r="G205" s="317">
        <v>8400</v>
      </c>
      <c r="H205" s="318">
        <v>117</v>
      </c>
      <c r="I205" s="240" t="s">
        <v>80</v>
      </c>
      <c r="J205" s="240" t="s">
        <v>39</v>
      </c>
      <c r="K205" s="240">
        <v>21</v>
      </c>
      <c r="L205" s="240" t="s">
        <v>459</v>
      </c>
      <c r="M205" s="240" t="s">
        <v>462</v>
      </c>
      <c r="N205" s="319" t="s">
        <v>461</v>
      </c>
      <c r="O205" s="238"/>
      <c r="P205" s="238" t="s">
        <v>101</v>
      </c>
      <c r="Q205" s="734">
        <v>39.403750000000002</v>
      </c>
      <c r="R205" s="648">
        <v>-85.987942000000004</v>
      </c>
      <c r="S205" s="238" t="s">
        <v>63</v>
      </c>
      <c r="T205" s="238"/>
      <c r="U205" s="238" t="s">
        <v>51</v>
      </c>
      <c r="V205" s="237"/>
      <c r="W205" s="244">
        <f>IF(AC205="Intr",0,G205*Definitions!$B$53)</f>
        <v>1260</v>
      </c>
      <c r="X205" s="244">
        <f>IF(AC205="Intr",0,G205*Definitions!$B$54)</f>
        <v>5880</v>
      </c>
      <c r="Y205" s="244">
        <f>IF(AC205="Intr",G205,G205*Definitions!$B$55)</f>
        <v>1260</v>
      </c>
      <c r="Z205" s="244"/>
      <c r="AA205" s="244"/>
      <c r="AB205" s="244"/>
      <c r="AC205" s="238"/>
      <c r="AD205" s="238"/>
      <c r="AE205" s="238"/>
      <c r="AF205" s="238"/>
      <c r="AG205" s="245"/>
      <c r="AH205" s="238"/>
    </row>
    <row r="206" spans="1:34" x14ac:dyDescent="0.2">
      <c r="A206" s="237">
        <v>44028</v>
      </c>
      <c r="B206" s="238" t="s">
        <v>238</v>
      </c>
      <c r="C206" s="238">
        <v>2020</v>
      </c>
      <c r="D206" s="238" t="s">
        <v>8</v>
      </c>
      <c r="E206" s="240">
        <v>-0.05</v>
      </c>
      <c r="F206" s="240" t="s">
        <v>32</v>
      </c>
      <c r="G206" s="317">
        <v>4000</v>
      </c>
      <c r="H206" s="318">
        <v>117</v>
      </c>
      <c r="I206" s="240" t="s">
        <v>81</v>
      </c>
      <c r="J206" s="240" t="s">
        <v>36</v>
      </c>
      <c r="K206" s="240">
        <v>0.05</v>
      </c>
      <c r="L206" s="240" t="s">
        <v>459</v>
      </c>
      <c r="M206" s="240" t="s">
        <v>103</v>
      </c>
      <c r="N206" s="319" t="s">
        <v>460</v>
      </c>
      <c r="O206" s="238"/>
      <c r="P206" s="238" t="s">
        <v>101</v>
      </c>
      <c r="Q206" s="734">
        <v>39.403750000000002</v>
      </c>
      <c r="R206" s="648">
        <v>-85.987942000000004</v>
      </c>
      <c r="S206" s="238" t="s">
        <v>63</v>
      </c>
      <c r="T206" s="238"/>
      <c r="U206" s="238" t="s">
        <v>51</v>
      </c>
      <c r="V206" s="237"/>
      <c r="W206" s="244">
        <f>IF(AC206="Intr",0,G206*Definitions!$B$53)</f>
        <v>600</v>
      </c>
      <c r="X206" s="244">
        <f>IF(AC206="Intr",0,G206*Definitions!$B$54)</f>
        <v>2800</v>
      </c>
      <c r="Y206" s="244">
        <f>IF(AC206="Intr",G206,G206*Definitions!$B$55)</f>
        <v>600</v>
      </c>
      <c r="Z206" s="244"/>
      <c r="AA206" s="244"/>
      <c r="AB206" s="244"/>
      <c r="AC206" s="238"/>
      <c r="AD206" s="238"/>
      <c r="AE206" s="238"/>
      <c r="AF206" s="238"/>
      <c r="AG206" s="245"/>
      <c r="AH206" s="238"/>
    </row>
    <row r="207" spans="1:34" x14ac:dyDescent="0.2">
      <c r="A207" s="37">
        <v>44032</v>
      </c>
      <c r="B207" s="38" t="s">
        <v>238</v>
      </c>
      <c r="C207" s="38">
        <v>2020</v>
      </c>
      <c r="D207" s="38" t="s">
        <v>1</v>
      </c>
      <c r="E207" s="177">
        <v>-1.41</v>
      </c>
      <c r="F207" s="177" t="s">
        <v>32</v>
      </c>
      <c r="G207" s="215">
        <v>133950</v>
      </c>
      <c r="H207" s="216">
        <v>130</v>
      </c>
      <c r="I207" s="177" t="s">
        <v>81</v>
      </c>
      <c r="J207" s="177" t="s">
        <v>36</v>
      </c>
      <c r="K207" s="177">
        <v>1.28</v>
      </c>
      <c r="L207" s="177" t="s">
        <v>491</v>
      </c>
      <c r="M207" s="177" t="s">
        <v>103</v>
      </c>
      <c r="N207" s="70" t="s">
        <v>492</v>
      </c>
      <c r="O207" s="38"/>
      <c r="P207" s="38" t="s">
        <v>227</v>
      </c>
      <c r="Q207" s="760">
        <v>41.417644000000003</v>
      </c>
      <c r="R207" s="590">
        <v>-87.30932</v>
      </c>
      <c r="S207" s="38" t="s">
        <v>61</v>
      </c>
      <c r="T207" s="38"/>
      <c r="U207" s="38" t="s">
        <v>51</v>
      </c>
      <c r="V207" s="37"/>
      <c r="W207" s="39">
        <f>IF(AC207="Intr",0,G207*Definitions!$B$53)</f>
        <v>20092.5</v>
      </c>
      <c r="X207" s="39">
        <f>IF(AC207="Intr",0,G207*Definitions!$B$54)</f>
        <v>93765</v>
      </c>
      <c r="Y207" s="39">
        <f>IF(AC207="Intr",G207,G207*Definitions!$B$55)</f>
        <v>20092.5</v>
      </c>
      <c r="Z207" s="39"/>
      <c r="AA207" s="39"/>
      <c r="AB207" s="39"/>
      <c r="AC207" s="38"/>
      <c r="AD207" s="38"/>
      <c r="AE207" s="38"/>
      <c r="AF207" s="38"/>
      <c r="AG207" s="40"/>
      <c r="AH207" s="38"/>
    </row>
    <row r="208" spans="1:34" x14ac:dyDescent="0.2">
      <c r="A208" s="97">
        <v>44033</v>
      </c>
      <c r="B208" s="98" t="s">
        <v>238</v>
      </c>
      <c r="C208" s="98">
        <v>2020</v>
      </c>
      <c r="D208" s="98" t="s">
        <v>7</v>
      </c>
      <c r="E208" s="99">
        <v>-2.5</v>
      </c>
      <c r="F208" s="99" t="s">
        <v>32</v>
      </c>
      <c r="G208" s="100">
        <v>200000</v>
      </c>
      <c r="H208" s="101">
        <v>132</v>
      </c>
      <c r="I208" s="99" t="s">
        <v>81</v>
      </c>
      <c r="J208" s="99" t="s">
        <v>36</v>
      </c>
      <c r="K208" s="99">
        <v>2.5</v>
      </c>
      <c r="L208" s="99" t="s">
        <v>469</v>
      </c>
      <c r="M208" s="99" t="s">
        <v>103</v>
      </c>
      <c r="N208" s="102" t="s">
        <v>470</v>
      </c>
      <c r="O208" s="98"/>
      <c r="P208" s="98" t="s">
        <v>426</v>
      </c>
      <c r="Q208" s="730">
        <v>39.73695</v>
      </c>
      <c r="R208" s="645">
        <v>-86.202079999999995</v>
      </c>
      <c r="S208" s="98" t="s">
        <v>61</v>
      </c>
      <c r="T208" s="98" t="s">
        <v>1835</v>
      </c>
      <c r="U208" s="98" t="s">
        <v>50</v>
      </c>
      <c r="V208" s="97">
        <v>45694</v>
      </c>
      <c r="W208" s="103">
        <f>IF(AC208="Intr",0,G208*Definitions!$B$53)</f>
        <v>30000</v>
      </c>
      <c r="X208" s="103">
        <f>IF(AC208="Intr",0,G208*Definitions!$B$54)</f>
        <v>140000</v>
      </c>
      <c r="Y208" s="103">
        <f>IF(AC208="Intr",G208,G208*Definitions!$B$55)</f>
        <v>30000</v>
      </c>
      <c r="Z208" s="103"/>
      <c r="AA208" s="103"/>
      <c r="AB208" s="103"/>
      <c r="AC208" s="98"/>
      <c r="AD208" s="98" t="s">
        <v>1833</v>
      </c>
      <c r="AE208" s="98"/>
      <c r="AF208" s="98"/>
      <c r="AG208" s="104"/>
      <c r="AH208" s="98" t="s">
        <v>1836</v>
      </c>
    </row>
    <row r="209" spans="1:34" x14ac:dyDescent="0.2">
      <c r="A209" s="88">
        <v>44034</v>
      </c>
      <c r="B209" s="89" t="s">
        <v>238</v>
      </c>
      <c r="C209" s="89">
        <v>2020</v>
      </c>
      <c r="D209" s="89" t="s">
        <v>7</v>
      </c>
      <c r="E209" s="90">
        <v>-12</v>
      </c>
      <c r="F209" s="90" t="s">
        <v>33</v>
      </c>
      <c r="G209" s="91">
        <v>5400</v>
      </c>
      <c r="H209" s="92">
        <v>133</v>
      </c>
      <c r="I209" s="90" t="s">
        <v>80</v>
      </c>
      <c r="J209" s="90" t="s">
        <v>39</v>
      </c>
      <c r="K209" s="90">
        <v>10</v>
      </c>
      <c r="L209" s="90" t="s">
        <v>471</v>
      </c>
      <c r="M209" s="90" t="s">
        <v>472</v>
      </c>
      <c r="N209" s="93" t="s">
        <v>473</v>
      </c>
      <c r="O209" s="89"/>
      <c r="P209" s="89" t="s">
        <v>137</v>
      </c>
      <c r="Q209" s="735">
        <v>39.957799999999999</v>
      </c>
      <c r="R209" s="649">
        <v>-86.090299999999999</v>
      </c>
      <c r="S209" s="89" t="s">
        <v>61</v>
      </c>
      <c r="T209" s="89"/>
      <c r="U209" s="89" t="s">
        <v>51</v>
      </c>
      <c r="V209" s="88"/>
      <c r="W209" s="95">
        <f>IF(AC209="Intr",0,G209*Definitions!$B$53)</f>
        <v>810</v>
      </c>
      <c r="X209" s="95">
        <f>IF(AC209="Intr",0,G209*Definitions!$B$54)</f>
        <v>3779.9999999999995</v>
      </c>
      <c r="Y209" s="95">
        <f>IF(AC209="Intr",G209,G209*Definitions!$B$55)</f>
        <v>810</v>
      </c>
      <c r="Z209" s="95"/>
      <c r="AA209" s="95"/>
      <c r="AB209" s="95"/>
      <c r="AC209" s="89"/>
      <c r="AD209" s="89"/>
      <c r="AE209" s="89"/>
      <c r="AF209" s="89"/>
      <c r="AG209" s="96"/>
      <c r="AH209" s="89"/>
    </row>
    <row r="210" spans="1:34" x14ac:dyDescent="0.2">
      <c r="A210" s="79">
        <v>44047</v>
      </c>
      <c r="B210" s="80" t="s">
        <v>249</v>
      </c>
      <c r="C210" s="80">
        <v>2020</v>
      </c>
      <c r="D210" s="80" t="s">
        <v>9</v>
      </c>
      <c r="E210" s="81">
        <v>-8.2000000000000003E-2</v>
      </c>
      <c r="F210" s="81" t="s">
        <v>32</v>
      </c>
      <c r="G210" s="82">
        <v>6560</v>
      </c>
      <c r="H210" s="83">
        <v>95</v>
      </c>
      <c r="I210" s="81" t="s">
        <v>80</v>
      </c>
      <c r="J210" s="81" t="s">
        <v>36</v>
      </c>
      <c r="K210" s="81">
        <v>4.1000000000000002E-2</v>
      </c>
      <c r="L210" s="81" t="s">
        <v>484</v>
      </c>
      <c r="M210" s="81" t="s">
        <v>485</v>
      </c>
      <c r="N210" s="84" t="s">
        <v>486</v>
      </c>
      <c r="O210" s="80"/>
      <c r="P210" s="80" t="s">
        <v>487</v>
      </c>
      <c r="Q210" s="770">
        <v>38.520000000000003</v>
      </c>
      <c r="R210" s="668">
        <v>-87.267200000000003</v>
      </c>
      <c r="S210" s="80" t="s">
        <v>62</v>
      </c>
      <c r="T210" s="80"/>
      <c r="U210" s="80" t="s">
        <v>51</v>
      </c>
      <c r="V210" s="79"/>
      <c r="W210" s="86">
        <f>IF(AC210="Intr",0,G210*Definitions!$B$53)</f>
        <v>984</v>
      </c>
      <c r="X210" s="86">
        <f>IF(AC210="Intr",0,G210*Definitions!$B$54)</f>
        <v>4592</v>
      </c>
      <c r="Y210" s="86">
        <f>IF(AC210="Intr",G210,G210*Definitions!$B$55)</f>
        <v>984</v>
      </c>
      <c r="Z210" s="86"/>
      <c r="AA210" s="86"/>
      <c r="AB210" s="86"/>
      <c r="AC210" s="80"/>
      <c r="AD210" s="80"/>
      <c r="AE210" s="80"/>
      <c r="AF210" s="80"/>
      <c r="AG210" s="87"/>
      <c r="AH210" s="80"/>
    </row>
    <row r="211" spans="1:34" x14ac:dyDescent="0.2">
      <c r="A211" s="79">
        <v>44047</v>
      </c>
      <c r="B211" s="80" t="s">
        <v>249</v>
      </c>
      <c r="C211" s="80">
        <v>2020</v>
      </c>
      <c r="D211" s="80" t="s">
        <v>9</v>
      </c>
      <c r="E211" s="81">
        <v>-0.22</v>
      </c>
      <c r="F211" s="81" t="s">
        <v>32</v>
      </c>
      <c r="G211" s="82">
        <v>17600</v>
      </c>
      <c r="H211" s="83">
        <v>95</v>
      </c>
      <c r="I211" s="81" t="s">
        <v>80</v>
      </c>
      <c r="J211" s="81" t="s">
        <v>38</v>
      </c>
      <c r="K211" s="81">
        <v>5.5E-2</v>
      </c>
      <c r="L211" s="81" t="s">
        <v>484</v>
      </c>
      <c r="M211" s="81" t="s">
        <v>485</v>
      </c>
      <c r="N211" s="84" t="s">
        <v>486</v>
      </c>
      <c r="O211" s="80"/>
      <c r="P211" s="80" t="s">
        <v>487</v>
      </c>
      <c r="Q211" s="770">
        <v>38.520000000000003</v>
      </c>
      <c r="R211" s="668">
        <v>-87.267200000000003</v>
      </c>
      <c r="S211" s="80" t="s">
        <v>62</v>
      </c>
      <c r="T211" s="80"/>
      <c r="U211" s="80" t="s">
        <v>51</v>
      </c>
      <c r="V211" s="79"/>
      <c r="W211" s="86">
        <f>IF(AC211="Intr",0,G211*Definitions!$B$53)</f>
        <v>2640</v>
      </c>
      <c r="X211" s="86">
        <f>IF(AC211="Intr",0,G211*Definitions!$B$54)</f>
        <v>12320</v>
      </c>
      <c r="Y211" s="86">
        <f>IF(AC211="Intr",G211,G211*Definitions!$B$55)</f>
        <v>2640</v>
      </c>
      <c r="Z211" s="86"/>
      <c r="AA211" s="86"/>
      <c r="AB211" s="86"/>
      <c r="AC211" s="80"/>
      <c r="AD211" s="80"/>
      <c r="AE211" s="80"/>
      <c r="AF211" s="80"/>
      <c r="AG211" s="87"/>
      <c r="AH211" s="80"/>
    </row>
    <row r="212" spans="1:34" x14ac:dyDescent="0.2">
      <c r="A212" s="168">
        <v>44047</v>
      </c>
      <c r="B212" s="169" t="s">
        <v>249</v>
      </c>
      <c r="C212" s="169">
        <v>2020</v>
      </c>
      <c r="D212" s="169" t="s">
        <v>6</v>
      </c>
      <c r="E212" s="170">
        <v>-82</v>
      </c>
      <c r="F212" s="170" t="s">
        <v>33</v>
      </c>
      <c r="G212" s="171">
        <v>32800</v>
      </c>
      <c r="H212" s="172">
        <v>134</v>
      </c>
      <c r="I212" s="170" t="s">
        <v>80</v>
      </c>
      <c r="J212" s="170" t="s">
        <v>39</v>
      </c>
      <c r="K212" s="170">
        <v>146</v>
      </c>
      <c r="L212" s="170" t="s">
        <v>479</v>
      </c>
      <c r="M212" s="170" t="s">
        <v>480</v>
      </c>
      <c r="N212" s="173" t="s">
        <v>481</v>
      </c>
      <c r="O212" s="169"/>
      <c r="P212" s="169" t="s">
        <v>482</v>
      </c>
      <c r="Q212" s="732">
        <v>39.637700000000002</v>
      </c>
      <c r="R212" s="849">
        <v>-86.870199999999997</v>
      </c>
      <c r="S212" s="169" t="s">
        <v>61</v>
      </c>
      <c r="T212" s="169"/>
      <c r="U212" s="169" t="s">
        <v>51</v>
      </c>
      <c r="V212" s="168"/>
      <c r="W212" s="174">
        <f>IF(AC212="Intr",0,G212*Definitions!$B$53)</f>
        <v>4920</v>
      </c>
      <c r="X212" s="174">
        <f>IF(AC212="Intr",0,G212*Definitions!$B$54)</f>
        <v>22960</v>
      </c>
      <c r="Y212" s="174">
        <f>IF(AC212="Intr",G212,G212*Definitions!$B$55)</f>
        <v>4920</v>
      </c>
      <c r="Z212" s="174"/>
      <c r="AA212" s="174"/>
      <c r="AB212" s="174"/>
      <c r="AC212" s="169"/>
      <c r="AD212" s="169"/>
      <c r="AE212" s="169"/>
      <c r="AF212" s="169"/>
      <c r="AG212" s="175"/>
      <c r="AH212" s="169"/>
    </row>
    <row r="213" spans="1:34" x14ac:dyDescent="0.2">
      <c r="A213" s="97">
        <v>44047</v>
      </c>
      <c r="B213" s="98" t="s">
        <v>249</v>
      </c>
      <c r="C213" s="98">
        <v>2020</v>
      </c>
      <c r="D213" s="98" t="s">
        <v>7</v>
      </c>
      <c r="E213" s="99">
        <v>-0.57999999999999996</v>
      </c>
      <c r="F213" s="99" t="s">
        <v>32</v>
      </c>
      <c r="G213" s="100">
        <v>4640</v>
      </c>
      <c r="H213" s="101">
        <v>127</v>
      </c>
      <c r="I213" s="99" t="s">
        <v>81</v>
      </c>
      <c r="J213" s="99" t="s">
        <v>38</v>
      </c>
      <c r="K213" s="99">
        <v>2.3E-2</v>
      </c>
      <c r="L213" s="99" t="s">
        <v>475</v>
      </c>
      <c r="M213" s="99" t="s">
        <v>103</v>
      </c>
      <c r="N213" s="102" t="s">
        <v>474</v>
      </c>
      <c r="O213" s="98"/>
      <c r="P213" s="98" t="s">
        <v>137</v>
      </c>
      <c r="Q213" s="730">
        <v>39.972499999999997</v>
      </c>
      <c r="R213" s="645">
        <v>-85.962699999999998</v>
      </c>
      <c r="S213" s="98" t="s">
        <v>61</v>
      </c>
      <c r="T213" s="98" t="s">
        <v>1835</v>
      </c>
      <c r="U213" s="98" t="s">
        <v>50</v>
      </c>
      <c r="V213" s="97" t="s">
        <v>1954</v>
      </c>
      <c r="W213" s="103">
        <f>IF(AC213="Intr",0,G213*Definitions!$B$53)</f>
        <v>696</v>
      </c>
      <c r="X213" s="103">
        <f>IF(AC213="Intr",0,G213*Definitions!$B$54)</f>
        <v>3248</v>
      </c>
      <c r="Y213" s="103">
        <f>IF(AC213="Intr",G213,G213*Definitions!$B$55)</f>
        <v>696</v>
      </c>
      <c r="Z213" s="103"/>
      <c r="AA213" s="103"/>
      <c r="AB213" s="103"/>
      <c r="AC213" s="98"/>
      <c r="AD213" s="98" t="s">
        <v>1953</v>
      </c>
      <c r="AE213" s="98"/>
      <c r="AF213" s="98"/>
      <c r="AG213" s="104"/>
      <c r="AH213" s="98" t="s">
        <v>1952</v>
      </c>
    </row>
    <row r="214" spans="1:34" x14ac:dyDescent="0.2">
      <c r="A214" s="160">
        <v>44047</v>
      </c>
      <c r="B214" s="161" t="s">
        <v>249</v>
      </c>
      <c r="C214" s="161">
        <v>2020</v>
      </c>
      <c r="D214" s="161" t="s">
        <v>7</v>
      </c>
      <c r="E214" s="162">
        <v>-597</v>
      </c>
      <c r="F214" s="162" t="s">
        <v>33</v>
      </c>
      <c r="G214" s="163">
        <v>268650</v>
      </c>
      <c r="H214" s="164">
        <v>139</v>
      </c>
      <c r="I214" s="162" t="s">
        <v>80</v>
      </c>
      <c r="J214" s="162" t="s">
        <v>41</v>
      </c>
      <c r="K214" s="162">
        <v>497</v>
      </c>
      <c r="L214" s="162" t="s">
        <v>476</v>
      </c>
      <c r="M214" s="162" t="s">
        <v>477</v>
      </c>
      <c r="N214" s="165" t="s">
        <v>478</v>
      </c>
      <c r="O214" s="161"/>
      <c r="P214" s="161" t="s">
        <v>162</v>
      </c>
      <c r="Q214" s="741">
        <v>39.758299999999998</v>
      </c>
      <c r="R214" s="856">
        <v>-86.501000000000005</v>
      </c>
      <c r="S214" s="161" t="s">
        <v>61</v>
      </c>
      <c r="T214" s="161"/>
      <c r="U214" s="161" t="s">
        <v>51</v>
      </c>
      <c r="V214" s="160"/>
      <c r="W214" s="166">
        <f>IF(AC214="Intr",0,G214*Definitions!$B$53)</f>
        <v>40297.5</v>
      </c>
      <c r="X214" s="166">
        <f>IF(AC214="Intr",0,G214*Definitions!$B$54)</f>
        <v>188055</v>
      </c>
      <c r="Y214" s="166">
        <f>IF(AC214="Intr",G214,G214*Definitions!$B$55)</f>
        <v>40297.5</v>
      </c>
      <c r="Z214" s="166"/>
      <c r="AA214" s="166"/>
      <c r="AB214" s="166"/>
      <c r="AC214" s="161"/>
      <c r="AD214" s="161"/>
      <c r="AE214" s="161"/>
      <c r="AF214" s="161"/>
      <c r="AG214" s="167"/>
      <c r="AH214" s="161"/>
    </row>
    <row r="215" spans="1:34" x14ac:dyDescent="0.2">
      <c r="A215" s="97">
        <v>44047</v>
      </c>
      <c r="B215" s="98" t="s">
        <v>249</v>
      </c>
      <c r="C215" s="98">
        <v>2020</v>
      </c>
      <c r="D215" s="98" t="s">
        <v>7</v>
      </c>
      <c r="E215" s="99">
        <v>-0.05</v>
      </c>
      <c r="F215" s="99" t="s">
        <v>32</v>
      </c>
      <c r="G215" s="100">
        <v>4000</v>
      </c>
      <c r="H215" s="101">
        <v>139</v>
      </c>
      <c r="I215" s="99" t="s">
        <v>80</v>
      </c>
      <c r="J215" s="99" t="s">
        <v>36</v>
      </c>
      <c r="K215" s="99">
        <v>0.02</v>
      </c>
      <c r="L215" s="99" t="s">
        <v>476</v>
      </c>
      <c r="M215" s="99" t="s">
        <v>477</v>
      </c>
      <c r="N215" s="102" t="s">
        <v>478</v>
      </c>
      <c r="O215" s="98"/>
      <c r="P215" s="98" t="s">
        <v>162</v>
      </c>
      <c r="Q215" s="730">
        <v>39.758299999999998</v>
      </c>
      <c r="R215" s="845">
        <v>-86.501000000000005</v>
      </c>
      <c r="S215" s="98" t="s">
        <v>61</v>
      </c>
      <c r="T215" s="98" t="s">
        <v>1835</v>
      </c>
      <c r="U215" s="98" t="s">
        <v>50</v>
      </c>
      <c r="V215" s="97">
        <v>45786</v>
      </c>
      <c r="W215" s="103">
        <f>IF(AC215="Intr",0,G215*Definitions!$B$53)</f>
        <v>600</v>
      </c>
      <c r="X215" s="103">
        <f>IF(AC215="Intr",0,G215*Definitions!$B$54)</f>
        <v>2800</v>
      </c>
      <c r="Y215" s="103">
        <f>IF(AC215="Intr",G215,G215*Definitions!$B$55)</f>
        <v>600</v>
      </c>
      <c r="Z215" s="103"/>
      <c r="AA215" s="103"/>
      <c r="AB215" s="103"/>
      <c r="AC215" s="98"/>
      <c r="AD215" s="98" t="s">
        <v>1956</v>
      </c>
      <c r="AE215" s="98"/>
      <c r="AF215" s="98"/>
      <c r="AG215" s="104"/>
      <c r="AH215" s="98" t="s">
        <v>1955</v>
      </c>
    </row>
    <row r="216" spans="1:34" x14ac:dyDescent="0.2">
      <c r="A216" s="97">
        <v>44047</v>
      </c>
      <c r="B216" s="98" t="s">
        <v>249</v>
      </c>
      <c r="C216" s="98">
        <v>2020</v>
      </c>
      <c r="D216" s="98" t="s">
        <v>7</v>
      </c>
      <c r="E216" s="99">
        <v>-1.3</v>
      </c>
      <c r="F216" s="99" t="s">
        <v>32</v>
      </c>
      <c r="G216" s="100">
        <v>104000</v>
      </c>
      <c r="H216" s="101">
        <v>139</v>
      </c>
      <c r="I216" s="99" t="s">
        <v>80</v>
      </c>
      <c r="J216" s="99" t="s">
        <v>38</v>
      </c>
      <c r="K216" s="99">
        <v>0.27</v>
      </c>
      <c r="L216" s="99" t="s">
        <v>476</v>
      </c>
      <c r="M216" s="99" t="s">
        <v>477</v>
      </c>
      <c r="N216" s="102" t="s">
        <v>478</v>
      </c>
      <c r="O216" s="98"/>
      <c r="P216" s="98" t="s">
        <v>162</v>
      </c>
      <c r="Q216" s="730">
        <v>39.758299999999998</v>
      </c>
      <c r="R216" s="845">
        <v>-86.501000000000005</v>
      </c>
      <c r="S216" s="98" t="s">
        <v>61</v>
      </c>
      <c r="T216" s="98" t="s">
        <v>1835</v>
      </c>
      <c r="U216" s="98" t="s">
        <v>50</v>
      </c>
      <c r="V216" s="97">
        <v>45786</v>
      </c>
      <c r="W216" s="103">
        <f>IF(AC216="Intr",0,G216*Definitions!$B$53)</f>
        <v>15600</v>
      </c>
      <c r="X216" s="103">
        <f>IF(AC216="Intr",0,G216*Definitions!$B$54)</f>
        <v>72800</v>
      </c>
      <c r="Y216" s="103">
        <f>IF(AC216="Intr",G216,G216*Definitions!$B$55)</f>
        <v>15600</v>
      </c>
      <c r="Z216" s="103"/>
      <c r="AA216" s="103"/>
      <c r="AB216" s="103"/>
      <c r="AC216" s="98"/>
      <c r="AD216" s="98" t="s">
        <v>1956</v>
      </c>
      <c r="AE216" s="98"/>
      <c r="AF216" s="98"/>
      <c r="AG216" s="104"/>
      <c r="AH216" s="98" t="s">
        <v>1955</v>
      </c>
    </row>
    <row r="217" spans="1:34" x14ac:dyDescent="0.2">
      <c r="A217" s="237">
        <v>44047</v>
      </c>
      <c r="B217" s="238" t="s">
        <v>249</v>
      </c>
      <c r="C217" s="238">
        <v>2020</v>
      </c>
      <c r="D217" s="238" t="s">
        <v>8</v>
      </c>
      <c r="E217" s="240">
        <v>-4.49</v>
      </c>
      <c r="F217" s="240" t="s">
        <v>32</v>
      </c>
      <c r="G217" s="317">
        <v>359200</v>
      </c>
      <c r="H217" s="318">
        <v>135</v>
      </c>
      <c r="I217" s="240" t="s">
        <v>80</v>
      </c>
      <c r="J217" s="240" t="s">
        <v>36</v>
      </c>
      <c r="K217" s="240">
        <v>1.87</v>
      </c>
      <c r="L217" s="240" t="s">
        <v>488</v>
      </c>
      <c r="M217" s="240" t="s">
        <v>489</v>
      </c>
      <c r="N217" s="319" t="s">
        <v>490</v>
      </c>
      <c r="O217" s="238"/>
      <c r="P217" s="238" t="s">
        <v>121</v>
      </c>
      <c r="Q217" s="734">
        <v>39.824100000000001</v>
      </c>
      <c r="R217" s="648">
        <v>-85.882199999999997</v>
      </c>
      <c r="S217" s="238" t="s">
        <v>61</v>
      </c>
      <c r="T217" s="238"/>
      <c r="U217" s="238" t="s">
        <v>51</v>
      </c>
      <c r="V217" s="237"/>
      <c r="W217" s="244">
        <f>IF(AC217="Intr",0,G217*Definitions!$B$53)</f>
        <v>53880</v>
      </c>
      <c r="X217" s="244">
        <f>IF(AC217="Intr",0,G217*Definitions!$B$54)</f>
        <v>251439.99999999997</v>
      </c>
      <c r="Y217" s="244">
        <f>IF(AC217="Intr",G217,G217*Definitions!$B$55)</f>
        <v>53880</v>
      </c>
      <c r="Z217" s="244"/>
      <c r="AA217" s="244"/>
      <c r="AB217" s="244"/>
      <c r="AC217" s="238"/>
      <c r="AD217" s="238"/>
      <c r="AE217" s="238"/>
      <c r="AF217" s="238"/>
      <c r="AG217" s="245"/>
      <c r="AH217" s="238"/>
    </row>
    <row r="218" spans="1:34" x14ac:dyDescent="0.2">
      <c r="A218" s="37">
        <v>44054</v>
      </c>
      <c r="B218" s="38" t="s">
        <v>249</v>
      </c>
      <c r="C218" s="38">
        <v>2020</v>
      </c>
      <c r="D218" s="38" t="s">
        <v>1</v>
      </c>
      <c r="E218" s="177">
        <v>-0.628</v>
      </c>
      <c r="F218" s="177" t="s">
        <v>32</v>
      </c>
      <c r="G218" s="215">
        <v>59660</v>
      </c>
      <c r="H218" s="216">
        <v>79</v>
      </c>
      <c r="I218" s="177" t="s">
        <v>80</v>
      </c>
      <c r="J218" s="177" t="s">
        <v>36</v>
      </c>
      <c r="K218" s="177">
        <v>0.32700000000000001</v>
      </c>
      <c r="L218" s="177" t="s">
        <v>516</v>
      </c>
      <c r="M218" s="177" t="s">
        <v>517</v>
      </c>
      <c r="N218" s="70" t="s">
        <v>518</v>
      </c>
      <c r="O218" s="38"/>
      <c r="P218" s="38" t="s">
        <v>227</v>
      </c>
      <c r="Q218" s="760">
        <v>41.537149999999997</v>
      </c>
      <c r="R218" s="590">
        <v>-87.380949999999999</v>
      </c>
      <c r="S218" s="38" t="s">
        <v>63</v>
      </c>
      <c r="T218" s="38"/>
      <c r="U218" s="38" t="s">
        <v>51</v>
      </c>
      <c r="V218" s="37"/>
      <c r="W218" s="39">
        <f>IF(AC218="Intr",0,G218*Definitions!$B$53)</f>
        <v>8949</v>
      </c>
      <c r="X218" s="39">
        <f>IF(AC218="Intr",0,G218*Definitions!$B$54)</f>
        <v>41762</v>
      </c>
      <c r="Y218" s="39">
        <f>IF(AC218="Intr",G218,G218*Definitions!$B$55)</f>
        <v>8949</v>
      </c>
      <c r="Z218" s="39"/>
      <c r="AA218" s="39"/>
      <c r="AB218" s="39"/>
      <c r="AC218" s="38"/>
      <c r="AD218" s="38"/>
      <c r="AE218" s="38"/>
      <c r="AF218" s="38"/>
      <c r="AG218" s="40"/>
      <c r="AH218" s="38"/>
    </row>
    <row r="219" spans="1:34" x14ac:dyDescent="0.2">
      <c r="A219" s="97">
        <v>44054</v>
      </c>
      <c r="B219" s="98" t="s">
        <v>249</v>
      </c>
      <c r="C219" s="98">
        <v>2020</v>
      </c>
      <c r="D219" s="98" t="s">
        <v>7</v>
      </c>
      <c r="E219" s="99">
        <v>-0.17</v>
      </c>
      <c r="F219" s="99" t="s">
        <v>32</v>
      </c>
      <c r="G219" s="100">
        <v>13600</v>
      </c>
      <c r="H219" s="101">
        <v>138</v>
      </c>
      <c r="I219" s="99" t="s">
        <v>81</v>
      </c>
      <c r="J219" s="99" t="s">
        <v>36</v>
      </c>
      <c r="K219" s="99">
        <v>0.1</v>
      </c>
      <c r="L219" s="99" t="s">
        <v>337</v>
      </c>
      <c r="M219" s="99" t="s">
        <v>103</v>
      </c>
      <c r="N219" s="102" t="s">
        <v>493</v>
      </c>
      <c r="O219" s="98"/>
      <c r="P219" s="98" t="s">
        <v>162</v>
      </c>
      <c r="Q219" s="730">
        <v>39.623699999999999</v>
      </c>
      <c r="R219" s="645">
        <v>-86.472399999999993</v>
      </c>
      <c r="S219" s="98" t="s">
        <v>61</v>
      </c>
      <c r="T219" s="98" t="s">
        <v>1835</v>
      </c>
      <c r="U219" s="98" t="s">
        <v>50</v>
      </c>
      <c r="V219" s="97">
        <v>45786</v>
      </c>
      <c r="W219" s="103">
        <f>IF(AC219="Intr",0,G219*Definitions!$B$53)</f>
        <v>2040</v>
      </c>
      <c r="X219" s="103">
        <f>IF(AC219="Intr",0,G219*Definitions!$B$54)</f>
        <v>9520</v>
      </c>
      <c r="Y219" s="103">
        <f>IF(AC219="Intr",G219,G219*Definitions!$B$55)</f>
        <v>2040</v>
      </c>
      <c r="Z219" s="103"/>
      <c r="AA219" s="103"/>
      <c r="AB219" s="103"/>
      <c r="AC219" s="98"/>
      <c r="AD219" s="98" t="s">
        <v>1956</v>
      </c>
      <c r="AE219" s="98"/>
      <c r="AF219" s="98"/>
      <c r="AG219" s="104"/>
      <c r="AH219" s="98" t="s">
        <v>1958</v>
      </c>
    </row>
    <row r="220" spans="1:34" x14ac:dyDescent="0.2">
      <c r="A220" s="97">
        <v>44054</v>
      </c>
      <c r="B220" s="98" t="s">
        <v>249</v>
      </c>
      <c r="C220" s="98">
        <v>2020</v>
      </c>
      <c r="D220" s="98" t="s">
        <v>7</v>
      </c>
      <c r="E220" s="99">
        <v>-0.2</v>
      </c>
      <c r="F220" s="99" t="s">
        <v>32</v>
      </c>
      <c r="G220" s="100">
        <v>16000</v>
      </c>
      <c r="H220" s="101">
        <v>138</v>
      </c>
      <c r="I220" s="99" t="s">
        <v>81</v>
      </c>
      <c r="J220" s="99" t="s">
        <v>37</v>
      </c>
      <c r="K220" s="99">
        <v>0.08</v>
      </c>
      <c r="L220" s="99" t="s">
        <v>337</v>
      </c>
      <c r="M220" s="99" t="s">
        <v>103</v>
      </c>
      <c r="N220" s="102" t="s">
        <v>493</v>
      </c>
      <c r="O220" s="98"/>
      <c r="P220" s="98" t="s">
        <v>162</v>
      </c>
      <c r="Q220" s="730">
        <v>39.623699999999999</v>
      </c>
      <c r="R220" s="645">
        <v>-86.472399999999993</v>
      </c>
      <c r="S220" s="98" t="s">
        <v>61</v>
      </c>
      <c r="T220" s="98" t="s">
        <v>1835</v>
      </c>
      <c r="U220" s="98" t="s">
        <v>50</v>
      </c>
      <c r="V220" s="97">
        <v>45786</v>
      </c>
      <c r="W220" s="103">
        <f>IF(AC220="Intr",0,G220*Definitions!$B$53)</f>
        <v>2400</v>
      </c>
      <c r="X220" s="103">
        <f>IF(AC220="Intr",0,G220*Definitions!$B$54)</f>
        <v>11200</v>
      </c>
      <c r="Y220" s="103">
        <f>IF(AC220="Intr",G220,G220*Definitions!$B$55)</f>
        <v>2400</v>
      </c>
      <c r="Z220" s="103"/>
      <c r="AA220" s="103"/>
      <c r="AB220" s="103"/>
      <c r="AC220" s="98"/>
      <c r="AD220" s="98" t="s">
        <v>1956</v>
      </c>
      <c r="AE220" s="98"/>
      <c r="AF220" s="98"/>
      <c r="AG220" s="104"/>
      <c r="AH220" s="98" t="s">
        <v>1959</v>
      </c>
    </row>
    <row r="221" spans="1:34" x14ac:dyDescent="0.2">
      <c r="A221" s="29">
        <v>44062</v>
      </c>
      <c r="B221" s="30" t="s">
        <v>249</v>
      </c>
      <c r="C221" s="30">
        <v>2020</v>
      </c>
      <c r="D221" s="30" t="s">
        <v>1</v>
      </c>
      <c r="E221" s="217">
        <v>-1.3</v>
      </c>
      <c r="F221" s="217" t="s">
        <v>32</v>
      </c>
      <c r="G221" s="218">
        <v>123500</v>
      </c>
      <c r="H221" s="219">
        <v>143</v>
      </c>
      <c r="I221" s="217" t="s">
        <v>80</v>
      </c>
      <c r="J221" s="217" t="s">
        <v>36</v>
      </c>
      <c r="K221" s="217">
        <v>0.72</v>
      </c>
      <c r="L221" s="217" t="s">
        <v>519</v>
      </c>
      <c r="M221" s="217" t="s">
        <v>520</v>
      </c>
      <c r="N221" s="67" t="s">
        <v>521</v>
      </c>
      <c r="O221" s="30"/>
      <c r="P221" s="30" t="s">
        <v>227</v>
      </c>
      <c r="Q221" s="747">
        <v>41.38194</v>
      </c>
      <c r="R221" s="636">
        <v>-87.318830000000005</v>
      </c>
      <c r="S221" s="30" t="s">
        <v>63</v>
      </c>
      <c r="T221" s="30"/>
      <c r="U221" s="30" t="s">
        <v>51</v>
      </c>
      <c r="V221" s="29"/>
      <c r="W221" s="31">
        <f>G221*0.15</f>
        <v>18525</v>
      </c>
      <c r="X221" s="31">
        <f>G221*0.7</f>
        <v>86450</v>
      </c>
      <c r="Y221" s="31">
        <f>G221*0.15</f>
        <v>18525</v>
      </c>
      <c r="Z221" s="31"/>
      <c r="AA221" s="31"/>
      <c r="AB221" s="31"/>
      <c r="AC221" s="30"/>
      <c r="AD221" s="30"/>
      <c r="AE221" s="30"/>
      <c r="AF221" s="30"/>
      <c r="AG221" s="32"/>
      <c r="AH221" s="30"/>
    </row>
    <row r="222" spans="1:34" x14ac:dyDescent="0.2">
      <c r="A222" s="29">
        <v>44062</v>
      </c>
      <c r="B222" s="30" t="s">
        <v>249</v>
      </c>
      <c r="C222" s="30">
        <v>2020</v>
      </c>
      <c r="D222" s="30" t="s">
        <v>1</v>
      </c>
      <c r="E222" s="217">
        <v>-0.43</v>
      </c>
      <c r="F222" s="217" t="s">
        <v>32</v>
      </c>
      <c r="G222" s="218">
        <v>40850</v>
      </c>
      <c r="H222" s="219">
        <v>143</v>
      </c>
      <c r="I222" s="217" t="s">
        <v>80</v>
      </c>
      <c r="J222" s="217" t="s">
        <v>38</v>
      </c>
      <c r="K222" s="217">
        <v>0.24</v>
      </c>
      <c r="L222" s="217" t="s">
        <v>519</v>
      </c>
      <c r="M222" s="217" t="s">
        <v>520</v>
      </c>
      <c r="N222" s="67" t="s">
        <v>521</v>
      </c>
      <c r="O222" s="30"/>
      <c r="P222" s="30" t="s">
        <v>227</v>
      </c>
      <c r="Q222" s="747">
        <v>41.38194</v>
      </c>
      <c r="R222" s="636">
        <v>-87.318830000000005</v>
      </c>
      <c r="S222" s="30" t="s">
        <v>63</v>
      </c>
      <c r="T222" s="30"/>
      <c r="U222" s="30" t="s">
        <v>51</v>
      </c>
      <c r="V222" s="29"/>
      <c r="W222" s="31">
        <f>G222*0.15</f>
        <v>6127.5</v>
      </c>
      <c r="X222" s="31">
        <f>G222*0.7</f>
        <v>28595</v>
      </c>
      <c r="Y222" s="31">
        <f>G222*0.15</f>
        <v>6127.5</v>
      </c>
      <c r="Z222" s="31"/>
      <c r="AA222" s="31"/>
      <c r="AB222" s="31"/>
      <c r="AC222" s="30"/>
      <c r="AD222" s="30"/>
      <c r="AE222" s="30"/>
      <c r="AF222" s="30"/>
      <c r="AG222" s="32"/>
      <c r="AH222" s="30"/>
    </row>
    <row r="223" spans="1:34" x14ac:dyDescent="0.2">
      <c r="A223" s="359">
        <v>44063</v>
      </c>
      <c r="B223" s="360" t="s">
        <v>249</v>
      </c>
      <c r="C223" s="360">
        <v>2020</v>
      </c>
      <c r="D223" s="360" t="s">
        <v>11</v>
      </c>
      <c r="E223" s="361">
        <v>-297</v>
      </c>
      <c r="F223" s="361" t="s">
        <v>33</v>
      </c>
      <c r="G223" s="362">
        <v>118800</v>
      </c>
      <c r="H223" s="363">
        <v>122</v>
      </c>
      <c r="I223" s="361" t="s">
        <v>80</v>
      </c>
      <c r="J223" s="361" t="s">
        <v>40</v>
      </c>
      <c r="K223" s="361">
        <v>235</v>
      </c>
      <c r="L223" s="361" t="s">
        <v>494</v>
      </c>
      <c r="M223" s="361" t="s">
        <v>495</v>
      </c>
      <c r="N223" s="364" t="s">
        <v>496</v>
      </c>
      <c r="O223" s="360"/>
      <c r="P223" s="360" t="s">
        <v>497</v>
      </c>
      <c r="Q223" s="765">
        <v>37.90119</v>
      </c>
      <c r="R223" s="663">
        <v>-87.712779999999995</v>
      </c>
      <c r="S223" s="360" t="s">
        <v>62</v>
      </c>
      <c r="T223" s="360"/>
      <c r="U223" s="360" t="s">
        <v>51</v>
      </c>
      <c r="V223" s="359"/>
      <c r="W223" s="365">
        <f>IF(AC223="Intr",0,G223*Definitions!$B$53)</f>
        <v>17820</v>
      </c>
      <c r="X223" s="365">
        <f>IF(AC223="Intr",0,G223*Definitions!$B$54)</f>
        <v>83160</v>
      </c>
      <c r="Y223" s="365">
        <f>IF(AC223="Intr",G223,G223*Definitions!$B$55)</f>
        <v>17820</v>
      </c>
      <c r="Z223" s="365"/>
      <c r="AA223" s="365"/>
      <c r="AB223" s="365"/>
      <c r="AC223" s="360"/>
      <c r="AD223" s="360"/>
      <c r="AE223" s="360"/>
      <c r="AF223" s="360"/>
      <c r="AG223" s="366"/>
      <c r="AH223" s="360"/>
    </row>
    <row r="224" spans="1:34" x14ac:dyDescent="0.2">
      <c r="A224" s="88">
        <v>44063</v>
      </c>
      <c r="B224" s="89" t="s">
        <v>249</v>
      </c>
      <c r="C224" s="89">
        <v>2020</v>
      </c>
      <c r="D224" s="89" t="s">
        <v>8</v>
      </c>
      <c r="E224" s="90">
        <v>-132.5</v>
      </c>
      <c r="F224" s="90" t="s">
        <v>33</v>
      </c>
      <c r="G224" s="91">
        <v>53000</v>
      </c>
      <c r="H224" s="92">
        <v>96</v>
      </c>
      <c r="I224" s="90" t="s">
        <v>80</v>
      </c>
      <c r="J224" s="90" t="s">
        <v>41</v>
      </c>
      <c r="K224" s="90">
        <v>642.5</v>
      </c>
      <c r="L224" s="90" t="s">
        <v>987</v>
      </c>
      <c r="M224" s="90" t="s">
        <v>498</v>
      </c>
      <c r="N224" s="93" t="s">
        <v>499</v>
      </c>
      <c r="O224" s="89"/>
      <c r="P224" s="89" t="s">
        <v>156</v>
      </c>
      <c r="Q224" s="735">
        <v>38.737000000000002</v>
      </c>
      <c r="R224" s="649">
        <v>-85.711100000000002</v>
      </c>
      <c r="S224" s="89" t="s">
        <v>63</v>
      </c>
      <c r="T224" s="89"/>
      <c r="U224" s="89" t="s">
        <v>51</v>
      </c>
      <c r="V224" s="88"/>
      <c r="W224" s="95">
        <f>IF(AC224="Intr",0,G224*Definitions!$B$53)</f>
        <v>7950</v>
      </c>
      <c r="X224" s="95">
        <f>IF(AC224="Intr",0,G224*Definitions!$B$54)</f>
        <v>37100</v>
      </c>
      <c r="Y224" s="95">
        <f>IF(AC224="Intr",G224,G224*Definitions!$B$55)</f>
        <v>7950</v>
      </c>
      <c r="Z224" s="95"/>
      <c r="AA224" s="95"/>
      <c r="AB224" s="95"/>
      <c r="AC224" s="89"/>
      <c r="AD224" s="89"/>
      <c r="AE224" s="89"/>
      <c r="AF224" s="89"/>
      <c r="AG224" s="96"/>
      <c r="AH224" s="89" t="s">
        <v>427</v>
      </c>
    </row>
    <row r="225" spans="1:34" x14ac:dyDescent="0.2">
      <c r="A225" s="88">
        <v>44063</v>
      </c>
      <c r="B225" s="89" t="s">
        <v>249</v>
      </c>
      <c r="C225" s="89">
        <v>2020</v>
      </c>
      <c r="D225" s="89" t="s">
        <v>8</v>
      </c>
      <c r="E225" s="90">
        <v>-6</v>
      </c>
      <c r="F225" s="90" t="s">
        <v>33</v>
      </c>
      <c r="G225" s="91">
        <v>2400</v>
      </c>
      <c r="H225" s="92">
        <v>96</v>
      </c>
      <c r="I225" s="90" t="s">
        <v>80</v>
      </c>
      <c r="J225" s="90" t="s">
        <v>40</v>
      </c>
      <c r="K225" s="90">
        <v>92</v>
      </c>
      <c r="L225" s="90" t="s">
        <v>987</v>
      </c>
      <c r="M225" s="90" t="s">
        <v>498</v>
      </c>
      <c r="N225" s="93" t="s">
        <v>499</v>
      </c>
      <c r="O225" s="89"/>
      <c r="P225" s="89" t="s">
        <v>156</v>
      </c>
      <c r="Q225" s="735">
        <v>38.737000000000002</v>
      </c>
      <c r="R225" s="649">
        <v>-85.711100000000002</v>
      </c>
      <c r="S225" s="89" t="s">
        <v>63</v>
      </c>
      <c r="T225" s="89"/>
      <c r="U225" s="89" t="s">
        <v>51</v>
      </c>
      <c r="V225" s="88"/>
      <c r="W225" s="95">
        <f>IF(AC225="Intr",0,G225*Definitions!$B$53)</f>
        <v>360</v>
      </c>
      <c r="X225" s="95">
        <f>IF(AC225="Intr",0,G225*Definitions!$B$54)</f>
        <v>1680</v>
      </c>
      <c r="Y225" s="95">
        <f>IF(AC225="Intr",G225,G225*Definitions!$B$55)</f>
        <v>360</v>
      </c>
      <c r="Z225" s="95"/>
      <c r="AA225" s="95"/>
      <c r="AB225" s="95"/>
      <c r="AC225" s="89"/>
      <c r="AD225" s="89"/>
      <c r="AE225" s="89"/>
      <c r="AF225" s="89"/>
      <c r="AG225" s="96"/>
      <c r="AH225" s="89" t="s">
        <v>427</v>
      </c>
    </row>
    <row r="226" spans="1:34" x14ac:dyDescent="0.2">
      <c r="A226" s="88">
        <v>44063</v>
      </c>
      <c r="B226" s="89" t="s">
        <v>249</v>
      </c>
      <c r="C226" s="89">
        <v>2020</v>
      </c>
      <c r="D226" s="89" t="s">
        <v>8</v>
      </c>
      <c r="E226" s="90">
        <v>-3.9E-2</v>
      </c>
      <c r="F226" s="90" t="s">
        <v>32</v>
      </c>
      <c r="G226" s="91">
        <v>3120</v>
      </c>
      <c r="H226" s="92">
        <v>96</v>
      </c>
      <c r="I226" s="90" t="s">
        <v>80</v>
      </c>
      <c r="J226" s="90" t="s">
        <v>36</v>
      </c>
      <c r="K226" s="90">
        <v>1.9699999999999999E-2</v>
      </c>
      <c r="L226" s="90" t="s">
        <v>987</v>
      </c>
      <c r="M226" s="90" t="s">
        <v>498</v>
      </c>
      <c r="N226" s="93" t="s">
        <v>499</v>
      </c>
      <c r="O226" s="89"/>
      <c r="P226" s="89" t="s">
        <v>156</v>
      </c>
      <c r="Q226" s="735">
        <v>38.737000000000002</v>
      </c>
      <c r="R226" s="649">
        <v>-85.711100000000002</v>
      </c>
      <c r="S226" s="89" t="s">
        <v>63</v>
      </c>
      <c r="T226" s="89"/>
      <c r="U226" s="89" t="s">
        <v>51</v>
      </c>
      <c r="V226" s="88"/>
      <c r="W226" s="95">
        <f>IF(AC226="Intr",0,G226*Definitions!$B$53)</f>
        <v>468</v>
      </c>
      <c r="X226" s="95">
        <f>IF(AC226="Intr",0,G226*Definitions!$B$54)</f>
        <v>2184</v>
      </c>
      <c r="Y226" s="95">
        <f>IF(AC226="Intr",G226,G226*Definitions!$B$55)</f>
        <v>468</v>
      </c>
      <c r="Z226" s="95"/>
      <c r="AA226" s="95"/>
      <c r="AB226" s="95"/>
      <c r="AC226" s="89"/>
      <c r="AD226" s="89"/>
      <c r="AE226" s="89"/>
      <c r="AF226" s="89"/>
      <c r="AG226" s="96"/>
      <c r="AH226" s="89" t="s">
        <v>427</v>
      </c>
    </row>
    <row r="227" spans="1:34" x14ac:dyDescent="0.2">
      <c r="A227" s="88">
        <v>44063</v>
      </c>
      <c r="B227" s="89" t="s">
        <v>249</v>
      </c>
      <c r="C227" s="89">
        <v>2020</v>
      </c>
      <c r="D227" s="89" t="s">
        <v>8</v>
      </c>
      <c r="E227" s="90">
        <v>-3.2000000000000001E-2</v>
      </c>
      <c r="F227" s="90" t="s">
        <v>32</v>
      </c>
      <c r="G227" s="91">
        <v>2560</v>
      </c>
      <c r="H227" s="92">
        <v>96</v>
      </c>
      <c r="I227" s="90" t="s">
        <v>80</v>
      </c>
      <c r="J227" s="90" t="s">
        <v>38</v>
      </c>
      <c r="K227" s="90">
        <v>8.0000000000000002E-3</v>
      </c>
      <c r="L227" s="90" t="s">
        <v>987</v>
      </c>
      <c r="M227" s="90" t="s">
        <v>498</v>
      </c>
      <c r="N227" s="93" t="s">
        <v>499</v>
      </c>
      <c r="O227" s="89"/>
      <c r="P227" s="89" t="s">
        <v>156</v>
      </c>
      <c r="Q227" s="735">
        <v>38.737000000000002</v>
      </c>
      <c r="R227" s="649">
        <v>-85.711100000000002</v>
      </c>
      <c r="S227" s="89" t="s">
        <v>63</v>
      </c>
      <c r="T227" s="89"/>
      <c r="U227" s="89" t="s">
        <v>51</v>
      </c>
      <c r="V227" s="88"/>
      <c r="W227" s="95">
        <f>IF(AC227="Intr",0,G227*Definitions!$B$53)</f>
        <v>384</v>
      </c>
      <c r="X227" s="95">
        <f>IF(AC227="Intr",0,G227*Definitions!$B$54)</f>
        <v>1792</v>
      </c>
      <c r="Y227" s="95">
        <f>IF(AC227="Intr",G227,G227*Definitions!$B$55)</f>
        <v>384</v>
      </c>
      <c r="Z227" s="95"/>
      <c r="AA227" s="95"/>
      <c r="AB227" s="95"/>
      <c r="AC227" s="89"/>
      <c r="AD227" s="89"/>
      <c r="AE227" s="89"/>
      <c r="AF227" s="89"/>
      <c r="AG227" s="96"/>
      <c r="AH227" s="89" t="s">
        <v>427</v>
      </c>
    </row>
    <row r="228" spans="1:34" x14ac:dyDescent="0.2">
      <c r="A228" s="296">
        <v>44071</v>
      </c>
      <c r="B228" s="297" t="s">
        <v>249</v>
      </c>
      <c r="C228" s="297">
        <v>2020</v>
      </c>
      <c r="D228" s="297" t="s">
        <v>10</v>
      </c>
      <c r="E228" s="298">
        <v>-110</v>
      </c>
      <c r="F228" s="298" t="s">
        <v>33</v>
      </c>
      <c r="G228" s="299">
        <v>44000</v>
      </c>
      <c r="H228" s="300">
        <v>137</v>
      </c>
      <c r="I228" s="298" t="s">
        <v>80</v>
      </c>
      <c r="J228" s="298" t="s">
        <v>39</v>
      </c>
      <c r="K228" s="298">
        <v>110</v>
      </c>
      <c r="L228" s="298" t="s">
        <v>1828</v>
      </c>
      <c r="M228" s="298" t="s">
        <v>500</v>
      </c>
      <c r="N228" s="301" t="s">
        <v>501</v>
      </c>
      <c r="O228" s="297"/>
      <c r="P228" s="297" t="s">
        <v>502</v>
      </c>
      <c r="Q228" s="766">
        <v>38.732199999999999</v>
      </c>
      <c r="R228" s="664">
        <v>-85.246099999999998</v>
      </c>
      <c r="S228" s="297" t="s">
        <v>63</v>
      </c>
      <c r="T228" s="297"/>
      <c r="U228" s="297" t="s">
        <v>51</v>
      </c>
      <c r="V228" s="296"/>
      <c r="W228" s="302">
        <f>IF(AC228="Intr",0,G228*Definitions!$B$53)</f>
        <v>6600</v>
      </c>
      <c r="X228" s="302">
        <f>IF(AC228="Intr",0,G228*Definitions!$B$54)</f>
        <v>30799.999999999996</v>
      </c>
      <c r="Y228" s="302">
        <f>IF(AC228="Intr",G228,G228*Definitions!$B$55)</f>
        <v>6600</v>
      </c>
      <c r="Z228" s="302"/>
      <c r="AA228" s="302"/>
      <c r="AB228" s="302"/>
      <c r="AC228" s="297"/>
      <c r="AD228" s="297"/>
      <c r="AE228" s="297"/>
      <c r="AF228" s="297"/>
      <c r="AG228" s="303"/>
      <c r="AH228" s="297"/>
    </row>
    <row r="229" spans="1:34" x14ac:dyDescent="0.2">
      <c r="A229" s="237">
        <v>44074</v>
      </c>
      <c r="B229" s="238" t="s">
        <v>249</v>
      </c>
      <c r="C229" s="238">
        <v>2020</v>
      </c>
      <c r="D229" s="238" t="s">
        <v>11</v>
      </c>
      <c r="E229" s="240">
        <v>-0.52</v>
      </c>
      <c r="F229" s="240" t="s">
        <v>32</v>
      </c>
      <c r="G229" s="317">
        <v>41440</v>
      </c>
      <c r="H229" s="318">
        <v>118</v>
      </c>
      <c r="I229" s="240" t="s">
        <v>80</v>
      </c>
      <c r="J229" s="240" t="s">
        <v>36</v>
      </c>
      <c r="K229" s="240">
        <v>0.22</v>
      </c>
      <c r="L229" s="240" t="s">
        <v>505</v>
      </c>
      <c r="M229" s="240" t="s">
        <v>506</v>
      </c>
      <c r="N229" s="319" t="s">
        <v>507</v>
      </c>
      <c r="O229" s="238"/>
      <c r="P229" s="238" t="s">
        <v>279</v>
      </c>
      <c r="Q229" s="734">
        <v>37.986739999999998</v>
      </c>
      <c r="R229" s="648">
        <v>-86.771259999999998</v>
      </c>
      <c r="S229" s="238" t="s">
        <v>61</v>
      </c>
      <c r="T229" s="238"/>
      <c r="U229" s="238" t="s">
        <v>51</v>
      </c>
      <c r="V229" s="237"/>
      <c r="W229" s="244">
        <f>IF(AC229="Intr",0,G229*Definitions!$B$53)</f>
        <v>6216</v>
      </c>
      <c r="X229" s="244">
        <f>IF(AC229="Intr",0,G229*Definitions!$B$54)</f>
        <v>29007.999999999996</v>
      </c>
      <c r="Y229" s="244">
        <f>IF(AC229="Intr",G229,G229*Definitions!$B$55)</f>
        <v>6216</v>
      </c>
      <c r="Z229" s="244"/>
      <c r="AA229" s="244"/>
      <c r="AB229" s="244"/>
      <c r="AC229" s="238"/>
      <c r="AD229" s="238"/>
      <c r="AE229" s="238"/>
      <c r="AF229" s="238"/>
      <c r="AG229" s="245"/>
      <c r="AH229" s="238"/>
    </row>
    <row r="230" spans="1:34" x14ac:dyDescent="0.2">
      <c r="A230" s="237">
        <v>44074</v>
      </c>
      <c r="B230" s="238" t="s">
        <v>249</v>
      </c>
      <c r="C230" s="238">
        <v>2020</v>
      </c>
      <c r="D230" s="238" t="s">
        <v>11</v>
      </c>
      <c r="E230" s="240">
        <v>-0.78</v>
      </c>
      <c r="F230" s="240" t="s">
        <v>32</v>
      </c>
      <c r="G230" s="317">
        <v>62560</v>
      </c>
      <c r="H230" s="318">
        <v>118</v>
      </c>
      <c r="I230" s="240" t="s">
        <v>80</v>
      </c>
      <c r="J230" s="240" t="s">
        <v>38</v>
      </c>
      <c r="K230" s="240">
        <v>0.16</v>
      </c>
      <c r="L230" s="240" t="s">
        <v>505</v>
      </c>
      <c r="M230" s="240" t="s">
        <v>506</v>
      </c>
      <c r="N230" s="319" t="s">
        <v>507</v>
      </c>
      <c r="O230" s="238"/>
      <c r="P230" s="238" t="s">
        <v>279</v>
      </c>
      <c r="Q230" s="734">
        <v>37.986739999999998</v>
      </c>
      <c r="R230" s="648">
        <v>-86.771259999999998</v>
      </c>
      <c r="S230" s="238" t="s">
        <v>61</v>
      </c>
      <c r="T230" s="238"/>
      <c r="U230" s="238" t="s">
        <v>51</v>
      </c>
      <c r="V230" s="237"/>
      <c r="W230" s="244">
        <f>IF(AC230="Intr",0,G230*Definitions!$B$53)</f>
        <v>9384</v>
      </c>
      <c r="X230" s="244">
        <f>IF(AC230="Intr",0,G230*Definitions!$B$54)</f>
        <v>43792</v>
      </c>
      <c r="Y230" s="244">
        <f>IF(AC230="Intr",G230,G230*Definitions!$B$55)</f>
        <v>9384</v>
      </c>
      <c r="Z230" s="244"/>
      <c r="AA230" s="244"/>
      <c r="AB230" s="244"/>
      <c r="AC230" s="238"/>
      <c r="AD230" s="238"/>
      <c r="AE230" s="238"/>
      <c r="AF230" s="238"/>
      <c r="AG230" s="245"/>
      <c r="AH230" s="238"/>
    </row>
    <row r="231" spans="1:34" x14ac:dyDescent="0.2">
      <c r="A231" s="29">
        <v>44074</v>
      </c>
      <c r="B231" s="30" t="s">
        <v>249</v>
      </c>
      <c r="C231" s="30">
        <v>2020</v>
      </c>
      <c r="D231" s="30" t="s">
        <v>3</v>
      </c>
      <c r="E231" s="217">
        <v>-0.122</v>
      </c>
      <c r="F231" s="217" t="s">
        <v>32</v>
      </c>
      <c r="G231" s="218">
        <v>14640</v>
      </c>
      <c r="H231" s="219">
        <v>146</v>
      </c>
      <c r="I231" s="217" t="s">
        <v>80</v>
      </c>
      <c r="J231" s="217" t="s">
        <v>36</v>
      </c>
      <c r="K231" s="217">
        <v>6.0999999999999999E-2</v>
      </c>
      <c r="L231" s="217" t="s">
        <v>512</v>
      </c>
      <c r="M231" s="217" t="s">
        <v>513</v>
      </c>
      <c r="N231" s="67" t="s">
        <v>514</v>
      </c>
      <c r="O231" s="30"/>
      <c r="P231" s="30" t="s">
        <v>515</v>
      </c>
      <c r="Q231" s="747">
        <v>41.709065000000002</v>
      </c>
      <c r="R231" s="636">
        <v>-86.215205999999995</v>
      </c>
      <c r="S231" s="30" t="s">
        <v>63</v>
      </c>
      <c r="T231" s="30"/>
      <c r="U231" s="30" t="s">
        <v>51</v>
      </c>
      <c r="V231" s="29"/>
      <c r="W231" s="31">
        <f>IF(AC231="Intr",0,G231*Definitions!$B$53)</f>
        <v>2196</v>
      </c>
      <c r="X231" s="31">
        <f>IF(AC231="Intr",0,G231*Definitions!$B$54)</f>
        <v>10248</v>
      </c>
      <c r="Y231" s="31">
        <f>IF(AC231="Intr",G231,G231*Definitions!$B$55)</f>
        <v>2196</v>
      </c>
      <c r="Z231" s="31"/>
      <c r="AA231" s="31"/>
      <c r="AB231" s="31"/>
      <c r="AC231" s="30"/>
      <c r="AD231" s="30"/>
      <c r="AE231" s="30"/>
      <c r="AF231" s="30"/>
      <c r="AG231" s="32"/>
      <c r="AH231" s="30"/>
    </row>
    <row r="232" spans="1:34" x14ac:dyDescent="0.2">
      <c r="A232" s="29">
        <v>44074</v>
      </c>
      <c r="B232" s="30" t="s">
        <v>249</v>
      </c>
      <c r="C232" s="30">
        <v>2020</v>
      </c>
      <c r="D232" s="30" t="s">
        <v>3</v>
      </c>
      <c r="E232" s="217">
        <v>-2.2040000000000002</v>
      </c>
      <c r="F232" s="217" t="s">
        <v>32</v>
      </c>
      <c r="G232" s="218">
        <v>264480</v>
      </c>
      <c r="H232" s="219">
        <v>146</v>
      </c>
      <c r="I232" s="217" t="s">
        <v>80</v>
      </c>
      <c r="J232" s="217" t="s">
        <v>38</v>
      </c>
      <c r="K232" s="217">
        <v>0.55100000000000005</v>
      </c>
      <c r="L232" s="217" t="s">
        <v>512</v>
      </c>
      <c r="M232" s="217" t="s">
        <v>513</v>
      </c>
      <c r="N232" s="67" t="s">
        <v>514</v>
      </c>
      <c r="O232" s="30"/>
      <c r="P232" s="30" t="s">
        <v>515</v>
      </c>
      <c r="Q232" s="747">
        <v>41.709065000000002</v>
      </c>
      <c r="R232" s="636">
        <v>-86.215205999999995</v>
      </c>
      <c r="S232" s="30" t="s">
        <v>63</v>
      </c>
      <c r="T232" s="30"/>
      <c r="U232" s="30" t="s">
        <v>51</v>
      </c>
      <c r="V232" s="29"/>
      <c r="W232" s="31">
        <f>IF(AC232="Intr",0,G232*Definitions!$B$53)</f>
        <v>39672</v>
      </c>
      <c r="X232" s="31">
        <f>IF(AC232="Intr",0,G232*Definitions!$B$54)</f>
        <v>185136</v>
      </c>
      <c r="Y232" s="31">
        <f>IF(AC232="Intr",G232,G232*Definitions!$B$55)</f>
        <v>39672</v>
      </c>
      <c r="Z232" s="31"/>
      <c r="AA232" s="31"/>
      <c r="AB232" s="31"/>
      <c r="AC232" s="30"/>
      <c r="AD232" s="30"/>
      <c r="AE232" s="30"/>
      <c r="AF232" s="30"/>
      <c r="AG232" s="32"/>
      <c r="AH232" s="30"/>
    </row>
    <row r="233" spans="1:34" x14ac:dyDescent="0.2">
      <c r="A233" s="97">
        <v>44074</v>
      </c>
      <c r="B233" s="98" t="s">
        <v>249</v>
      </c>
      <c r="C233" s="98">
        <v>2020</v>
      </c>
      <c r="D233" s="98" t="s">
        <v>10</v>
      </c>
      <c r="E233" s="99">
        <v>-0.221</v>
      </c>
      <c r="F233" s="99" t="s">
        <v>32</v>
      </c>
      <c r="G233" s="100">
        <v>17680</v>
      </c>
      <c r="H233" s="101">
        <v>141</v>
      </c>
      <c r="I233" s="99" t="s">
        <v>81</v>
      </c>
      <c r="J233" s="99" t="s">
        <v>36</v>
      </c>
      <c r="K233" s="99">
        <v>0.221</v>
      </c>
      <c r="L233" s="99" t="s">
        <v>503</v>
      </c>
      <c r="M233" s="99" t="s">
        <v>103</v>
      </c>
      <c r="N233" s="102" t="s">
        <v>504</v>
      </c>
      <c r="O233" s="98"/>
      <c r="P233" s="98" t="s">
        <v>176</v>
      </c>
      <c r="Q233" s="730">
        <v>39.113160000000001</v>
      </c>
      <c r="R233" s="645">
        <v>-84.856620000000007</v>
      </c>
      <c r="S233" s="98" t="s">
        <v>61</v>
      </c>
      <c r="T233" s="98" t="s">
        <v>1545</v>
      </c>
      <c r="U233" s="98" t="s">
        <v>50</v>
      </c>
      <c r="V233" s="97">
        <v>45313</v>
      </c>
      <c r="W233" s="103">
        <f>IF(AC233="Intr",0,G233*[1]Data!$B$53)</f>
        <v>2652</v>
      </c>
      <c r="X233" s="103">
        <f>IF(AC233="Intr",0,G233*[1]Data!$B$54)</f>
        <v>12376</v>
      </c>
      <c r="Y233" s="103">
        <f>IF(AC233="Intr",G233,G233*[1]Data!$B$55)</f>
        <v>2652</v>
      </c>
      <c r="Z233" s="103"/>
      <c r="AA233" s="103"/>
      <c r="AB233" s="103"/>
      <c r="AC233" s="98"/>
      <c r="AD233" s="98" t="s">
        <v>1546</v>
      </c>
      <c r="AE233" s="98"/>
      <c r="AF233" s="98"/>
      <c r="AG233" s="104"/>
      <c r="AH233" s="98" t="s">
        <v>1547</v>
      </c>
    </row>
    <row r="234" spans="1:34" x14ac:dyDescent="0.2">
      <c r="A234" s="97">
        <v>44074</v>
      </c>
      <c r="B234" s="98" t="s">
        <v>249</v>
      </c>
      <c r="C234" s="98">
        <v>2020</v>
      </c>
      <c r="D234" s="98" t="s">
        <v>7</v>
      </c>
      <c r="E234" s="99">
        <v>-0.74</v>
      </c>
      <c r="F234" s="99" t="s">
        <v>32</v>
      </c>
      <c r="G234" s="100">
        <v>59200</v>
      </c>
      <c r="H234" s="101">
        <v>142</v>
      </c>
      <c r="I234" s="99" t="s">
        <v>81</v>
      </c>
      <c r="J234" s="99" t="s">
        <v>36</v>
      </c>
      <c r="K234" s="99">
        <v>0.74</v>
      </c>
      <c r="L234" s="99" t="s">
        <v>509</v>
      </c>
      <c r="M234" s="99" t="s">
        <v>103</v>
      </c>
      <c r="N234" s="102" t="s">
        <v>510</v>
      </c>
      <c r="O234" s="98"/>
      <c r="P234" s="98" t="s">
        <v>121</v>
      </c>
      <c r="Q234" s="730">
        <v>39.852800000000002</v>
      </c>
      <c r="R234" s="645">
        <v>-85.905500000000004</v>
      </c>
      <c r="S234" s="98" t="s">
        <v>61</v>
      </c>
      <c r="T234" s="98" t="s">
        <v>1835</v>
      </c>
      <c r="U234" s="98" t="s">
        <v>50</v>
      </c>
      <c r="V234" s="97">
        <v>45786</v>
      </c>
      <c r="W234" s="103">
        <f>IF(AC234="Intr",0,G234*Definitions!$B$53)</f>
        <v>8880</v>
      </c>
      <c r="X234" s="103">
        <f>IF(AC234="Intr",0,G234*Definitions!$B$54)</f>
        <v>41440</v>
      </c>
      <c r="Y234" s="103">
        <f>IF(AC234="Intr",G234,G234*Definitions!$B$55)</f>
        <v>8880</v>
      </c>
      <c r="Z234" s="103"/>
      <c r="AA234" s="103"/>
      <c r="AB234" s="103"/>
      <c r="AC234" s="98"/>
      <c r="AD234" s="98" t="s">
        <v>1956</v>
      </c>
      <c r="AE234" s="98"/>
      <c r="AF234" s="98"/>
      <c r="AG234" s="104"/>
      <c r="AH234" s="98" t="s">
        <v>1960</v>
      </c>
    </row>
    <row r="235" spans="1:34" x14ac:dyDescent="0.2">
      <c r="A235" s="282">
        <v>44074</v>
      </c>
      <c r="B235" s="114" t="s">
        <v>249</v>
      </c>
      <c r="C235" s="114">
        <v>2020</v>
      </c>
      <c r="D235" s="114" t="s">
        <v>7</v>
      </c>
      <c r="E235" s="270">
        <v>-6.48</v>
      </c>
      <c r="F235" s="270" t="s">
        <v>32</v>
      </c>
      <c r="G235" s="283">
        <v>518400</v>
      </c>
      <c r="H235" s="284">
        <v>142</v>
      </c>
      <c r="I235" s="270" t="s">
        <v>81</v>
      </c>
      <c r="J235" s="270" t="s">
        <v>38</v>
      </c>
      <c r="K235" s="270">
        <v>2.16</v>
      </c>
      <c r="L235" s="270" t="s">
        <v>509</v>
      </c>
      <c r="M235" s="270" t="s">
        <v>103</v>
      </c>
      <c r="N235" s="285" t="s">
        <v>510</v>
      </c>
      <c r="O235" s="114"/>
      <c r="P235" s="114" t="s">
        <v>121</v>
      </c>
      <c r="Q235" s="750">
        <v>39.852800000000002</v>
      </c>
      <c r="R235" s="635">
        <v>-85.905500000000004</v>
      </c>
      <c r="S235" s="114" t="s">
        <v>61</v>
      </c>
      <c r="T235" s="114" t="s">
        <v>1835</v>
      </c>
      <c r="U235" s="114" t="s">
        <v>51</v>
      </c>
      <c r="V235" s="282" t="s">
        <v>1957</v>
      </c>
      <c r="W235" s="286">
        <f>IF(AC235="Intr",0,G235*Definitions!$B$53)</f>
        <v>77760</v>
      </c>
      <c r="X235" s="286">
        <f>IF(AC235="Intr",0,G235*Definitions!$B$54)</f>
        <v>362880</v>
      </c>
      <c r="Y235" s="286">
        <f>IF(AC235="Intr",G235,G235*Definitions!$B$55)</f>
        <v>77760</v>
      </c>
      <c r="Z235" s="286"/>
      <c r="AA235" s="286"/>
      <c r="AB235" s="286"/>
      <c r="AC235" s="114"/>
      <c r="AD235" s="114" t="s">
        <v>1956</v>
      </c>
      <c r="AE235" s="114"/>
      <c r="AF235" s="114"/>
      <c r="AG235" s="287"/>
      <c r="AH235" s="114" t="s">
        <v>1961</v>
      </c>
    </row>
    <row r="236" spans="1:34" x14ac:dyDescent="0.2">
      <c r="A236" s="176">
        <v>44082</v>
      </c>
      <c r="B236" s="38" t="s">
        <v>96</v>
      </c>
      <c r="C236" s="38">
        <v>2020</v>
      </c>
      <c r="D236" s="38" t="s">
        <v>1</v>
      </c>
      <c r="E236" s="177">
        <v>-0.88</v>
      </c>
      <c r="F236" s="177" t="s">
        <v>32</v>
      </c>
      <c r="G236" s="178">
        <v>83600</v>
      </c>
      <c r="H236" s="179">
        <v>148</v>
      </c>
      <c r="I236" s="177" t="s">
        <v>81</v>
      </c>
      <c r="J236" s="177" t="s">
        <v>36</v>
      </c>
      <c r="K236" s="177">
        <v>0.88</v>
      </c>
      <c r="L236" s="177" t="s">
        <v>522</v>
      </c>
      <c r="M236" s="177" t="s">
        <v>103</v>
      </c>
      <c r="N236" s="70" t="s">
        <v>523</v>
      </c>
      <c r="O236" s="38"/>
      <c r="P236" s="38" t="s">
        <v>385</v>
      </c>
      <c r="Q236" s="760">
        <v>41.584589999999999</v>
      </c>
      <c r="R236" s="590">
        <v>-87.117549999999994</v>
      </c>
      <c r="S236" s="38" t="s">
        <v>61</v>
      </c>
      <c r="T236" s="38"/>
      <c r="U236" s="38" t="s">
        <v>51</v>
      </c>
      <c r="V236" s="37"/>
      <c r="W236" s="180">
        <f>IF(AC236="Intr",0,G236*Definitions!$B$53)</f>
        <v>12540</v>
      </c>
      <c r="X236" s="180">
        <f>IF(AC236="Intr",0,G236*Definitions!$B$54)</f>
        <v>58519.999999999993</v>
      </c>
      <c r="Y236" s="180">
        <f>IF(AC236="Intr",G236,G236*Definitions!$B$55)</f>
        <v>12540</v>
      </c>
      <c r="Z236" s="180"/>
      <c r="AA236" s="180"/>
      <c r="AB236" s="180"/>
      <c r="AC236" s="38"/>
      <c r="AD236" s="38"/>
      <c r="AE236" s="38"/>
      <c r="AF236" s="38"/>
      <c r="AG236" s="40"/>
      <c r="AH236" s="38" t="s">
        <v>511</v>
      </c>
    </row>
    <row r="237" spans="1:34" x14ac:dyDescent="0.2">
      <c r="A237" s="288">
        <v>44082</v>
      </c>
      <c r="B237" s="289" t="s">
        <v>96</v>
      </c>
      <c r="C237" s="289">
        <v>2020</v>
      </c>
      <c r="D237" s="289" t="s">
        <v>3</v>
      </c>
      <c r="E237" s="331">
        <v>-0.42</v>
      </c>
      <c r="F237" s="331" t="s">
        <v>32</v>
      </c>
      <c r="G237" s="332">
        <v>50400</v>
      </c>
      <c r="H237" s="333">
        <v>136</v>
      </c>
      <c r="I237" s="331" t="s">
        <v>80</v>
      </c>
      <c r="J237" s="331" t="s">
        <v>36</v>
      </c>
      <c r="K237" s="331">
        <v>0.21</v>
      </c>
      <c r="L237" s="331" t="s">
        <v>539</v>
      </c>
      <c r="M237" s="331" t="s">
        <v>540</v>
      </c>
      <c r="N237" s="290" t="s">
        <v>541</v>
      </c>
      <c r="O237" s="289"/>
      <c r="P237" s="289" t="s">
        <v>515</v>
      </c>
      <c r="Q237" s="733">
        <v>41.702539999999999</v>
      </c>
      <c r="R237" s="857">
        <v>-86.325190000000006</v>
      </c>
      <c r="S237" s="289" t="s">
        <v>63</v>
      </c>
      <c r="T237" s="289"/>
      <c r="U237" s="289" t="s">
        <v>51</v>
      </c>
      <c r="V237" s="288"/>
      <c r="W237" s="293">
        <f>IF(AC237="Intr",0,G237*Definitions!$B$53)</f>
        <v>7560</v>
      </c>
      <c r="X237" s="293">
        <f>IF(AC237="Intr",0,G237*Definitions!$B$54)</f>
        <v>35280</v>
      </c>
      <c r="Y237" s="293">
        <f>IF(AC237="Intr",G237,G237*Definitions!$B$55)</f>
        <v>7560</v>
      </c>
      <c r="Z237" s="293"/>
      <c r="AA237" s="293"/>
      <c r="AB237" s="293"/>
      <c r="AC237" s="289"/>
      <c r="AD237" s="289"/>
      <c r="AE237" s="289"/>
      <c r="AF237" s="289"/>
      <c r="AG237" s="294"/>
      <c r="AH237" s="289" t="s">
        <v>542</v>
      </c>
    </row>
    <row r="238" spans="1:34" x14ac:dyDescent="0.2">
      <c r="A238" s="282">
        <v>44089</v>
      </c>
      <c r="B238" s="114" t="s">
        <v>96</v>
      </c>
      <c r="C238" s="114">
        <v>2020</v>
      </c>
      <c r="D238" s="114" t="s">
        <v>5</v>
      </c>
      <c r="E238" s="270">
        <v>-0.46</v>
      </c>
      <c r="F238" s="270" t="s">
        <v>32</v>
      </c>
      <c r="G238" s="283">
        <v>36800</v>
      </c>
      <c r="H238" s="284">
        <v>112</v>
      </c>
      <c r="I238" s="270" t="s">
        <v>80</v>
      </c>
      <c r="J238" s="270" t="s">
        <v>36</v>
      </c>
      <c r="K238" s="270">
        <v>0.23</v>
      </c>
      <c r="L238" s="270" t="s">
        <v>726</v>
      </c>
      <c r="M238" s="270" t="s">
        <v>543</v>
      </c>
      <c r="N238" s="285" t="s">
        <v>544</v>
      </c>
      <c r="O238" s="114"/>
      <c r="P238" s="114" t="s">
        <v>545</v>
      </c>
      <c r="Q238" s="750">
        <v>40.417000000000002</v>
      </c>
      <c r="R238" s="858">
        <v>-86.582999999999998</v>
      </c>
      <c r="S238" s="114" t="s">
        <v>63</v>
      </c>
      <c r="T238" s="114"/>
      <c r="U238" s="114" t="s">
        <v>51</v>
      </c>
      <c r="V238" s="282"/>
      <c r="W238" s="286">
        <f>IF(AC238="Intr",0,G238*Definitions!$B$53)</f>
        <v>5520</v>
      </c>
      <c r="X238" s="286">
        <f>IF(AC238="Intr",0,G238*Definitions!$B$54)</f>
        <v>25760</v>
      </c>
      <c r="Y238" s="286">
        <f>IF(AC238="Intr",G238,G238*Definitions!$B$55)</f>
        <v>5520</v>
      </c>
      <c r="Z238" s="286"/>
      <c r="AA238" s="286"/>
      <c r="AB238" s="286"/>
      <c r="AC238" s="114"/>
      <c r="AD238" s="114"/>
      <c r="AE238" s="114"/>
      <c r="AF238" s="114"/>
      <c r="AG238" s="287"/>
      <c r="AH238" s="114" t="s">
        <v>547</v>
      </c>
    </row>
    <row r="239" spans="1:34" x14ac:dyDescent="0.2">
      <c r="A239" s="282">
        <v>44089</v>
      </c>
      <c r="B239" s="114" t="s">
        <v>96</v>
      </c>
      <c r="C239" s="114">
        <v>2020</v>
      </c>
      <c r="D239" s="114" t="s">
        <v>5</v>
      </c>
      <c r="E239" s="417">
        <v>-1794</v>
      </c>
      <c r="F239" s="270" t="s">
        <v>33</v>
      </c>
      <c r="G239" s="283">
        <v>717600</v>
      </c>
      <c r="H239" s="284">
        <v>112</v>
      </c>
      <c r="I239" s="270" t="s">
        <v>80</v>
      </c>
      <c r="J239" s="270" t="s">
        <v>40</v>
      </c>
      <c r="K239" s="417">
        <v>2067</v>
      </c>
      <c r="L239" s="270" t="s">
        <v>726</v>
      </c>
      <c r="M239" s="270" t="s">
        <v>543</v>
      </c>
      <c r="N239" s="285" t="s">
        <v>544</v>
      </c>
      <c r="O239" s="114"/>
      <c r="P239" s="114" t="s">
        <v>545</v>
      </c>
      <c r="Q239" s="750">
        <v>40.417000000000002</v>
      </c>
      <c r="R239" s="635">
        <v>-86.582999999999998</v>
      </c>
      <c r="S239" s="114" t="s">
        <v>63</v>
      </c>
      <c r="T239" s="114"/>
      <c r="U239" s="114" t="s">
        <v>51</v>
      </c>
      <c r="V239" s="282"/>
      <c r="W239" s="286">
        <f>IF(AC239="Intr",0,G239*Definitions!$B$53)</f>
        <v>107640</v>
      </c>
      <c r="X239" s="286">
        <f>IF(AC239="Intr",0,G239*Definitions!$B$54)</f>
        <v>502319.99999999994</v>
      </c>
      <c r="Y239" s="286">
        <f>IF(AC239="Intr",G239,G239*Definitions!$B$55)</f>
        <v>107640</v>
      </c>
      <c r="Z239" s="286"/>
      <c r="AA239" s="286"/>
      <c r="AB239" s="286"/>
      <c r="AC239" s="114"/>
      <c r="AD239" s="114"/>
      <c r="AE239" s="114"/>
      <c r="AF239" s="114"/>
      <c r="AG239" s="287"/>
      <c r="AH239" s="114" t="s">
        <v>548</v>
      </c>
    </row>
    <row r="240" spans="1:34" x14ac:dyDescent="0.2">
      <c r="A240" s="282">
        <v>44089</v>
      </c>
      <c r="B240" s="114" t="s">
        <v>96</v>
      </c>
      <c r="C240" s="114">
        <v>2020</v>
      </c>
      <c r="D240" s="114" t="s">
        <v>5</v>
      </c>
      <c r="E240" s="270">
        <v>-10</v>
      </c>
      <c r="F240" s="270" t="s">
        <v>33</v>
      </c>
      <c r="G240" s="283">
        <v>4000</v>
      </c>
      <c r="H240" s="284">
        <v>112</v>
      </c>
      <c r="I240" s="270" t="s">
        <v>80</v>
      </c>
      <c r="J240" s="270" t="s">
        <v>39</v>
      </c>
      <c r="K240" s="270">
        <v>10</v>
      </c>
      <c r="L240" s="270" t="s">
        <v>726</v>
      </c>
      <c r="M240" s="270" t="s">
        <v>543</v>
      </c>
      <c r="N240" s="285" t="s">
        <v>544</v>
      </c>
      <c r="O240" s="114"/>
      <c r="P240" s="114" t="s">
        <v>545</v>
      </c>
      <c r="Q240" s="750">
        <v>40.417000000000002</v>
      </c>
      <c r="R240" s="635">
        <v>-86.582999999999998</v>
      </c>
      <c r="S240" s="114" t="s">
        <v>63</v>
      </c>
      <c r="T240" s="114"/>
      <c r="U240" s="114" t="s">
        <v>51</v>
      </c>
      <c r="V240" s="282"/>
      <c r="W240" s="286">
        <f>IF(AC240="Intr",0,G240*Definitions!$B$53)</f>
        <v>600</v>
      </c>
      <c r="X240" s="286">
        <f>IF(AC240="Intr",0,G240*Definitions!$B$54)</f>
        <v>2800</v>
      </c>
      <c r="Y240" s="286">
        <f>IF(AC240="Intr",G240,G240*Definitions!$B$55)</f>
        <v>600</v>
      </c>
      <c r="Z240" s="286"/>
      <c r="AA240" s="286"/>
      <c r="AB240" s="286"/>
      <c r="AC240" s="114"/>
      <c r="AD240" s="114"/>
      <c r="AE240" s="114"/>
      <c r="AF240" s="114"/>
      <c r="AG240" s="287"/>
      <c r="AH240" s="114" t="s">
        <v>548</v>
      </c>
    </row>
    <row r="241" spans="1:34" x14ac:dyDescent="0.2">
      <c r="A241" s="282">
        <v>44089</v>
      </c>
      <c r="B241" s="114" t="s">
        <v>96</v>
      </c>
      <c r="C241" s="114">
        <v>2020</v>
      </c>
      <c r="D241" s="114" t="s">
        <v>5</v>
      </c>
      <c r="E241" s="270">
        <v>-0.03</v>
      </c>
      <c r="F241" s="270" t="s">
        <v>32</v>
      </c>
      <c r="G241" s="283">
        <v>2400</v>
      </c>
      <c r="H241" s="284">
        <v>112</v>
      </c>
      <c r="I241" s="270" t="s">
        <v>80</v>
      </c>
      <c r="J241" s="270" t="s">
        <v>37</v>
      </c>
      <c r="K241" s="270">
        <v>0.01</v>
      </c>
      <c r="L241" s="270" t="s">
        <v>726</v>
      </c>
      <c r="M241" s="270" t="s">
        <v>543</v>
      </c>
      <c r="N241" s="285" t="s">
        <v>544</v>
      </c>
      <c r="O241" s="114"/>
      <c r="P241" s="114" t="s">
        <v>545</v>
      </c>
      <c r="Q241" s="750">
        <v>40.417000000000002</v>
      </c>
      <c r="R241" s="635">
        <v>-86.582999999999998</v>
      </c>
      <c r="S241" s="114" t="s">
        <v>63</v>
      </c>
      <c r="T241" s="114"/>
      <c r="U241" s="114" t="s">
        <v>51</v>
      </c>
      <c r="V241" s="282"/>
      <c r="W241" s="286">
        <f>IF(AC241="Intr",0,G241*Definitions!$B$53)</f>
        <v>360</v>
      </c>
      <c r="X241" s="286">
        <f>IF(AC241="Intr",0,G241*Definitions!$B$54)</f>
        <v>1680</v>
      </c>
      <c r="Y241" s="286">
        <f>IF(AC241="Intr",G241,G241*Definitions!$B$55)</f>
        <v>360</v>
      </c>
      <c r="Z241" s="286"/>
      <c r="AA241" s="286"/>
      <c r="AB241" s="286"/>
      <c r="AC241" s="114"/>
      <c r="AD241" s="114"/>
      <c r="AE241" s="114"/>
      <c r="AF241" s="114"/>
      <c r="AG241" s="287"/>
      <c r="AH241" s="114" t="s">
        <v>549</v>
      </c>
    </row>
    <row r="242" spans="1:34" x14ac:dyDescent="0.2">
      <c r="A242" s="282">
        <v>44089</v>
      </c>
      <c r="B242" s="114" t="s">
        <v>96</v>
      </c>
      <c r="C242" s="114">
        <v>2020</v>
      </c>
      <c r="D242" s="114" t="s">
        <v>5</v>
      </c>
      <c r="E242" s="270">
        <v>-1.04</v>
      </c>
      <c r="F242" s="270" t="s">
        <v>32</v>
      </c>
      <c r="G242" s="283">
        <v>83200</v>
      </c>
      <c r="H242" s="284">
        <v>112</v>
      </c>
      <c r="I242" s="270" t="s">
        <v>80</v>
      </c>
      <c r="J242" s="270" t="s">
        <v>38</v>
      </c>
      <c r="K242" s="270">
        <v>0.26</v>
      </c>
      <c r="L242" s="270" t="s">
        <v>726</v>
      </c>
      <c r="M242" s="270" t="s">
        <v>543</v>
      </c>
      <c r="N242" s="285" t="s">
        <v>544</v>
      </c>
      <c r="O242" s="114"/>
      <c r="P242" s="114" t="s">
        <v>545</v>
      </c>
      <c r="Q242" s="750">
        <v>40.417000000000002</v>
      </c>
      <c r="R242" s="635">
        <v>-86.582999999999998</v>
      </c>
      <c r="S242" s="114" t="s">
        <v>63</v>
      </c>
      <c r="T242" s="114"/>
      <c r="U242" s="114" t="s">
        <v>51</v>
      </c>
      <c r="V242" s="282"/>
      <c r="W242" s="286">
        <f>IF(AC242="Intr",0,G242*Definitions!$B$53)</f>
        <v>12480</v>
      </c>
      <c r="X242" s="286">
        <f>IF(AC242="Intr",0,G242*Definitions!$B$54)</f>
        <v>58239.999999999993</v>
      </c>
      <c r="Y242" s="286">
        <f>IF(AC242="Intr",G242,G242*Definitions!$B$55)</f>
        <v>12480</v>
      </c>
      <c r="Z242" s="286"/>
      <c r="AA242" s="286"/>
      <c r="AB242" s="286"/>
      <c r="AC242" s="114"/>
      <c r="AD242" s="114"/>
      <c r="AE242" s="114"/>
      <c r="AF242" s="114"/>
      <c r="AG242" s="287"/>
      <c r="AH242" s="114" t="s">
        <v>550</v>
      </c>
    </row>
    <row r="243" spans="1:34" x14ac:dyDescent="0.2">
      <c r="A243" s="282">
        <v>44089</v>
      </c>
      <c r="B243" s="114" t="s">
        <v>96</v>
      </c>
      <c r="C243" s="114">
        <v>2020</v>
      </c>
      <c r="D243" s="114" t="s">
        <v>5</v>
      </c>
      <c r="E243" s="270">
        <v>-0.05</v>
      </c>
      <c r="F243" s="270" t="s">
        <v>32</v>
      </c>
      <c r="G243" s="283">
        <v>4000</v>
      </c>
      <c r="H243" s="284">
        <v>112</v>
      </c>
      <c r="I243" s="270" t="s">
        <v>81</v>
      </c>
      <c r="J243" s="270" t="s">
        <v>36</v>
      </c>
      <c r="K243" s="270">
        <v>0.05</v>
      </c>
      <c r="L243" s="270" t="s">
        <v>726</v>
      </c>
      <c r="M243" s="270" t="s">
        <v>103</v>
      </c>
      <c r="N243" s="285" t="s">
        <v>546</v>
      </c>
      <c r="O243" s="114"/>
      <c r="P243" s="114" t="s">
        <v>545</v>
      </c>
      <c r="Q243" s="750">
        <v>40.417299999999997</v>
      </c>
      <c r="R243" s="635">
        <v>-86.305999999999997</v>
      </c>
      <c r="S243" s="114" t="s">
        <v>63</v>
      </c>
      <c r="T243" s="114"/>
      <c r="U243" s="114" t="s">
        <v>51</v>
      </c>
      <c r="V243" s="282"/>
      <c r="W243" s="286">
        <f>IF(AC243="Intr",0,G243*Definitions!$B$53)</f>
        <v>600</v>
      </c>
      <c r="X243" s="286">
        <f>IF(AC243="Intr",0,G243*Definitions!$B$54)</f>
        <v>2800</v>
      </c>
      <c r="Y243" s="286">
        <f>IF(AC243="Intr",G243,G243*Definitions!$B$55)</f>
        <v>600</v>
      </c>
      <c r="Z243" s="286"/>
      <c r="AA243" s="286"/>
      <c r="AB243" s="286"/>
      <c r="AC243" s="114"/>
      <c r="AD243" s="114"/>
      <c r="AE243" s="114"/>
      <c r="AF243" s="114"/>
      <c r="AG243" s="287"/>
      <c r="AH243" s="114" t="s">
        <v>551</v>
      </c>
    </row>
    <row r="244" spans="1:34" x14ac:dyDescent="0.2">
      <c r="A244" s="237">
        <v>44089</v>
      </c>
      <c r="B244" s="238" t="s">
        <v>96</v>
      </c>
      <c r="C244" s="238">
        <v>2020</v>
      </c>
      <c r="D244" s="238" t="s">
        <v>7</v>
      </c>
      <c r="E244" s="240">
        <v>-411</v>
      </c>
      <c r="F244" s="240" t="s">
        <v>33</v>
      </c>
      <c r="G244" s="317">
        <v>184950</v>
      </c>
      <c r="H244" s="318">
        <v>113</v>
      </c>
      <c r="I244" s="240" t="s">
        <v>80</v>
      </c>
      <c r="J244" s="240" t="s">
        <v>40</v>
      </c>
      <c r="K244" s="240">
        <v>411</v>
      </c>
      <c r="L244" s="240" t="s">
        <v>726</v>
      </c>
      <c r="M244" s="240" t="s">
        <v>556</v>
      </c>
      <c r="N244" s="319" t="s">
        <v>555</v>
      </c>
      <c r="O244" s="238"/>
      <c r="P244" s="238" t="s">
        <v>117</v>
      </c>
      <c r="Q244" s="734">
        <v>39.981999999999999</v>
      </c>
      <c r="R244" s="648">
        <v>-86.396000000000001</v>
      </c>
      <c r="S244" s="238" t="s">
        <v>63</v>
      </c>
      <c r="T244" s="238"/>
      <c r="U244" s="238" t="s">
        <v>51</v>
      </c>
      <c r="V244" s="237"/>
      <c r="W244" s="244">
        <v>27742.5</v>
      </c>
      <c r="X244" s="244">
        <v>129465</v>
      </c>
      <c r="Y244" s="244">
        <v>27742.5</v>
      </c>
      <c r="Z244" s="244"/>
      <c r="AA244" s="244"/>
      <c r="AB244" s="244"/>
      <c r="AC244" s="238"/>
      <c r="AD244" s="238"/>
      <c r="AE244" s="238"/>
      <c r="AF244" s="238"/>
      <c r="AG244" s="245"/>
      <c r="AH244" s="238" t="s">
        <v>557</v>
      </c>
    </row>
    <row r="245" spans="1:34" x14ac:dyDescent="0.2">
      <c r="A245" s="237">
        <v>44089</v>
      </c>
      <c r="B245" s="238" t="s">
        <v>96</v>
      </c>
      <c r="C245" s="238">
        <v>2020</v>
      </c>
      <c r="D245" s="238" t="s">
        <v>7</v>
      </c>
      <c r="E245" s="240">
        <v>-0.16200000000000001</v>
      </c>
      <c r="F245" s="240" t="s">
        <v>32</v>
      </c>
      <c r="G245" s="317">
        <v>12960</v>
      </c>
      <c r="H245" s="318">
        <v>113</v>
      </c>
      <c r="I245" s="240" t="s">
        <v>81</v>
      </c>
      <c r="J245" s="240" t="s">
        <v>36</v>
      </c>
      <c r="K245" s="240">
        <v>0.16200000000000001</v>
      </c>
      <c r="L245" s="240" t="s">
        <v>726</v>
      </c>
      <c r="M245" s="240" t="s">
        <v>103</v>
      </c>
      <c r="N245" s="319" t="s">
        <v>554</v>
      </c>
      <c r="O245" s="238"/>
      <c r="P245" s="238" t="s">
        <v>117</v>
      </c>
      <c r="Q245" s="734">
        <v>39.984000000000002</v>
      </c>
      <c r="R245" s="648">
        <v>-86.399000000000001</v>
      </c>
      <c r="S245" s="238" t="s">
        <v>63</v>
      </c>
      <c r="T245" s="238"/>
      <c r="U245" s="238" t="s">
        <v>51</v>
      </c>
      <c r="V245" s="237"/>
      <c r="W245" s="244">
        <v>1944</v>
      </c>
      <c r="X245" s="244">
        <v>9072</v>
      </c>
      <c r="Y245" s="244">
        <v>1944</v>
      </c>
      <c r="Z245" s="244"/>
      <c r="AA245" s="244"/>
      <c r="AB245" s="244"/>
      <c r="AC245" s="238"/>
      <c r="AD245" s="238"/>
      <c r="AE245" s="238"/>
      <c r="AF245" s="238"/>
      <c r="AG245" s="245"/>
      <c r="AH245" s="238" t="s">
        <v>558</v>
      </c>
    </row>
    <row r="246" spans="1:34" x14ac:dyDescent="0.2">
      <c r="A246" s="237">
        <v>44089</v>
      </c>
      <c r="B246" s="238" t="s">
        <v>96</v>
      </c>
      <c r="C246" s="238">
        <v>2020</v>
      </c>
      <c r="D246" s="238" t="s">
        <v>7</v>
      </c>
      <c r="E246" s="240">
        <v>-0.27500000000000002</v>
      </c>
      <c r="F246" s="240" t="s">
        <v>32</v>
      </c>
      <c r="G246" s="317">
        <v>22000</v>
      </c>
      <c r="H246" s="318">
        <v>113</v>
      </c>
      <c r="I246" s="240" t="s">
        <v>81</v>
      </c>
      <c r="J246" s="240" t="s">
        <v>38</v>
      </c>
      <c r="K246" s="240">
        <v>0.11</v>
      </c>
      <c r="L246" s="240" t="s">
        <v>726</v>
      </c>
      <c r="M246" s="240" t="s">
        <v>103</v>
      </c>
      <c r="N246" s="319" t="s">
        <v>554</v>
      </c>
      <c r="O246" s="238"/>
      <c r="P246" s="238" t="s">
        <v>117</v>
      </c>
      <c r="Q246" s="734">
        <v>39.984000000000002</v>
      </c>
      <c r="R246" s="648">
        <v>-86.399000000000001</v>
      </c>
      <c r="S246" s="238" t="s">
        <v>63</v>
      </c>
      <c r="T246" s="238"/>
      <c r="U246" s="238" t="s">
        <v>51</v>
      </c>
      <c r="V246" s="237"/>
      <c r="W246" s="244">
        <f>IF(AC246="Intr",0,G246*Definitions!$B$53)</f>
        <v>3300</v>
      </c>
      <c r="X246" s="244">
        <f>IF(AC246="Intr",0,G246*Definitions!$B$54)</f>
        <v>15399.999999999998</v>
      </c>
      <c r="Y246" s="244">
        <f>IF(AC246="Intr",G246,G246*Definitions!$B$55)</f>
        <v>3300</v>
      </c>
      <c r="Z246" s="244"/>
      <c r="AA246" s="244"/>
      <c r="AB246" s="244"/>
      <c r="AC246" s="238"/>
      <c r="AD246" s="238"/>
      <c r="AE246" s="238"/>
      <c r="AF246" s="238"/>
      <c r="AG246" s="245"/>
      <c r="AH246" s="238" t="s">
        <v>559</v>
      </c>
    </row>
    <row r="247" spans="1:34" x14ac:dyDescent="0.2">
      <c r="A247" s="160">
        <v>44089</v>
      </c>
      <c r="B247" s="161" t="s">
        <v>96</v>
      </c>
      <c r="C247" s="161">
        <v>2020</v>
      </c>
      <c r="D247" s="161" t="s">
        <v>7</v>
      </c>
      <c r="E247" s="162">
        <v>-88.25</v>
      </c>
      <c r="F247" s="162" t="s">
        <v>33</v>
      </c>
      <c r="G247" s="163">
        <v>39712.51</v>
      </c>
      <c r="H247" s="164">
        <v>128</v>
      </c>
      <c r="I247" s="162" t="s">
        <v>80</v>
      </c>
      <c r="J247" s="162" t="s">
        <v>40</v>
      </c>
      <c r="K247" s="162">
        <v>88.25</v>
      </c>
      <c r="L247" s="162" t="s">
        <v>726</v>
      </c>
      <c r="M247" s="564" t="s">
        <v>282</v>
      </c>
      <c r="N247" s="165" t="s">
        <v>552</v>
      </c>
      <c r="O247" s="161"/>
      <c r="P247" s="161" t="s">
        <v>162</v>
      </c>
      <c r="Q247" s="741">
        <v>39.667999999999999</v>
      </c>
      <c r="R247" s="654">
        <v>-86.370699999999999</v>
      </c>
      <c r="S247" s="161" t="s">
        <v>63</v>
      </c>
      <c r="T247" s="161"/>
      <c r="U247" s="161" t="s">
        <v>51</v>
      </c>
      <c r="V247" s="160"/>
      <c r="W247" s="166">
        <v>5956.8765000000003</v>
      </c>
      <c r="X247" s="166">
        <v>27798.757000000001</v>
      </c>
      <c r="Y247" s="166">
        <v>5956.8765000000003</v>
      </c>
      <c r="Z247" s="166"/>
      <c r="AA247" s="166"/>
      <c r="AB247" s="166"/>
      <c r="AC247" s="161"/>
      <c r="AD247" s="161"/>
      <c r="AE247" s="161"/>
      <c r="AF247" s="161"/>
      <c r="AG247" s="167"/>
      <c r="AH247" s="161" t="s">
        <v>553</v>
      </c>
    </row>
    <row r="248" spans="1:34" x14ac:dyDescent="0.2">
      <c r="A248" s="191">
        <v>44091</v>
      </c>
      <c r="B248" s="192" t="s">
        <v>96</v>
      </c>
      <c r="C248" s="192">
        <v>2020</v>
      </c>
      <c r="D248" s="192" t="s">
        <v>6</v>
      </c>
      <c r="E248" s="193">
        <v>-7.0000000000000001E-3</v>
      </c>
      <c r="F248" s="193" t="s">
        <v>32</v>
      </c>
      <c r="G248" s="194">
        <v>560</v>
      </c>
      <c r="H248" s="195">
        <v>126</v>
      </c>
      <c r="I248" s="193" t="s">
        <v>81</v>
      </c>
      <c r="J248" s="193" t="s">
        <v>36</v>
      </c>
      <c r="K248" s="193">
        <v>7.0000000000000001E-3</v>
      </c>
      <c r="L248" s="193" t="s">
        <v>987</v>
      </c>
      <c r="M248" s="193" t="s">
        <v>103</v>
      </c>
      <c r="N248" s="196" t="s">
        <v>536</v>
      </c>
      <c r="O248" s="192"/>
      <c r="P248" s="192" t="s">
        <v>537</v>
      </c>
      <c r="Q248" s="764">
        <v>40.539299999999997</v>
      </c>
      <c r="R248" s="662">
        <v>-87.378799999999998</v>
      </c>
      <c r="S248" s="192" t="s">
        <v>63</v>
      </c>
      <c r="T248" s="192"/>
      <c r="U248" s="192" t="s">
        <v>51</v>
      </c>
      <c r="V248" s="191"/>
      <c r="W248" s="197">
        <f>IF(AC248="Intr",0,G248*Definitions!$B$53)</f>
        <v>84</v>
      </c>
      <c r="X248" s="197">
        <f>IF(AC248="Intr",0,G248*Definitions!$B$54)</f>
        <v>392</v>
      </c>
      <c r="Y248" s="197">
        <f>IF(AC248="Intr",G248,G248*Definitions!$B$55)</f>
        <v>84</v>
      </c>
      <c r="Z248" s="197"/>
      <c r="AA248" s="197"/>
      <c r="AB248" s="197"/>
      <c r="AC248" s="192"/>
      <c r="AD248" s="192"/>
      <c r="AE248" s="192"/>
      <c r="AF248" s="192"/>
      <c r="AG248" s="198"/>
      <c r="AH248" s="192" t="s">
        <v>538</v>
      </c>
    </row>
    <row r="249" spans="1:34" x14ac:dyDescent="0.2">
      <c r="A249" s="288">
        <v>44092</v>
      </c>
      <c r="B249" s="289" t="s">
        <v>528</v>
      </c>
      <c r="C249" s="289">
        <v>2020</v>
      </c>
      <c r="D249" s="289" t="s">
        <v>6</v>
      </c>
      <c r="E249" s="331">
        <v>-18.3</v>
      </c>
      <c r="F249" s="331" t="s">
        <v>33</v>
      </c>
      <c r="G249" s="332">
        <v>7320</v>
      </c>
      <c r="H249" s="333">
        <v>125</v>
      </c>
      <c r="I249" s="331" t="s">
        <v>80</v>
      </c>
      <c r="J249" s="331" t="s">
        <v>41</v>
      </c>
      <c r="K249" s="331">
        <v>740.3</v>
      </c>
      <c r="L249" s="331" t="s">
        <v>987</v>
      </c>
      <c r="M249" s="331" t="s">
        <v>529</v>
      </c>
      <c r="N249" s="290" t="s">
        <v>530</v>
      </c>
      <c r="O249" s="289"/>
      <c r="P249" s="289" t="s">
        <v>531</v>
      </c>
      <c r="Q249" s="733">
        <v>39.194546000000003</v>
      </c>
      <c r="R249" s="647">
        <v>-87.489445000000003</v>
      </c>
      <c r="S249" s="289" t="s">
        <v>63</v>
      </c>
      <c r="T249" s="289"/>
      <c r="U249" s="289" t="s">
        <v>51</v>
      </c>
      <c r="V249" s="288"/>
      <c r="W249" s="293">
        <f>IF(AC249="Intr",0,G249*Definitions!$B$53)</f>
        <v>1098</v>
      </c>
      <c r="X249" s="293">
        <f>IF(AC249="Intr",0,G249*Definitions!$B$54)</f>
        <v>5124</v>
      </c>
      <c r="Y249" s="293">
        <f>IF(AC249="Intr",G249,G249*Definitions!$B$55)</f>
        <v>1098</v>
      </c>
      <c r="Z249" s="293"/>
      <c r="AA249" s="293"/>
      <c r="AB249" s="293"/>
      <c r="AC249" s="289"/>
      <c r="AD249" s="289"/>
      <c r="AE249" s="289"/>
      <c r="AF249" s="289"/>
      <c r="AG249" s="294"/>
      <c r="AH249" s="289" t="s">
        <v>532</v>
      </c>
    </row>
    <row r="250" spans="1:34" x14ac:dyDescent="0.2">
      <c r="A250" s="288">
        <v>44092</v>
      </c>
      <c r="B250" s="289" t="s">
        <v>528</v>
      </c>
      <c r="C250" s="289">
        <v>2020</v>
      </c>
      <c r="D250" s="289" t="s">
        <v>6</v>
      </c>
      <c r="E250" s="331">
        <v>-176</v>
      </c>
      <c r="F250" s="331" t="s">
        <v>33</v>
      </c>
      <c r="G250" s="332">
        <v>70400</v>
      </c>
      <c r="H250" s="333">
        <v>125</v>
      </c>
      <c r="I250" s="331" t="s">
        <v>80</v>
      </c>
      <c r="J250" s="331" t="s">
        <v>39</v>
      </c>
      <c r="K250" s="331">
        <v>176</v>
      </c>
      <c r="L250" s="331" t="s">
        <v>987</v>
      </c>
      <c r="M250" s="331" t="s">
        <v>529</v>
      </c>
      <c r="N250" s="290" t="s">
        <v>530</v>
      </c>
      <c r="O250" s="289"/>
      <c r="P250" s="289" t="s">
        <v>531</v>
      </c>
      <c r="Q250" s="733">
        <v>39.194546000000003</v>
      </c>
      <c r="R250" s="647">
        <v>-87.489445000000003</v>
      </c>
      <c r="S250" s="289" t="s">
        <v>63</v>
      </c>
      <c r="T250" s="289"/>
      <c r="U250" s="289" t="s">
        <v>51</v>
      </c>
      <c r="V250" s="288"/>
      <c r="W250" s="293">
        <f>IF(AC250="Intr",0,G250*Definitions!$B$53)</f>
        <v>10560</v>
      </c>
      <c r="X250" s="293">
        <f>IF(AC250="Intr",0,G250*Definitions!$B$54)</f>
        <v>49280</v>
      </c>
      <c r="Y250" s="293">
        <f>IF(AC250="Intr",G250,G250*Definitions!$B$55)</f>
        <v>10560</v>
      </c>
      <c r="Z250" s="293"/>
      <c r="AA250" s="293"/>
      <c r="AB250" s="293"/>
      <c r="AC250" s="289"/>
      <c r="AD250" s="289"/>
      <c r="AE250" s="289"/>
      <c r="AF250" s="289"/>
      <c r="AG250" s="294"/>
      <c r="AH250" s="289" t="s">
        <v>532</v>
      </c>
    </row>
    <row r="251" spans="1:34" x14ac:dyDescent="0.2">
      <c r="A251" s="288">
        <v>44092</v>
      </c>
      <c r="B251" s="289" t="s">
        <v>96</v>
      </c>
      <c r="C251" s="289">
        <v>2020</v>
      </c>
      <c r="D251" s="289" t="s">
        <v>6</v>
      </c>
      <c r="E251" s="331">
        <v>-1.4E-2</v>
      </c>
      <c r="F251" s="331" t="s">
        <v>32</v>
      </c>
      <c r="G251" s="332">
        <v>1120</v>
      </c>
      <c r="H251" s="333">
        <v>125</v>
      </c>
      <c r="I251" s="331" t="s">
        <v>80</v>
      </c>
      <c r="J251" s="331" t="s">
        <v>36</v>
      </c>
      <c r="K251" s="331">
        <v>7.0000000000000001E-3</v>
      </c>
      <c r="L251" s="331" t="s">
        <v>987</v>
      </c>
      <c r="M251" s="331" t="s">
        <v>529</v>
      </c>
      <c r="N251" s="290" t="s">
        <v>530</v>
      </c>
      <c r="O251" s="289"/>
      <c r="P251" s="289" t="s">
        <v>531</v>
      </c>
      <c r="Q251" s="733">
        <v>39.194546000000003</v>
      </c>
      <c r="R251" s="647">
        <v>-87.489445000000003</v>
      </c>
      <c r="S251" s="289" t="s">
        <v>63</v>
      </c>
      <c r="T251" s="289"/>
      <c r="U251" s="289" t="s">
        <v>51</v>
      </c>
      <c r="V251" s="288"/>
      <c r="W251" s="293">
        <f>IF(AC251="Intr",0,G251*Definitions!$B$53)</f>
        <v>168</v>
      </c>
      <c r="X251" s="293">
        <f>IF(AC251="Intr",0,G251*Definitions!$B$54)</f>
        <v>784</v>
      </c>
      <c r="Y251" s="293">
        <f>IF(AC251="Intr",G251,G251*Definitions!$B$55)</f>
        <v>168</v>
      </c>
      <c r="Z251" s="293"/>
      <c r="AA251" s="293"/>
      <c r="AB251" s="293"/>
      <c r="AC251" s="289"/>
      <c r="AD251" s="289"/>
      <c r="AE251" s="289"/>
      <c r="AF251" s="289"/>
      <c r="AG251" s="294"/>
      <c r="AH251" s="289" t="s">
        <v>532</v>
      </c>
    </row>
    <row r="252" spans="1:34" x14ac:dyDescent="0.2">
      <c r="A252" s="334">
        <v>44092</v>
      </c>
      <c r="B252" s="335" t="s">
        <v>96</v>
      </c>
      <c r="C252" s="335">
        <v>2020</v>
      </c>
      <c r="D252" s="335" t="s">
        <v>6</v>
      </c>
      <c r="E252" s="336">
        <v>-162</v>
      </c>
      <c r="F252" s="336" t="s">
        <v>33</v>
      </c>
      <c r="G252" s="337">
        <v>64800</v>
      </c>
      <c r="H252" s="338">
        <v>119</v>
      </c>
      <c r="I252" s="336" t="s">
        <v>80</v>
      </c>
      <c r="J252" s="336" t="s">
        <v>39</v>
      </c>
      <c r="K252" s="336">
        <v>162</v>
      </c>
      <c r="L252" s="336" t="s">
        <v>987</v>
      </c>
      <c r="M252" s="336" t="s">
        <v>533</v>
      </c>
      <c r="N252" s="339" t="s">
        <v>534</v>
      </c>
      <c r="O252" s="335"/>
      <c r="P252" s="335" t="s">
        <v>117</v>
      </c>
      <c r="Q252" s="771">
        <v>40.152200000000001</v>
      </c>
      <c r="R252" s="669">
        <v>-86.537649999999999</v>
      </c>
      <c r="S252" s="335" t="s">
        <v>63</v>
      </c>
      <c r="T252" s="335"/>
      <c r="U252" s="335" t="s">
        <v>51</v>
      </c>
      <c r="V252" s="334"/>
      <c r="W252" s="340">
        <f>IF(AC252="Intr",0,G252*Definitions!$B$53)</f>
        <v>9720</v>
      </c>
      <c r="X252" s="340">
        <f>IF(AC252="Intr",0,G252*Definitions!$B$54)</f>
        <v>45360</v>
      </c>
      <c r="Y252" s="340">
        <f>IF(AC252="Intr",G252,G252*Definitions!$B$55)</f>
        <v>9720</v>
      </c>
      <c r="Z252" s="340"/>
      <c r="AA252" s="340"/>
      <c r="AB252" s="340"/>
      <c r="AC252" s="335"/>
      <c r="AD252" s="335"/>
      <c r="AE252" s="335"/>
      <c r="AF252" s="335"/>
      <c r="AG252" s="341"/>
      <c r="AH252" s="335" t="s">
        <v>535</v>
      </c>
    </row>
    <row r="253" spans="1:34" x14ac:dyDescent="0.2">
      <c r="A253" s="334">
        <v>44092</v>
      </c>
      <c r="B253" s="335" t="s">
        <v>96</v>
      </c>
      <c r="C253" s="335">
        <v>2020</v>
      </c>
      <c r="D253" s="335" t="s">
        <v>6</v>
      </c>
      <c r="E253" s="336">
        <v>-0.1172</v>
      </c>
      <c r="F253" s="336" t="s">
        <v>32</v>
      </c>
      <c r="G253" s="337">
        <v>9376</v>
      </c>
      <c r="H253" s="338">
        <v>119</v>
      </c>
      <c r="I253" s="336" t="s">
        <v>80</v>
      </c>
      <c r="J253" s="336" t="s">
        <v>36</v>
      </c>
      <c r="K253" s="336">
        <v>5.8599999999999999E-2</v>
      </c>
      <c r="L253" s="336" t="s">
        <v>987</v>
      </c>
      <c r="M253" s="336" t="s">
        <v>533</v>
      </c>
      <c r="N253" s="339" t="s">
        <v>534</v>
      </c>
      <c r="O253" s="335"/>
      <c r="P253" s="335" t="s">
        <v>117</v>
      </c>
      <c r="Q253" s="771">
        <v>40.152200000000001</v>
      </c>
      <c r="R253" s="669">
        <v>-86.537649999999999</v>
      </c>
      <c r="S253" s="335" t="s">
        <v>63</v>
      </c>
      <c r="T253" s="335"/>
      <c r="U253" s="335" t="s">
        <v>51</v>
      </c>
      <c r="V253" s="334"/>
      <c r="W253" s="340">
        <f>IF(AC253="Intr",0,G253*Definitions!$B$53)</f>
        <v>1406.3999999999999</v>
      </c>
      <c r="X253" s="340">
        <f>IF(AC253="Intr",0,G253*Definitions!$B$54)</f>
        <v>6563.2</v>
      </c>
      <c r="Y253" s="340">
        <f>IF(AC253="Intr",G253,G253*Definitions!$B$55)</f>
        <v>1406.3999999999999</v>
      </c>
      <c r="Z253" s="340"/>
      <c r="AA253" s="340"/>
      <c r="AB253" s="340"/>
      <c r="AC253" s="335"/>
      <c r="AD253" s="335"/>
      <c r="AE253" s="335"/>
      <c r="AF253" s="335"/>
      <c r="AG253" s="341"/>
      <c r="AH253" s="335" t="s">
        <v>535</v>
      </c>
    </row>
    <row r="254" spans="1:34" x14ac:dyDescent="0.2">
      <c r="A254" s="334">
        <v>44092</v>
      </c>
      <c r="B254" s="335" t="s">
        <v>96</v>
      </c>
      <c r="C254" s="335">
        <v>2020</v>
      </c>
      <c r="D254" s="335" t="s">
        <v>6</v>
      </c>
      <c r="E254" s="336">
        <v>-8.1000000000000003E-2</v>
      </c>
      <c r="F254" s="336" t="s">
        <v>32</v>
      </c>
      <c r="G254" s="337">
        <v>6480</v>
      </c>
      <c r="H254" s="338">
        <v>119</v>
      </c>
      <c r="I254" s="336" t="s">
        <v>80</v>
      </c>
      <c r="J254" s="336" t="s">
        <v>38</v>
      </c>
      <c r="K254" s="336">
        <v>2.7E-2</v>
      </c>
      <c r="L254" s="336" t="s">
        <v>987</v>
      </c>
      <c r="M254" s="336" t="s">
        <v>533</v>
      </c>
      <c r="N254" s="339" t="s">
        <v>534</v>
      </c>
      <c r="O254" s="335"/>
      <c r="P254" s="335" t="s">
        <v>117</v>
      </c>
      <c r="Q254" s="771">
        <v>40.152200000000001</v>
      </c>
      <c r="R254" s="669">
        <v>-86.537649999999999</v>
      </c>
      <c r="S254" s="335" t="s">
        <v>63</v>
      </c>
      <c r="T254" s="335"/>
      <c r="U254" s="335" t="s">
        <v>51</v>
      </c>
      <c r="V254" s="334"/>
      <c r="W254" s="340">
        <f>IF(AC254="Intr",0,G254*Definitions!$B$53)</f>
        <v>972</v>
      </c>
      <c r="X254" s="340">
        <f>IF(AC254="Intr",0,G254*Definitions!$B$54)</f>
        <v>4536</v>
      </c>
      <c r="Y254" s="340">
        <f>IF(AC254="Intr",G254,G254*Definitions!$B$55)</f>
        <v>972</v>
      </c>
      <c r="Z254" s="340"/>
      <c r="AA254" s="340"/>
      <c r="AB254" s="340"/>
      <c r="AC254" s="335"/>
      <c r="AD254" s="335"/>
      <c r="AE254" s="335"/>
      <c r="AF254" s="335"/>
      <c r="AG254" s="341"/>
      <c r="AH254" s="335" t="s">
        <v>535</v>
      </c>
    </row>
    <row r="255" spans="1:34" x14ac:dyDescent="0.2">
      <c r="A255" s="191">
        <v>44092</v>
      </c>
      <c r="B255" s="192" t="s">
        <v>96</v>
      </c>
      <c r="C255" s="192">
        <v>2020</v>
      </c>
      <c r="D255" s="192" t="s">
        <v>11</v>
      </c>
      <c r="E255" s="193">
        <v>-347</v>
      </c>
      <c r="F255" s="193" t="s">
        <v>33</v>
      </c>
      <c r="G255" s="194">
        <v>138800</v>
      </c>
      <c r="H255" s="195">
        <v>120</v>
      </c>
      <c r="I255" s="193" t="s">
        <v>80</v>
      </c>
      <c r="J255" s="193" t="s">
        <v>40</v>
      </c>
      <c r="K255" s="193">
        <v>703</v>
      </c>
      <c r="L255" s="193" t="s">
        <v>987</v>
      </c>
      <c r="M255" s="193" t="s">
        <v>524</v>
      </c>
      <c r="N255" s="196" t="s">
        <v>525</v>
      </c>
      <c r="O255" s="192"/>
      <c r="P255" s="192" t="s">
        <v>526</v>
      </c>
      <c r="Q255" s="764">
        <v>37.901499999999999</v>
      </c>
      <c r="R255" s="662">
        <v>-87.104799999999997</v>
      </c>
      <c r="S255" s="192" t="s">
        <v>63</v>
      </c>
      <c r="T255" s="192"/>
      <c r="U255" s="192" t="s">
        <v>51</v>
      </c>
      <c r="V255" s="191"/>
      <c r="W255" s="197">
        <f>IF(AC255="Intr",0,G255*Definitions!$B$53)</f>
        <v>20820</v>
      </c>
      <c r="X255" s="197">
        <f>IF(AC255="Intr",0,G255*Definitions!$B$54)</f>
        <v>97160</v>
      </c>
      <c r="Y255" s="197">
        <f>IF(AC255="Intr",G255,G255*Definitions!$B$55)</f>
        <v>20820</v>
      </c>
      <c r="Z255" s="197"/>
      <c r="AA255" s="197"/>
      <c r="AB255" s="197"/>
      <c r="AC255" s="192"/>
      <c r="AD255" s="192"/>
      <c r="AE255" s="192"/>
      <c r="AF255" s="192"/>
      <c r="AG255" s="198"/>
      <c r="AH255" s="192" t="s">
        <v>527</v>
      </c>
    </row>
    <row r="256" spans="1:34" x14ac:dyDescent="0.2">
      <c r="A256" s="191">
        <v>44092</v>
      </c>
      <c r="B256" s="192" t="s">
        <v>96</v>
      </c>
      <c r="C256" s="192">
        <v>2020</v>
      </c>
      <c r="D256" s="192" t="s">
        <v>11</v>
      </c>
      <c r="E256" s="193">
        <v>-0.02</v>
      </c>
      <c r="F256" s="193" t="s">
        <v>32</v>
      </c>
      <c r="G256" s="194">
        <v>1600</v>
      </c>
      <c r="H256" s="195">
        <v>120</v>
      </c>
      <c r="I256" s="193" t="s">
        <v>80</v>
      </c>
      <c r="J256" s="193" t="s">
        <v>36</v>
      </c>
      <c r="K256" s="193">
        <v>0.01</v>
      </c>
      <c r="L256" s="193" t="s">
        <v>987</v>
      </c>
      <c r="M256" s="193" t="s">
        <v>524</v>
      </c>
      <c r="N256" s="196" t="s">
        <v>525</v>
      </c>
      <c r="O256" s="192"/>
      <c r="P256" s="192" t="s">
        <v>526</v>
      </c>
      <c r="Q256" s="764">
        <v>37.901499999999999</v>
      </c>
      <c r="R256" s="662">
        <v>-87.104799999999997</v>
      </c>
      <c r="S256" s="192" t="s">
        <v>63</v>
      </c>
      <c r="T256" s="192"/>
      <c r="U256" s="192" t="s">
        <v>51</v>
      </c>
      <c r="V256" s="191"/>
      <c r="W256" s="197">
        <f>IF(AC256="Intr",0,G256*Definitions!$B$53)</f>
        <v>240</v>
      </c>
      <c r="X256" s="197">
        <f>IF(AC256="Intr",0,G256*Definitions!$B$54)</f>
        <v>1120</v>
      </c>
      <c r="Y256" s="197">
        <f>IF(AC256="Intr",G256,G256*Definitions!$B$55)</f>
        <v>240</v>
      </c>
      <c r="Z256" s="197"/>
      <c r="AA256" s="197"/>
      <c r="AB256" s="197"/>
      <c r="AC256" s="192"/>
      <c r="AD256" s="192"/>
      <c r="AE256" s="192"/>
      <c r="AF256" s="192"/>
      <c r="AG256" s="198"/>
      <c r="AH256" s="192" t="s">
        <v>527</v>
      </c>
    </row>
    <row r="257" spans="1:34" x14ac:dyDescent="0.2">
      <c r="A257" s="307">
        <v>44104</v>
      </c>
      <c r="B257" s="308" t="s">
        <v>96</v>
      </c>
      <c r="C257" s="308">
        <v>2020</v>
      </c>
      <c r="D257" s="308" t="s">
        <v>9</v>
      </c>
      <c r="E257" s="309">
        <v>-1070</v>
      </c>
      <c r="F257" s="309" t="s">
        <v>33</v>
      </c>
      <c r="G257" s="310">
        <v>428000</v>
      </c>
      <c r="H257" s="311">
        <v>109</v>
      </c>
      <c r="I257" s="309" t="s">
        <v>80</v>
      </c>
      <c r="J257" s="309" t="s">
        <v>41</v>
      </c>
      <c r="K257" s="309">
        <v>892</v>
      </c>
      <c r="L257" s="309" t="s">
        <v>560</v>
      </c>
      <c r="M257" s="309" t="s">
        <v>561</v>
      </c>
      <c r="N257" s="312" t="s">
        <v>562</v>
      </c>
      <c r="O257" s="308"/>
      <c r="P257" s="308" t="s">
        <v>563</v>
      </c>
      <c r="Q257" s="737">
        <v>38.891100000000002</v>
      </c>
      <c r="R257" s="651">
        <v>-86.864900000000006</v>
      </c>
      <c r="S257" s="308" t="s">
        <v>61</v>
      </c>
      <c r="T257" s="308"/>
      <c r="U257" s="308" t="s">
        <v>51</v>
      </c>
      <c r="V257" s="307"/>
      <c r="W257" s="313">
        <f>IF(AC257="Intr",0,G257*Definitions!$B$53)</f>
        <v>64200</v>
      </c>
      <c r="X257" s="313">
        <f>IF(AC257="Intr",0,G257*Definitions!$B$54)</f>
        <v>299600</v>
      </c>
      <c r="Y257" s="313">
        <f>IF(AC257="Intr",G257,G257*Definitions!$B$55)</f>
        <v>64200</v>
      </c>
      <c r="Z257" s="313"/>
      <c r="AA257" s="313"/>
      <c r="AB257" s="313"/>
      <c r="AC257" s="308"/>
      <c r="AD257" s="308"/>
      <c r="AE257" s="308"/>
      <c r="AF257" s="308"/>
      <c r="AG257" s="314"/>
      <c r="AH257" s="308"/>
    </row>
    <row r="258" spans="1:34" x14ac:dyDescent="0.2">
      <c r="A258" s="307">
        <v>44104</v>
      </c>
      <c r="B258" s="308" t="s">
        <v>96</v>
      </c>
      <c r="C258" s="308">
        <v>2020</v>
      </c>
      <c r="D258" s="308" t="s">
        <v>9</v>
      </c>
      <c r="E258" s="309">
        <v>-1</v>
      </c>
      <c r="F258" s="309" t="s">
        <v>32</v>
      </c>
      <c r="G258" s="310">
        <v>80000</v>
      </c>
      <c r="H258" s="311">
        <v>109</v>
      </c>
      <c r="I258" s="309" t="s">
        <v>80</v>
      </c>
      <c r="J258" s="309" t="s">
        <v>38</v>
      </c>
      <c r="K258" s="309">
        <v>0.27</v>
      </c>
      <c r="L258" s="309" t="s">
        <v>560</v>
      </c>
      <c r="M258" s="309" t="s">
        <v>561</v>
      </c>
      <c r="N258" s="312" t="s">
        <v>562</v>
      </c>
      <c r="O258" s="308"/>
      <c r="P258" s="308" t="s">
        <v>563</v>
      </c>
      <c r="Q258" s="737">
        <v>38.891100000000002</v>
      </c>
      <c r="R258" s="651">
        <v>-86.864900000000006</v>
      </c>
      <c r="S258" s="308" t="s">
        <v>61</v>
      </c>
      <c r="T258" s="308"/>
      <c r="U258" s="308" t="s">
        <v>51</v>
      </c>
      <c r="V258" s="307"/>
      <c r="W258" s="313">
        <f>IF(AC258="Intr",0,G258*Definitions!$B$53)</f>
        <v>12000</v>
      </c>
      <c r="X258" s="313">
        <f>IF(AC258="Intr",0,G258*Definitions!$B$54)</f>
        <v>56000</v>
      </c>
      <c r="Y258" s="313">
        <f>IF(AC258="Intr",G258,G258*Definitions!$B$55)</f>
        <v>12000</v>
      </c>
      <c r="Z258" s="313"/>
      <c r="AA258" s="313"/>
      <c r="AB258" s="313"/>
      <c r="AC258" s="308"/>
      <c r="AD258" s="308"/>
      <c r="AE258" s="308"/>
      <c r="AF258" s="308"/>
      <c r="AG258" s="314"/>
      <c r="AH258" s="308"/>
    </row>
    <row r="259" spans="1:34" x14ac:dyDescent="0.2">
      <c r="A259" s="307">
        <v>44104</v>
      </c>
      <c r="B259" s="308" t="s">
        <v>96</v>
      </c>
      <c r="C259" s="308">
        <v>2020</v>
      </c>
      <c r="D259" s="308" t="s">
        <v>9</v>
      </c>
      <c r="E259" s="309">
        <v>-0.16600000000000001</v>
      </c>
      <c r="F259" s="309" t="s">
        <v>32</v>
      </c>
      <c r="G259" s="310">
        <v>13280</v>
      </c>
      <c r="H259" s="311">
        <v>109</v>
      </c>
      <c r="I259" s="309" t="s">
        <v>80</v>
      </c>
      <c r="J259" s="309" t="s">
        <v>36</v>
      </c>
      <c r="K259" s="309">
        <v>0.08</v>
      </c>
      <c r="L259" s="309" t="s">
        <v>560</v>
      </c>
      <c r="M259" s="309" t="s">
        <v>561</v>
      </c>
      <c r="N259" s="312" t="s">
        <v>562</v>
      </c>
      <c r="O259" s="308"/>
      <c r="P259" s="308" t="s">
        <v>563</v>
      </c>
      <c r="Q259" s="737">
        <v>38.891100000000002</v>
      </c>
      <c r="R259" s="651">
        <v>-86.864900000000006</v>
      </c>
      <c r="S259" s="308" t="s">
        <v>61</v>
      </c>
      <c r="T259" s="308"/>
      <c r="U259" s="308" t="s">
        <v>51</v>
      </c>
      <c r="V259" s="307"/>
      <c r="W259" s="313">
        <f>IF(AC259="Intr",0,G259*Definitions!$B$53)</f>
        <v>1992</v>
      </c>
      <c r="X259" s="313">
        <f>IF(AC259="Intr",0,G259*Definitions!$B$54)</f>
        <v>9296</v>
      </c>
      <c r="Y259" s="313">
        <f>IF(AC259="Intr",G259,G259*Definitions!$B$55)</f>
        <v>1992</v>
      </c>
      <c r="Z259" s="313"/>
      <c r="AA259" s="313"/>
      <c r="AB259" s="313"/>
      <c r="AC259" s="308"/>
      <c r="AD259" s="308"/>
      <c r="AE259" s="308"/>
      <c r="AF259" s="308"/>
      <c r="AG259" s="314"/>
      <c r="AH259" s="308"/>
    </row>
    <row r="260" spans="1:34" x14ac:dyDescent="0.2">
      <c r="A260" s="220">
        <v>44117</v>
      </c>
      <c r="B260" s="221" t="s">
        <v>98</v>
      </c>
      <c r="C260" s="221">
        <v>2020</v>
      </c>
      <c r="D260" s="221" t="s">
        <v>1</v>
      </c>
      <c r="E260" s="222">
        <v>-0.72</v>
      </c>
      <c r="F260" s="222" t="s">
        <v>32</v>
      </c>
      <c r="G260" s="223">
        <v>68400</v>
      </c>
      <c r="H260" s="224">
        <v>153</v>
      </c>
      <c r="I260" s="222" t="s">
        <v>80</v>
      </c>
      <c r="J260" s="222" t="s">
        <v>36</v>
      </c>
      <c r="K260" s="222">
        <v>750</v>
      </c>
      <c r="L260" s="222" t="s">
        <v>584</v>
      </c>
      <c r="M260" s="222" t="s">
        <v>585</v>
      </c>
      <c r="N260" s="225" t="s">
        <v>586</v>
      </c>
      <c r="O260" s="221"/>
      <c r="P260" s="221" t="s">
        <v>227</v>
      </c>
      <c r="Q260" s="772">
        <v>41.619916000000003</v>
      </c>
      <c r="R260" s="670">
        <v>-87.431398000000002</v>
      </c>
      <c r="S260" s="221" t="s">
        <v>62</v>
      </c>
      <c r="T260" s="221"/>
      <c r="U260" s="221" t="s">
        <v>51</v>
      </c>
      <c r="V260" s="220"/>
      <c r="W260" s="226">
        <f>G260*0.15</f>
        <v>10260</v>
      </c>
      <c r="X260" s="226">
        <f>G260*0.7</f>
        <v>47880</v>
      </c>
      <c r="Y260" s="226">
        <f>G260*0.15</f>
        <v>10260</v>
      </c>
      <c r="Z260" s="226"/>
      <c r="AA260" s="226"/>
      <c r="AB260" s="226"/>
      <c r="AC260" s="221"/>
      <c r="AD260" s="221"/>
      <c r="AE260" s="221"/>
      <c r="AF260" s="221"/>
      <c r="AG260" s="227"/>
      <c r="AH260" s="221" t="s">
        <v>587</v>
      </c>
    </row>
    <row r="261" spans="1:34" x14ac:dyDescent="0.2">
      <c r="A261" s="45">
        <v>44117</v>
      </c>
      <c r="B261" s="46" t="s">
        <v>98</v>
      </c>
      <c r="C261" s="46">
        <v>2020</v>
      </c>
      <c r="D261" s="46" t="s">
        <v>7</v>
      </c>
      <c r="E261" s="181">
        <v>-5602</v>
      </c>
      <c r="F261" s="181" t="s">
        <v>33</v>
      </c>
      <c r="G261" s="182">
        <v>2520900</v>
      </c>
      <c r="H261" s="183">
        <v>149</v>
      </c>
      <c r="I261" s="181" t="s">
        <v>80</v>
      </c>
      <c r="J261" s="181" t="s">
        <v>41</v>
      </c>
      <c r="K261" s="181">
        <v>4668</v>
      </c>
      <c r="L261" s="181" t="s">
        <v>726</v>
      </c>
      <c r="M261" s="181" t="s">
        <v>564</v>
      </c>
      <c r="N261" s="76" t="s">
        <v>565</v>
      </c>
      <c r="O261" s="46"/>
      <c r="P261" s="46" t="s">
        <v>426</v>
      </c>
      <c r="Q261" s="761">
        <v>39.698371999999999</v>
      </c>
      <c r="R261" s="660">
        <v>-86.138490000000004</v>
      </c>
      <c r="S261" s="46" t="s">
        <v>63</v>
      </c>
      <c r="T261" s="46"/>
      <c r="U261" s="46" t="s">
        <v>51</v>
      </c>
      <c r="V261" s="45"/>
      <c r="W261" s="47">
        <f>IF(AC261="Intr",0,G261*Definitions!$B$53)</f>
        <v>378135</v>
      </c>
      <c r="X261" s="47">
        <f>IF(AC261="Intr",0,G261*Definitions!$B$54)</f>
        <v>1764630</v>
      </c>
      <c r="Y261" s="47">
        <f>IF(AC261="Intr",G261,G261*Definitions!$B$55)</f>
        <v>378135</v>
      </c>
      <c r="Z261" s="47"/>
      <c r="AA261" s="47"/>
      <c r="AB261" s="47"/>
      <c r="AC261" s="46"/>
      <c r="AD261" s="46"/>
      <c r="AE261" s="46"/>
      <c r="AF261" s="46"/>
      <c r="AG261" s="48"/>
      <c r="AH261" s="46" t="s">
        <v>566</v>
      </c>
    </row>
    <row r="262" spans="1:34" x14ac:dyDescent="0.2">
      <c r="A262" s="45">
        <v>44117</v>
      </c>
      <c r="B262" s="46" t="s">
        <v>98</v>
      </c>
      <c r="C262" s="46">
        <v>2020</v>
      </c>
      <c r="D262" s="46" t="s">
        <v>7</v>
      </c>
      <c r="E262" s="181">
        <v>-1360</v>
      </c>
      <c r="F262" s="181" t="s">
        <v>33</v>
      </c>
      <c r="G262" s="182">
        <v>612000</v>
      </c>
      <c r="H262" s="183">
        <v>149</v>
      </c>
      <c r="I262" s="181" t="s">
        <v>80</v>
      </c>
      <c r="J262" s="181" t="s">
        <v>40</v>
      </c>
      <c r="K262" s="181">
        <v>1113</v>
      </c>
      <c r="L262" s="181" t="s">
        <v>726</v>
      </c>
      <c r="M262" s="181" t="s">
        <v>564</v>
      </c>
      <c r="N262" s="76" t="s">
        <v>565</v>
      </c>
      <c r="O262" s="46"/>
      <c r="P262" s="46" t="s">
        <v>426</v>
      </c>
      <c r="Q262" s="761">
        <v>39.698371999999999</v>
      </c>
      <c r="R262" s="660">
        <v>-86.138490000000004</v>
      </c>
      <c r="S262" s="46" t="s">
        <v>63</v>
      </c>
      <c r="T262" s="46"/>
      <c r="U262" s="46" t="s">
        <v>51</v>
      </c>
      <c r="V262" s="45"/>
      <c r="W262" s="47">
        <f>IF(AC262="Intr",0,G262*Definitions!$B$53)</f>
        <v>91800</v>
      </c>
      <c r="X262" s="47">
        <f>IF(AC262="Intr",0,G262*Definitions!$B$54)</f>
        <v>428400</v>
      </c>
      <c r="Y262" s="47">
        <f>IF(AC262="Intr",G262,G262*Definitions!$B$55)</f>
        <v>91800</v>
      </c>
      <c r="Z262" s="47"/>
      <c r="AA262" s="47"/>
      <c r="AB262" s="47"/>
      <c r="AC262" s="46"/>
      <c r="AD262" s="46"/>
      <c r="AE262" s="46"/>
      <c r="AF262" s="46"/>
      <c r="AG262" s="48"/>
      <c r="AH262" s="46" t="s">
        <v>566</v>
      </c>
    </row>
    <row r="263" spans="1:34" x14ac:dyDescent="0.2">
      <c r="A263" s="45">
        <v>44117</v>
      </c>
      <c r="B263" s="46" t="s">
        <v>98</v>
      </c>
      <c r="C263" s="46">
        <v>2020</v>
      </c>
      <c r="D263" s="46" t="s">
        <v>7</v>
      </c>
      <c r="E263" s="181">
        <v>-0.34200000000000003</v>
      </c>
      <c r="F263" s="181" t="s">
        <v>32</v>
      </c>
      <c r="G263" s="182">
        <v>27360</v>
      </c>
      <c r="H263" s="183">
        <v>149</v>
      </c>
      <c r="I263" s="181" t="s">
        <v>80</v>
      </c>
      <c r="J263" s="181" t="s">
        <v>37</v>
      </c>
      <c r="K263" s="181">
        <v>0.114</v>
      </c>
      <c r="L263" s="181" t="s">
        <v>726</v>
      </c>
      <c r="M263" s="181" t="s">
        <v>564</v>
      </c>
      <c r="N263" s="76" t="s">
        <v>565</v>
      </c>
      <c r="O263" s="46"/>
      <c r="P263" s="46" t="s">
        <v>426</v>
      </c>
      <c r="Q263" s="761">
        <v>39.698371999999999</v>
      </c>
      <c r="R263" s="660">
        <v>-86.138490000000004</v>
      </c>
      <c r="S263" s="46" t="s">
        <v>63</v>
      </c>
      <c r="T263" s="46"/>
      <c r="U263" s="46" t="s">
        <v>51</v>
      </c>
      <c r="V263" s="45"/>
      <c r="W263" s="47">
        <f>IF(AC263="Intr",0,G263*Definitions!$B$53)</f>
        <v>4104</v>
      </c>
      <c r="X263" s="47">
        <f>IF(AC263="Intr",0,G263*Definitions!$B$54)</f>
        <v>19152</v>
      </c>
      <c r="Y263" s="47">
        <f>IF(AC263="Intr",G263,G263*Definitions!$B$55)</f>
        <v>4104</v>
      </c>
      <c r="Z263" s="47"/>
      <c r="AA263" s="47"/>
      <c r="AB263" s="47"/>
      <c r="AC263" s="46"/>
      <c r="AD263" s="46"/>
      <c r="AE263" s="46"/>
      <c r="AF263" s="46"/>
      <c r="AG263" s="48"/>
      <c r="AH263" s="46" t="s">
        <v>567</v>
      </c>
    </row>
    <row r="264" spans="1:34" x14ac:dyDescent="0.2">
      <c r="A264" s="45">
        <v>44117</v>
      </c>
      <c r="B264" s="46" t="s">
        <v>98</v>
      </c>
      <c r="C264" s="46">
        <v>2020</v>
      </c>
      <c r="D264" s="46" t="s">
        <v>7</v>
      </c>
      <c r="E264" s="181">
        <v>-1850</v>
      </c>
      <c r="F264" s="181" t="s">
        <v>33</v>
      </c>
      <c r="G264" s="182">
        <v>832500</v>
      </c>
      <c r="H264" s="183">
        <v>149</v>
      </c>
      <c r="I264" s="181" t="s">
        <v>80</v>
      </c>
      <c r="J264" s="181" t="s">
        <v>41</v>
      </c>
      <c r="K264" s="181">
        <v>1542</v>
      </c>
      <c r="L264" s="181" t="s">
        <v>726</v>
      </c>
      <c r="M264" s="181" t="s">
        <v>568</v>
      </c>
      <c r="N264" s="76" t="s">
        <v>565</v>
      </c>
      <c r="O264" s="46"/>
      <c r="P264" s="46" t="s">
        <v>426</v>
      </c>
      <c r="Q264" s="761">
        <v>39.698371999999999</v>
      </c>
      <c r="R264" s="660">
        <v>-86.138490000000004</v>
      </c>
      <c r="S264" s="46" t="s">
        <v>63</v>
      </c>
      <c r="T264" s="46"/>
      <c r="U264" s="46" t="s">
        <v>51</v>
      </c>
      <c r="V264" s="45"/>
      <c r="W264" s="47">
        <f>IF(AC264="Intr",0,G264*Definitions!$B$53)</f>
        <v>124875</v>
      </c>
      <c r="X264" s="47">
        <f>IF(AC264="Intr",0,G264*Definitions!$B$54)</f>
        <v>582750</v>
      </c>
      <c r="Y264" s="47">
        <f>IF(AC264="Intr",G264,G264*Definitions!$B$55)</f>
        <v>124875</v>
      </c>
      <c r="Z264" s="47"/>
      <c r="AA264" s="47"/>
      <c r="AB264" s="47"/>
      <c r="AC264" s="46"/>
      <c r="AD264" s="46"/>
      <c r="AE264" s="46"/>
      <c r="AF264" s="46"/>
      <c r="AG264" s="48"/>
      <c r="AH264" s="46" t="s">
        <v>566</v>
      </c>
    </row>
    <row r="265" spans="1:34" x14ac:dyDescent="0.2">
      <c r="A265" s="45">
        <v>44117</v>
      </c>
      <c r="B265" s="46" t="s">
        <v>98</v>
      </c>
      <c r="C265" s="46">
        <v>2020</v>
      </c>
      <c r="D265" s="46" t="s">
        <v>7</v>
      </c>
      <c r="E265" s="181">
        <v>-26</v>
      </c>
      <c r="F265" s="181" t="s">
        <v>33</v>
      </c>
      <c r="G265" s="182">
        <v>11700</v>
      </c>
      <c r="H265" s="183">
        <v>149</v>
      </c>
      <c r="I265" s="181" t="s">
        <v>80</v>
      </c>
      <c r="J265" s="181" t="s">
        <v>39</v>
      </c>
      <c r="K265" s="181">
        <v>22</v>
      </c>
      <c r="L265" s="181" t="s">
        <v>726</v>
      </c>
      <c r="M265" s="181" t="s">
        <v>568</v>
      </c>
      <c r="N265" s="76" t="s">
        <v>565</v>
      </c>
      <c r="O265" s="46"/>
      <c r="P265" s="46" t="s">
        <v>426</v>
      </c>
      <c r="Q265" s="761">
        <v>39.698371999999999</v>
      </c>
      <c r="R265" s="660">
        <v>-86.138490000000004</v>
      </c>
      <c r="S265" s="46" t="s">
        <v>63</v>
      </c>
      <c r="T265" s="46"/>
      <c r="U265" s="46" t="s">
        <v>51</v>
      </c>
      <c r="V265" s="45"/>
      <c r="W265" s="47">
        <f>IF(AC265="Intr",0,G265*Definitions!$B$53)</f>
        <v>1755</v>
      </c>
      <c r="X265" s="47">
        <f>IF(AC265="Intr",0,G265*Definitions!$B$54)</f>
        <v>8189.9999999999991</v>
      </c>
      <c r="Y265" s="47">
        <f>IF(AC265="Intr",G265,G265*Definitions!$B$55)</f>
        <v>1755</v>
      </c>
      <c r="Z265" s="47"/>
      <c r="AA265" s="47"/>
      <c r="AB265" s="47"/>
      <c r="AC265" s="46"/>
      <c r="AD265" s="46"/>
      <c r="AE265" s="46"/>
      <c r="AF265" s="46"/>
      <c r="AG265" s="48"/>
      <c r="AH265" s="46" t="s">
        <v>566</v>
      </c>
    </row>
    <row r="266" spans="1:34" x14ac:dyDescent="0.2">
      <c r="A266" s="45">
        <v>44117</v>
      </c>
      <c r="B266" s="46" t="s">
        <v>98</v>
      </c>
      <c r="C266" s="46">
        <v>2020</v>
      </c>
      <c r="D266" s="46" t="s">
        <v>7</v>
      </c>
      <c r="E266" s="181">
        <v>-8.7999999999999995E-2</v>
      </c>
      <c r="F266" s="181" t="s">
        <v>32</v>
      </c>
      <c r="G266" s="182">
        <v>7040</v>
      </c>
      <c r="H266" s="183">
        <v>149</v>
      </c>
      <c r="I266" s="181" t="s">
        <v>80</v>
      </c>
      <c r="J266" s="181" t="s">
        <v>38</v>
      </c>
      <c r="K266" s="181">
        <v>2.1999999999999999E-2</v>
      </c>
      <c r="L266" s="181" t="s">
        <v>726</v>
      </c>
      <c r="M266" s="181" t="s">
        <v>568</v>
      </c>
      <c r="N266" s="76" t="s">
        <v>565</v>
      </c>
      <c r="O266" s="46"/>
      <c r="P266" s="46" t="s">
        <v>426</v>
      </c>
      <c r="Q266" s="761">
        <v>39.698371999999999</v>
      </c>
      <c r="R266" s="660">
        <v>-86.138490000000004</v>
      </c>
      <c r="S266" s="46" t="s">
        <v>63</v>
      </c>
      <c r="T266" s="46"/>
      <c r="U266" s="46" t="s">
        <v>51</v>
      </c>
      <c r="V266" s="45"/>
      <c r="W266" s="47">
        <f>IF(AC266="Intr",0,G266*Definitions!$B$53)</f>
        <v>1056</v>
      </c>
      <c r="X266" s="47">
        <f>IF(AC266="Intr",0,G266*Definitions!$B$54)</f>
        <v>4928</v>
      </c>
      <c r="Y266" s="47">
        <f>IF(AC266="Intr",G266,G266*Definitions!$B$55)</f>
        <v>1056</v>
      </c>
      <c r="Z266" s="47"/>
      <c r="AA266" s="47"/>
      <c r="AB266" s="47"/>
      <c r="AC266" s="46"/>
      <c r="AD266" s="46"/>
      <c r="AE266" s="46"/>
      <c r="AF266" s="46"/>
      <c r="AG266" s="48"/>
      <c r="AH266" s="46" t="s">
        <v>569</v>
      </c>
    </row>
    <row r="267" spans="1:34" x14ac:dyDescent="0.2">
      <c r="A267" s="45">
        <v>44117</v>
      </c>
      <c r="B267" s="46" t="s">
        <v>98</v>
      </c>
      <c r="C267" s="46">
        <v>2020</v>
      </c>
      <c r="D267" s="46" t="s">
        <v>7</v>
      </c>
      <c r="E267" s="181">
        <v>-1.2999999999999999E-2</v>
      </c>
      <c r="F267" s="181" t="s">
        <v>32</v>
      </c>
      <c r="G267" s="182">
        <v>1040</v>
      </c>
      <c r="H267" s="183">
        <v>149</v>
      </c>
      <c r="I267" s="181" t="s">
        <v>81</v>
      </c>
      <c r="J267" s="181" t="s">
        <v>36</v>
      </c>
      <c r="K267" s="181">
        <v>1.2999999999999999E-2</v>
      </c>
      <c r="L267" s="181" t="s">
        <v>726</v>
      </c>
      <c r="M267" s="181" t="s">
        <v>103</v>
      </c>
      <c r="N267" s="76" t="s">
        <v>570</v>
      </c>
      <c r="O267" s="46"/>
      <c r="P267" s="46" t="s">
        <v>426</v>
      </c>
      <c r="Q267" s="761">
        <v>39.698371999999999</v>
      </c>
      <c r="R267" s="660">
        <v>-86.138490000000004</v>
      </c>
      <c r="S267" s="46" t="s">
        <v>63</v>
      </c>
      <c r="T267" s="46"/>
      <c r="U267" s="46" t="s">
        <v>51</v>
      </c>
      <c r="V267" s="45"/>
      <c r="W267" s="47">
        <f>IF(AC267="Intr",0,G267*Definitions!$B$53)</f>
        <v>156</v>
      </c>
      <c r="X267" s="47">
        <f>IF(AC267="Intr",0,G267*Definitions!$B$54)</f>
        <v>728</v>
      </c>
      <c r="Y267" s="47">
        <f>IF(AC267="Intr",G267,G267*Definitions!$B$55)</f>
        <v>156</v>
      </c>
      <c r="Z267" s="47"/>
      <c r="AA267" s="47"/>
      <c r="AB267" s="47"/>
      <c r="AC267" s="46"/>
      <c r="AD267" s="46"/>
      <c r="AE267" s="46"/>
      <c r="AF267" s="46"/>
      <c r="AG267" s="48"/>
      <c r="AH267" s="46" t="s">
        <v>571</v>
      </c>
    </row>
    <row r="268" spans="1:34" x14ac:dyDescent="0.2">
      <c r="A268" s="58">
        <v>44118</v>
      </c>
      <c r="B268" s="59" t="s">
        <v>98</v>
      </c>
      <c r="C268" s="59">
        <v>2020</v>
      </c>
      <c r="D268" s="59" t="s">
        <v>7</v>
      </c>
      <c r="E268" s="60">
        <v>-220</v>
      </c>
      <c r="F268" s="60" t="s">
        <v>33</v>
      </c>
      <c r="G268" s="61">
        <v>99000</v>
      </c>
      <c r="H268" s="62">
        <v>151</v>
      </c>
      <c r="I268" s="60" t="s">
        <v>80</v>
      </c>
      <c r="J268" s="60" t="s">
        <v>40</v>
      </c>
      <c r="K268" s="60">
        <v>183</v>
      </c>
      <c r="L268" s="60" t="s">
        <v>572</v>
      </c>
      <c r="M268" s="60" t="s">
        <v>573</v>
      </c>
      <c r="N268" s="63" t="s">
        <v>574</v>
      </c>
      <c r="O268" s="59"/>
      <c r="P268" s="59" t="s">
        <v>162</v>
      </c>
      <c r="Q268" s="745">
        <v>39.697929000000002</v>
      </c>
      <c r="R268" s="637">
        <v>-86.444142999999997</v>
      </c>
      <c r="S268" s="59" t="s">
        <v>61</v>
      </c>
      <c r="T268" s="59"/>
      <c r="U268" s="59" t="s">
        <v>51</v>
      </c>
      <c r="V268" s="58"/>
      <c r="W268" s="65">
        <f>IF(AC268="Intr",0,G268*Definitions!$B$53)</f>
        <v>14850</v>
      </c>
      <c r="X268" s="65">
        <f>IF(AC268="Intr",0,G268*Definitions!$B$54)</f>
        <v>69300</v>
      </c>
      <c r="Y268" s="65">
        <f>IF(AC268="Intr",G268,G268*Definitions!$B$55)</f>
        <v>14850</v>
      </c>
      <c r="Z268" s="65"/>
      <c r="AA268" s="65"/>
      <c r="AB268" s="65"/>
      <c r="AC268" s="59"/>
      <c r="AD268" s="59"/>
      <c r="AE268" s="59"/>
      <c r="AF268" s="59"/>
      <c r="AG268" s="66"/>
      <c r="AH268" s="59" t="s">
        <v>575</v>
      </c>
    </row>
    <row r="269" spans="1:34" x14ac:dyDescent="0.2">
      <c r="A269" s="58">
        <v>44118</v>
      </c>
      <c r="B269" s="59" t="s">
        <v>98</v>
      </c>
      <c r="C269" s="59">
        <v>2020</v>
      </c>
      <c r="D269" s="59" t="s">
        <v>7</v>
      </c>
      <c r="E269" s="60">
        <v>-1.44</v>
      </c>
      <c r="F269" s="60" t="s">
        <v>32</v>
      </c>
      <c r="G269" s="61">
        <v>115200</v>
      </c>
      <c r="H269" s="62">
        <v>151</v>
      </c>
      <c r="I269" s="60" t="s">
        <v>80</v>
      </c>
      <c r="J269" s="60" t="s">
        <v>38</v>
      </c>
      <c r="K269" s="60">
        <v>0.36</v>
      </c>
      <c r="L269" s="60" t="s">
        <v>572</v>
      </c>
      <c r="M269" s="60" t="s">
        <v>573</v>
      </c>
      <c r="N269" s="63" t="s">
        <v>574</v>
      </c>
      <c r="O269" s="59"/>
      <c r="P269" s="59" t="s">
        <v>162</v>
      </c>
      <c r="Q269" s="745">
        <v>39.697929000000002</v>
      </c>
      <c r="R269" s="637">
        <v>-86.444142999999997</v>
      </c>
      <c r="S269" s="59" t="s">
        <v>61</v>
      </c>
      <c r="T269" s="59"/>
      <c r="U269" s="59" t="s">
        <v>51</v>
      </c>
      <c r="V269" s="58"/>
      <c r="W269" s="65">
        <f>IF(AC269="Intr",0,G269*Definitions!$B$53)</f>
        <v>17280</v>
      </c>
      <c r="X269" s="65">
        <f>IF(AC269="Intr",0,G269*Definitions!$B$54)</f>
        <v>80640</v>
      </c>
      <c r="Y269" s="65">
        <f>IF(AC269="Intr",G269,G269*Definitions!$B$55)</f>
        <v>17280</v>
      </c>
      <c r="Z269" s="65"/>
      <c r="AA269" s="65"/>
      <c r="AB269" s="65"/>
      <c r="AC269" s="59"/>
      <c r="AD269" s="59"/>
      <c r="AE269" s="59"/>
      <c r="AF269" s="59"/>
      <c r="AG269" s="66"/>
      <c r="AH269" s="59" t="s">
        <v>576</v>
      </c>
    </row>
    <row r="270" spans="1:34" x14ac:dyDescent="0.2">
      <c r="A270" s="359">
        <v>44119</v>
      </c>
      <c r="B270" s="360" t="s">
        <v>98</v>
      </c>
      <c r="C270" s="360">
        <v>2020</v>
      </c>
      <c r="D270" s="360" t="s">
        <v>10</v>
      </c>
      <c r="E270" s="361">
        <v>-32</v>
      </c>
      <c r="F270" s="361" t="s">
        <v>33</v>
      </c>
      <c r="G270" s="362">
        <v>12800</v>
      </c>
      <c r="H270" s="363">
        <v>147</v>
      </c>
      <c r="I270" s="361" t="s">
        <v>80</v>
      </c>
      <c r="J270" s="361" t="s">
        <v>40</v>
      </c>
      <c r="K270" s="361">
        <v>32</v>
      </c>
      <c r="L270" s="361" t="s">
        <v>726</v>
      </c>
      <c r="M270" s="361" t="s">
        <v>577</v>
      </c>
      <c r="N270" s="364" t="s">
        <v>578</v>
      </c>
      <c r="O270" s="360"/>
      <c r="P270" s="360" t="s">
        <v>129</v>
      </c>
      <c r="Q270" s="765">
        <v>38.380450000000003</v>
      </c>
      <c r="R270" s="859">
        <v>-86.004589999999993</v>
      </c>
      <c r="S270" s="360" t="s">
        <v>63</v>
      </c>
      <c r="T270" s="360"/>
      <c r="U270" s="360" t="s">
        <v>51</v>
      </c>
      <c r="V270" s="359"/>
      <c r="W270" s="365">
        <f>IF(AC270="Intr",0,G270*Definitions!$B$53)</f>
        <v>1920</v>
      </c>
      <c r="X270" s="365">
        <f>IF(AC270="Intr",0,G270*Definitions!$B$54)</f>
        <v>8960</v>
      </c>
      <c r="Y270" s="365">
        <f>IF(AC270="Intr",G270,G270*Definitions!$B$55)</f>
        <v>1920</v>
      </c>
      <c r="Z270" s="365"/>
      <c r="AA270" s="365"/>
      <c r="AB270" s="365"/>
      <c r="AC270" s="360"/>
      <c r="AD270" s="360"/>
      <c r="AE270" s="360"/>
      <c r="AF270" s="360"/>
      <c r="AG270" s="366"/>
      <c r="AH270" s="360" t="s">
        <v>579</v>
      </c>
    </row>
    <row r="271" spans="1:34" x14ac:dyDescent="0.2">
      <c r="A271" s="237">
        <v>44126</v>
      </c>
      <c r="B271" s="238" t="s">
        <v>98</v>
      </c>
      <c r="C271" s="238">
        <v>2020</v>
      </c>
      <c r="D271" s="238" t="s">
        <v>11</v>
      </c>
      <c r="E271" s="240">
        <v>-0.5</v>
      </c>
      <c r="F271" s="240" t="s">
        <v>32</v>
      </c>
      <c r="G271" s="317">
        <v>40000</v>
      </c>
      <c r="H271" s="318">
        <v>145</v>
      </c>
      <c r="I271" s="240" t="s">
        <v>80</v>
      </c>
      <c r="J271" s="240" t="s">
        <v>38</v>
      </c>
      <c r="K271" s="240">
        <v>0.35</v>
      </c>
      <c r="L271" s="240" t="s">
        <v>580</v>
      </c>
      <c r="M271" s="240" t="s">
        <v>581</v>
      </c>
      <c r="N271" s="319" t="s">
        <v>582</v>
      </c>
      <c r="O271" s="238"/>
      <c r="P271" s="238" t="s">
        <v>89</v>
      </c>
      <c r="Q271" s="734">
        <v>38.042119999999997</v>
      </c>
      <c r="R271" s="855">
        <v>-87.491659999999996</v>
      </c>
      <c r="S271" s="238" t="s">
        <v>63</v>
      </c>
      <c r="T271" s="238"/>
      <c r="U271" s="238" t="s">
        <v>51</v>
      </c>
      <c r="V271" s="237"/>
      <c r="W271" s="244">
        <f>IF(AC271="Intr",0,G271*Definitions!$B$53)</f>
        <v>6000</v>
      </c>
      <c r="X271" s="244">
        <f>IF(AC271="Intr",0,G271*Definitions!$B$54)</f>
        <v>28000</v>
      </c>
      <c r="Y271" s="244">
        <f>IF(AC271="Intr",G271,G271*Definitions!$B$55)</f>
        <v>6000</v>
      </c>
      <c r="Z271" s="244"/>
      <c r="AA271" s="244"/>
      <c r="AB271" s="244"/>
      <c r="AC271" s="238"/>
      <c r="AD271" s="238"/>
      <c r="AE271" s="238"/>
      <c r="AF271" s="238"/>
      <c r="AG271" s="245"/>
      <c r="AH271" s="238" t="s">
        <v>583</v>
      </c>
    </row>
    <row r="272" spans="1:34" x14ac:dyDescent="0.2">
      <c r="A272" s="274">
        <v>44145</v>
      </c>
      <c r="B272" s="275" t="s">
        <v>118</v>
      </c>
      <c r="C272" s="275">
        <v>2020</v>
      </c>
      <c r="D272" s="275" t="s">
        <v>7</v>
      </c>
      <c r="E272" s="276">
        <v>-0.33</v>
      </c>
      <c r="F272" s="276" t="s">
        <v>32</v>
      </c>
      <c r="G272" s="277">
        <v>26400</v>
      </c>
      <c r="H272" s="278">
        <v>161</v>
      </c>
      <c r="I272" s="276" t="s">
        <v>80</v>
      </c>
      <c r="J272" s="276" t="s">
        <v>36</v>
      </c>
      <c r="K272" s="276">
        <v>0.22</v>
      </c>
      <c r="L272" s="276" t="s">
        <v>1126</v>
      </c>
      <c r="M272" s="276" t="s">
        <v>590</v>
      </c>
      <c r="N272" s="279" t="s">
        <v>591</v>
      </c>
      <c r="O272" s="275"/>
      <c r="P272" s="275" t="s">
        <v>426</v>
      </c>
      <c r="Q272" s="755">
        <v>39.927199999999999</v>
      </c>
      <c r="R272" s="848">
        <v>-85.937200000000004</v>
      </c>
      <c r="S272" s="275" t="s">
        <v>61</v>
      </c>
      <c r="T272" s="275"/>
      <c r="U272" s="275" t="s">
        <v>51</v>
      </c>
      <c r="V272" s="274"/>
      <c r="W272" s="280">
        <f>IF(AC272="Intr",0,G272*Definitions!$B$53)</f>
        <v>3960</v>
      </c>
      <c r="X272" s="280">
        <f>IF(AC272="Intr",0,G272*Definitions!$B$54)</f>
        <v>18480</v>
      </c>
      <c r="Y272" s="280">
        <f>IF(AC272="Intr",G272,G272*Definitions!$B$55)</f>
        <v>3960</v>
      </c>
      <c r="Z272" s="280"/>
      <c r="AA272" s="280"/>
      <c r="AB272" s="280"/>
      <c r="AC272" s="275"/>
      <c r="AD272" s="275"/>
      <c r="AE272" s="275"/>
      <c r="AF272" s="275"/>
      <c r="AG272" s="281"/>
      <c r="AH272" s="275" t="s">
        <v>592</v>
      </c>
    </row>
    <row r="273" spans="1:34" x14ac:dyDescent="0.2">
      <c r="A273" s="88">
        <v>44148</v>
      </c>
      <c r="B273" s="89" t="s">
        <v>118</v>
      </c>
      <c r="C273" s="89">
        <v>2020</v>
      </c>
      <c r="D273" s="89" t="s">
        <v>9</v>
      </c>
      <c r="E273" s="90">
        <v>-123</v>
      </c>
      <c r="F273" s="90" t="s">
        <v>33</v>
      </c>
      <c r="G273" s="91">
        <v>49200</v>
      </c>
      <c r="H273" s="92">
        <v>159</v>
      </c>
      <c r="I273" s="90" t="s">
        <v>80</v>
      </c>
      <c r="J273" s="90" t="s">
        <v>41</v>
      </c>
      <c r="K273" s="90">
        <v>510</v>
      </c>
      <c r="L273" s="90" t="s">
        <v>233</v>
      </c>
      <c r="M273" s="90" t="s">
        <v>234</v>
      </c>
      <c r="N273" s="93" t="s">
        <v>588</v>
      </c>
      <c r="O273" s="89"/>
      <c r="P273" s="89" t="s">
        <v>236</v>
      </c>
      <c r="Q273" s="735">
        <v>38.988999999999997</v>
      </c>
      <c r="R273" s="649">
        <v>-86.367999999999995</v>
      </c>
      <c r="S273" s="89" t="s">
        <v>63</v>
      </c>
      <c r="T273" s="89"/>
      <c r="U273" s="89" t="s">
        <v>51</v>
      </c>
      <c r="V273" s="88"/>
      <c r="W273" s="95">
        <f>IF(AC273="Intr",0,G273*Definitions!$B$53)</f>
        <v>7380</v>
      </c>
      <c r="X273" s="95">
        <f>IF(AC273="Intr",0,G273*Definitions!$B$54)</f>
        <v>34440</v>
      </c>
      <c r="Y273" s="95">
        <f>IF(AC273="Intr",G273,G273*Definitions!$B$55)</f>
        <v>7380</v>
      </c>
      <c r="Z273" s="95"/>
      <c r="AA273" s="95"/>
      <c r="AB273" s="95"/>
      <c r="AC273" s="89"/>
      <c r="AD273" s="89"/>
      <c r="AE273" s="89"/>
      <c r="AF273" s="89"/>
      <c r="AG273" s="96"/>
      <c r="AH273" s="89" t="s">
        <v>589</v>
      </c>
    </row>
    <row r="274" spans="1:34" x14ac:dyDescent="0.2">
      <c r="A274" s="88">
        <v>44148</v>
      </c>
      <c r="B274" s="89" t="s">
        <v>118</v>
      </c>
      <c r="C274" s="89">
        <v>2020</v>
      </c>
      <c r="D274" s="89" t="s">
        <v>9</v>
      </c>
      <c r="E274" s="90">
        <v>-211</v>
      </c>
      <c r="F274" s="90" t="s">
        <v>33</v>
      </c>
      <c r="G274" s="91">
        <v>84400</v>
      </c>
      <c r="H274" s="92">
        <v>159</v>
      </c>
      <c r="I274" s="90" t="s">
        <v>80</v>
      </c>
      <c r="J274" s="90" t="s">
        <v>40</v>
      </c>
      <c r="K274" s="90">
        <v>920</v>
      </c>
      <c r="L274" s="90" t="s">
        <v>233</v>
      </c>
      <c r="M274" s="90" t="s">
        <v>234</v>
      </c>
      <c r="N274" s="93" t="s">
        <v>588</v>
      </c>
      <c r="O274" s="89"/>
      <c r="P274" s="89" t="s">
        <v>236</v>
      </c>
      <c r="Q274" s="735">
        <v>38.988999999999997</v>
      </c>
      <c r="R274" s="649">
        <v>-86.367999999999995</v>
      </c>
      <c r="S274" s="89" t="s">
        <v>63</v>
      </c>
      <c r="T274" s="89"/>
      <c r="U274" s="89" t="s">
        <v>51</v>
      </c>
      <c r="V274" s="88"/>
      <c r="W274" s="95">
        <f>IF(AC274="Intr",0,G274*Definitions!$B$53)</f>
        <v>12660</v>
      </c>
      <c r="X274" s="95">
        <f>IF(AC274="Intr",0,G274*Definitions!$B$54)</f>
        <v>59079.999999999993</v>
      </c>
      <c r="Y274" s="95">
        <f>IF(AC274="Intr",G274,G274*Definitions!$B$55)</f>
        <v>12660</v>
      </c>
      <c r="Z274" s="95"/>
      <c r="AA274" s="95"/>
      <c r="AB274" s="95"/>
      <c r="AC274" s="89"/>
      <c r="AD274" s="89"/>
      <c r="AE274" s="89"/>
      <c r="AF274" s="89"/>
      <c r="AG274" s="96"/>
      <c r="AH274" s="89" t="s">
        <v>589</v>
      </c>
    </row>
    <row r="275" spans="1:34" x14ac:dyDescent="0.2">
      <c r="A275" s="88">
        <v>44148</v>
      </c>
      <c r="B275" s="89" t="s">
        <v>118</v>
      </c>
      <c r="C275" s="89">
        <v>2020</v>
      </c>
      <c r="D275" s="89" t="s">
        <v>9</v>
      </c>
      <c r="E275" s="90">
        <v>-95</v>
      </c>
      <c r="F275" s="90" t="s">
        <v>33</v>
      </c>
      <c r="G275" s="91">
        <v>38000</v>
      </c>
      <c r="H275" s="92">
        <v>159</v>
      </c>
      <c r="I275" s="90" t="s">
        <v>80</v>
      </c>
      <c r="J275" s="90" t="s">
        <v>39</v>
      </c>
      <c r="K275" s="90">
        <v>839</v>
      </c>
      <c r="L275" s="90" t="s">
        <v>233</v>
      </c>
      <c r="M275" s="90" t="s">
        <v>234</v>
      </c>
      <c r="N275" s="93" t="s">
        <v>588</v>
      </c>
      <c r="O275" s="89"/>
      <c r="P275" s="89" t="s">
        <v>236</v>
      </c>
      <c r="Q275" s="735">
        <v>38.988999999999997</v>
      </c>
      <c r="R275" s="649">
        <v>-86.367999999999995</v>
      </c>
      <c r="S275" s="89" t="s">
        <v>63</v>
      </c>
      <c r="T275" s="89"/>
      <c r="U275" s="89" t="s">
        <v>51</v>
      </c>
      <c r="V275" s="88"/>
      <c r="W275" s="95">
        <f>IF(AC275="Intr",0,G275*Definitions!$B$53)</f>
        <v>5700</v>
      </c>
      <c r="X275" s="95">
        <f>IF(AC275="Intr",0,G275*Definitions!$B$54)</f>
        <v>26600</v>
      </c>
      <c r="Y275" s="95">
        <f>IF(AC275="Intr",G275,G275*Definitions!$B$55)</f>
        <v>5700</v>
      </c>
      <c r="Z275" s="95"/>
      <c r="AA275" s="95"/>
      <c r="AB275" s="95"/>
      <c r="AC275" s="89"/>
      <c r="AD275" s="89"/>
      <c r="AE275" s="89"/>
      <c r="AF275" s="89"/>
      <c r="AG275" s="96"/>
      <c r="AH275" s="89" t="s">
        <v>589</v>
      </c>
    </row>
    <row r="276" spans="1:34" x14ac:dyDescent="0.2">
      <c r="A276" s="58">
        <v>44152</v>
      </c>
      <c r="B276" s="59" t="s">
        <v>118</v>
      </c>
      <c r="C276" s="59">
        <v>2020</v>
      </c>
      <c r="D276" s="59" t="s">
        <v>7</v>
      </c>
      <c r="E276" s="60">
        <v>-520</v>
      </c>
      <c r="F276" s="60" t="s">
        <v>33</v>
      </c>
      <c r="G276" s="61">
        <v>234000</v>
      </c>
      <c r="H276" s="62">
        <v>154</v>
      </c>
      <c r="I276" s="60" t="s">
        <v>80</v>
      </c>
      <c r="J276" s="60" t="s">
        <v>40</v>
      </c>
      <c r="K276" s="60">
        <v>520</v>
      </c>
      <c r="L276" s="60" t="s">
        <v>432</v>
      </c>
      <c r="M276" s="60" t="s">
        <v>594</v>
      </c>
      <c r="N276" s="63" t="s">
        <v>593</v>
      </c>
      <c r="O276" s="59"/>
      <c r="P276" s="59" t="s">
        <v>162</v>
      </c>
      <c r="Q276" s="745">
        <v>39.909120000000001</v>
      </c>
      <c r="R276" s="637">
        <v>-86.374600000000001</v>
      </c>
      <c r="S276" s="59" t="s">
        <v>63</v>
      </c>
      <c r="T276" s="59"/>
      <c r="U276" s="59" t="s">
        <v>51</v>
      </c>
      <c r="V276" s="58"/>
      <c r="W276" s="65">
        <f>IF(AC276="Intr",0,G276*Definitions!$B$53)</f>
        <v>35100</v>
      </c>
      <c r="X276" s="65">
        <f>IF(AC276="Intr",0,G276*Definitions!$B$54)</f>
        <v>163800</v>
      </c>
      <c r="Y276" s="65">
        <f>IF(AC276="Intr",G276,G276*Definitions!$B$55)</f>
        <v>35100</v>
      </c>
      <c r="Z276" s="65"/>
      <c r="AA276" s="65"/>
      <c r="AB276" s="65"/>
      <c r="AC276" s="59"/>
      <c r="AD276" s="59"/>
      <c r="AE276" s="59"/>
      <c r="AF276" s="59"/>
      <c r="AG276" s="66"/>
      <c r="AH276" s="59" t="s">
        <v>596</v>
      </c>
    </row>
    <row r="277" spans="1:34" x14ac:dyDescent="0.2">
      <c r="A277" s="58">
        <v>44152</v>
      </c>
      <c r="B277" s="59" t="s">
        <v>118</v>
      </c>
      <c r="C277" s="59">
        <v>2020</v>
      </c>
      <c r="D277" s="59" t="s">
        <v>7</v>
      </c>
      <c r="E277" s="60">
        <v>-20</v>
      </c>
      <c r="F277" s="60" t="s">
        <v>33</v>
      </c>
      <c r="G277" s="61">
        <v>9000</v>
      </c>
      <c r="H277" s="62">
        <v>154</v>
      </c>
      <c r="I277" s="60" t="s">
        <v>80</v>
      </c>
      <c r="J277" s="60" t="s">
        <v>39</v>
      </c>
      <c r="K277" s="60">
        <v>20</v>
      </c>
      <c r="L277" s="60" t="s">
        <v>432</v>
      </c>
      <c r="M277" s="60" t="s">
        <v>594</v>
      </c>
      <c r="N277" s="63" t="s">
        <v>593</v>
      </c>
      <c r="O277" s="59"/>
      <c r="P277" s="59" t="s">
        <v>162</v>
      </c>
      <c r="Q277" s="745">
        <v>39.909120000000001</v>
      </c>
      <c r="R277" s="637">
        <v>-86.374600000000001</v>
      </c>
      <c r="S277" s="59" t="s">
        <v>63</v>
      </c>
      <c r="T277" s="59"/>
      <c r="U277" s="59" t="s">
        <v>51</v>
      </c>
      <c r="V277" s="58"/>
      <c r="W277" s="65">
        <f>IF(AC277="Intr",0,G277*Definitions!$B$53)</f>
        <v>1350</v>
      </c>
      <c r="X277" s="65">
        <f>IF(AC277="Intr",0,G277*Definitions!$B$54)</f>
        <v>6300</v>
      </c>
      <c r="Y277" s="65">
        <f>IF(AC277="Intr",G277,G277*Definitions!$B$55)</f>
        <v>1350</v>
      </c>
      <c r="Z277" s="65"/>
      <c r="AA277" s="65"/>
      <c r="AB277" s="65"/>
      <c r="AC277" s="59"/>
      <c r="AD277" s="59"/>
      <c r="AE277" s="59"/>
      <c r="AF277" s="59"/>
      <c r="AG277" s="66"/>
      <c r="AH277" s="59" t="s">
        <v>596</v>
      </c>
    </row>
    <row r="278" spans="1:34" x14ac:dyDescent="0.2">
      <c r="A278" s="58">
        <v>44152</v>
      </c>
      <c r="B278" s="59" t="s">
        <v>118</v>
      </c>
      <c r="C278" s="59">
        <v>2020</v>
      </c>
      <c r="D278" s="59" t="s">
        <v>7</v>
      </c>
      <c r="E278" s="60">
        <v>-0.14000000000000001</v>
      </c>
      <c r="F278" s="60" t="s">
        <v>32</v>
      </c>
      <c r="G278" s="61">
        <v>11200</v>
      </c>
      <c r="H278" s="62">
        <v>154</v>
      </c>
      <c r="I278" s="60" t="s">
        <v>80</v>
      </c>
      <c r="J278" s="60" t="s">
        <v>36</v>
      </c>
      <c r="K278" s="60">
        <v>7.0000000000000007E-2</v>
      </c>
      <c r="L278" s="60" t="s">
        <v>432</v>
      </c>
      <c r="M278" s="60" t="s">
        <v>594</v>
      </c>
      <c r="N278" s="63" t="s">
        <v>593</v>
      </c>
      <c r="O278" s="59"/>
      <c r="P278" s="59" t="s">
        <v>162</v>
      </c>
      <c r="Q278" s="745">
        <v>39.909120000000001</v>
      </c>
      <c r="R278" s="637">
        <v>-86.374600000000001</v>
      </c>
      <c r="S278" s="59" t="s">
        <v>63</v>
      </c>
      <c r="T278" s="59"/>
      <c r="U278" s="59" t="s">
        <v>51</v>
      </c>
      <c r="V278" s="58"/>
      <c r="W278" s="65">
        <f>IF(AC278="Intr",0,G278*Definitions!$B$53)</f>
        <v>1680</v>
      </c>
      <c r="X278" s="65">
        <f>IF(AC278="Intr",0,G278*Definitions!$B$54)</f>
        <v>7839.9999999999991</v>
      </c>
      <c r="Y278" s="65">
        <f>IF(AC278="Intr",G278,G278*Definitions!$B$55)</f>
        <v>1680</v>
      </c>
      <c r="Z278" s="65"/>
      <c r="AA278" s="65"/>
      <c r="AB278" s="65"/>
      <c r="AC278" s="59"/>
      <c r="AD278" s="59"/>
      <c r="AE278" s="59"/>
      <c r="AF278" s="59"/>
      <c r="AG278" s="66"/>
      <c r="AH278" s="59" t="s">
        <v>596</v>
      </c>
    </row>
    <row r="279" spans="1:34" x14ac:dyDescent="0.2">
      <c r="A279" s="58">
        <v>44152</v>
      </c>
      <c r="B279" s="59" t="s">
        <v>118</v>
      </c>
      <c r="C279" s="59">
        <v>2020</v>
      </c>
      <c r="D279" s="59" t="s">
        <v>7</v>
      </c>
      <c r="E279" s="60">
        <v>-0.05</v>
      </c>
      <c r="F279" s="60" t="s">
        <v>32</v>
      </c>
      <c r="G279" s="61">
        <v>4000</v>
      </c>
      <c r="H279" s="62">
        <v>154</v>
      </c>
      <c r="I279" s="60" t="s">
        <v>81</v>
      </c>
      <c r="J279" s="60" t="s">
        <v>36</v>
      </c>
      <c r="K279" s="60">
        <v>0.05</v>
      </c>
      <c r="L279" s="60" t="s">
        <v>432</v>
      </c>
      <c r="M279" s="60" t="s">
        <v>103</v>
      </c>
      <c r="N279" s="63" t="s">
        <v>595</v>
      </c>
      <c r="O279" s="59"/>
      <c r="P279" s="59" t="s">
        <v>162</v>
      </c>
      <c r="Q279" s="745">
        <v>39.909120000000001</v>
      </c>
      <c r="R279" s="637">
        <v>-86.374600000000001</v>
      </c>
      <c r="S279" s="59" t="s">
        <v>63</v>
      </c>
      <c r="T279" s="59"/>
      <c r="U279" s="59" t="s">
        <v>51</v>
      </c>
      <c r="V279" s="58"/>
      <c r="W279" s="65">
        <f>IF(AC279="Intr",0,G279*Definitions!$B$53)</f>
        <v>600</v>
      </c>
      <c r="X279" s="65">
        <f>IF(AC279="Intr",0,G279*Definitions!$B$54)</f>
        <v>2800</v>
      </c>
      <c r="Y279" s="65">
        <f>IF(AC279="Intr",G279,G279*Definitions!$B$55)</f>
        <v>600</v>
      </c>
      <c r="Z279" s="65"/>
      <c r="AA279" s="65"/>
      <c r="AB279" s="65"/>
      <c r="AC279" s="59"/>
      <c r="AD279" s="59"/>
      <c r="AE279" s="59"/>
      <c r="AF279" s="59"/>
      <c r="AG279" s="66"/>
      <c r="AH279" s="59" t="s">
        <v>597</v>
      </c>
    </row>
    <row r="280" spans="1:34" x14ac:dyDescent="0.2">
      <c r="A280" s="45">
        <v>44152</v>
      </c>
      <c r="B280" s="46" t="s">
        <v>118</v>
      </c>
      <c r="C280" s="46">
        <v>2020</v>
      </c>
      <c r="D280" s="46" t="s">
        <v>7</v>
      </c>
      <c r="E280" s="181">
        <v>-7.0000000000000007E-2</v>
      </c>
      <c r="F280" s="181" t="s">
        <v>32</v>
      </c>
      <c r="G280" s="182">
        <v>5600</v>
      </c>
      <c r="H280" s="183">
        <v>155</v>
      </c>
      <c r="I280" s="181" t="s">
        <v>81</v>
      </c>
      <c r="J280" s="181" t="s">
        <v>36</v>
      </c>
      <c r="K280" s="181">
        <v>7.0000000000000007E-2</v>
      </c>
      <c r="L280" s="181" t="s">
        <v>406</v>
      </c>
      <c r="M280" s="181" t="s">
        <v>103</v>
      </c>
      <c r="N280" s="76" t="s">
        <v>598</v>
      </c>
      <c r="O280" s="46"/>
      <c r="P280" s="46" t="s">
        <v>137</v>
      </c>
      <c r="Q280" s="761">
        <v>39.997500000000002</v>
      </c>
      <c r="R280" s="660">
        <v>-86.048699999999997</v>
      </c>
      <c r="S280" s="46" t="s">
        <v>61</v>
      </c>
      <c r="T280" s="46"/>
      <c r="U280" s="46" t="s">
        <v>51</v>
      </c>
      <c r="V280" s="45"/>
      <c r="W280" s="47">
        <f>IF(AC280="Intr",0,G280*Definitions!$B$53)</f>
        <v>840</v>
      </c>
      <c r="X280" s="47">
        <f>IF(AC280="Intr",0,G280*Definitions!$B$54)</f>
        <v>3919.9999999999995</v>
      </c>
      <c r="Y280" s="47">
        <f>IF(AC280="Intr",G280,G280*Definitions!$B$55)</f>
        <v>840</v>
      </c>
      <c r="Z280" s="47"/>
      <c r="AA280" s="47"/>
      <c r="AB280" s="47"/>
      <c r="AC280" s="46"/>
      <c r="AD280" s="46"/>
      <c r="AE280" s="46"/>
      <c r="AF280" s="46"/>
      <c r="AG280" s="48"/>
      <c r="AH280" s="46" t="s">
        <v>597</v>
      </c>
    </row>
    <row r="281" spans="1:34" x14ac:dyDescent="0.2">
      <c r="A281" s="191">
        <v>44152</v>
      </c>
      <c r="B281" s="192" t="s">
        <v>118</v>
      </c>
      <c r="C281" s="192">
        <v>2020</v>
      </c>
      <c r="D281" s="192" t="s">
        <v>8</v>
      </c>
      <c r="E281" s="193">
        <v>-0.12</v>
      </c>
      <c r="F281" s="193" t="s">
        <v>32</v>
      </c>
      <c r="G281" s="194">
        <v>9600</v>
      </c>
      <c r="H281" s="195">
        <v>160</v>
      </c>
      <c r="I281" s="193" t="s">
        <v>81</v>
      </c>
      <c r="J281" s="193" t="s">
        <v>36</v>
      </c>
      <c r="K281" s="193">
        <v>0.12</v>
      </c>
      <c r="L281" s="193" t="s">
        <v>1127</v>
      </c>
      <c r="M281" s="193" t="s">
        <v>103</v>
      </c>
      <c r="N281" s="196" t="s">
        <v>599</v>
      </c>
      <c r="O281" s="192"/>
      <c r="P281" s="192" t="s">
        <v>600</v>
      </c>
      <c r="Q281" s="764">
        <v>39.856499999999997</v>
      </c>
      <c r="R281" s="662">
        <v>-84.949100000000001</v>
      </c>
      <c r="S281" s="192" t="s">
        <v>61</v>
      </c>
      <c r="T281" s="192"/>
      <c r="U281" s="192" t="s">
        <v>51</v>
      </c>
      <c r="V281" s="191"/>
      <c r="W281" s="197">
        <f>IF(AC281="Intr",0,G281*Definitions!$B$53)</f>
        <v>1440</v>
      </c>
      <c r="X281" s="197">
        <f>IF(AC281="Intr",0,G281*Definitions!$B$54)</f>
        <v>6720</v>
      </c>
      <c r="Y281" s="197">
        <f>IF(AC281="Intr",G281,G281*Definitions!$B$55)</f>
        <v>1440</v>
      </c>
      <c r="Z281" s="197"/>
      <c r="AA281" s="197"/>
      <c r="AB281" s="197"/>
      <c r="AC281" s="192"/>
      <c r="AD281" s="192"/>
      <c r="AE281" s="192"/>
      <c r="AF281" s="192"/>
      <c r="AG281" s="198"/>
      <c r="AH281" s="192" t="s">
        <v>597</v>
      </c>
    </row>
    <row r="282" spans="1:34" x14ac:dyDescent="0.2">
      <c r="A282" s="307">
        <v>44159</v>
      </c>
      <c r="B282" s="308" t="s">
        <v>118</v>
      </c>
      <c r="C282" s="308">
        <v>2020</v>
      </c>
      <c r="D282" s="308" t="s">
        <v>8</v>
      </c>
      <c r="E282" s="309">
        <v>-11</v>
      </c>
      <c r="F282" s="309" t="s">
        <v>33</v>
      </c>
      <c r="G282" s="310">
        <v>4400</v>
      </c>
      <c r="H282" s="311">
        <v>152</v>
      </c>
      <c r="I282" s="309" t="s">
        <v>80</v>
      </c>
      <c r="J282" s="309" t="s">
        <v>40</v>
      </c>
      <c r="K282" s="309">
        <v>164</v>
      </c>
      <c r="L282" s="309" t="s">
        <v>726</v>
      </c>
      <c r="M282" s="309" t="s">
        <v>601</v>
      </c>
      <c r="N282" s="312" t="s">
        <v>602</v>
      </c>
      <c r="O282" s="308"/>
      <c r="P282" s="308" t="s">
        <v>603</v>
      </c>
      <c r="Q282" s="737">
        <v>39.413513999999999</v>
      </c>
      <c r="R282" s="651">
        <v>-84.901888999999997</v>
      </c>
      <c r="S282" s="308" t="s">
        <v>63</v>
      </c>
      <c r="T282" s="308"/>
      <c r="U282" s="308" t="s">
        <v>51</v>
      </c>
      <c r="V282" s="307"/>
      <c r="W282" s="313">
        <f>IF(AC282="Intr",0,G282*Definitions!$B$53)</f>
        <v>660</v>
      </c>
      <c r="X282" s="313">
        <f>IF(AC282="Intr",0,G282*Definitions!$B$54)</f>
        <v>3080</v>
      </c>
      <c r="Y282" s="313">
        <f>IF(AC282="Intr",G282,G282*Definitions!$B$55)</f>
        <v>660</v>
      </c>
      <c r="Z282" s="313"/>
      <c r="AA282" s="313"/>
      <c r="AB282" s="313"/>
      <c r="AC282" s="308"/>
      <c r="AD282" s="308"/>
      <c r="AE282" s="308"/>
      <c r="AF282" s="308"/>
      <c r="AG282" s="314"/>
      <c r="AH282" s="308" t="s">
        <v>604</v>
      </c>
    </row>
    <row r="283" spans="1:34" x14ac:dyDescent="0.2">
      <c r="A283" s="307">
        <v>44159</v>
      </c>
      <c r="B283" s="308" t="s">
        <v>118</v>
      </c>
      <c r="C283" s="308">
        <v>2020</v>
      </c>
      <c r="D283" s="308" t="s">
        <v>8</v>
      </c>
      <c r="E283" s="309">
        <v>-65</v>
      </c>
      <c r="F283" s="309" t="s">
        <v>33</v>
      </c>
      <c r="G283" s="310">
        <v>26000</v>
      </c>
      <c r="H283" s="311">
        <v>152</v>
      </c>
      <c r="I283" s="309" t="s">
        <v>80</v>
      </c>
      <c r="J283" s="309" t="s">
        <v>39</v>
      </c>
      <c r="K283" s="309">
        <v>65</v>
      </c>
      <c r="L283" s="309" t="s">
        <v>726</v>
      </c>
      <c r="M283" s="309" t="s">
        <v>601</v>
      </c>
      <c r="N283" s="312" t="s">
        <v>602</v>
      </c>
      <c r="O283" s="308"/>
      <c r="P283" s="308" t="s">
        <v>603</v>
      </c>
      <c r="Q283" s="737">
        <v>39.413513999999999</v>
      </c>
      <c r="R283" s="651">
        <v>-84.901888999999997</v>
      </c>
      <c r="S283" s="308" t="s">
        <v>63</v>
      </c>
      <c r="T283" s="308"/>
      <c r="U283" s="308" t="s">
        <v>51</v>
      </c>
      <c r="V283" s="307"/>
      <c r="W283" s="313">
        <f>IF(AC283="Intr",0,G283*Definitions!$B$53)</f>
        <v>3900</v>
      </c>
      <c r="X283" s="313">
        <f>IF(AC283="Intr",0,G283*Definitions!$B$54)</f>
        <v>18200</v>
      </c>
      <c r="Y283" s="313">
        <f>IF(AC283="Intr",G283,G283*Definitions!$B$55)</f>
        <v>3900</v>
      </c>
      <c r="Z283" s="313"/>
      <c r="AA283" s="313"/>
      <c r="AB283" s="313"/>
      <c r="AC283" s="308"/>
      <c r="AD283" s="308"/>
      <c r="AE283" s="308"/>
      <c r="AF283" s="308"/>
      <c r="AG283" s="314"/>
      <c r="AH283" s="308" t="s">
        <v>604</v>
      </c>
    </row>
    <row r="284" spans="1:34" x14ac:dyDescent="0.2">
      <c r="A284" s="307">
        <v>44159</v>
      </c>
      <c r="B284" s="308" t="s">
        <v>118</v>
      </c>
      <c r="C284" s="308">
        <v>2020</v>
      </c>
      <c r="D284" s="308" t="s">
        <v>8</v>
      </c>
      <c r="E284" s="309">
        <v>-0.04</v>
      </c>
      <c r="F284" s="309" t="s">
        <v>32</v>
      </c>
      <c r="G284" s="310">
        <v>3200</v>
      </c>
      <c r="H284" s="311">
        <v>152</v>
      </c>
      <c r="I284" s="309" t="s">
        <v>80</v>
      </c>
      <c r="J284" s="309" t="s">
        <v>36</v>
      </c>
      <c r="K284" s="309">
        <v>0.02</v>
      </c>
      <c r="L284" s="309" t="s">
        <v>726</v>
      </c>
      <c r="M284" s="309" t="s">
        <v>601</v>
      </c>
      <c r="N284" s="312" t="s">
        <v>602</v>
      </c>
      <c r="O284" s="308"/>
      <c r="P284" s="308" t="s">
        <v>603</v>
      </c>
      <c r="Q284" s="737">
        <v>39.413513999999999</v>
      </c>
      <c r="R284" s="651">
        <v>-84.901888999999997</v>
      </c>
      <c r="S284" s="308" t="s">
        <v>63</v>
      </c>
      <c r="T284" s="308"/>
      <c r="U284" s="308" t="s">
        <v>51</v>
      </c>
      <c r="V284" s="307"/>
      <c r="W284" s="313">
        <f>IF(AC284="Intr",0,G284*Definitions!$B$53)</f>
        <v>480</v>
      </c>
      <c r="X284" s="313">
        <f>IF(AC284="Intr",0,G284*Definitions!$B$54)</f>
        <v>2240</v>
      </c>
      <c r="Y284" s="313">
        <f>IF(AC284="Intr",G284,G284*Definitions!$B$55)</f>
        <v>480</v>
      </c>
      <c r="Z284" s="313"/>
      <c r="AA284" s="313"/>
      <c r="AB284" s="313"/>
      <c r="AC284" s="308"/>
      <c r="AD284" s="308"/>
      <c r="AE284" s="308"/>
      <c r="AF284" s="308"/>
      <c r="AG284" s="314"/>
      <c r="AH284" s="308" t="s">
        <v>604</v>
      </c>
    </row>
    <row r="285" spans="1:34" x14ac:dyDescent="0.2">
      <c r="A285" s="160">
        <v>44159</v>
      </c>
      <c r="B285" s="161" t="s">
        <v>118</v>
      </c>
      <c r="C285" s="161">
        <v>2020</v>
      </c>
      <c r="D285" s="161" t="s">
        <v>8</v>
      </c>
      <c r="E285" s="162">
        <v>-129</v>
      </c>
      <c r="F285" s="162" t="s">
        <v>33</v>
      </c>
      <c r="G285" s="163">
        <v>51600</v>
      </c>
      <c r="H285" s="164">
        <v>144</v>
      </c>
      <c r="I285" s="162" t="s">
        <v>80</v>
      </c>
      <c r="J285" s="162" t="s">
        <v>41</v>
      </c>
      <c r="K285" s="162">
        <v>627</v>
      </c>
      <c r="L285" s="162" t="s">
        <v>726</v>
      </c>
      <c r="M285" s="162" t="s">
        <v>605</v>
      </c>
      <c r="N285" s="165" t="s">
        <v>606</v>
      </c>
      <c r="O285" s="161"/>
      <c r="P285" s="161" t="s">
        <v>607</v>
      </c>
      <c r="Q285" s="741">
        <v>39.04927</v>
      </c>
      <c r="R285" s="654">
        <v>-85.913449999999997</v>
      </c>
      <c r="S285" s="161" t="s">
        <v>63</v>
      </c>
      <c r="T285" s="161"/>
      <c r="U285" s="161" t="s">
        <v>51</v>
      </c>
      <c r="V285" s="160"/>
      <c r="W285" s="166">
        <f>IF(AC285="Intr",0,G285*Definitions!$B$53)</f>
        <v>7740</v>
      </c>
      <c r="X285" s="166">
        <f>IF(AC285="Intr",0,G285*Definitions!$B$54)</f>
        <v>36120</v>
      </c>
      <c r="Y285" s="166">
        <f>IF(AC285="Intr",G285,G285*Definitions!$B$55)</f>
        <v>7740</v>
      </c>
      <c r="Z285" s="166"/>
      <c r="AA285" s="166"/>
      <c r="AB285" s="166"/>
      <c r="AC285" s="161"/>
      <c r="AD285" s="161"/>
      <c r="AE285" s="161"/>
      <c r="AF285" s="161"/>
      <c r="AG285" s="167"/>
      <c r="AH285" s="161" t="s">
        <v>608</v>
      </c>
    </row>
    <row r="286" spans="1:34" x14ac:dyDescent="0.2">
      <c r="A286" s="37">
        <v>44165</v>
      </c>
      <c r="B286" s="38" t="s">
        <v>118</v>
      </c>
      <c r="C286" s="38">
        <v>2020</v>
      </c>
      <c r="D286" s="38" t="s">
        <v>1</v>
      </c>
      <c r="E286" s="177">
        <v>-0.48</v>
      </c>
      <c r="F286" s="177" t="s">
        <v>32</v>
      </c>
      <c r="G286" s="215">
        <v>45600</v>
      </c>
      <c r="H286" s="216">
        <v>167</v>
      </c>
      <c r="I286" s="177" t="s">
        <v>80</v>
      </c>
      <c r="J286" s="177" t="s">
        <v>38</v>
      </c>
      <c r="K286" s="177">
        <v>0.16</v>
      </c>
      <c r="L286" s="177" t="s">
        <v>617</v>
      </c>
      <c r="M286" s="177" t="s">
        <v>618</v>
      </c>
      <c r="N286" s="70" t="s">
        <v>619</v>
      </c>
      <c r="O286" s="38"/>
      <c r="P286" s="38" t="s">
        <v>385</v>
      </c>
      <c r="Q286" s="760">
        <v>41.617820000000002</v>
      </c>
      <c r="R286" s="590">
        <v>-86.986503999999996</v>
      </c>
      <c r="S286" s="38" t="s">
        <v>61</v>
      </c>
      <c r="T286" s="38"/>
      <c r="U286" s="38" t="s">
        <v>51</v>
      </c>
      <c r="V286" s="37"/>
      <c r="W286" s="39">
        <f>G286*0.15</f>
        <v>6840</v>
      </c>
      <c r="X286" s="39">
        <f>G286*0.7</f>
        <v>31919.999999999996</v>
      </c>
      <c r="Y286" s="39">
        <f>G286*0.15</f>
        <v>6840</v>
      </c>
      <c r="Z286" s="39"/>
      <c r="AA286" s="39"/>
      <c r="AB286" s="39"/>
      <c r="AC286" s="38"/>
      <c r="AD286" s="38"/>
      <c r="AE286" s="38"/>
      <c r="AF286" s="38"/>
      <c r="AG286" s="40"/>
      <c r="AH286" s="38"/>
    </row>
    <row r="287" spans="1:34" x14ac:dyDescent="0.2">
      <c r="A287" s="58">
        <v>44165</v>
      </c>
      <c r="B287" s="59" t="s">
        <v>118</v>
      </c>
      <c r="C287" s="59">
        <v>2020</v>
      </c>
      <c r="D287" s="59" t="s">
        <v>3</v>
      </c>
      <c r="E287" s="60">
        <v>-91</v>
      </c>
      <c r="F287" s="60" t="s">
        <v>33</v>
      </c>
      <c r="G287" s="61">
        <v>54600</v>
      </c>
      <c r="H287" s="62">
        <v>158</v>
      </c>
      <c r="I287" s="60" t="s">
        <v>80</v>
      </c>
      <c r="J287" s="60" t="s">
        <v>39</v>
      </c>
      <c r="K287" s="60">
        <v>91</v>
      </c>
      <c r="L287" s="60" t="s">
        <v>726</v>
      </c>
      <c r="M287" s="60" t="s">
        <v>609</v>
      </c>
      <c r="N287" s="63" t="s">
        <v>610</v>
      </c>
      <c r="O287" s="59"/>
      <c r="P287" s="59" t="s">
        <v>270</v>
      </c>
      <c r="Q287" s="745">
        <v>41.704459999999997</v>
      </c>
      <c r="R287" s="637">
        <v>-85.872399999999999</v>
      </c>
      <c r="S287" s="59" t="s">
        <v>63</v>
      </c>
      <c r="T287" s="59"/>
      <c r="U287" s="59" t="s">
        <v>51</v>
      </c>
      <c r="V287" s="58"/>
      <c r="W287" s="65">
        <f>IF(AC287="Intr",0,G287*Definitions!$B$53)</f>
        <v>8190</v>
      </c>
      <c r="X287" s="65">
        <f>IF(AC287="Intr",0,G287*Definitions!$B$54)</f>
        <v>38220</v>
      </c>
      <c r="Y287" s="65">
        <f>IF(AC287="Intr",G287,G287*Definitions!$B$55)</f>
        <v>8190</v>
      </c>
      <c r="Z287" s="65"/>
      <c r="AA287" s="65"/>
      <c r="AB287" s="65"/>
      <c r="AC287" s="59"/>
      <c r="AD287" s="59"/>
      <c r="AE287" s="59"/>
      <c r="AF287" s="59"/>
      <c r="AG287" s="66"/>
      <c r="AH287" s="59" t="s">
        <v>611</v>
      </c>
    </row>
    <row r="288" spans="1:34" x14ac:dyDescent="0.2">
      <c r="A288" s="207">
        <v>44165</v>
      </c>
      <c r="B288" s="208" t="s">
        <v>118</v>
      </c>
      <c r="C288" s="208">
        <v>2020</v>
      </c>
      <c r="D288" s="208" t="s">
        <v>7</v>
      </c>
      <c r="E288" s="209">
        <v>-0.98</v>
      </c>
      <c r="F288" s="209" t="s">
        <v>32</v>
      </c>
      <c r="G288" s="210">
        <v>78400</v>
      </c>
      <c r="H288" s="211">
        <v>170</v>
      </c>
      <c r="I288" s="209" t="s">
        <v>81</v>
      </c>
      <c r="J288" s="209" t="s">
        <v>38</v>
      </c>
      <c r="K288" s="209">
        <v>0.39</v>
      </c>
      <c r="L288" s="209" t="s">
        <v>612</v>
      </c>
      <c r="M288" s="209" t="s">
        <v>103</v>
      </c>
      <c r="N288" s="212" t="s">
        <v>613</v>
      </c>
      <c r="O288" s="208"/>
      <c r="P288" s="208" t="s">
        <v>426</v>
      </c>
      <c r="Q288" s="749">
        <v>39.699241000000001</v>
      </c>
      <c r="R288" s="641">
        <v>-86.074978000000002</v>
      </c>
      <c r="S288" s="208" t="s">
        <v>61</v>
      </c>
      <c r="T288" s="208"/>
      <c r="U288" s="208" t="s">
        <v>51</v>
      </c>
      <c r="V288" s="207"/>
      <c r="W288" s="213">
        <f>IF(AC288="Intr",0,G288*Definitions!$B$53)</f>
        <v>11760</v>
      </c>
      <c r="X288" s="213">
        <f>IF(AC288="Intr",0,G288*Definitions!$B$54)</f>
        <v>54880</v>
      </c>
      <c r="Y288" s="213">
        <f>IF(AC288="Intr",G288,G288*Definitions!$B$55)</f>
        <v>11760</v>
      </c>
      <c r="Z288" s="213"/>
      <c r="AA288" s="213"/>
      <c r="AB288" s="213"/>
      <c r="AC288" s="208"/>
      <c r="AD288" s="208"/>
      <c r="AE288" s="208"/>
      <c r="AF288" s="208"/>
      <c r="AG288" s="214"/>
      <c r="AH288" s="208" t="s">
        <v>614</v>
      </c>
    </row>
    <row r="289" spans="1:34" x14ac:dyDescent="0.2">
      <c r="A289" s="296">
        <v>44167</v>
      </c>
      <c r="B289" s="297" t="s">
        <v>134</v>
      </c>
      <c r="C289" s="297">
        <v>2020</v>
      </c>
      <c r="D289" s="297" t="s">
        <v>9</v>
      </c>
      <c r="E289" s="298">
        <v>-9.7000000000000003E-2</v>
      </c>
      <c r="F289" s="298" t="s">
        <v>32</v>
      </c>
      <c r="G289" s="299">
        <v>7760</v>
      </c>
      <c r="H289" s="300">
        <v>165</v>
      </c>
      <c r="I289" s="298" t="s">
        <v>81</v>
      </c>
      <c r="J289" s="298" t="s">
        <v>36</v>
      </c>
      <c r="K289" s="298">
        <v>9.7000000000000003E-2</v>
      </c>
      <c r="L289" s="298" t="s">
        <v>615</v>
      </c>
      <c r="M289" s="563" t="s">
        <v>103</v>
      </c>
      <c r="N289" s="567" t="s">
        <v>616</v>
      </c>
      <c r="O289" s="297"/>
      <c r="P289" s="297" t="s">
        <v>236</v>
      </c>
      <c r="Q289" s="766">
        <v>39.297471000000002</v>
      </c>
      <c r="R289" s="664">
        <v>-86.572394000000003</v>
      </c>
      <c r="S289" s="297" t="s">
        <v>61</v>
      </c>
      <c r="T289" s="297"/>
      <c r="U289" s="297" t="s">
        <v>51</v>
      </c>
      <c r="V289" s="296"/>
      <c r="W289" s="302">
        <f>IF(AC289="Intr",0,G289*Definitions!$B$53)</f>
        <v>1164</v>
      </c>
      <c r="X289" s="302">
        <f>IF(AC289="Intr",0,G289*Definitions!$B$54)</f>
        <v>5432</v>
      </c>
      <c r="Y289" s="302">
        <f>IF(AC289="Intr",G289,G289*Definitions!$B$55)</f>
        <v>1164</v>
      </c>
      <c r="Z289" s="302"/>
      <c r="AA289" s="302"/>
      <c r="AB289" s="302"/>
      <c r="AC289" s="297"/>
      <c r="AD289" s="297"/>
      <c r="AE289" s="297"/>
      <c r="AF289" s="297"/>
      <c r="AG289" s="303"/>
      <c r="AH289" s="297"/>
    </row>
    <row r="290" spans="1:34" x14ac:dyDescent="0.2">
      <c r="A290" s="207">
        <v>44169</v>
      </c>
      <c r="B290" s="208" t="s">
        <v>134</v>
      </c>
      <c r="C290" s="208">
        <v>2020</v>
      </c>
      <c r="D290" s="208" t="s">
        <v>7</v>
      </c>
      <c r="E290" s="209">
        <v>-0.03</v>
      </c>
      <c r="F290" s="209" t="s">
        <v>32</v>
      </c>
      <c r="G290" s="210">
        <v>2400</v>
      </c>
      <c r="H290" s="211">
        <v>174</v>
      </c>
      <c r="I290" s="209" t="s">
        <v>81</v>
      </c>
      <c r="J290" s="209" t="s">
        <v>37</v>
      </c>
      <c r="K290" s="209">
        <v>0.03</v>
      </c>
      <c r="L290" s="209" t="s">
        <v>620</v>
      </c>
      <c r="M290" s="209" t="s">
        <v>103</v>
      </c>
      <c r="N290" s="212" t="s">
        <v>621</v>
      </c>
      <c r="O290" s="208"/>
      <c r="P290" s="208" t="s">
        <v>137</v>
      </c>
      <c r="Q290" s="749">
        <v>39.965474999999998</v>
      </c>
      <c r="R290" s="641">
        <v>-85.996429000000006</v>
      </c>
      <c r="S290" s="208" t="s">
        <v>61</v>
      </c>
      <c r="T290" s="208"/>
      <c r="U290" s="208" t="s">
        <v>51</v>
      </c>
      <c r="V290" s="207"/>
      <c r="W290" s="213">
        <f>IF(AC290="Intr",0,G290*Definitions!$B$53)</f>
        <v>360</v>
      </c>
      <c r="X290" s="213">
        <f>IF(AC290="Intr",0,G290*Definitions!$B$54)</f>
        <v>1680</v>
      </c>
      <c r="Y290" s="213">
        <f>IF(AC290="Intr",G290,G290*Definitions!$B$55)</f>
        <v>360</v>
      </c>
      <c r="Z290" s="213"/>
      <c r="AA290" s="213"/>
      <c r="AB290" s="213"/>
      <c r="AC290" s="208"/>
      <c r="AD290" s="208"/>
      <c r="AE290" s="208"/>
      <c r="AF290" s="208"/>
      <c r="AG290" s="214"/>
      <c r="AH290" s="208" t="s">
        <v>624</v>
      </c>
    </row>
    <row r="291" spans="1:34" x14ac:dyDescent="0.2">
      <c r="A291" s="33">
        <v>44172</v>
      </c>
      <c r="B291" s="34" t="s">
        <v>134</v>
      </c>
      <c r="C291" s="34">
        <v>2020</v>
      </c>
      <c r="D291" s="34" t="s">
        <v>7</v>
      </c>
      <c r="E291" s="271">
        <v>-0.32</v>
      </c>
      <c r="F291" s="271" t="s">
        <v>32</v>
      </c>
      <c r="G291" s="272">
        <v>25600</v>
      </c>
      <c r="H291" s="273">
        <v>169</v>
      </c>
      <c r="I291" s="271" t="s">
        <v>81</v>
      </c>
      <c r="J291" s="271" t="s">
        <v>36</v>
      </c>
      <c r="K291" s="271">
        <v>0.32</v>
      </c>
      <c r="L291" s="271" t="s">
        <v>622</v>
      </c>
      <c r="M291" s="271" t="s">
        <v>103</v>
      </c>
      <c r="N291" s="116" t="s">
        <v>623</v>
      </c>
      <c r="O291" s="34"/>
      <c r="P291" s="34" t="s">
        <v>121</v>
      </c>
      <c r="Q291" s="773">
        <v>39.820300000000003</v>
      </c>
      <c r="R291" s="592">
        <v>-85.940600000000003</v>
      </c>
      <c r="S291" s="34" t="s">
        <v>61</v>
      </c>
      <c r="T291" s="34"/>
      <c r="U291" s="34" t="s">
        <v>51</v>
      </c>
      <c r="V291" s="33"/>
      <c r="W291" s="35">
        <f>IF(AC291="Intr",0,G291*Definitions!$B$53)</f>
        <v>3840</v>
      </c>
      <c r="X291" s="35">
        <f>IF(AC291="Intr",0,G291*Definitions!$B$54)</f>
        <v>17920</v>
      </c>
      <c r="Y291" s="35">
        <f>IF(AC291="Intr",G291,G291*Definitions!$B$55)</f>
        <v>3840</v>
      </c>
      <c r="Z291" s="35"/>
      <c r="AA291" s="35"/>
      <c r="AB291" s="35"/>
      <c r="AC291" s="34"/>
      <c r="AD291" s="34"/>
      <c r="AE291" s="34"/>
      <c r="AF291" s="34"/>
      <c r="AG291" s="36"/>
      <c r="AH291" s="34" t="s">
        <v>625</v>
      </c>
    </row>
    <row r="292" spans="1:34" x14ac:dyDescent="0.2">
      <c r="A292" s="45">
        <v>44186</v>
      </c>
      <c r="B292" s="46" t="s">
        <v>134</v>
      </c>
      <c r="C292" s="46">
        <v>2020</v>
      </c>
      <c r="D292" s="46" t="s">
        <v>7</v>
      </c>
      <c r="E292" s="181">
        <v>-3.7600000000000001E-2</v>
      </c>
      <c r="F292" s="181" t="s">
        <v>32</v>
      </c>
      <c r="G292" s="182">
        <v>3008</v>
      </c>
      <c r="H292" s="183">
        <v>157</v>
      </c>
      <c r="I292" s="181" t="s">
        <v>80</v>
      </c>
      <c r="J292" s="181" t="s">
        <v>36</v>
      </c>
      <c r="K292" s="181">
        <v>1.8800000000000001E-2</v>
      </c>
      <c r="L292" s="181" t="s">
        <v>626</v>
      </c>
      <c r="M292" s="181" t="s">
        <v>627</v>
      </c>
      <c r="N292" s="76" t="s">
        <v>628</v>
      </c>
      <c r="O292" s="46"/>
      <c r="P292" s="46" t="s">
        <v>426</v>
      </c>
      <c r="Q292" s="761">
        <v>39.886099999999999</v>
      </c>
      <c r="R292" s="660">
        <v>-86.314099999999996</v>
      </c>
      <c r="S292" s="46" t="s">
        <v>63</v>
      </c>
      <c r="T292" s="46"/>
      <c r="U292" s="46" t="s">
        <v>51</v>
      </c>
      <c r="V292" s="45"/>
      <c r="W292" s="47">
        <f>IF(AC292="Intr",0,G292*Definitions!$B$53)</f>
        <v>451.2</v>
      </c>
      <c r="X292" s="47">
        <f>IF(AC292="Intr",0,G292*Definitions!$B$54)</f>
        <v>2105.6</v>
      </c>
      <c r="Y292" s="47">
        <f>IF(AC292="Intr",G292,G292*Definitions!$B$55)</f>
        <v>451.2</v>
      </c>
      <c r="Z292" s="47"/>
      <c r="AA292" s="47"/>
      <c r="AB292" s="47"/>
      <c r="AC292" s="46"/>
      <c r="AD292" s="46"/>
      <c r="AE292" s="46"/>
      <c r="AF292" s="46"/>
      <c r="AG292" s="48"/>
      <c r="AH292" s="46" t="s">
        <v>629</v>
      </c>
    </row>
    <row r="293" spans="1:34" x14ac:dyDescent="0.2">
      <c r="A293" s="145">
        <v>44186</v>
      </c>
      <c r="B293" s="112" t="s">
        <v>134</v>
      </c>
      <c r="C293" s="112">
        <v>2020</v>
      </c>
      <c r="D293" s="112" t="s">
        <v>7</v>
      </c>
      <c r="E293" s="146">
        <v>-0.2</v>
      </c>
      <c r="F293" s="146" t="s">
        <v>32</v>
      </c>
      <c r="G293" s="147">
        <v>16000</v>
      </c>
      <c r="H293" s="148">
        <v>163</v>
      </c>
      <c r="I293" s="146" t="s">
        <v>81</v>
      </c>
      <c r="J293" s="146" t="s">
        <v>36</v>
      </c>
      <c r="K293" s="146">
        <v>0.2</v>
      </c>
      <c r="L293" s="146" t="s">
        <v>406</v>
      </c>
      <c r="M293" s="146" t="s">
        <v>103</v>
      </c>
      <c r="N293" s="149" t="s">
        <v>630</v>
      </c>
      <c r="O293" s="112"/>
      <c r="P293" s="112" t="s">
        <v>137</v>
      </c>
      <c r="Q293" s="729">
        <v>40.038899999999998</v>
      </c>
      <c r="R293" s="591">
        <v>-86.057000000000002</v>
      </c>
      <c r="S293" s="112" t="s">
        <v>61</v>
      </c>
      <c r="T293" s="112"/>
      <c r="U293" s="112" t="s">
        <v>51</v>
      </c>
      <c r="V293" s="145"/>
      <c r="W293" s="150">
        <f>IF(AC293="Intr",0,G293*Definitions!$B$53)</f>
        <v>2400</v>
      </c>
      <c r="X293" s="150">
        <f>IF(AC293="Intr",0,G293*Definitions!$B$54)</f>
        <v>11200</v>
      </c>
      <c r="Y293" s="150">
        <f>IF(AC293="Intr",G293,G293*Definitions!$B$55)</f>
        <v>2400</v>
      </c>
      <c r="Z293" s="150"/>
      <c r="AA293" s="150"/>
      <c r="AB293" s="150"/>
      <c r="AC293" s="112"/>
      <c r="AD293" s="112"/>
      <c r="AE293" s="112"/>
      <c r="AF293" s="112"/>
      <c r="AG293" s="151"/>
      <c r="AH293" s="112" t="s">
        <v>631</v>
      </c>
    </row>
    <row r="294" spans="1:34" x14ac:dyDescent="0.2">
      <c r="A294" s="274">
        <v>44194</v>
      </c>
      <c r="B294" s="275" t="s">
        <v>134</v>
      </c>
      <c r="C294" s="275">
        <v>2020</v>
      </c>
      <c r="D294" s="275" t="s">
        <v>7</v>
      </c>
      <c r="E294" s="276">
        <v>-3.7</v>
      </c>
      <c r="F294" s="276" t="s">
        <v>32</v>
      </c>
      <c r="G294" s="277">
        <v>296000</v>
      </c>
      <c r="H294" s="278">
        <v>177</v>
      </c>
      <c r="I294" s="276" t="s">
        <v>81</v>
      </c>
      <c r="J294" s="276" t="s">
        <v>38</v>
      </c>
      <c r="K294" s="276">
        <v>1.48</v>
      </c>
      <c r="L294" s="276" t="s">
        <v>632</v>
      </c>
      <c r="M294" s="276" t="s">
        <v>103</v>
      </c>
      <c r="N294" s="279" t="s">
        <v>633</v>
      </c>
      <c r="O294" s="275"/>
      <c r="P294" s="275" t="s">
        <v>121</v>
      </c>
      <c r="Q294" s="755">
        <v>39.492600000000003</v>
      </c>
      <c r="R294" s="657">
        <v>-85.555499999999995</v>
      </c>
      <c r="S294" s="275" t="s">
        <v>61</v>
      </c>
      <c r="T294" s="275"/>
      <c r="U294" s="275" t="s">
        <v>51</v>
      </c>
      <c r="V294" s="274"/>
      <c r="W294" s="280">
        <f>IF(AC294="Intr",0,G294*Definitions!$B$53)</f>
        <v>44400</v>
      </c>
      <c r="X294" s="280">
        <f>IF(AC294="Intr",0,G294*Definitions!$B$54)</f>
        <v>207200</v>
      </c>
      <c r="Y294" s="280">
        <f>IF(AC294="Intr",G294,G294*Definitions!$B$55)</f>
        <v>44400</v>
      </c>
      <c r="Z294" s="280"/>
      <c r="AA294" s="280"/>
      <c r="AB294" s="280"/>
      <c r="AC294" s="275"/>
      <c r="AD294" s="275"/>
      <c r="AE294" s="275"/>
      <c r="AF294" s="275"/>
      <c r="AG294" s="281"/>
      <c r="AH294" s="275" t="s">
        <v>634</v>
      </c>
    </row>
    <row r="295" spans="1:34" x14ac:dyDescent="0.2">
      <c r="A295" s="529"/>
      <c r="B295" s="530"/>
      <c r="C295" s="530"/>
      <c r="D295" s="530"/>
      <c r="E295" s="531"/>
      <c r="F295" s="531"/>
      <c r="G295" s="532"/>
      <c r="H295" s="533"/>
      <c r="I295" s="531"/>
      <c r="J295" s="531"/>
      <c r="K295" s="531"/>
      <c r="L295" s="531"/>
      <c r="M295" s="531"/>
      <c r="N295" s="534"/>
      <c r="O295" s="530"/>
      <c r="P295" s="530"/>
      <c r="Q295" s="758"/>
      <c r="R295" s="659"/>
      <c r="S295" s="530"/>
      <c r="T295" s="530"/>
      <c r="U295" s="530"/>
      <c r="V295" s="529"/>
      <c r="W295" s="535"/>
      <c r="X295" s="535"/>
      <c r="Y295" s="535"/>
      <c r="Z295" s="535"/>
      <c r="AA295" s="535"/>
      <c r="AB295" s="535"/>
      <c r="AC295" s="530"/>
      <c r="AD295" s="530"/>
      <c r="AE295" s="530"/>
      <c r="AF295" s="530"/>
      <c r="AG295" s="536"/>
      <c r="AH295" s="530"/>
    </row>
    <row r="296" spans="1:34" x14ac:dyDescent="0.2">
      <c r="A296" s="307">
        <v>44200</v>
      </c>
      <c r="B296" s="308" t="s">
        <v>635</v>
      </c>
      <c r="C296" s="308">
        <v>2021</v>
      </c>
      <c r="D296" s="308" t="s">
        <v>4</v>
      </c>
      <c r="E296" s="309">
        <v>-0.248</v>
      </c>
      <c r="F296" s="309" t="s">
        <v>32</v>
      </c>
      <c r="G296" s="310">
        <v>19840</v>
      </c>
      <c r="H296" s="311">
        <v>173</v>
      </c>
      <c r="I296" s="309" t="s">
        <v>80</v>
      </c>
      <c r="J296" s="309" t="s">
        <v>38</v>
      </c>
      <c r="K296" s="309">
        <v>6.2E-2</v>
      </c>
      <c r="L296" s="309" t="s">
        <v>645</v>
      </c>
      <c r="M296" s="309" t="s">
        <v>646</v>
      </c>
      <c r="N296" s="312" t="s">
        <v>647</v>
      </c>
      <c r="O296" s="308"/>
      <c r="P296" s="308" t="s">
        <v>255</v>
      </c>
      <c r="Q296" s="737">
        <v>41.200091</v>
      </c>
      <c r="R296" s="651">
        <v>-85.100429000000005</v>
      </c>
      <c r="S296" s="308" t="s">
        <v>63</v>
      </c>
      <c r="T296" s="308"/>
      <c r="U296" s="308" t="s">
        <v>51</v>
      </c>
      <c r="V296" s="307"/>
      <c r="W296" s="313">
        <f>IF(AC296="Intr",0,G296*Definitions!$B$53)</f>
        <v>2976</v>
      </c>
      <c r="X296" s="313">
        <f>IF(AC296="Intr",0,G296*Definitions!$B$54)</f>
        <v>13888</v>
      </c>
      <c r="Y296" s="313">
        <f>IF(AC296="Intr",G296,G296*Definitions!$B$55)</f>
        <v>2976</v>
      </c>
      <c r="Z296" s="313" t="s">
        <v>964</v>
      </c>
      <c r="AA296" s="313" t="s">
        <v>965</v>
      </c>
      <c r="AB296" s="313"/>
      <c r="AC296" s="308"/>
      <c r="AD296" s="308"/>
      <c r="AE296" s="308"/>
      <c r="AF296" s="308"/>
      <c r="AG296" s="314"/>
      <c r="AH296" s="308" t="s">
        <v>648</v>
      </c>
    </row>
    <row r="297" spans="1:34" x14ac:dyDescent="0.2">
      <c r="A297" s="191">
        <v>44200</v>
      </c>
      <c r="B297" s="192" t="s">
        <v>635</v>
      </c>
      <c r="C297" s="192">
        <v>2021</v>
      </c>
      <c r="D297" s="192" t="s">
        <v>6</v>
      </c>
      <c r="E297" s="193">
        <v>-0.25</v>
      </c>
      <c r="F297" s="193" t="s">
        <v>32</v>
      </c>
      <c r="G297" s="194">
        <v>20000</v>
      </c>
      <c r="H297" s="195">
        <v>168</v>
      </c>
      <c r="I297" s="193" t="s">
        <v>81</v>
      </c>
      <c r="J297" s="193" t="s">
        <v>36</v>
      </c>
      <c r="K297" s="193">
        <v>0.25</v>
      </c>
      <c r="L297" s="193" t="s">
        <v>636</v>
      </c>
      <c r="M297" s="193" t="s">
        <v>103</v>
      </c>
      <c r="N297" s="196" t="s">
        <v>637</v>
      </c>
      <c r="O297" s="192"/>
      <c r="P297" s="192" t="s">
        <v>205</v>
      </c>
      <c r="Q297" s="764">
        <v>39.453290000000003</v>
      </c>
      <c r="R297" s="662">
        <v>-87.311220000000006</v>
      </c>
      <c r="S297" s="192" t="s">
        <v>63</v>
      </c>
      <c r="T297" s="192"/>
      <c r="U297" s="192" t="s">
        <v>51</v>
      </c>
      <c r="V297" s="191"/>
      <c r="W297" s="197">
        <f>IF(AC297="Intr",0,G297*Definitions!$B$53)</f>
        <v>3000</v>
      </c>
      <c r="X297" s="197">
        <f>IF(AC297="Intr",0,G297*Definitions!$B$54)</f>
        <v>14000</v>
      </c>
      <c r="Y297" s="197">
        <f>IF(AC297="Intr",G297,G297*Definitions!$B$55)</f>
        <v>3000</v>
      </c>
      <c r="Z297" s="197" t="s">
        <v>966</v>
      </c>
      <c r="AA297" s="197" t="s">
        <v>963</v>
      </c>
      <c r="AB297" s="197" t="s">
        <v>969</v>
      </c>
      <c r="AC297" s="192"/>
      <c r="AD297" s="192"/>
      <c r="AE297" s="192"/>
      <c r="AF297" s="192"/>
      <c r="AG297" s="198"/>
      <c r="AH297" s="192" t="s">
        <v>638</v>
      </c>
    </row>
    <row r="298" spans="1:34" x14ac:dyDescent="0.2">
      <c r="A298" s="160">
        <v>44210</v>
      </c>
      <c r="B298" s="161" t="s">
        <v>635</v>
      </c>
      <c r="C298" s="161">
        <v>2021</v>
      </c>
      <c r="D298" s="161" t="s">
        <v>7</v>
      </c>
      <c r="E298" s="162">
        <v>-88</v>
      </c>
      <c r="F298" s="162" t="s">
        <v>33</v>
      </c>
      <c r="G298" s="163">
        <v>39600</v>
      </c>
      <c r="H298" s="164">
        <v>166</v>
      </c>
      <c r="I298" s="162" t="s">
        <v>80</v>
      </c>
      <c r="J298" s="162" t="s">
        <v>40</v>
      </c>
      <c r="K298" s="162">
        <v>88</v>
      </c>
      <c r="L298" s="162" t="s">
        <v>726</v>
      </c>
      <c r="M298" s="162" t="s">
        <v>649</v>
      </c>
      <c r="N298" s="165" t="s">
        <v>650</v>
      </c>
      <c r="O298" s="161"/>
      <c r="P298" s="161" t="s">
        <v>651</v>
      </c>
      <c r="Q298" s="741">
        <v>39.7637</v>
      </c>
      <c r="R298" s="654">
        <v>-86.328000000000003</v>
      </c>
      <c r="S298" s="161" t="s">
        <v>63</v>
      </c>
      <c r="T298" s="161"/>
      <c r="U298" s="161" t="s">
        <v>51</v>
      </c>
      <c r="V298" s="160"/>
      <c r="W298" s="166">
        <f>IF(AC298="Intr",0,G298*Definitions!$B$53)</f>
        <v>5940</v>
      </c>
      <c r="X298" s="166">
        <f>IF(AC298="Intr",0,G298*Definitions!$B$54)</f>
        <v>27720</v>
      </c>
      <c r="Y298" s="166">
        <f>IF(AC298="Intr",G298,G298*Definitions!$B$55)</f>
        <v>5940</v>
      </c>
      <c r="Z298" s="166" t="s">
        <v>966</v>
      </c>
      <c r="AA298" s="166" t="s">
        <v>965</v>
      </c>
      <c r="AB298" s="166"/>
      <c r="AC298" s="161"/>
      <c r="AD298" s="161"/>
      <c r="AE298" s="161"/>
      <c r="AF298" s="161"/>
      <c r="AG298" s="167"/>
      <c r="AH298" s="161" t="s">
        <v>629</v>
      </c>
    </row>
    <row r="299" spans="1:34" x14ac:dyDescent="0.2">
      <c r="A299" s="288">
        <v>44221</v>
      </c>
      <c r="B299" s="289" t="s">
        <v>635</v>
      </c>
      <c r="C299" s="289">
        <v>2021</v>
      </c>
      <c r="D299" s="289" t="s">
        <v>10</v>
      </c>
      <c r="E299" s="386">
        <v>-1664</v>
      </c>
      <c r="F299" s="331" t="s">
        <v>33</v>
      </c>
      <c r="G299" s="332">
        <v>665600</v>
      </c>
      <c r="H299" s="333">
        <v>111</v>
      </c>
      <c r="I299" s="331" t="s">
        <v>80</v>
      </c>
      <c r="J299" s="331" t="s">
        <v>40</v>
      </c>
      <c r="K299" s="386">
        <v>1387</v>
      </c>
      <c r="L299" s="331" t="s">
        <v>726</v>
      </c>
      <c r="M299" s="331" t="s">
        <v>639</v>
      </c>
      <c r="N299" s="290" t="s">
        <v>640</v>
      </c>
      <c r="O299" s="289"/>
      <c r="P299" s="289" t="s">
        <v>84</v>
      </c>
      <c r="Q299" s="733">
        <v>38.342010000000002</v>
      </c>
      <c r="R299" s="647">
        <v>-85.668440000000004</v>
      </c>
      <c r="S299" s="289" t="s">
        <v>63</v>
      </c>
      <c r="T299" s="289"/>
      <c r="U299" s="289" t="s">
        <v>51</v>
      </c>
      <c r="V299" s="288"/>
      <c r="W299" s="293">
        <f>IF(AC299="Intr",0,G299*Definitions!$B$53)</f>
        <v>99840</v>
      </c>
      <c r="X299" s="293">
        <f>IF(AC299="Intr",0,G299*Definitions!$B$54)</f>
        <v>465919.99999999994</v>
      </c>
      <c r="Y299" s="293">
        <f>IF(AC299="Intr",G299,G299*Definitions!$B$55)</f>
        <v>99840</v>
      </c>
      <c r="Z299" s="293" t="s">
        <v>966</v>
      </c>
      <c r="AA299" s="293" t="s">
        <v>965</v>
      </c>
      <c r="AB299" s="293"/>
      <c r="AC299" s="289"/>
      <c r="AD299" s="289"/>
      <c r="AE299" s="289"/>
      <c r="AF299" s="289"/>
      <c r="AG299" s="294"/>
      <c r="AH299" s="289" t="s">
        <v>641</v>
      </c>
    </row>
    <row r="300" spans="1:34" x14ac:dyDescent="0.2">
      <c r="A300" s="288">
        <v>44221</v>
      </c>
      <c r="B300" s="289" t="s">
        <v>635</v>
      </c>
      <c r="C300" s="289">
        <v>2021</v>
      </c>
      <c r="D300" s="289" t="s">
        <v>10</v>
      </c>
      <c r="E300" s="331">
        <v>-0.14000000000000001</v>
      </c>
      <c r="F300" s="331" t="s">
        <v>32</v>
      </c>
      <c r="G300" s="332">
        <v>11200</v>
      </c>
      <c r="H300" s="333">
        <v>111</v>
      </c>
      <c r="I300" s="331" t="s">
        <v>80</v>
      </c>
      <c r="J300" s="331" t="s">
        <v>38</v>
      </c>
      <c r="K300" s="331">
        <v>3.5000000000000003E-2</v>
      </c>
      <c r="L300" s="331" t="s">
        <v>726</v>
      </c>
      <c r="M300" s="331" t="s">
        <v>639</v>
      </c>
      <c r="N300" s="290" t="s">
        <v>640</v>
      </c>
      <c r="O300" s="289"/>
      <c r="P300" s="289" t="s">
        <v>84</v>
      </c>
      <c r="Q300" s="733">
        <v>38.342010000000002</v>
      </c>
      <c r="R300" s="647">
        <v>-85.668440000000004</v>
      </c>
      <c r="S300" s="289" t="s">
        <v>63</v>
      </c>
      <c r="T300" s="289"/>
      <c r="U300" s="289" t="s">
        <v>51</v>
      </c>
      <c r="V300" s="288"/>
      <c r="W300" s="293">
        <f>IF(AC300="Intr",0,G300*Definitions!$B$53)</f>
        <v>1680</v>
      </c>
      <c r="X300" s="293">
        <f>IF(AC300="Intr",0,G300*Definitions!$B$54)</f>
        <v>7839.9999999999991</v>
      </c>
      <c r="Y300" s="293">
        <f>IF(AC300="Intr",G300,G300*Definitions!$B$55)</f>
        <v>1680</v>
      </c>
      <c r="Z300" s="293" t="s">
        <v>966</v>
      </c>
      <c r="AA300" s="293" t="s">
        <v>965</v>
      </c>
      <c r="AB300" s="293"/>
      <c r="AC300" s="289"/>
      <c r="AD300" s="289"/>
      <c r="AE300" s="289"/>
      <c r="AF300" s="289"/>
      <c r="AG300" s="294"/>
      <c r="AH300" s="289" t="s">
        <v>641</v>
      </c>
    </row>
    <row r="301" spans="1:34" x14ac:dyDescent="0.2">
      <c r="A301" s="307">
        <v>44222</v>
      </c>
      <c r="B301" s="308" t="s">
        <v>635</v>
      </c>
      <c r="C301" s="308">
        <v>2021</v>
      </c>
      <c r="D301" s="308" t="s">
        <v>5</v>
      </c>
      <c r="E301" s="309">
        <v>-1.02</v>
      </c>
      <c r="F301" s="309" t="s">
        <v>32</v>
      </c>
      <c r="G301" s="310">
        <v>81600</v>
      </c>
      <c r="H301" s="311">
        <v>175</v>
      </c>
      <c r="I301" s="309" t="s">
        <v>81</v>
      </c>
      <c r="J301" s="309" t="s">
        <v>36</v>
      </c>
      <c r="K301" s="309">
        <v>0.51</v>
      </c>
      <c r="L301" s="309" t="s">
        <v>1829</v>
      </c>
      <c r="M301" s="309" t="s">
        <v>103</v>
      </c>
      <c r="N301" s="425" t="s">
        <v>652</v>
      </c>
      <c r="O301" s="308"/>
      <c r="P301" s="308" t="s">
        <v>418</v>
      </c>
      <c r="Q301" s="737">
        <v>40.378520000000002</v>
      </c>
      <c r="R301" s="651">
        <v>-85.191590000000005</v>
      </c>
      <c r="S301" s="308" t="s">
        <v>62</v>
      </c>
      <c r="T301" s="308"/>
      <c r="U301" s="308" t="s">
        <v>51</v>
      </c>
      <c r="V301" s="307"/>
      <c r="W301" s="313">
        <f>IF(AC301="Intr",0,G301*Definitions!$B$53)</f>
        <v>12240</v>
      </c>
      <c r="X301" s="313">
        <f>IF(AC301="Intr",0,G301*Definitions!$B$54)</f>
        <v>57120</v>
      </c>
      <c r="Y301" s="313">
        <f>IF(AC301="Intr",G301,G301*Definitions!$B$55)</f>
        <v>12240</v>
      </c>
      <c r="Z301" s="313" t="s">
        <v>966</v>
      </c>
      <c r="AA301" s="313" t="s">
        <v>963</v>
      </c>
      <c r="AB301" s="313" t="s">
        <v>970</v>
      </c>
      <c r="AC301" s="308"/>
      <c r="AD301" s="308"/>
      <c r="AE301" s="308"/>
      <c r="AF301" s="308"/>
      <c r="AG301" s="314"/>
      <c r="AH301" s="308" t="s">
        <v>653</v>
      </c>
    </row>
    <row r="302" spans="1:34" x14ac:dyDescent="0.2">
      <c r="A302" s="307">
        <v>44222</v>
      </c>
      <c r="B302" s="308" t="s">
        <v>635</v>
      </c>
      <c r="C302" s="308">
        <v>2021</v>
      </c>
      <c r="D302" s="308" t="s">
        <v>5</v>
      </c>
      <c r="E302" s="309">
        <v>-0.42499999999999999</v>
      </c>
      <c r="F302" s="309" t="s">
        <v>32</v>
      </c>
      <c r="G302" s="310">
        <v>34000</v>
      </c>
      <c r="H302" s="311">
        <v>175</v>
      </c>
      <c r="I302" s="309" t="s">
        <v>81</v>
      </c>
      <c r="J302" s="309" t="s">
        <v>38</v>
      </c>
      <c r="K302" s="309">
        <v>0.17</v>
      </c>
      <c r="L302" s="309" t="s">
        <v>927</v>
      </c>
      <c r="M302" s="309" t="s">
        <v>103</v>
      </c>
      <c r="N302" s="312" t="s">
        <v>652</v>
      </c>
      <c r="O302" s="308"/>
      <c r="P302" s="308" t="s">
        <v>418</v>
      </c>
      <c r="Q302" s="737">
        <v>40.378520000000002</v>
      </c>
      <c r="R302" s="651">
        <v>-85.191590000000005</v>
      </c>
      <c r="S302" s="308" t="s">
        <v>62</v>
      </c>
      <c r="T302" s="308"/>
      <c r="U302" s="308" t="s">
        <v>51</v>
      </c>
      <c r="V302" s="307"/>
      <c r="W302" s="313">
        <f>IF(AC302="Intr",0,G302*Definitions!$B$53)</f>
        <v>5100</v>
      </c>
      <c r="X302" s="313">
        <f>IF(AC302="Intr",0,G302*Definitions!$B$54)</f>
        <v>23800</v>
      </c>
      <c r="Y302" s="313">
        <f>IF(AC302="Intr",G302,G302*Definitions!$B$55)</f>
        <v>5100</v>
      </c>
      <c r="Z302" s="313" t="s">
        <v>966</v>
      </c>
      <c r="AA302" s="313" t="s">
        <v>963</v>
      </c>
      <c r="AB302" s="313" t="s">
        <v>971</v>
      </c>
      <c r="AC302" s="308"/>
      <c r="AD302" s="308"/>
      <c r="AE302" s="308"/>
      <c r="AF302" s="308"/>
      <c r="AG302" s="314"/>
      <c r="AH302" s="308" t="s">
        <v>654</v>
      </c>
    </row>
    <row r="303" spans="1:34" x14ac:dyDescent="0.2">
      <c r="A303" s="160">
        <v>44224</v>
      </c>
      <c r="B303" s="161" t="s">
        <v>635</v>
      </c>
      <c r="C303" s="161">
        <v>2021</v>
      </c>
      <c r="D303" s="161" t="s">
        <v>10</v>
      </c>
      <c r="E303" s="162">
        <v>-458</v>
      </c>
      <c r="F303" s="162" t="s">
        <v>33</v>
      </c>
      <c r="G303" s="163">
        <v>183200</v>
      </c>
      <c r="H303" s="164">
        <v>164</v>
      </c>
      <c r="I303" s="162" t="s">
        <v>80</v>
      </c>
      <c r="J303" s="162" t="s">
        <v>40</v>
      </c>
      <c r="K303" s="162">
        <v>858</v>
      </c>
      <c r="L303" s="162" t="s">
        <v>726</v>
      </c>
      <c r="M303" s="162" t="s">
        <v>642</v>
      </c>
      <c r="N303" s="165" t="s">
        <v>643</v>
      </c>
      <c r="O303" s="161"/>
      <c r="P303" s="161" t="s">
        <v>502</v>
      </c>
      <c r="Q303" s="741">
        <v>38.734000000000002</v>
      </c>
      <c r="R303" s="654">
        <v>-85.367500000000007</v>
      </c>
      <c r="S303" s="161" t="s">
        <v>63</v>
      </c>
      <c r="T303" s="161"/>
      <c r="U303" s="161" t="s">
        <v>51</v>
      </c>
      <c r="V303" s="160"/>
      <c r="W303" s="166">
        <f>IF(AC303="Intr",0,G303*Definitions!$B$53)</f>
        <v>27480</v>
      </c>
      <c r="X303" s="166">
        <f>IF(AC303="Intr",0,G303*Definitions!$B$54)</f>
        <v>128239.99999999999</v>
      </c>
      <c r="Y303" s="166">
        <f>IF(AC303="Intr",G303,G303*Definitions!$B$55)</f>
        <v>27480</v>
      </c>
      <c r="Z303" s="166" t="s">
        <v>966</v>
      </c>
      <c r="AA303" s="166" t="s">
        <v>965</v>
      </c>
      <c r="AB303" s="166"/>
      <c r="AC303" s="161"/>
      <c r="AD303" s="161"/>
      <c r="AE303" s="161"/>
      <c r="AF303" s="161"/>
      <c r="AG303" s="167"/>
      <c r="AH303" s="161" t="s">
        <v>644</v>
      </c>
    </row>
    <row r="304" spans="1:34" x14ac:dyDescent="0.2">
      <c r="A304" s="58">
        <v>44224</v>
      </c>
      <c r="B304" s="59" t="s">
        <v>635</v>
      </c>
      <c r="C304" s="59">
        <v>2021</v>
      </c>
      <c r="D304" s="59" t="s">
        <v>5</v>
      </c>
      <c r="E304" s="60">
        <v>-6.9000000000000006E-2</v>
      </c>
      <c r="F304" s="60" t="s">
        <v>32</v>
      </c>
      <c r="G304" s="61">
        <v>5520</v>
      </c>
      <c r="H304" s="62">
        <v>181</v>
      </c>
      <c r="I304" s="60" t="s">
        <v>81</v>
      </c>
      <c r="J304" s="60" t="s">
        <v>36</v>
      </c>
      <c r="K304" s="60">
        <v>6.9000000000000006E-2</v>
      </c>
      <c r="L304" s="60" t="s">
        <v>726</v>
      </c>
      <c r="M304" s="60" t="s">
        <v>103</v>
      </c>
      <c r="N304" s="63" t="s">
        <v>655</v>
      </c>
      <c r="O304" s="59"/>
      <c r="P304" s="59" t="s">
        <v>274</v>
      </c>
      <c r="Q304" s="745">
        <v>40.258200000000002</v>
      </c>
      <c r="R304" s="637">
        <v>-86.706000000000003</v>
      </c>
      <c r="S304" s="59" t="s">
        <v>63</v>
      </c>
      <c r="T304" s="59"/>
      <c r="U304" s="59" t="s">
        <v>51</v>
      </c>
      <c r="V304" s="58"/>
      <c r="W304" s="65">
        <f>IF(AC304="Intr",0,G304*Definitions!$B$53)</f>
        <v>828</v>
      </c>
      <c r="X304" s="65">
        <f>IF(AC304="Intr",0,G304*Definitions!$B$54)</f>
        <v>3863.9999999999995</v>
      </c>
      <c r="Y304" s="65">
        <f>IF(AC304="Intr",G304,G304*Definitions!$B$55)</f>
        <v>828</v>
      </c>
      <c r="Z304" s="65" t="s">
        <v>966</v>
      </c>
      <c r="AA304" s="65" t="s">
        <v>963</v>
      </c>
      <c r="AB304" s="65" t="s">
        <v>970</v>
      </c>
      <c r="AC304" s="59"/>
      <c r="AD304" s="59"/>
      <c r="AE304" s="59"/>
      <c r="AF304" s="59"/>
      <c r="AG304" s="66"/>
      <c r="AH304" s="59" t="s">
        <v>657</v>
      </c>
    </row>
    <row r="305" spans="1:34" x14ac:dyDescent="0.2">
      <c r="A305" s="58">
        <v>44224</v>
      </c>
      <c r="B305" s="59" t="s">
        <v>635</v>
      </c>
      <c r="C305" s="59">
        <v>2021</v>
      </c>
      <c r="D305" s="59" t="s">
        <v>5</v>
      </c>
      <c r="E305" s="60">
        <v>-0.26500000000000001</v>
      </c>
      <c r="F305" s="60" t="s">
        <v>32</v>
      </c>
      <c r="G305" s="61">
        <v>21200</v>
      </c>
      <c r="H305" s="62">
        <v>181</v>
      </c>
      <c r="I305" s="60" t="s">
        <v>81</v>
      </c>
      <c r="J305" s="60" t="s">
        <v>36</v>
      </c>
      <c r="K305" s="60">
        <v>0.13250000000000001</v>
      </c>
      <c r="L305" s="60" t="s">
        <v>726</v>
      </c>
      <c r="M305" s="60" t="s">
        <v>103</v>
      </c>
      <c r="N305" s="63" t="s">
        <v>656</v>
      </c>
      <c r="O305" s="59"/>
      <c r="P305" s="59" t="s">
        <v>274</v>
      </c>
      <c r="Q305" s="745">
        <v>40.258200000000002</v>
      </c>
      <c r="R305" s="637">
        <v>-86.706000000000003</v>
      </c>
      <c r="S305" s="59" t="s">
        <v>63</v>
      </c>
      <c r="T305" s="59"/>
      <c r="U305" s="59" t="s">
        <v>51</v>
      </c>
      <c r="V305" s="58"/>
      <c r="W305" s="65">
        <f>IF(AC305="Intr",0,G305*Definitions!$B$53)</f>
        <v>3180</v>
      </c>
      <c r="X305" s="65">
        <f>IF(AC305="Intr",0,G305*Definitions!$B$54)</f>
        <v>14839.999999999998</v>
      </c>
      <c r="Y305" s="65">
        <f>IF(AC305="Intr",G305,G305*Definitions!$B$55)</f>
        <v>3180</v>
      </c>
      <c r="Z305" s="65" t="s">
        <v>966</v>
      </c>
      <c r="AA305" s="65" t="s">
        <v>963</v>
      </c>
      <c r="AB305" s="65" t="s">
        <v>970</v>
      </c>
      <c r="AC305" s="59"/>
      <c r="AD305" s="59"/>
      <c r="AE305" s="59"/>
      <c r="AF305" s="59"/>
      <c r="AG305" s="66"/>
      <c r="AH305" s="59" t="s">
        <v>658</v>
      </c>
    </row>
    <row r="306" spans="1:34" x14ac:dyDescent="0.2">
      <c r="A306" s="191">
        <v>44229</v>
      </c>
      <c r="B306" s="192" t="s">
        <v>163</v>
      </c>
      <c r="C306" s="192">
        <v>2021</v>
      </c>
      <c r="D306" s="192" t="s">
        <v>8</v>
      </c>
      <c r="E306" s="193">
        <v>-0.85</v>
      </c>
      <c r="F306" s="193" t="s">
        <v>32</v>
      </c>
      <c r="G306" s="194">
        <v>68000</v>
      </c>
      <c r="H306" s="195">
        <v>187</v>
      </c>
      <c r="I306" s="193" t="s">
        <v>81</v>
      </c>
      <c r="J306" s="193" t="s">
        <v>36</v>
      </c>
      <c r="K306" s="193">
        <v>0.85</v>
      </c>
      <c r="L306" s="193" t="s">
        <v>659</v>
      </c>
      <c r="M306" s="193" t="s">
        <v>103</v>
      </c>
      <c r="N306" s="196" t="s">
        <v>660</v>
      </c>
      <c r="O306" s="192"/>
      <c r="P306" s="192" t="s">
        <v>121</v>
      </c>
      <c r="Q306" s="764">
        <v>39.814500000000002</v>
      </c>
      <c r="R306" s="662">
        <v>-85.920900000000003</v>
      </c>
      <c r="S306" s="192" t="s">
        <v>61</v>
      </c>
      <c r="T306" s="192"/>
      <c r="U306" s="192" t="s">
        <v>51</v>
      </c>
      <c r="V306" s="191"/>
      <c r="W306" s="197">
        <f>IF(AC306="Intr",0,G306*Definitions!$B$53)</f>
        <v>10200</v>
      </c>
      <c r="X306" s="197">
        <f>IF(AC306="Intr",0,G306*Definitions!$B$54)</f>
        <v>47600</v>
      </c>
      <c r="Y306" s="197">
        <f>IF(AC306="Intr",G306,G306*Definitions!$B$55)</f>
        <v>10200</v>
      </c>
      <c r="Z306" s="197" t="s">
        <v>966</v>
      </c>
      <c r="AA306" s="197" t="s">
        <v>963</v>
      </c>
      <c r="AB306" s="197" t="s">
        <v>969</v>
      </c>
      <c r="AC306" s="192"/>
      <c r="AD306" s="192"/>
      <c r="AE306" s="192"/>
      <c r="AF306" s="192"/>
      <c r="AG306" s="198"/>
      <c r="AH306" s="192" t="s">
        <v>661</v>
      </c>
    </row>
    <row r="307" spans="1:34" ht="17.100000000000001" customHeight="1" x14ac:dyDescent="0.2">
      <c r="A307" s="176">
        <v>44235</v>
      </c>
      <c r="B307" s="38" t="s">
        <v>163</v>
      </c>
      <c r="C307" s="38">
        <v>2021</v>
      </c>
      <c r="D307" s="38" t="s">
        <v>1</v>
      </c>
      <c r="E307" s="177">
        <v>-0.83</v>
      </c>
      <c r="F307" s="177" t="s">
        <v>32</v>
      </c>
      <c r="G307" s="178">
        <v>78850</v>
      </c>
      <c r="H307" s="179">
        <v>171</v>
      </c>
      <c r="I307" s="177" t="s">
        <v>81</v>
      </c>
      <c r="J307" s="177" t="s">
        <v>36</v>
      </c>
      <c r="K307" s="177">
        <v>0.83</v>
      </c>
      <c r="L307" s="177" t="s">
        <v>662</v>
      </c>
      <c r="M307" s="177" t="s">
        <v>103</v>
      </c>
      <c r="N307" s="70" t="s">
        <v>663</v>
      </c>
      <c r="O307" s="38"/>
      <c r="P307" s="38" t="s">
        <v>227</v>
      </c>
      <c r="Q307" s="760">
        <v>41.606099999999998</v>
      </c>
      <c r="R307" s="590">
        <v>-87.476979999999998</v>
      </c>
      <c r="S307" s="38" t="s">
        <v>63</v>
      </c>
      <c r="T307" s="38"/>
      <c r="U307" s="38" t="s">
        <v>51</v>
      </c>
      <c r="V307" s="37"/>
      <c r="W307" s="180">
        <f>IF(AC307="Intr",0,G307*Definitions!$B$53)</f>
        <v>11827.5</v>
      </c>
      <c r="X307" s="180">
        <f>IF(AC307="Intr",0,G307*Definitions!$B$54)</f>
        <v>55195</v>
      </c>
      <c r="Y307" s="180">
        <f>IF(AC307="Intr",G307,G307*Definitions!$B$55)</f>
        <v>11827.5</v>
      </c>
      <c r="Z307" s="180" t="s">
        <v>967</v>
      </c>
      <c r="AA307" s="180" t="s">
        <v>963</v>
      </c>
      <c r="AB307" s="180" t="s">
        <v>969</v>
      </c>
      <c r="AC307" s="38"/>
      <c r="AD307" s="38"/>
      <c r="AE307" s="38"/>
      <c r="AF307" s="38"/>
      <c r="AG307" s="40"/>
      <c r="AH307" s="38" t="s">
        <v>664</v>
      </c>
    </row>
    <row r="308" spans="1:34" x14ac:dyDescent="0.2">
      <c r="A308" s="274">
        <v>44235</v>
      </c>
      <c r="B308" s="275" t="s">
        <v>163</v>
      </c>
      <c r="C308" s="275">
        <v>2021</v>
      </c>
      <c r="D308" s="275" t="s">
        <v>5</v>
      </c>
      <c r="E308" s="276">
        <v>-7.4999999999999997E-2</v>
      </c>
      <c r="F308" s="276" t="s">
        <v>32</v>
      </c>
      <c r="G308" s="277">
        <v>6000</v>
      </c>
      <c r="H308" s="278">
        <v>183</v>
      </c>
      <c r="I308" s="276" t="s">
        <v>81</v>
      </c>
      <c r="J308" s="276" t="s">
        <v>38</v>
      </c>
      <c r="K308" s="276">
        <v>0.03</v>
      </c>
      <c r="L308" s="276" t="s">
        <v>668</v>
      </c>
      <c r="M308" s="276" t="s">
        <v>103</v>
      </c>
      <c r="N308" s="279" t="s">
        <v>669</v>
      </c>
      <c r="O308" s="275"/>
      <c r="P308" s="275" t="s">
        <v>255</v>
      </c>
      <c r="Q308" s="755">
        <v>41.087142</v>
      </c>
      <c r="R308" s="657">
        <v>-85.294747999999998</v>
      </c>
      <c r="S308" s="275" t="s">
        <v>61</v>
      </c>
      <c r="T308" s="275"/>
      <c r="U308" s="275" t="s">
        <v>51</v>
      </c>
      <c r="V308" s="274"/>
      <c r="W308" s="280">
        <f>IF(AC308="Intr",0,G308*Definitions!$B$53)</f>
        <v>900</v>
      </c>
      <c r="X308" s="280">
        <f>IF(AC308="Intr",0,G308*Definitions!$B$54)</f>
        <v>4200</v>
      </c>
      <c r="Y308" s="280">
        <f>IF(AC308="Intr",G308,G308*Definitions!$B$55)</f>
        <v>900</v>
      </c>
      <c r="Z308" s="280" t="s">
        <v>964</v>
      </c>
      <c r="AA308" s="280" t="s">
        <v>963</v>
      </c>
      <c r="AB308" s="280" t="s">
        <v>971</v>
      </c>
      <c r="AC308" s="275"/>
      <c r="AD308" s="275"/>
      <c r="AE308" s="275"/>
      <c r="AF308" s="275"/>
      <c r="AG308" s="281"/>
      <c r="AH308" s="275" t="s">
        <v>670</v>
      </c>
    </row>
    <row r="309" spans="1:34" x14ac:dyDescent="0.2">
      <c r="A309" s="88">
        <v>44243</v>
      </c>
      <c r="B309" s="89" t="s">
        <v>163</v>
      </c>
      <c r="C309" s="89">
        <v>2021</v>
      </c>
      <c r="D309" s="89" t="s">
        <v>2</v>
      </c>
      <c r="E309" s="90">
        <v>-0.16</v>
      </c>
      <c r="F309" s="90" t="s">
        <v>32</v>
      </c>
      <c r="G309" s="91">
        <v>15200</v>
      </c>
      <c r="H309" s="92">
        <v>190</v>
      </c>
      <c r="I309" s="90" t="s">
        <v>80</v>
      </c>
      <c r="J309" s="90" t="s">
        <v>36</v>
      </c>
      <c r="K309" s="90">
        <v>0.08</v>
      </c>
      <c r="L309" s="90" t="s">
        <v>260</v>
      </c>
      <c r="M309" s="90" t="s">
        <v>671</v>
      </c>
      <c r="N309" s="93" t="s">
        <v>672</v>
      </c>
      <c r="O309" s="89"/>
      <c r="P309" s="89" t="s">
        <v>385</v>
      </c>
      <c r="Q309" s="735">
        <v>41.511557000000003</v>
      </c>
      <c r="R309" s="649">
        <v>-87.027777</v>
      </c>
      <c r="S309" s="89" t="s">
        <v>61</v>
      </c>
      <c r="T309" s="89"/>
      <c r="U309" s="89" t="s">
        <v>51</v>
      </c>
      <c r="V309" s="88"/>
      <c r="W309" s="95">
        <f>IF(AC309="Intr",0,G309*Definitions!$B$53)</f>
        <v>2280</v>
      </c>
      <c r="X309" s="95">
        <f>IF(AC309="Intr",0,G309*Definitions!$B$54)</f>
        <v>10640</v>
      </c>
      <c r="Y309" s="95">
        <f>IF(AC309="Intr",G309,G309*Definitions!$B$55)</f>
        <v>2280</v>
      </c>
      <c r="Z309" s="95" t="s">
        <v>967</v>
      </c>
      <c r="AA309" s="95" t="s">
        <v>965</v>
      </c>
      <c r="AB309" s="95"/>
      <c r="AC309" s="89"/>
      <c r="AD309" s="89"/>
      <c r="AE309" s="89"/>
      <c r="AF309" s="89"/>
      <c r="AG309" s="96"/>
      <c r="AH309" s="89" t="s">
        <v>648</v>
      </c>
    </row>
    <row r="310" spans="1:34" x14ac:dyDescent="0.2">
      <c r="A310" s="33">
        <v>44249</v>
      </c>
      <c r="B310" s="34" t="s">
        <v>163</v>
      </c>
      <c r="C310" s="34">
        <v>2021</v>
      </c>
      <c r="D310" s="34" t="s">
        <v>5</v>
      </c>
      <c r="E310" s="271">
        <v>-0.15</v>
      </c>
      <c r="F310" s="271" t="s">
        <v>32</v>
      </c>
      <c r="G310" s="272">
        <v>12000</v>
      </c>
      <c r="H310" s="273">
        <v>191</v>
      </c>
      <c r="I310" s="271" t="s">
        <v>81</v>
      </c>
      <c r="J310" s="271" t="s">
        <v>38</v>
      </c>
      <c r="K310" s="271">
        <v>0.06</v>
      </c>
      <c r="L310" s="271" t="s">
        <v>673</v>
      </c>
      <c r="M310" s="271" t="s">
        <v>103</v>
      </c>
      <c r="N310" s="116" t="s">
        <v>674</v>
      </c>
      <c r="O310" s="34"/>
      <c r="P310" s="34" t="s">
        <v>255</v>
      </c>
      <c r="Q310" s="773">
        <v>41.129221000000001</v>
      </c>
      <c r="R310" s="592">
        <v>-85.220174</v>
      </c>
      <c r="S310" s="34" t="s">
        <v>61</v>
      </c>
      <c r="T310" s="34"/>
      <c r="U310" s="34" t="s">
        <v>51</v>
      </c>
      <c r="V310" s="33"/>
      <c r="W310" s="35">
        <f>IF(AC310="Intr",0,G310*Definitions!$B$53)</f>
        <v>1800</v>
      </c>
      <c r="X310" s="35">
        <f>IF(AC310="Intr",0,G310*Definitions!$B$54)</f>
        <v>8400</v>
      </c>
      <c r="Y310" s="35">
        <f>IF(AC310="Intr",G310,G310*Definitions!$B$55)</f>
        <v>1800</v>
      </c>
      <c r="Z310" s="35" t="s">
        <v>964</v>
      </c>
      <c r="AA310" s="35" t="s">
        <v>963</v>
      </c>
      <c r="AB310" s="35" t="s">
        <v>971</v>
      </c>
      <c r="AC310" s="34"/>
      <c r="AD310" s="34"/>
      <c r="AE310" s="34"/>
      <c r="AF310" s="34"/>
      <c r="AG310" s="36"/>
      <c r="AH310" s="34" t="s">
        <v>670</v>
      </c>
    </row>
    <row r="311" spans="1:34" x14ac:dyDescent="0.2">
      <c r="A311" s="160">
        <v>44263</v>
      </c>
      <c r="B311" s="161" t="s">
        <v>173</v>
      </c>
      <c r="C311" s="161">
        <v>2021</v>
      </c>
      <c r="D311" s="161" t="s">
        <v>3</v>
      </c>
      <c r="E311" s="162">
        <v>-0.79</v>
      </c>
      <c r="F311" s="162" t="s">
        <v>32</v>
      </c>
      <c r="G311" s="163">
        <v>94800</v>
      </c>
      <c r="H311" s="164">
        <v>195</v>
      </c>
      <c r="I311" s="162" t="s">
        <v>80</v>
      </c>
      <c r="J311" s="162" t="s">
        <v>36</v>
      </c>
      <c r="K311" s="162">
        <v>0.66</v>
      </c>
      <c r="L311" s="162" t="s">
        <v>675</v>
      </c>
      <c r="M311" s="162" t="s">
        <v>676</v>
      </c>
      <c r="N311" s="165" t="s">
        <v>677</v>
      </c>
      <c r="O311" s="161"/>
      <c r="P311" s="161" t="s">
        <v>515</v>
      </c>
      <c r="Q311" s="741">
        <v>41.66413</v>
      </c>
      <c r="R311" s="654">
        <v>-86.180869999999999</v>
      </c>
      <c r="S311" s="161" t="s">
        <v>61</v>
      </c>
      <c r="T311" s="161"/>
      <c r="U311" s="161" t="s">
        <v>51</v>
      </c>
      <c r="V311" s="160"/>
      <c r="W311" s="166">
        <f>IF(AC311="Intr",0,G311*Definitions!$B$53)</f>
        <v>14220</v>
      </c>
      <c r="X311" s="166">
        <f>IF(AC311="Intr",0,G311*Definitions!$B$54)</f>
        <v>66360</v>
      </c>
      <c r="Y311" s="166">
        <f>IF(AC311="Intr",G311,G311*Definitions!$B$55)</f>
        <v>14220</v>
      </c>
      <c r="Z311" s="166" t="s">
        <v>964</v>
      </c>
      <c r="AA311" s="166" t="s">
        <v>965</v>
      </c>
      <c r="AB311" s="166"/>
      <c r="AC311" s="161"/>
      <c r="AD311" s="161"/>
      <c r="AE311" s="161"/>
      <c r="AF311" s="161"/>
      <c r="AG311" s="167"/>
      <c r="AH311" s="161" t="s">
        <v>678</v>
      </c>
    </row>
    <row r="312" spans="1:34" x14ac:dyDescent="0.2">
      <c r="A312" s="296">
        <v>44263</v>
      </c>
      <c r="B312" s="297" t="s">
        <v>173</v>
      </c>
      <c r="C312" s="297">
        <v>2021</v>
      </c>
      <c r="D312" s="297" t="s">
        <v>10</v>
      </c>
      <c r="E312" s="298">
        <v>-0.2</v>
      </c>
      <c r="F312" s="298" t="s">
        <v>32</v>
      </c>
      <c r="G312" s="299">
        <v>16000</v>
      </c>
      <c r="H312" s="300">
        <v>192</v>
      </c>
      <c r="I312" s="298" t="s">
        <v>81</v>
      </c>
      <c r="J312" s="298" t="s">
        <v>36</v>
      </c>
      <c r="K312" s="298">
        <v>8.8999999999999996E-2</v>
      </c>
      <c r="L312" s="298" t="s">
        <v>685</v>
      </c>
      <c r="M312" s="298" t="s">
        <v>103</v>
      </c>
      <c r="N312" s="301" t="s">
        <v>686</v>
      </c>
      <c r="O312" s="297"/>
      <c r="P312" s="297" t="s">
        <v>129</v>
      </c>
      <c r="Q312" s="766">
        <v>38.346536999999998</v>
      </c>
      <c r="R312" s="664">
        <v>-85.932128000000006</v>
      </c>
      <c r="S312" s="297" t="s">
        <v>61</v>
      </c>
      <c r="T312" s="297"/>
      <c r="U312" s="297" t="s">
        <v>51</v>
      </c>
      <c r="V312" s="296"/>
      <c r="W312" s="302">
        <f>IF(AC312="Intr",0,G312*Definitions!$B$53)</f>
        <v>2400</v>
      </c>
      <c r="X312" s="302">
        <f>IF(AC312="Intr",0,G312*Definitions!$B$54)</f>
        <v>11200</v>
      </c>
      <c r="Y312" s="302">
        <f>IF(AC312="Intr",G312,G312*Definitions!$B$55)</f>
        <v>2400</v>
      </c>
      <c r="Z312" s="302" t="s">
        <v>966</v>
      </c>
      <c r="AA312" s="302" t="s">
        <v>963</v>
      </c>
      <c r="AB312" s="302" t="s">
        <v>970</v>
      </c>
      <c r="AC312" s="297"/>
      <c r="AD312" s="297"/>
      <c r="AE312" s="297"/>
      <c r="AF312" s="297"/>
      <c r="AG312" s="303"/>
      <c r="AH312" s="297" t="s">
        <v>687</v>
      </c>
    </row>
    <row r="313" spans="1:34" x14ac:dyDescent="0.2">
      <c r="A313" s="191">
        <v>44263</v>
      </c>
      <c r="B313" s="192" t="s">
        <v>173</v>
      </c>
      <c r="C313" s="192">
        <v>2021</v>
      </c>
      <c r="D313" s="192" t="s">
        <v>10</v>
      </c>
      <c r="E313" s="193">
        <v>-2.23</v>
      </c>
      <c r="F313" s="193" t="s">
        <v>32</v>
      </c>
      <c r="G313" s="194">
        <v>178400</v>
      </c>
      <c r="H313" s="195">
        <v>180</v>
      </c>
      <c r="I313" s="193" t="s">
        <v>80</v>
      </c>
      <c r="J313" s="193" t="s">
        <v>36</v>
      </c>
      <c r="K313" s="193">
        <v>0.92800000000000005</v>
      </c>
      <c r="L313" s="193" t="s">
        <v>688</v>
      </c>
      <c r="M313" s="193" t="s">
        <v>689</v>
      </c>
      <c r="N313" s="196" t="s">
        <v>690</v>
      </c>
      <c r="O313" s="192"/>
      <c r="P313" s="192" t="s">
        <v>84</v>
      </c>
      <c r="Q313" s="764">
        <v>38.34666</v>
      </c>
      <c r="R313" s="662">
        <v>-85.713571000000002</v>
      </c>
      <c r="S313" s="192" t="s">
        <v>61</v>
      </c>
      <c r="T313" s="192"/>
      <c r="U313" s="192" t="s">
        <v>51</v>
      </c>
      <c r="V313" s="191"/>
      <c r="W313" s="197">
        <f>IF(AC313="Intr",0,G313*Definitions!$B$53)</f>
        <v>26760</v>
      </c>
      <c r="X313" s="197">
        <f>IF(AC313="Intr",0,G313*Definitions!$B$54)</f>
        <v>124879.99999999999</v>
      </c>
      <c r="Y313" s="197">
        <f>IF(AC313="Intr",G313,G313*Definitions!$B$55)</f>
        <v>26760</v>
      </c>
      <c r="Z313" s="197" t="s">
        <v>966</v>
      </c>
      <c r="AA313" s="197" t="s">
        <v>965</v>
      </c>
      <c r="AB313" s="197"/>
      <c r="AC313" s="192"/>
      <c r="AD313" s="192"/>
      <c r="AE313" s="192"/>
      <c r="AF313" s="192"/>
      <c r="AG313" s="198"/>
      <c r="AH313" s="192" t="s">
        <v>1128</v>
      </c>
    </row>
    <row r="314" spans="1:34" x14ac:dyDescent="0.2">
      <c r="A314" s="191">
        <v>44263</v>
      </c>
      <c r="B314" s="192" t="s">
        <v>173</v>
      </c>
      <c r="C314" s="192">
        <v>2021</v>
      </c>
      <c r="D314" s="192" t="s">
        <v>10</v>
      </c>
      <c r="E314" s="193">
        <v>-132</v>
      </c>
      <c r="F314" s="193" t="s">
        <v>33</v>
      </c>
      <c r="G314" s="194">
        <v>52800</v>
      </c>
      <c r="H314" s="195">
        <v>180</v>
      </c>
      <c r="I314" s="193" t="s">
        <v>80</v>
      </c>
      <c r="J314" s="193" t="s">
        <v>41</v>
      </c>
      <c r="K314" s="193">
        <v>220</v>
      </c>
      <c r="L314" s="193" t="s">
        <v>688</v>
      </c>
      <c r="M314" s="193" t="s">
        <v>689</v>
      </c>
      <c r="N314" s="196" t="s">
        <v>690</v>
      </c>
      <c r="O314" s="192"/>
      <c r="P314" s="192" t="s">
        <v>84</v>
      </c>
      <c r="Q314" s="764">
        <v>38.34666</v>
      </c>
      <c r="R314" s="662">
        <v>-85.713571000000002</v>
      </c>
      <c r="S314" s="192" t="s">
        <v>61</v>
      </c>
      <c r="T314" s="192"/>
      <c r="U314" s="192" t="s">
        <v>51</v>
      </c>
      <c r="V314" s="191"/>
      <c r="W314" s="197">
        <f>IF(AC314="Intr",0,G314*Definitions!$B$53)</f>
        <v>7920</v>
      </c>
      <c r="X314" s="197">
        <f>IF(AC314="Intr",0,G314*Definitions!$B$54)</f>
        <v>36960</v>
      </c>
      <c r="Y314" s="197">
        <f>IF(AC314="Intr",G314,G314*Definitions!$B$55)</f>
        <v>7920</v>
      </c>
      <c r="Z314" s="197" t="s">
        <v>966</v>
      </c>
      <c r="AA314" s="197" t="s">
        <v>965</v>
      </c>
      <c r="AB314" s="197"/>
      <c r="AC314" s="192"/>
      <c r="AD314" s="192"/>
      <c r="AE314" s="192"/>
      <c r="AF314" s="192"/>
      <c r="AG314" s="198"/>
      <c r="AH314" s="192" t="s">
        <v>1128</v>
      </c>
    </row>
    <row r="315" spans="1:34" x14ac:dyDescent="0.2">
      <c r="A315" s="145">
        <v>44263</v>
      </c>
      <c r="B315" s="112" t="s">
        <v>173</v>
      </c>
      <c r="C315" s="112">
        <v>2021</v>
      </c>
      <c r="D315" s="112" t="s">
        <v>7</v>
      </c>
      <c r="E315" s="146">
        <v>-0.36</v>
      </c>
      <c r="F315" s="146" t="s">
        <v>32</v>
      </c>
      <c r="G315" s="147">
        <v>28800</v>
      </c>
      <c r="H315" s="148">
        <v>185</v>
      </c>
      <c r="I315" s="146" t="s">
        <v>81</v>
      </c>
      <c r="J315" s="146" t="s">
        <v>36</v>
      </c>
      <c r="K315" s="146">
        <v>0.36</v>
      </c>
      <c r="L315" s="146" t="s">
        <v>679</v>
      </c>
      <c r="M315" s="146" t="s">
        <v>103</v>
      </c>
      <c r="N315" s="149" t="s">
        <v>680</v>
      </c>
      <c r="O315" s="112"/>
      <c r="P315" s="112" t="s">
        <v>121</v>
      </c>
      <c r="Q315" s="729">
        <v>39.889200000000002</v>
      </c>
      <c r="R315" s="591">
        <v>-85.929500000000004</v>
      </c>
      <c r="S315" s="112" t="s">
        <v>61</v>
      </c>
      <c r="T315" s="112"/>
      <c r="U315" s="112" t="s">
        <v>51</v>
      </c>
      <c r="V315" s="145"/>
      <c r="W315" s="150">
        <f>IF(AC315="Intr",0,G315*Definitions!$B$53)</f>
        <v>4320</v>
      </c>
      <c r="X315" s="150">
        <f>IF(AC315="Intr",0,G315*Definitions!$B$54)</f>
        <v>20160</v>
      </c>
      <c r="Y315" s="150">
        <f>IF(AC315="Intr",G315,G315*Definitions!$B$55)</f>
        <v>4320</v>
      </c>
      <c r="Z315" s="150" t="s">
        <v>966</v>
      </c>
      <c r="AA315" s="150" t="s">
        <v>963</v>
      </c>
      <c r="AB315" s="150" t="s">
        <v>969</v>
      </c>
      <c r="AC315" s="112"/>
      <c r="AD315" s="112"/>
      <c r="AE315" s="112"/>
      <c r="AF315" s="112"/>
      <c r="AG315" s="151"/>
      <c r="AH315" s="112" t="s">
        <v>681</v>
      </c>
    </row>
    <row r="316" spans="1:34" x14ac:dyDescent="0.2">
      <c r="A316" s="288">
        <v>44263</v>
      </c>
      <c r="B316" s="289" t="s">
        <v>173</v>
      </c>
      <c r="C316" s="289">
        <v>2021</v>
      </c>
      <c r="D316" s="289" t="s">
        <v>7</v>
      </c>
      <c r="E316" s="331">
        <v>-3.375</v>
      </c>
      <c r="F316" s="331" t="s">
        <v>32</v>
      </c>
      <c r="G316" s="332">
        <v>270000</v>
      </c>
      <c r="H316" s="333">
        <v>200</v>
      </c>
      <c r="I316" s="331" t="s">
        <v>81</v>
      </c>
      <c r="J316" s="331" t="s">
        <v>38</v>
      </c>
      <c r="K316" s="331">
        <v>1.35</v>
      </c>
      <c r="L316" s="331" t="s">
        <v>682</v>
      </c>
      <c r="M316" s="331" t="s">
        <v>103</v>
      </c>
      <c r="N316" s="290" t="s">
        <v>683</v>
      </c>
      <c r="O316" s="289"/>
      <c r="P316" s="289" t="s">
        <v>162</v>
      </c>
      <c r="Q316" s="733">
        <v>39.662700000000001</v>
      </c>
      <c r="R316" s="647">
        <v>-86.3733</v>
      </c>
      <c r="S316" s="289" t="s">
        <v>61</v>
      </c>
      <c r="T316" s="289"/>
      <c r="U316" s="289" t="s">
        <v>51</v>
      </c>
      <c r="V316" s="288"/>
      <c r="W316" s="293">
        <f>IF(AC316="Intr",0,G316*Definitions!$B$53)</f>
        <v>40500</v>
      </c>
      <c r="X316" s="293">
        <f>IF(AC316="Intr",0,G316*Definitions!$B$54)</f>
        <v>189000</v>
      </c>
      <c r="Y316" s="293">
        <f>IF(AC316="Intr",G316,G316*Definitions!$B$55)</f>
        <v>40500</v>
      </c>
      <c r="Z316" s="293" t="s">
        <v>966</v>
      </c>
      <c r="AA316" s="293" t="s">
        <v>963</v>
      </c>
      <c r="AB316" s="293" t="s">
        <v>971</v>
      </c>
      <c r="AC316" s="289"/>
      <c r="AD316" s="289"/>
      <c r="AE316" s="289"/>
      <c r="AF316" s="289"/>
      <c r="AG316" s="294"/>
      <c r="AH316" s="289" t="s">
        <v>634</v>
      </c>
    </row>
    <row r="317" spans="1:34" x14ac:dyDescent="0.2">
      <c r="A317" s="288">
        <v>44263</v>
      </c>
      <c r="B317" s="289" t="s">
        <v>173</v>
      </c>
      <c r="C317" s="289">
        <v>2021</v>
      </c>
      <c r="D317" s="289" t="s">
        <v>7</v>
      </c>
      <c r="E317" s="331">
        <v>-0.09</v>
      </c>
      <c r="F317" s="331" t="s">
        <v>32</v>
      </c>
      <c r="G317" s="332">
        <v>7200</v>
      </c>
      <c r="H317" s="333">
        <v>200</v>
      </c>
      <c r="I317" s="331" t="s">
        <v>81</v>
      </c>
      <c r="J317" s="331" t="s">
        <v>36</v>
      </c>
      <c r="K317" s="331">
        <v>0.09</v>
      </c>
      <c r="L317" s="331" t="s">
        <v>682</v>
      </c>
      <c r="M317" s="331" t="s">
        <v>103</v>
      </c>
      <c r="N317" s="290" t="s">
        <v>684</v>
      </c>
      <c r="O317" s="289"/>
      <c r="P317" s="289" t="s">
        <v>162</v>
      </c>
      <c r="Q317" s="733">
        <v>39.662700000000001</v>
      </c>
      <c r="R317" s="647">
        <v>-86.3733</v>
      </c>
      <c r="S317" s="289" t="s">
        <v>61</v>
      </c>
      <c r="T317" s="289"/>
      <c r="U317" s="289" t="s">
        <v>51</v>
      </c>
      <c r="V317" s="288"/>
      <c r="W317" s="293">
        <f>IF(AC317="Intr",0,G317*Definitions!$B$53)</f>
        <v>1080</v>
      </c>
      <c r="X317" s="293">
        <f>IF(AC317="Intr",0,G317*Definitions!$B$54)</f>
        <v>5040</v>
      </c>
      <c r="Y317" s="293">
        <f>IF(AC317="Intr",G317,G317*Definitions!$B$55)</f>
        <v>1080</v>
      </c>
      <c r="Z317" s="293" t="s">
        <v>966</v>
      </c>
      <c r="AA317" s="293" t="s">
        <v>963</v>
      </c>
      <c r="AB317" s="293" t="s">
        <v>969</v>
      </c>
      <c r="AC317" s="289"/>
      <c r="AD317" s="289"/>
      <c r="AE317" s="289"/>
      <c r="AF317" s="289"/>
      <c r="AG317" s="294"/>
      <c r="AH317" s="289" t="s">
        <v>681</v>
      </c>
    </row>
    <row r="318" spans="1:34" x14ac:dyDescent="0.2">
      <c r="A318" s="160">
        <v>44270</v>
      </c>
      <c r="B318" s="161" t="s">
        <v>173</v>
      </c>
      <c r="C318" s="161">
        <v>2021</v>
      </c>
      <c r="D318" s="161" t="s">
        <v>8</v>
      </c>
      <c r="E318" s="162">
        <v>-1150</v>
      </c>
      <c r="F318" s="162" t="s">
        <v>33</v>
      </c>
      <c r="G318" s="163">
        <v>460000</v>
      </c>
      <c r="H318" s="164">
        <v>186</v>
      </c>
      <c r="I318" s="162" t="s">
        <v>80</v>
      </c>
      <c r="J318" s="162" t="s">
        <v>40</v>
      </c>
      <c r="K318" s="162">
        <v>759</v>
      </c>
      <c r="L318" s="162" t="s">
        <v>691</v>
      </c>
      <c r="M318" s="162" t="s">
        <v>692</v>
      </c>
      <c r="N318" s="165" t="s">
        <v>693</v>
      </c>
      <c r="O318" s="161"/>
      <c r="P318" s="161" t="s">
        <v>356</v>
      </c>
      <c r="Q318" s="741">
        <v>38.985688000000003</v>
      </c>
      <c r="R318" s="654">
        <v>-85.727684999999994</v>
      </c>
      <c r="S318" s="161" t="s">
        <v>61</v>
      </c>
      <c r="T318" s="161"/>
      <c r="U318" s="161" t="s">
        <v>51</v>
      </c>
      <c r="V318" s="160"/>
      <c r="W318" s="166">
        <f>IF(AC318="Intr",0,G318*Definitions!$B$53)</f>
        <v>69000</v>
      </c>
      <c r="X318" s="166">
        <f>IF(AC318="Intr",0,G318*Definitions!$B$54)</f>
        <v>322000</v>
      </c>
      <c r="Y318" s="166">
        <f>IF(AC318="Intr",G318,G318*Definitions!$B$55)</f>
        <v>69000</v>
      </c>
      <c r="Z318" s="166" t="s">
        <v>966</v>
      </c>
      <c r="AA318" s="166" t="s">
        <v>965</v>
      </c>
      <c r="AB318" s="166"/>
      <c r="AC318" s="161"/>
      <c r="AD318" s="161"/>
      <c r="AE318" s="161"/>
      <c r="AF318" s="161"/>
      <c r="AG318" s="167"/>
      <c r="AH318" s="161"/>
    </row>
    <row r="319" spans="1:34" x14ac:dyDescent="0.2">
      <c r="A319" s="58">
        <v>44272</v>
      </c>
      <c r="B319" s="59" t="s">
        <v>173</v>
      </c>
      <c r="C319" s="59">
        <v>2021</v>
      </c>
      <c r="D319" s="59" t="s">
        <v>2</v>
      </c>
      <c r="E319" s="60">
        <v>-194</v>
      </c>
      <c r="F319" s="60" t="s">
        <v>33</v>
      </c>
      <c r="G319" s="61">
        <v>97000</v>
      </c>
      <c r="H319" s="62">
        <v>176</v>
      </c>
      <c r="I319" s="60" t="s">
        <v>80</v>
      </c>
      <c r="J319" s="60" t="s">
        <v>40</v>
      </c>
      <c r="K319" s="60">
        <v>194</v>
      </c>
      <c r="L319" s="60" t="s">
        <v>726</v>
      </c>
      <c r="M319" s="60" t="s">
        <v>706</v>
      </c>
      <c r="N319" s="63" t="s">
        <v>708</v>
      </c>
      <c r="O319" s="59"/>
      <c r="P319" s="59" t="s">
        <v>385</v>
      </c>
      <c r="Q319" s="745">
        <v>41.400540200000002</v>
      </c>
      <c r="R319" s="637">
        <v>-87.158702300000002</v>
      </c>
      <c r="S319" s="59" t="s">
        <v>63</v>
      </c>
      <c r="T319" s="59"/>
      <c r="U319" s="59" t="s">
        <v>51</v>
      </c>
      <c r="V319" s="58"/>
      <c r="W319" s="65">
        <f>IF(AC319="Intr",0,G319*Definitions!$B$53)</f>
        <v>14550</v>
      </c>
      <c r="X319" s="65">
        <f>IF(AC319="Intr",0,G319*Definitions!$B$54)</f>
        <v>67900</v>
      </c>
      <c r="Y319" s="65">
        <f>IF(AC319="Intr",G319,G319*Definitions!$B$55)</f>
        <v>14550</v>
      </c>
      <c r="Z319" s="65" t="s">
        <v>967</v>
      </c>
      <c r="AA319" s="65" t="s">
        <v>965</v>
      </c>
      <c r="AB319" s="65"/>
      <c r="AC319" s="59"/>
      <c r="AD319" s="59"/>
      <c r="AE319" s="59"/>
      <c r="AF319" s="59"/>
      <c r="AG319" s="66"/>
      <c r="AH319" s="59"/>
    </row>
    <row r="320" spans="1:34" x14ac:dyDescent="0.2">
      <c r="A320" s="58">
        <v>44272</v>
      </c>
      <c r="B320" s="59" t="s">
        <v>173</v>
      </c>
      <c r="C320" s="59">
        <v>2021</v>
      </c>
      <c r="D320" s="59" t="s">
        <v>2</v>
      </c>
      <c r="E320" s="60">
        <v>-140</v>
      </c>
      <c r="F320" s="60" t="s">
        <v>33</v>
      </c>
      <c r="G320" s="61">
        <v>70000</v>
      </c>
      <c r="H320" s="62">
        <v>176</v>
      </c>
      <c r="I320" s="60" t="s">
        <v>80</v>
      </c>
      <c r="J320" s="60" t="s">
        <v>39</v>
      </c>
      <c r="K320" s="60">
        <v>140</v>
      </c>
      <c r="L320" s="60" t="s">
        <v>726</v>
      </c>
      <c r="M320" s="60" t="s">
        <v>707</v>
      </c>
      <c r="N320" s="63" t="s">
        <v>708</v>
      </c>
      <c r="O320" s="59"/>
      <c r="P320" s="59" t="s">
        <v>385</v>
      </c>
      <c r="Q320" s="745">
        <v>41.400540200000002</v>
      </c>
      <c r="R320" s="637">
        <v>-87.158702300000002</v>
      </c>
      <c r="S320" s="59" t="s">
        <v>63</v>
      </c>
      <c r="T320" s="59"/>
      <c r="U320" s="59" t="s">
        <v>51</v>
      </c>
      <c r="V320" s="58"/>
      <c r="W320" s="65">
        <f>IF(AC320="Intr",0,G320*Definitions!$B$53)</f>
        <v>10500</v>
      </c>
      <c r="X320" s="65">
        <f>IF(AC320="Intr",0,G320*Definitions!$B$54)</f>
        <v>49000</v>
      </c>
      <c r="Y320" s="65">
        <f>IF(AC320="Intr",G320,G320*Definitions!$B$55)</f>
        <v>10500</v>
      </c>
      <c r="Z320" s="65" t="s">
        <v>967</v>
      </c>
      <c r="AA320" s="65" t="s">
        <v>965</v>
      </c>
      <c r="AB320" s="65"/>
      <c r="AC320" s="59"/>
      <c r="AD320" s="59"/>
      <c r="AE320" s="59"/>
      <c r="AF320" s="59"/>
      <c r="AG320" s="66"/>
      <c r="AH320" s="59"/>
    </row>
    <row r="321" spans="1:34" x14ac:dyDescent="0.2">
      <c r="A321" s="296">
        <v>44277</v>
      </c>
      <c r="B321" s="297" t="s">
        <v>173</v>
      </c>
      <c r="C321" s="297">
        <v>2021</v>
      </c>
      <c r="D321" s="297" t="s">
        <v>8</v>
      </c>
      <c r="E321" s="298">
        <v>-3.8</v>
      </c>
      <c r="F321" s="298" t="s">
        <v>32</v>
      </c>
      <c r="G321" s="299">
        <v>304000</v>
      </c>
      <c r="H321" s="300">
        <v>196</v>
      </c>
      <c r="I321" s="298" t="s">
        <v>80</v>
      </c>
      <c r="J321" s="298" t="s">
        <v>38</v>
      </c>
      <c r="K321" s="298">
        <v>0.95</v>
      </c>
      <c r="L321" s="298" t="s">
        <v>239</v>
      </c>
      <c r="M321" s="298" t="s">
        <v>694</v>
      </c>
      <c r="N321" s="301" t="s">
        <v>695</v>
      </c>
      <c r="O321" s="297"/>
      <c r="P321" s="297" t="s">
        <v>121</v>
      </c>
      <c r="Q321" s="766">
        <v>39.777700000000003</v>
      </c>
      <c r="R321" s="664">
        <v>-85.760199999999998</v>
      </c>
      <c r="S321" s="297" t="s">
        <v>63</v>
      </c>
      <c r="T321" s="297"/>
      <c r="U321" s="297" t="s">
        <v>51</v>
      </c>
      <c r="V321" s="296"/>
      <c r="W321" s="302">
        <f>IF(AC321="Intr",0,G321*Definitions!$B$53)</f>
        <v>45600</v>
      </c>
      <c r="X321" s="302">
        <f>IF(AC321="Intr",0,G321*Definitions!$B$54)</f>
        <v>212800</v>
      </c>
      <c r="Y321" s="302">
        <f>IF(AC321="Intr",G321,G321*Definitions!$B$55)</f>
        <v>45600</v>
      </c>
      <c r="Z321" s="302" t="s">
        <v>966</v>
      </c>
      <c r="AA321" s="302" t="s">
        <v>965</v>
      </c>
      <c r="AB321" s="302"/>
      <c r="AC321" s="297"/>
      <c r="AD321" s="297"/>
      <c r="AE321" s="297"/>
      <c r="AF321" s="297"/>
      <c r="AG321" s="303"/>
      <c r="AH321" s="297"/>
    </row>
    <row r="322" spans="1:34" x14ac:dyDescent="0.2">
      <c r="A322" s="237">
        <v>44285</v>
      </c>
      <c r="B322" s="238" t="s">
        <v>173</v>
      </c>
      <c r="C322" s="238">
        <v>2021</v>
      </c>
      <c r="D322" s="238" t="s">
        <v>4</v>
      </c>
      <c r="E322" s="240">
        <v>-2.1</v>
      </c>
      <c r="F322" s="240" t="s">
        <v>32</v>
      </c>
      <c r="G322" s="317">
        <v>168000</v>
      </c>
      <c r="H322" s="318">
        <v>202</v>
      </c>
      <c r="I322" s="240" t="s">
        <v>80</v>
      </c>
      <c r="J322" s="240" t="s">
        <v>38</v>
      </c>
      <c r="K322" s="240">
        <v>0.03</v>
      </c>
      <c r="L322" s="240" t="s">
        <v>645</v>
      </c>
      <c r="M322" s="240" t="s">
        <v>711</v>
      </c>
      <c r="N322" s="319" t="s">
        <v>712</v>
      </c>
      <c r="O322" s="238"/>
      <c r="P322" s="238" t="s">
        <v>255</v>
      </c>
      <c r="Q322" s="734" t="s">
        <v>713</v>
      </c>
      <c r="R322" s="648">
        <v>-85.059173000000001</v>
      </c>
      <c r="S322" s="238" t="s">
        <v>63</v>
      </c>
      <c r="T322" s="238"/>
      <c r="U322" s="238" t="s">
        <v>51</v>
      </c>
      <c r="V322" s="237"/>
      <c r="W322" s="244">
        <f>IF(AC322="Intr",0,G322*Definitions!$B$53)</f>
        <v>25200</v>
      </c>
      <c r="X322" s="244">
        <f>IF(AC322="Intr",0,G322*Definitions!$B$54)</f>
        <v>117599.99999999999</v>
      </c>
      <c r="Y322" s="244">
        <f>IF(AC322="Intr",G322,G322*Definitions!$B$55)</f>
        <v>25200</v>
      </c>
      <c r="Z322" s="244" t="s">
        <v>964</v>
      </c>
      <c r="AA322" s="244" t="s">
        <v>965</v>
      </c>
      <c r="AB322" s="244"/>
      <c r="AC322" s="238"/>
      <c r="AD322" s="238"/>
      <c r="AE322" s="238"/>
      <c r="AF322" s="238"/>
      <c r="AG322" s="245"/>
      <c r="AH322" s="238" t="s">
        <v>714</v>
      </c>
    </row>
    <row r="323" spans="1:34" x14ac:dyDescent="0.2">
      <c r="A323" s="145">
        <v>44285</v>
      </c>
      <c r="B323" s="112" t="s">
        <v>173</v>
      </c>
      <c r="C323" s="112">
        <v>2021</v>
      </c>
      <c r="D323" s="112" t="s">
        <v>7</v>
      </c>
      <c r="E323" s="146">
        <v>-76</v>
      </c>
      <c r="F323" s="146" t="s">
        <v>33</v>
      </c>
      <c r="G323" s="147">
        <v>34200</v>
      </c>
      <c r="H323" s="148">
        <v>193</v>
      </c>
      <c r="I323" s="146" t="s">
        <v>80</v>
      </c>
      <c r="J323" s="146" t="s">
        <v>40</v>
      </c>
      <c r="K323" s="146">
        <v>76</v>
      </c>
      <c r="L323" s="146" t="s">
        <v>726</v>
      </c>
      <c r="M323" s="146" t="s">
        <v>282</v>
      </c>
      <c r="N323" s="149" t="s">
        <v>709</v>
      </c>
      <c r="O323" s="112"/>
      <c r="P323" s="112" t="s">
        <v>162</v>
      </c>
      <c r="Q323" s="729">
        <v>39.659999999999997</v>
      </c>
      <c r="R323" s="591">
        <v>-86.441999999999993</v>
      </c>
      <c r="S323" s="112" t="s">
        <v>63</v>
      </c>
      <c r="T323" s="112"/>
      <c r="U323" s="112" t="s">
        <v>51</v>
      </c>
      <c r="V323" s="145"/>
      <c r="W323" s="150">
        <f>IF(AC323="Intr",0,G323*Definitions!$B$53)</f>
        <v>5130</v>
      </c>
      <c r="X323" s="150">
        <f>IF(AC323="Intr",0,G323*Definitions!$B$54)</f>
        <v>23940</v>
      </c>
      <c r="Y323" s="150">
        <f>IF(AC323="Intr",G323,G323*Definitions!$B$55)</f>
        <v>5130</v>
      </c>
      <c r="Z323" s="150" t="s">
        <v>966</v>
      </c>
      <c r="AA323" s="150" t="s">
        <v>965</v>
      </c>
      <c r="AB323" s="150"/>
      <c r="AC323" s="112"/>
      <c r="AD323" s="112"/>
      <c r="AE323" s="112"/>
      <c r="AF323" s="112"/>
      <c r="AG323" s="151"/>
      <c r="AH323" s="112" t="s">
        <v>710</v>
      </c>
    </row>
    <row r="324" spans="1:34" x14ac:dyDescent="0.2">
      <c r="A324" s="145">
        <v>44285</v>
      </c>
      <c r="B324" s="112" t="s">
        <v>173</v>
      </c>
      <c r="C324" s="112">
        <v>2021</v>
      </c>
      <c r="D324" s="112" t="s">
        <v>7</v>
      </c>
      <c r="E324" s="146">
        <v>-218</v>
      </c>
      <c r="F324" s="146" t="s">
        <v>33</v>
      </c>
      <c r="G324" s="147">
        <v>98100</v>
      </c>
      <c r="H324" s="148">
        <v>193</v>
      </c>
      <c r="I324" s="146" t="s">
        <v>80</v>
      </c>
      <c r="J324" s="146" t="s">
        <v>39</v>
      </c>
      <c r="K324" s="146">
        <v>218</v>
      </c>
      <c r="L324" s="146" t="s">
        <v>726</v>
      </c>
      <c r="M324" s="146" t="s">
        <v>282</v>
      </c>
      <c r="N324" s="149" t="s">
        <v>709</v>
      </c>
      <c r="O324" s="112"/>
      <c r="P324" s="112" t="s">
        <v>162</v>
      </c>
      <c r="Q324" s="729">
        <v>39.659999999999997</v>
      </c>
      <c r="R324" s="591">
        <v>-86.441999999999993</v>
      </c>
      <c r="S324" s="112" t="s">
        <v>63</v>
      </c>
      <c r="T324" s="112"/>
      <c r="U324" s="112" t="s">
        <v>51</v>
      </c>
      <c r="V324" s="145"/>
      <c r="W324" s="150">
        <f>IF(AC324="Intr",0,G324*Definitions!$B$53)</f>
        <v>14715</v>
      </c>
      <c r="X324" s="150">
        <f>IF(AC324="Intr",0,G324*Definitions!$B$54)</f>
        <v>68670</v>
      </c>
      <c r="Y324" s="150">
        <f>IF(AC324="Intr",G324,G324*Definitions!$B$55)</f>
        <v>14715</v>
      </c>
      <c r="Z324" s="150" t="s">
        <v>966</v>
      </c>
      <c r="AA324" s="150" t="s">
        <v>965</v>
      </c>
      <c r="AB324" s="150"/>
      <c r="AC324" s="112"/>
      <c r="AD324" s="112"/>
      <c r="AE324" s="112"/>
      <c r="AF324" s="112"/>
      <c r="AG324" s="151"/>
      <c r="AH324" s="112" t="s">
        <v>710</v>
      </c>
    </row>
    <row r="325" spans="1:34" x14ac:dyDescent="0.2">
      <c r="A325" s="145">
        <v>44285</v>
      </c>
      <c r="B325" s="112" t="s">
        <v>173</v>
      </c>
      <c r="C325" s="112">
        <v>2021</v>
      </c>
      <c r="D325" s="112" t="s">
        <v>7</v>
      </c>
      <c r="E325" s="146">
        <v>-5.3999999999999999E-2</v>
      </c>
      <c r="F325" s="146" t="s">
        <v>32</v>
      </c>
      <c r="G325" s="147">
        <v>4320</v>
      </c>
      <c r="H325" s="148">
        <v>193</v>
      </c>
      <c r="I325" s="146" t="s">
        <v>80</v>
      </c>
      <c r="J325" s="146" t="s">
        <v>37</v>
      </c>
      <c r="K325" s="146">
        <v>1.7999999999999999E-2</v>
      </c>
      <c r="L325" s="146" t="s">
        <v>726</v>
      </c>
      <c r="M325" s="146" t="s">
        <v>282</v>
      </c>
      <c r="N325" s="149" t="s">
        <v>709</v>
      </c>
      <c r="O325" s="112"/>
      <c r="P325" s="112" t="s">
        <v>162</v>
      </c>
      <c r="Q325" s="729">
        <v>39.659999999999997</v>
      </c>
      <c r="R325" s="591">
        <v>-86.441999999999993</v>
      </c>
      <c r="S325" s="112" t="s">
        <v>63</v>
      </c>
      <c r="T325" s="112"/>
      <c r="U325" s="112" t="s">
        <v>51</v>
      </c>
      <c r="V325" s="145"/>
      <c r="W325" s="150">
        <f>IF(AC325="Intr",0,G325*Definitions!$B$53)</f>
        <v>648</v>
      </c>
      <c r="X325" s="150">
        <f>IF(AC325="Intr",0,G325*Definitions!$B$54)</f>
        <v>3024</v>
      </c>
      <c r="Y325" s="150">
        <f>IF(AC325="Intr",G325,G325*Definitions!$B$55)</f>
        <v>648</v>
      </c>
      <c r="Z325" s="150" t="s">
        <v>966</v>
      </c>
      <c r="AA325" s="150" t="s">
        <v>965</v>
      </c>
      <c r="AB325" s="150"/>
      <c r="AC325" s="112"/>
      <c r="AD325" s="112"/>
      <c r="AE325" s="112"/>
      <c r="AF325" s="112"/>
      <c r="AG325" s="151"/>
      <c r="AH325" s="112" t="s">
        <v>710</v>
      </c>
    </row>
    <row r="326" spans="1:34" x14ac:dyDescent="0.2">
      <c r="A326" s="176">
        <v>44291</v>
      </c>
      <c r="B326" s="38" t="s">
        <v>193</v>
      </c>
      <c r="C326" s="38">
        <v>2021</v>
      </c>
      <c r="D326" s="38" t="s">
        <v>1</v>
      </c>
      <c r="E326" s="177">
        <v>-13.08</v>
      </c>
      <c r="F326" s="177" t="s">
        <v>32</v>
      </c>
      <c r="G326" s="178">
        <v>1242600</v>
      </c>
      <c r="H326" s="179">
        <v>197</v>
      </c>
      <c r="I326" s="177" t="s">
        <v>80</v>
      </c>
      <c r="J326" s="177" t="s">
        <v>36</v>
      </c>
      <c r="K326" s="177">
        <v>4.3600000000000003</v>
      </c>
      <c r="L326" s="177" t="s">
        <v>696</v>
      </c>
      <c r="M326" s="177" t="s">
        <v>697</v>
      </c>
      <c r="N326" s="70" t="s">
        <v>698</v>
      </c>
      <c r="O326" s="38"/>
      <c r="P326" s="38" t="s">
        <v>227</v>
      </c>
      <c r="Q326" s="760">
        <v>41.650891000000001</v>
      </c>
      <c r="R326" s="590">
        <v>-87.137271999999996</v>
      </c>
      <c r="S326" s="38" t="s">
        <v>63</v>
      </c>
      <c r="T326" s="38"/>
      <c r="U326" s="38" t="s">
        <v>51</v>
      </c>
      <c r="V326" s="37"/>
      <c r="W326" s="180">
        <f>IF(AC326="Intr",0,G326*Definitions!$B$53)</f>
        <v>186390</v>
      </c>
      <c r="X326" s="180">
        <f>IF(AC326="Intr",0,G326*Definitions!$B$54)</f>
        <v>869820</v>
      </c>
      <c r="Y326" s="180">
        <f>IF(AC326="Intr",G326,G326*Definitions!$B$55)</f>
        <v>186390</v>
      </c>
      <c r="Z326" s="180" t="s">
        <v>967</v>
      </c>
      <c r="AA326" s="180" t="s">
        <v>965</v>
      </c>
      <c r="AB326" s="180"/>
      <c r="AC326" s="38"/>
      <c r="AD326" s="38"/>
      <c r="AE326" s="38"/>
      <c r="AF326" s="38"/>
      <c r="AG326" s="40"/>
      <c r="AH326" s="38"/>
    </row>
    <row r="327" spans="1:34" x14ac:dyDescent="0.2">
      <c r="A327" s="168">
        <v>44291</v>
      </c>
      <c r="B327" s="169" t="s">
        <v>193</v>
      </c>
      <c r="C327" s="169">
        <v>2021</v>
      </c>
      <c r="D327" s="169" t="s">
        <v>6</v>
      </c>
      <c r="E327" s="170">
        <v>-7.4999999999999997E-2</v>
      </c>
      <c r="F327" s="170" t="s">
        <v>32</v>
      </c>
      <c r="G327" s="171">
        <v>6000</v>
      </c>
      <c r="H327" s="172">
        <v>199</v>
      </c>
      <c r="I327" s="170" t="s">
        <v>81</v>
      </c>
      <c r="J327" s="170" t="s">
        <v>38</v>
      </c>
      <c r="K327" s="170">
        <v>0.03</v>
      </c>
      <c r="L327" s="170" t="s">
        <v>699</v>
      </c>
      <c r="M327" s="170" t="s">
        <v>729</v>
      </c>
      <c r="N327" s="173" t="s">
        <v>700</v>
      </c>
      <c r="O327" s="169"/>
      <c r="P327" s="169" t="s">
        <v>117</v>
      </c>
      <c r="Q327" s="732">
        <v>40.050800000000002</v>
      </c>
      <c r="R327" s="646">
        <v>-86.455299999999994</v>
      </c>
      <c r="S327" s="169" t="s">
        <v>61</v>
      </c>
      <c r="T327" s="169"/>
      <c r="U327" s="169" t="s">
        <v>51</v>
      </c>
      <c r="V327" s="168"/>
      <c r="W327" s="174">
        <f>IF(AC327="Intr",0,G327*Definitions!$B$53)</f>
        <v>900</v>
      </c>
      <c r="X327" s="174">
        <f>IF(AC327="Intr",0,G327*Definitions!$B$54)</f>
        <v>4200</v>
      </c>
      <c r="Y327" s="174">
        <f>IF(AC327="Intr",G327,G327*Definitions!$B$55)</f>
        <v>900</v>
      </c>
      <c r="Z327" s="174" t="s">
        <v>966</v>
      </c>
      <c r="AA327" s="174" t="s">
        <v>963</v>
      </c>
      <c r="AB327" s="174" t="s">
        <v>971</v>
      </c>
      <c r="AC327" s="169"/>
      <c r="AD327" s="169"/>
      <c r="AE327" s="169"/>
      <c r="AF327" s="169"/>
      <c r="AG327" s="175"/>
      <c r="AH327" s="169" t="s">
        <v>701</v>
      </c>
    </row>
    <row r="328" spans="1:34" x14ac:dyDescent="0.2">
      <c r="A328" s="307">
        <v>44291</v>
      </c>
      <c r="B328" s="308" t="s">
        <v>193</v>
      </c>
      <c r="C328" s="308">
        <v>2021</v>
      </c>
      <c r="D328" s="308" t="s">
        <v>6</v>
      </c>
      <c r="E328" s="309">
        <v>-123</v>
      </c>
      <c r="F328" s="309" t="s">
        <v>33</v>
      </c>
      <c r="G328" s="310">
        <v>49200</v>
      </c>
      <c r="H328" s="311">
        <v>184</v>
      </c>
      <c r="I328" s="309" t="s">
        <v>80</v>
      </c>
      <c r="J328" s="309" t="s">
        <v>40</v>
      </c>
      <c r="K328" s="309">
        <v>381</v>
      </c>
      <c r="L328" s="309" t="s">
        <v>726</v>
      </c>
      <c r="M328" s="309" t="s">
        <v>702</v>
      </c>
      <c r="N328" s="312" t="s">
        <v>703</v>
      </c>
      <c r="O328" s="308"/>
      <c r="P328" s="308" t="s">
        <v>117</v>
      </c>
      <c r="Q328" s="737">
        <v>40.048000000000002</v>
      </c>
      <c r="R328" s="651">
        <v>-86.49</v>
      </c>
      <c r="S328" s="308" t="s">
        <v>63</v>
      </c>
      <c r="T328" s="308"/>
      <c r="U328" s="308" t="s">
        <v>51</v>
      </c>
      <c r="V328" s="307"/>
      <c r="W328" s="313">
        <f>IF(AC328="Intr",0,G328*Definitions!$B$53)</f>
        <v>7380</v>
      </c>
      <c r="X328" s="313">
        <f>IF(AC328="Intr",0,G328*Definitions!$B$54)</f>
        <v>34440</v>
      </c>
      <c r="Y328" s="313">
        <f>IF(AC328="Intr",G328,G328*Definitions!$B$55)</f>
        <v>7380</v>
      </c>
      <c r="Z328" s="313" t="s">
        <v>966</v>
      </c>
      <c r="AA328" s="313" t="s">
        <v>968</v>
      </c>
      <c r="AB328" s="313"/>
      <c r="AC328" s="308"/>
      <c r="AD328" s="308"/>
      <c r="AE328" s="308"/>
      <c r="AF328" s="308"/>
      <c r="AG328" s="314"/>
      <c r="AH328" s="308"/>
    </row>
    <row r="329" spans="1:34" x14ac:dyDescent="0.2">
      <c r="A329" s="307">
        <v>44291</v>
      </c>
      <c r="B329" s="308" t="s">
        <v>193</v>
      </c>
      <c r="C329" s="308">
        <v>2021</v>
      </c>
      <c r="D329" s="308" t="s">
        <v>6</v>
      </c>
      <c r="E329" s="309">
        <v>-237</v>
      </c>
      <c r="F329" s="309" t="s">
        <v>33</v>
      </c>
      <c r="G329" s="310">
        <v>94800</v>
      </c>
      <c r="H329" s="311">
        <v>184</v>
      </c>
      <c r="I329" s="309" t="s">
        <v>80</v>
      </c>
      <c r="J329" s="309" t="s">
        <v>39</v>
      </c>
      <c r="K329" s="309">
        <v>237</v>
      </c>
      <c r="L329" s="309" t="s">
        <v>726</v>
      </c>
      <c r="M329" s="309" t="s">
        <v>702</v>
      </c>
      <c r="N329" s="312" t="s">
        <v>703</v>
      </c>
      <c r="O329" s="308"/>
      <c r="P329" s="308" t="s">
        <v>117</v>
      </c>
      <c r="Q329" s="737">
        <v>40.048000000000002</v>
      </c>
      <c r="R329" s="651">
        <v>-86.49</v>
      </c>
      <c r="S329" s="308" t="s">
        <v>63</v>
      </c>
      <c r="T329" s="308"/>
      <c r="U329" s="308" t="s">
        <v>51</v>
      </c>
      <c r="V329" s="307"/>
      <c r="W329" s="313">
        <f>IF(AC329="Intr",0,G329*Definitions!$B$53)</f>
        <v>14220</v>
      </c>
      <c r="X329" s="313">
        <f>IF(AC329="Intr",0,G329*Definitions!$B$54)</f>
        <v>66360</v>
      </c>
      <c r="Y329" s="313">
        <f>IF(AC329="Intr",G329,G329*Definitions!$B$55)</f>
        <v>14220</v>
      </c>
      <c r="Z329" s="313" t="s">
        <v>966</v>
      </c>
      <c r="AA329" s="313" t="s">
        <v>968</v>
      </c>
      <c r="AB329" s="313"/>
      <c r="AC329" s="308"/>
      <c r="AD329" s="308"/>
      <c r="AE329" s="308"/>
      <c r="AF329" s="308"/>
      <c r="AG329" s="314"/>
      <c r="AH329" s="308"/>
    </row>
    <row r="330" spans="1:34" x14ac:dyDescent="0.2">
      <c r="A330" s="307">
        <v>44291</v>
      </c>
      <c r="B330" s="308" t="s">
        <v>193</v>
      </c>
      <c r="C330" s="308">
        <v>2021</v>
      </c>
      <c r="D330" s="308" t="s">
        <v>6</v>
      </c>
      <c r="E330" s="309">
        <v>-0.05</v>
      </c>
      <c r="F330" s="309" t="s">
        <v>32</v>
      </c>
      <c r="G330" s="310">
        <v>4000</v>
      </c>
      <c r="H330" s="311">
        <v>184</v>
      </c>
      <c r="I330" s="309" t="s">
        <v>80</v>
      </c>
      <c r="J330" s="309" t="s">
        <v>36</v>
      </c>
      <c r="K330" s="309">
        <v>2.5000000000000001E-2</v>
      </c>
      <c r="L330" s="309" t="s">
        <v>726</v>
      </c>
      <c r="M330" s="309" t="s">
        <v>702</v>
      </c>
      <c r="N330" s="312" t="s">
        <v>703</v>
      </c>
      <c r="O330" s="308"/>
      <c r="P330" s="308" t="s">
        <v>117</v>
      </c>
      <c r="Q330" s="774">
        <v>40.048000000000002</v>
      </c>
      <c r="R330" s="671">
        <v>-86.49</v>
      </c>
      <c r="S330" s="308" t="s">
        <v>63</v>
      </c>
      <c r="T330" s="308"/>
      <c r="U330" s="308" t="s">
        <v>51</v>
      </c>
      <c r="V330" s="307"/>
      <c r="W330" s="313">
        <f>IF(AC330="Intr",0,G330*Definitions!$B$53)</f>
        <v>600</v>
      </c>
      <c r="X330" s="313">
        <f>IF(AC330="Intr",0,G330*Definitions!$B$54)</f>
        <v>2800</v>
      </c>
      <c r="Y330" s="313">
        <f>IF(AC330="Intr",G330,G330*Definitions!$B$55)</f>
        <v>600</v>
      </c>
      <c r="Z330" s="313" t="s">
        <v>966</v>
      </c>
      <c r="AA330" s="313" t="s">
        <v>968</v>
      </c>
      <c r="AB330" s="313"/>
      <c r="AC330" s="308"/>
      <c r="AD330" s="308"/>
      <c r="AE330" s="308"/>
      <c r="AF330" s="308"/>
      <c r="AG330" s="314"/>
      <c r="AH330" s="308"/>
    </row>
    <row r="331" spans="1:34" x14ac:dyDescent="0.2">
      <c r="A331" s="307">
        <v>44291</v>
      </c>
      <c r="B331" s="308" t="s">
        <v>193</v>
      </c>
      <c r="C331" s="308">
        <v>2021</v>
      </c>
      <c r="D331" s="308" t="s">
        <v>6</v>
      </c>
      <c r="E331" s="309">
        <v>-2.7E-2</v>
      </c>
      <c r="F331" s="309" t="s">
        <v>32</v>
      </c>
      <c r="G331" s="310">
        <v>2160</v>
      </c>
      <c r="H331" s="311">
        <v>184</v>
      </c>
      <c r="I331" s="309" t="s">
        <v>80</v>
      </c>
      <c r="J331" s="309" t="s">
        <v>37</v>
      </c>
      <c r="K331" s="309">
        <v>8.9999999999999993E-3</v>
      </c>
      <c r="L331" s="309" t="s">
        <v>726</v>
      </c>
      <c r="M331" s="309" t="s">
        <v>702</v>
      </c>
      <c r="N331" s="312" t="s">
        <v>703</v>
      </c>
      <c r="O331" s="308"/>
      <c r="P331" s="308" t="s">
        <v>117</v>
      </c>
      <c r="Q331" s="737">
        <v>40.048000000000002</v>
      </c>
      <c r="R331" s="651">
        <v>-86.49</v>
      </c>
      <c r="S331" s="308" t="s">
        <v>63</v>
      </c>
      <c r="T331" s="308"/>
      <c r="U331" s="308" t="s">
        <v>51</v>
      </c>
      <c r="V331" s="307"/>
      <c r="W331" s="313">
        <f>IF(AC331="Intr",0,G331*Definitions!$B$53)</f>
        <v>324</v>
      </c>
      <c r="X331" s="313">
        <f>IF(AC331="Intr",0,G331*Definitions!$B$54)</f>
        <v>1512</v>
      </c>
      <c r="Y331" s="313">
        <f>IF(AC331="Intr",G331,G331*Definitions!$B$55)</f>
        <v>324</v>
      </c>
      <c r="Z331" s="313" t="s">
        <v>966</v>
      </c>
      <c r="AA331" s="313" t="s">
        <v>968</v>
      </c>
      <c r="AB331" s="313"/>
      <c r="AC331" s="308"/>
      <c r="AD331" s="308"/>
      <c r="AE331" s="308"/>
      <c r="AF331" s="308"/>
      <c r="AG331" s="314"/>
      <c r="AH331" s="308"/>
    </row>
    <row r="332" spans="1:34" x14ac:dyDescent="0.2">
      <c r="A332" s="307">
        <v>44291</v>
      </c>
      <c r="B332" s="308" t="s">
        <v>193</v>
      </c>
      <c r="C332" s="308">
        <v>2021</v>
      </c>
      <c r="D332" s="308" t="s">
        <v>6</v>
      </c>
      <c r="E332" s="309">
        <v>-0.03</v>
      </c>
      <c r="F332" s="309" t="s">
        <v>32</v>
      </c>
      <c r="G332" s="310">
        <v>2400</v>
      </c>
      <c r="H332" s="311">
        <v>184</v>
      </c>
      <c r="I332" s="309" t="s">
        <v>81</v>
      </c>
      <c r="J332" s="309" t="s">
        <v>36</v>
      </c>
      <c r="K332" s="309">
        <v>0.03</v>
      </c>
      <c r="L332" s="309" t="s">
        <v>726</v>
      </c>
      <c r="M332" s="309" t="s">
        <v>702</v>
      </c>
      <c r="N332" s="312" t="s">
        <v>704</v>
      </c>
      <c r="O332" s="308"/>
      <c r="P332" s="308" t="s">
        <v>117</v>
      </c>
      <c r="Q332" s="737">
        <v>40.048000000000002</v>
      </c>
      <c r="R332" s="651">
        <v>-86.49</v>
      </c>
      <c r="S332" s="308" t="s">
        <v>63</v>
      </c>
      <c r="T332" s="308"/>
      <c r="U332" s="308" t="s">
        <v>51</v>
      </c>
      <c r="V332" s="307"/>
      <c r="W332" s="313">
        <f>IF(AC332="Intr",0,G332*Definitions!$B$53)</f>
        <v>360</v>
      </c>
      <c r="X332" s="313">
        <f>IF(AC332="Intr",0,G332*Definitions!$B$54)</f>
        <v>1680</v>
      </c>
      <c r="Y332" s="313">
        <f>IF(AC332="Intr",G332,G332*Definitions!$B$55)</f>
        <v>360</v>
      </c>
      <c r="Z332" s="313" t="s">
        <v>966</v>
      </c>
      <c r="AA332" s="313" t="s">
        <v>968</v>
      </c>
      <c r="AB332" s="313" t="s">
        <v>969</v>
      </c>
      <c r="AC332" s="308"/>
      <c r="AD332" s="308"/>
      <c r="AE332" s="308"/>
      <c r="AF332" s="308"/>
      <c r="AG332" s="314"/>
      <c r="AH332" s="308" t="s">
        <v>705</v>
      </c>
    </row>
    <row r="333" spans="1:34" x14ac:dyDescent="0.2">
      <c r="A333" s="307">
        <v>44291</v>
      </c>
      <c r="B333" s="308" t="s">
        <v>193</v>
      </c>
      <c r="C333" s="308">
        <v>2021</v>
      </c>
      <c r="D333" s="308" t="s">
        <v>6</v>
      </c>
      <c r="E333" s="309">
        <v>-3.5999999999999997E-2</v>
      </c>
      <c r="F333" s="309" t="s">
        <v>32</v>
      </c>
      <c r="G333" s="310">
        <v>2880</v>
      </c>
      <c r="H333" s="311">
        <v>184</v>
      </c>
      <c r="I333" s="309" t="s">
        <v>81</v>
      </c>
      <c r="J333" s="309" t="s">
        <v>37</v>
      </c>
      <c r="K333" s="309">
        <v>1.7999999999999999E-2</v>
      </c>
      <c r="L333" s="309" t="s">
        <v>726</v>
      </c>
      <c r="M333" s="309" t="s">
        <v>702</v>
      </c>
      <c r="N333" s="312" t="s">
        <v>704</v>
      </c>
      <c r="O333" s="308"/>
      <c r="P333" s="308" t="s">
        <v>117</v>
      </c>
      <c r="Q333" s="737">
        <v>40.048000000000002</v>
      </c>
      <c r="R333" s="651">
        <v>-86.49</v>
      </c>
      <c r="S333" s="308" t="s">
        <v>63</v>
      </c>
      <c r="T333" s="308"/>
      <c r="U333" s="308" t="s">
        <v>51</v>
      </c>
      <c r="V333" s="307"/>
      <c r="W333" s="313">
        <f>IF(AC333="Intr",0,G333*Definitions!$B$53)</f>
        <v>432</v>
      </c>
      <c r="X333" s="313">
        <f>IF(AC333="Intr",0,G333*Definitions!$B$54)</f>
        <v>2015.9999999999998</v>
      </c>
      <c r="Y333" s="313">
        <f>IF(AC333="Intr",G333,G333*Definitions!$B$55)</f>
        <v>432</v>
      </c>
      <c r="Z333" s="313" t="s">
        <v>966</v>
      </c>
      <c r="AA333" s="313" t="s">
        <v>968</v>
      </c>
      <c r="AB333" s="313" t="s">
        <v>970</v>
      </c>
      <c r="AC333" s="308"/>
      <c r="AD333" s="308"/>
      <c r="AE333" s="308"/>
      <c r="AF333" s="308"/>
      <c r="AG333" s="314"/>
      <c r="AH333" s="308" t="s">
        <v>1129</v>
      </c>
    </row>
    <row r="334" spans="1:34" x14ac:dyDescent="0.2">
      <c r="A334" s="207">
        <v>44293</v>
      </c>
      <c r="B334" s="208" t="s">
        <v>193</v>
      </c>
      <c r="C334" s="208">
        <v>2021</v>
      </c>
      <c r="D334" s="208" t="s">
        <v>8</v>
      </c>
      <c r="E334" s="209">
        <v>-296.3</v>
      </c>
      <c r="F334" s="209" t="s">
        <v>33</v>
      </c>
      <c r="G334" s="210">
        <v>118520</v>
      </c>
      <c r="H334" s="211">
        <v>178</v>
      </c>
      <c r="I334" s="209" t="s">
        <v>80</v>
      </c>
      <c r="J334" s="209" t="s">
        <v>40</v>
      </c>
      <c r="K334" s="209">
        <v>696.2</v>
      </c>
      <c r="L334" s="232" t="s">
        <v>987</v>
      </c>
      <c r="M334" s="230" t="s">
        <v>807</v>
      </c>
      <c r="N334" s="232" t="s">
        <v>808</v>
      </c>
      <c r="O334" s="229"/>
      <c r="P334" s="229" t="s">
        <v>125</v>
      </c>
      <c r="Q334" s="775">
        <v>39.141649999999998</v>
      </c>
      <c r="R334" s="672">
        <v>-85.957999999999998</v>
      </c>
      <c r="S334" s="229" t="s">
        <v>63</v>
      </c>
      <c r="T334" s="208"/>
      <c r="U334" s="207" t="s">
        <v>51</v>
      </c>
      <c r="V334" s="207"/>
      <c r="W334" s="213">
        <f>IF(AC334="Intr",0,G334*Definitions!$B$53)</f>
        <v>17778</v>
      </c>
      <c r="X334" s="213">
        <f>IF(AC334="Intr",0,G334*Definitions!$B$54)</f>
        <v>82964</v>
      </c>
      <c r="Y334" s="213">
        <f>IF(AC334="Intr",G334,G334*Definitions!$B$55)</f>
        <v>17778</v>
      </c>
      <c r="Z334" s="213" t="s">
        <v>966</v>
      </c>
      <c r="AA334" s="213" t="s">
        <v>965</v>
      </c>
      <c r="AB334" s="213"/>
      <c r="AC334" s="208"/>
      <c r="AD334" s="208"/>
      <c r="AE334" s="208"/>
      <c r="AF334" s="208"/>
      <c r="AG334" s="214"/>
      <c r="AH334" s="474" t="s">
        <v>812</v>
      </c>
    </row>
    <row r="335" spans="1:34" x14ac:dyDescent="0.2">
      <c r="A335" s="207">
        <v>44293</v>
      </c>
      <c r="B335" s="208" t="s">
        <v>193</v>
      </c>
      <c r="C335" s="208">
        <v>2021</v>
      </c>
      <c r="D335" s="208" t="s">
        <v>8</v>
      </c>
      <c r="E335" s="209">
        <v>-0.12</v>
      </c>
      <c r="F335" s="209" t="s">
        <v>32</v>
      </c>
      <c r="G335" s="210">
        <v>9600</v>
      </c>
      <c r="H335" s="211">
        <v>178</v>
      </c>
      <c r="I335" s="209" t="s">
        <v>80</v>
      </c>
      <c r="J335" s="209" t="s">
        <v>36</v>
      </c>
      <c r="K335" s="209">
        <v>0.06</v>
      </c>
      <c r="L335" s="232" t="s">
        <v>726</v>
      </c>
      <c r="M335" s="230" t="s">
        <v>807</v>
      </c>
      <c r="N335" s="232" t="s">
        <v>808</v>
      </c>
      <c r="O335" s="229"/>
      <c r="P335" s="229" t="s">
        <v>125</v>
      </c>
      <c r="Q335" s="775">
        <v>39.141649999999998</v>
      </c>
      <c r="R335" s="672">
        <v>-85.957999999999998</v>
      </c>
      <c r="S335" s="229" t="s">
        <v>63</v>
      </c>
      <c r="T335" s="208"/>
      <c r="U335" s="207" t="s">
        <v>51</v>
      </c>
      <c r="V335" s="207"/>
      <c r="W335" s="213">
        <f>IF(AC335="Intr",0,G335*Definitions!$B$53)</f>
        <v>1440</v>
      </c>
      <c r="X335" s="213">
        <f>IF(AC335="Intr",0,G335*Definitions!$B$54)</f>
        <v>6720</v>
      </c>
      <c r="Y335" s="213">
        <f>IF(AC335="Intr",G335,G335*Definitions!$B$55)</f>
        <v>1440</v>
      </c>
      <c r="Z335" s="213" t="s">
        <v>966</v>
      </c>
      <c r="AA335" s="213" t="s">
        <v>965</v>
      </c>
      <c r="AB335" s="213"/>
      <c r="AC335" s="208"/>
      <c r="AD335" s="208"/>
      <c r="AE335" s="208"/>
      <c r="AF335" s="208"/>
      <c r="AG335" s="214"/>
      <c r="AH335" s="474" t="s">
        <v>813</v>
      </c>
    </row>
    <row r="336" spans="1:34" x14ac:dyDescent="0.2">
      <c r="A336" s="176">
        <v>44301</v>
      </c>
      <c r="B336" s="38" t="s">
        <v>193</v>
      </c>
      <c r="C336" s="38">
        <v>2021</v>
      </c>
      <c r="D336" s="38" t="s">
        <v>7</v>
      </c>
      <c r="E336" s="177">
        <v>-1</v>
      </c>
      <c r="F336" s="177" t="s">
        <v>32</v>
      </c>
      <c r="G336" s="178">
        <v>80000</v>
      </c>
      <c r="H336" s="179">
        <v>203</v>
      </c>
      <c r="I336" s="177" t="s">
        <v>80</v>
      </c>
      <c r="J336" s="177" t="s">
        <v>36</v>
      </c>
      <c r="K336" s="177"/>
      <c r="L336" s="177" t="s">
        <v>135</v>
      </c>
      <c r="M336" s="177" t="s">
        <v>715</v>
      </c>
      <c r="N336" s="70" t="s">
        <v>716</v>
      </c>
      <c r="O336" s="38"/>
      <c r="P336" s="38" t="s">
        <v>137</v>
      </c>
      <c r="Q336" s="760">
        <v>39.947200000000002</v>
      </c>
      <c r="R336" s="590">
        <v>-85.915199999999999</v>
      </c>
      <c r="S336" s="38" t="s">
        <v>61</v>
      </c>
      <c r="T336" s="38"/>
      <c r="U336" s="38" t="s">
        <v>51</v>
      </c>
      <c r="V336" s="37"/>
      <c r="W336" s="180">
        <f>IF(AC336="Intr",0,G336*Definitions!$B$53)</f>
        <v>12000</v>
      </c>
      <c r="X336" s="180">
        <f>IF(AC336="Intr",0,G336*Definitions!$B$54)</f>
        <v>56000</v>
      </c>
      <c r="Y336" s="180">
        <f>IF(AC336="Intr",G336,G336*Definitions!$B$55)</f>
        <v>12000</v>
      </c>
      <c r="Z336" s="180" t="s">
        <v>966</v>
      </c>
      <c r="AA336" s="180" t="s">
        <v>965</v>
      </c>
      <c r="AB336" s="180"/>
      <c r="AC336" s="38"/>
      <c r="AD336" s="38"/>
      <c r="AE336" s="38"/>
      <c r="AF336" s="38"/>
      <c r="AG336" s="40"/>
      <c r="AH336" s="38" t="s">
        <v>717</v>
      </c>
    </row>
    <row r="337" spans="1:256" x14ac:dyDescent="0.2">
      <c r="A337" s="288">
        <v>44306</v>
      </c>
      <c r="B337" s="289" t="s">
        <v>193</v>
      </c>
      <c r="C337" s="289">
        <v>2021</v>
      </c>
      <c r="D337" s="289" t="s">
        <v>7</v>
      </c>
      <c r="E337" s="331">
        <v>-0.23</v>
      </c>
      <c r="F337" s="331" t="s">
        <v>32</v>
      </c>
      <c r="G337" s="332">
        <v>18400</v>
      </c>
      <c r="H337" s="333">
        <v>207</v>
      </c>
      <c r="I337" s="331" t="s">
        <v>81</v>
      </c>
      <c r="J337" s="331" t="s">
        <v>38</v>
      </c>
      <c r="K337" s="331">
        <v>0.09</v>
      </c>
      <c r="L337" s="331" t="s">
        <v>718</v>
      </c>
      <c r="M337" s="331" t="s">
        <v>103</v>
      </c>
      <c r="N337" s="290" t="s">
        <v>719</v>
      </c>
      <c r="O337" s="289"/>
      <c r="P337" s="289" t="s">
        <v>137</v>
      </c>
      <c r="Q337" s="733">
        <v>39.93177</v>
      </c>
      <c r="R337" s="647">
        <v>-86.240660000000005</v>
      </c>
      <c r="S337" s="289" t="s">
        <v>61</v>
      </c>
      <c r="T337" s="289"/>
      <c r="U337" s="289" t="s">
        <v>51</v>
      </c>
      <c r="V337" s="288"/>
      <c r="W337" s="293">
        <f>IF(AC337="Intr",0,G337*Definitions!$B$53)</f>
        <v>2760</v>
      </c>
      <c r="X337" s="293">
        <f>IF(AC337="Intr",0,G337*Definitions!$B$54)</f>
        <v>12880</v>
      </c>
      <c r="Y337" s="293">
        <f>IF(AC337="Intr",G337,G337*Definitions!$B$55)</f>
        <v>2760</v>
      </c>
      <c r="Z337" s="293" t="s">
        <v>966</v>
      </c>
      <c r="AA337" s="293" t="s">
        <v>963</v>
      </c>
      <c r="AB337" s="293" t="s">
        <v>971</v>
      </c>
      <c r="AC337" s="289"/>
      <c r="AD337" s="289"/>
      <c r="AE337" s="289"/>
      <c r="AF337" s="289"/>
      <c r="AG337" s="294"/>
      <c r="AH337" s="289" t="s">
        <v>670</v>
      </c>
    </row>
    <row r="338" spans="1:256" x14ac:dyDescent="0.2">
      <c r="A338" s="359">
        <v>44306</v>
      </c>
      <c r="B338" s="360" t="s">
        <v>193</v>
      </c>
      <c r="C338" s="360">
        <v>2021</v>
      </c>
      <c r="D338" s="360" t="s">
        <v>8</v>
      </c>
      <c r="E338" s="361">
        <v>-0.48</v>
      </c>
      <c r="F338" s="361" t="s">
        <v>32</v>
      </c>
      <c r="G338" s="362">
        <v>38400</v>
      </c>
      <c r="H338" s="363">
        <v>206</v>
      </c>
      <c r="I338" s="361" t="s">
        <v>81</v>
      </c>
      <c r="J338" s="361" t="s">
        <v>38</v>
      </c>
      <c r="K338" s="361">
        <v>0.32</v>
      </c>
      <c r="L338" s="361" t="s">
        <v>720</v>
      </c>
      <c r="M338" s="361" t="s">
        <v>103</v>
      </c>
      <c r="N338" s="364" t="s">
        <v>721</v>
      </c>
      <c r="O338" s="360"/>
      <c r="P338" s="360" t="s">
        <v>121</v>
      </c>
      <c r="Q338" s="765">
        <v>39.819391000000003</v>
      </c>
      <c r="R338" s="663">
        <v>-85.866478999999998</v>
      </c>
      <c r="S338" s="360" t="s">
        <v>62</v>
      </c>
      <c r="T338" s="360"/>
      <c r="U338" s="360" t="s">
        <v>51</v>
      </c>
      <c r="V338" s="359"/>
      <c r="W338" s="365">
        <f>IF(AC338="Intr",0,G338*Definitions!$B$53)</f>
        <v>5760</v>
      </c>
      <c r="X338" s="365">
        <f>IF(AC338="Intr",0,G338*Definitions!$B$54)</f>
        <v>26880</v>
      </c>
      <c r="Y338" s="365">
        <f>IF(AC338="Intr",G338,G338*Definitions!$B$55)</f>
        <v>5760</v>
      </c>
      <c r="Z338" s="365" t="s">
        <v>966</v>
      </c>
      <c r="AA338" s="365" t="s">
        <v>963</v>
      </c>
      <c r="AB338" s="365" t="s">
        <v>971</v>
      </c>
      <c r="AC338" s="360"/>
      <c r="AD338" s="360"/>
      <c r="AE338" s="360"/>
      <c r="AF338" s="360"/>
      <c r="AG338" s="366"/>
      <c r="AH338" s="360" t="s">
        <v>670</v>
      </c>
    </row>
    <row r="339" spans="1:256" x14ac:dyDescent="0.2">
      <c r="A339" s="176">
        <v>44319</v>
      </c>
      <c r="B339" s="38" t="s">
        <v>95</v>
      </c>
      <c r="C339" s="38">
        <v>2021</v>
      </c>
      <c r="D339" s="38" t="s">
        <v>1</v>
      </c>
      <c r="E339" s="177">
        <v>-1.2</v>
      </c>
      <c r="F339" s="177" t="s">
        <v>32</v>
      </c>
      <c r="G339" s="178">
        <v>114000</v>
      </c>
      <c r="H339" s="179">
        <v>156</v>
      </c>
      <c r="I339" s="177" t="s">
        <v>80</v>
      </c>
      <c r="J339" s="177" t="s">
        <v>36</v>
      </c>
      <c r="K339" s="177">
        <v>0.67</v>
      </c>
      <c r="L339" s="177" t="s">
        <v>722</v>
      </c>
      <c r="M339" s="177" t="s">
        <v>723</v>
      </c>
      <c r="N339" s="70" t="s">
        <v>724</v>
      </c>
      <c r="O339" s="38"/>
      <c r="P339" s="38" t="s">
        <v>227</v>
      </c>
      <c r="Q339" s="776">
        <v>41.515949999999997</v>
      </c>
      <c r="R339" s="590">
        <v>-87.469719999999995</v>
      </c>
      <c r="S339" s="38" t="s">
        <v>61</v>
      </c>
      <c r="T339" s="38"/>
      <c r="U339" s="38" t="s">
        <v>51</v>
      </c>
      <c r="V339" s="37"/>
      <c r="W339" s="180">
        <f>IF(AC339="Intr",0,G339*Definitions!$B$53)</f>
        <v>17100</v>
      </c>
      <c r="X339" s="180">
        <f>IF(AC339="Intr",0,G339*Definitions!$B$54)</f>
        <v>79800</v>
      </c>
      <c r="Y339" s="180">
        <f>IF(AC339="Intr",G339,G339*Definitions!$B$55)</f>
        <v>17100</v>
      </c>
      <c r="Z339" s="180" t="s">
        <v>967</v>
      </c>
      <c r="AA339" s="180" t="s">
        <v>965</v>
      </c>
      <c r="AB339" s="180"/>
      <c r="AC339" s="38"/>
      <c r="AD339" s="38"/>
      <c r="AE339" s="38"/>
      <c r="AF339" s="38"/>
      <c r="AG339" s="40"/>
      <c r="AH339" s="38"/>
    </row>
    <row r="340" spans="1:256" x14ac:dyDescent="0.2">
      <c r="A340" s="228">
        <v>44320</v>
      </c>
      <c r="B340" s="229" t="s">
        <v>95</v>
      </c>
      <c r="C340" s="229">
        <v>2021</v>
      </c>
      <c r="D340" s="229" t="s">
        <v>1</v>
      </c>
      <c r="E340" s="230">
        <v>-112</v>
      </c>
      <c r="F340" s="230" t="s">
        <v>33</v>
      </c>
      <c r="G340" s="231">
        <v>67200</v>
      </c>
      <c r="H340" s="230">
        <v>198</v>
      </c>
      <c r="I340" s="230" t="s">
        <v>80</v>
      </c>
      <c r="J340" s="230" t="s">
        <v>725</v>
      </c>
      <c r="K340" s="230">
        <v>198.72</v>
      </c>
      <c r="L340" s="232" t="s">
        <v>726</v>
      </c>
      <c r="M340" s="230" t="s">
        <v>727</v>
      </c>
      <c r="N340" s="232" t="s">
        <v>728</v>
      </c>
      <c r="O340" s="229"/>
      <c r="P340" s="229" t="s">
        <v>385</v>
      </c>
      <c r="Q340" s="777">
        <v>41.521599999999999</v>
      </c>
      <c r="R340" s="674">
        <v>-87.209000000000003</v>
      </c>
      <c r="S340" s="229" t="s">
        <v>63</v>
      </c>
      <c r="T340" s="208"/>
      <c r="U340" s="208" t="s">
        <v>51</v>
      </c>
      <c r="V340" s="207"/>
      <c r="W340" s="213">
        <f>IF(AC340="Intr",0,G340*Definitions!$B$53)</f>
        <v>10080</v>
      </c>
      <c r="X340" s="213">
        <f>IF(AC340="Intr",0,G340*Definitions!$B$54)</f>
        <v>47040</v>
      </c>
      <c r="Y340" s="213">
        <f>IF(AC340="Intr",G340,G340*Definitions!$B$55)</f>
        <v>10080</v>
      </c>
      <c r="Z340" s="213" t="s">
        <v>967</v>
      </c>
      <c r="AA340" s="213" t="s">
        <v>965</v>
      </c>
      <c r="AB340" s="213"/>
      <c r="AC340" s="208"/>
      <c r="AD340" s="208"/>
      <c r="AE340" s="208"/>
      <c r="AF340" s="208"/>
      <c r="AG340" s="214"/>
      <c r="AH340" s="208"/>
    </row>
    <row r="341" spans="1:256" x14ac:dyDescent="0.2">
      <c r="A341" s="228">
        <v>44320</v>
      </c>
      <c r="B341" s="229" t="s">
        <v>95</v>
      </c>
      <c r="C341" s="229">
        <v>2021</v>
      </c>
      <c r="D341" s="229" t="s">
        <v>1</v>
      </c>
      <c r="E341" s="230">
        <v>-0.45</v>
      </c>
      <c r="F341" s="230" t="s">
        <v>32</v>
      </c>
      <c r="G341" s="231">
        <v>42750</v>
      </c>
      <c r="H341" s="230">
        <v>198</v>
      </c>
      <c r="I341" s="230" t="s">
        <v>80</v>
      </c>
      <c r="J341" s="230" t="s">
        <v>36</v>
      </c>
      <c r="K341" s="230">
        <v>0.25580000000000003</v>
      </c>
      <c r="L341" s="232" t="s">
        <v>726</v>
      </c>
      <c r="M341" s="230" t="s">
        <v>727</v>
      </c>
      <c r="N341" s="232" t="s">
        <v>728</v>
      </c>
      <c r="O341" s="229"/>
      <c r="P341" s="229" t="s">
        <v>385</v>
      </c>
      <c r="Q341" s="777">
        <v>41.521599999999999</v>
      </c>
      <c r="R341" s="674">
        <v>-87.209000000000003</v>
      </c>
      <c r="S341" s="229" t="s">
        <v>63</v>
      </c>
      <c r="T341" s="208"/>
      <c r="U341" s="208" t="s">
        <v>51</v>
      </c>
      <c r="V341" s="207"/>
      <c r="W341" s="213">
        <f>IF(AC341="Intr",0,G341*Definitions!$B$53)</f>
        <v>6412.5</v>
      </c>
      <c r="X341" s="213">
        <f>IF(AC341="Intr",0,G341*Definitions!$B$54)</f>
        <v>29924.999999999996</v>
      </c>
      <c r="Y341" s="213">
        <f>IF(AC341="Intr",G341,G341*Definitions!$B$55)</f>
        <v>6412.5</v>
      </c>
      <c r="Z341" s="213" t="s">
        <v>967</v>
      </c>
      <c r="AA341" s="213" t="s">
        <v>965</v>
      </c>
      <c r="AB341" s="213"/>
      <c r="AC341" s="208"/>
      <c r="AD341" s="208"/>
      <c r="AE341" s="208"/>
      <c r="AF341" s="208"/>
      <c r="AG341" s="214"/>
      <c r="AH341" s="208"/>
    </row>
    <row r="342" spans="1:256" s="384" customFormat="1" x14ac:dyDescent="0.2">
      <c r="A342" s="228">
        <v>44320</v>
      </c>
      <c r="B342" s="229" t="s">
        <v>95</v>
      </c>
      <c r="C342" s="229">
        <v>2021</v>
      </c>
      <c r="D342" s="229" t="s">
        <v>1</v>
      </c>
      <c r="E342" s="230">
        <v>-0.32400000000000001</v>
      </c>
      <c r="F342" s="230" t="s">
        <v>32</v>
      </c>
      <c r="G342" s="231">
        <v>30780</v>
      </c>
      <c r="H342" s="230">
        <v>198</v>
      </c>
      <c r="I342" s="230" t="s">
        <v>80</v>
      </c>
      <c r="J342" s="230" t="s">
        <v>38</v>
      </c>
      <c r="K342" s="230">
        <v>8.1000000000000003E-2</v>
      </c>
      <c r="L342" s="232" t="s">
        <v>726</v>
      </c>
      <c r="M342" s="230" t="s">
        <v>727</v>
      </c>
      <c r="N342" s="232" t="s">
        <v>728</v>
      </c>
      <c r="O342" s="229"/>
      <c r="P342" s="229" t="s">
        <v>385</v>
      </c>
      <c r="Q342" s="777">
        <v>41.521599999999999</v>
      </c>
      <c r="R342" s="674">
        <v>-87.209000000000003</v>
      </c>
      <c r="S342" s="229" t="s">
        <v>63</v>
      </c>
      <c r="T342" s="208"/>
      <c r="U342" s="208" t="s">
        <v>51</v>
      </c>
      <c r="V342" s="207"/>
      <c r="W342" s="213">
        <f>IF(AC342="Intr",0,G342*Definitions!$B$53)</f>
        <v>4617</v>
      </c>
      <c r="X342" s="213">
        <f>IF(AC342="Intr",0,G342*Definitions!$B$54)</f>
        <v>21546</v>
      </c>
      <c r="Y342" s="213">
        <f>IF(AC342="Intr",G342,G342*Definitions!$B$55)</f>
        <v>4617</v>
      </c>
      <c r="Z342" s="213" t="s">
        <v>967</v>
      </c>
      <c r="AA342" s="213" t="s">
        <v>965</v>
      </c>
      <c r="AB342" s="213"/>
      <c r="AC342" s="208"/>
      <c r="AD342" s="208"/>
      <c r="AE342" s="208"/>
      <c r="AF342" s="208"/>
      <c r="AG342" s="214"/>
      <c r="AH342" s="208"/>
      <c r="AI342" s="105"/>
      <c r="AJ342" s="105"/>
      <c r="AK342" s="105"/>
      <c r="AL342" s="105"/>
      <c r="AM342" s="105"/>
      <c r="AN342" s="105"/>
      <c r="AO342" s="105"/>
      <c r="AP342" s="105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5"/>
      <c r="BB342" s="105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5"/>
      <c r="BN342" s="105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5"/>
      <c r="BZ342" s="105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5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5"/>
      <c r="CX342" s="105"/>
      <c r="CY342" s="105"/>
      <c r="CZ342" s="105"/>
      <c r="DA342" s="105"/>
      <c r="DB342" s="105"/>
      <c r="DC342" s="105"/>
      <c r="DD342" s="105"/>
      <c r="DE342" s="105"/>
      <c r="DF342" s="105"/>
      <c r="DG342" s="105"/>
      <c r="DH342" s="105"/>
      <c r="DI342" s="105"/>
      <c r="DJ342" s="105"/>
      <c r="DK342" s="105"/>
      <c r="DL342" s="105"/>
      <c r="DM342" s="105"/>
      <c r="DN342" s="105"/>
      <c r="DO342" s="105"/>
      <c r="DP342" s="105"/>
      <c r="DQ342" s="105"/>
      <c r="DR342" s="105"/>
      <c r="DS342" s="105"/>
      <c r="DT342" s="105"/>
      <c r="DU342" s="105"/>
      <c r="DV342" s="105"/>
      <c r="DW342" s="105"/>
      <c r="DX342" s="105"/>
      <c r="DY342" s="105"/>
      <c r="DZ342" s="105"/>
      <c r="EA342" s="105"/>
      <c r="EB342" s="105"/>
      <c r="EC342" s="105"/>
      <c r="ED342" s="105"/>
      <c r="EE342" s="105"/>
      <c r="EF342" s="105"/>
      <c r="EG342" s="105"/>
      <c r="EH342" s="105"/>
      <c r="EI342" s="105"/>
      <c r="EJ342" s="105"/>
      <c r="EK342" s="105"/>
      <c r="EL342" s="105"/>
      <c r="EM342" s="105"/>
      <c r="EN342" s="105"/>
      <c r="EO342" s="105"/>
      <c r="EP342" s="105"/>
      <c r="EQ342" s="105"/>
      <c r="ER342" s="105"/>
      <c r="ES342" s="105"/>
      <c r="ET342" s="105"/>
      <c r="EU342" s="105"/>
      <c r="EV342" s="105"/>
      <c r="EW342" s="105"/>
      <c r="EX342" s="105"/>
      <c r="EY342" s="105"/>
      <c r="EZ342" s="105"/>
      <c r="FA342" s="105"/>
      <c r="FB342" s="105"/>
      <c r="FC342" s="105"/>
      <c r="FD342" s="105"/>
      <c r="FE342" s="105"/>
      <c r="FF342" s="105"/>
      <c r="FG342" s="105"/>
      <c r="FH342" s="105"/>
      <c r="FI342" s="105"/>
      <c r="FJ342" s="105"/>
      <c r="FK342" s="105"/>
      <c r="FL342" s="105"/>
      <c r="FM342" s="105"/>
      <c r="FN342" s="105"/>
      <c r="FO342" s="105"/>
      <c r="FP342" s="105"/>
      <c r="FQ342" s="105"/>
      <c r="FR342" s="105"/>
      <c r="FS342" s="105"/>
      <c r="FT342" s="105"/>
      <c r="FU342" s="105"/>
      <c r="FV342" s="105"/>
      <c r="FW342" s="105"/>
      <c r="FX342" s="105"/>
      <c r="FY342" s="105"/>
      <c r="FZ342" s="105"/>
      <c r="GA342" s="105"/>
      <c r="GB342" s="105"/>
      <c r="GC342" s="105"/>
      <c r="GD342" s="105"/>
      <c r="GE342" s="105"/>
      <c r="GF342" s="105"/>
      <c r="GG342" s="105"/>
      <c r="GH342" s="105"/>
      <c r="GI342" s="105"/>
      <c r="GJ342" s="105"/>
      <c r="GK342" s="105"/>
      <c r="GL342" s="105"/>
      <c r="GM342" s="105"/>
      <c r="GN342" s="105"/>
      <c r="GO342" s="105"/>
      <c r="GP342" s="105"/>
      <c r="GQ342" s="105"/>
      <c r="GR342" s="105"/>
      <c r="GS342" s="105"/>
      <c r="GT342" s="105"/>
      <c r="GU342" s="105"/>
      <c r="GV342" s="105"/>
      <c r="GW342" s="105"/>
      <c r="GX342" s="105"/>
      <c r="GY342" s="105"/>
      <c r="GZ342" s="105"/>
      <c r="HA342" s="105"/>
      <c r="HB342" s="105"/>
      <c r="HC342" s="105"/>
      <c r="HD342" s="105"/>
      <c r="HE342" s="105"/>
      <c r="HF342" s="105"/>
      <c r="HG342" s="105"/>
      <c r="HH342" s="105"/>
      <c r="HI342" s="105"/>
      <c r="HJ342" s="105"/>
      <c r="HK342" s="105"/>
      <c r="HL342" s="105"/>
      <c r="HM342" s="105"/>
      <c r="HN342" s="105"/>
      <c r="HO342" s="105"/>
      <c r="HP342" s="105"/>
      <c r="HQ342" s="105"/>
      <c r="HR342" s="105"/>
      <c r="HS342" s="105"/>
      <c r="HT342" s="105"/>
      <c r="HU342" s="105"/>
      <c r="HV342" s="105"/>
      <c r="HW342" s="105"/>
      <c r="HX342" s="105"/>
      <c r="HY342" s="105"/>
      <c r="HZ342" s="105"/>
      <c r="IA342" s="105"/>
      <c r="IB342" s="105"/>
      <c r="IC342" s="105"/>
      <c r="ID342" s="105"/>
      <c r="IE342" s="105"/>
      <c r="IF342" s="105"/>
      <c r="IG342" s="105"/>
      <c r="IH342" s="105"/>
      <c r="II342" s="105"/>
      <c r="IJ342" s="105"/>
      <c r="IK342" s="105"/>
      <c r="IL342" s="105"/>
      <c r="IM342" s="105"/>
      <c r="IN342" s="105"/>
      <c r="IO342" s="105"/>
      <c r="IP342" s="105"/>
      <c r="IQ342" s="105"/>
      <c r="IR342" s="105"/>
      <c r="IS342" s="105"/>
      <c r="IT342" s="105"/>
      <c r="IU342" s="105"/>
      <c r="IV342" s="105"/>
    </row>
    <row r="343" spans="1:256" s="384" customFormat="1" x14ac:dyDescent="0.2">
      <c r="A343" s="455">
        <v>44321</v>
      </c>
      <c r="B343" s="456" t="s">
        <v>95</v>
      </c>
      <c r="C343" s="456">
        <v>2021</v>
      </c>
      <c r="D343" s="456" t="s">
        <v>7</v>
      </c>
      <c r="E343" s="457">
        <v>-1.37</v>
      </c>
      <c r="F343" s="457" t="s">
        <v>32</v>
      </c>
      <c r="G343" s="458">
        <v>109600</v>
      </c>
      <c r="H343" s="457">
        <v>211</v>
      </c>
      <c r="I343" s="457" t="s">
        <v>81</v>
      </c>
      <c r="J343" s="457" t="s">
        <v>36</v>
      </c>
      <c r="K343" s="457">
        <v>1.37</v>
      </c>
      <c r="L343" s="459" t="s">
        <v>927</v>
      </c>
      <c r="M343" s="457" t="s">
        <v>729</v>
      </c>
      <c r="N343" s="459" t="s">
        <v>730</v>
      </c>
      <c r="O343" s="456"/>
      <c r="P343" s="456" t="s">
        <v>223</v>
      </c>
      <c r="Q343" s="778">
        <v>40.262307</v>
      </c>
      <c r="R343" s="675">
        <v>-85.431628000000003</v>
      </c>
      <c r="S343" s="456" t="s">
        <v>62</v>
      </c>
      <c r="T343" s="456"/>
      <c r="U343" s="456" t="s">
        <v>51</v>
      </c>
      <c r="V343" s="455"/>
      <c r="W343" s="460">
        <f>IF(AC343="Intr",0,G343*Definitions!$B$53)</f>
        <v>16440</v>
      </c>
      <c r="X343" s="460">
        <f>IF(AC343="Intr",0,G343*Definitions!$B$54)</f>
        <v>76720</v>
      </c>
      <c r="Y343" s="460">
        <f>IF(AC343="Intr",G343,G343*Definitions!$B$55)</f>
        <v>16440</v>
      </c>
      <c r="Z343" s="460" t="s">
        <v>966</v>
      </c>
      <c r="AA343" s="460" t="s">
        <v>963</v>
      </c>
      <c r="AB343" s="460" t="s">
        <v>969</v>
      </c>
      <c r="AC343" s="456"/>
      <c r="AD343" s="456"/>
      <c r="AE343" s="456"/>
      <c r="AF343" s="456"/>
      <c r="AG343" s="461"/>
      <c r="AH343" s="456"/>
      <c r="AI343" s="105"/>
      <c r="AJ343" s="105"/>
      <c r="AK343" s="105"/>
      <c r="AL343" s="105"/>
      <c r="AM343" s="105"/>
      <c r="AN343" s="105"/>
      <c r="AO343" s="105"/>
      <c r="AP343" s="105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5"/>
      <c r="BB343" s="105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5"/>
      <c r="BN343" s="105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5"/>
      <c r="BZ343" s="105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5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5"/>
      <c r="CX343" s="105"/>
      <c r="CY343" s="105"/>
      <c r="CZ343" s="105"/>
      <c r="DA343" s="105"/>
      <c r="DB343" s="105"/>
      <c r="DC343" s="105"/>
      <c r="DD343" s="105"/>
      <c r="DE343" s="105"/>
      <c r="DF343" s="105"/>
      <c r="DG343" s="105"/>
      <c r="DH343" s="105"/>
      <c r="DI343" s="105"/>
      <c r="DJ343" s="105"/>
      <c r="DK343" s="105"/>
      <c r="DL343" s="105"/>
      <c r="DM343" s="105"/>
      <c r="DN343" s="105"/>
      <c r="DO343" s="105"/>
      <c r="DP343" s="105"/>
      <c r="DQ343" s="105"/>
      <c r="DR343" s="105"/>
      <c r="DS343" s="105"/>
      <c r="DT343" s="105"/>
      <c r="DU343" s="105"/>
      <c r="DV343" s="105"/>
      <c r="DW343" s="105"/>
      <c r="DX343" s="105"/>
      <c r="DY343" s="105"/>
      <c r="DZ343" s="105"/>
      <c r="EA343" s="105"/>
      <c r="EB343" s="105"/>
      <c r="EC343" s="105"/>
      <c r="ED343" s="105"/>
      <c r="EE343" s="105"/>
      <c r="EF343" s="105"/>
      <c r="EG343" s="105"/>
      <c r="EH343" s="105"/>
      <c r="EI343" s="105"/>
      <c r="EJ343" s="105"/>
      <c r="EK343" s="105"/>
      <c r="EL343" s="105"/>
      <c r="EM343" s="105"/>
      <c r="EN343" s="105"/>
      <c r="EO343" s="105"/>
      <c r="EP343" s="105"/>
      <c r="EQ343" s="105"/>
      <c r="ER343" s="105"/>
      <c r="ES343" s="105"/>
      <c r="ET343" s="105"/>
      <c r="EU343" s="105"/>
      <c r="EV343" s="105"/>
      <c r="EW343" s="105"/>
      <c r="EX343" s="105"/>
      <c r="EY343" s="105"/>
      <c r="EZ343" s="105"/>
      <c r="FA343" s="105"/>
      <c r="FB343" s="105"/>
      <c r="FC343" s="105"/>
      <c r="FD343" s="105"/>
      <c r="FE343" s="105"/>
      <c r="FF343" s="105"/>
      <c r="FG343" s="105"/>
      <c r="FH343" s="105"/>
      <c r="FI343" s="105"/>
      <c r="FJ343" s="105"/>
      <c r="FK343" s="105"/>
      <c r="FL343" s="105"/>
      <c r="FM343" s="105"/>
      <c r="FN343" s="105"/>
      <c r="FO343" s="105"/>
      <c r="FP343" s="105"/>
      <c r="FQ343" s="105"/>
      <c r="FR343" s="105"/>
      <c r="FS343" s="105"/>
      <c r="FT343" s="105"/>
      <c r="FU343" s="105"/>
      <c r="FV343" s="105"/>
      <c r="FW343" s="105"/>
      <c r="FX343" s="105"/>
      <c r="FY343" s="105"/>
      <c r="FZ343" s="105"/>
      <c r="GA343" s="105"/>
      <c r="GB343" s="105"/>
      <c r="GC343" s="105"/>
      <c r="GD343" s="105"/>
      <c r="GE343" s="105"/>
      <c r="GF343" s="105"/>
      <c r="GG343" s="105"/>
      <c r="GH343" s="105"/>
      <c r="GI343" s="105"/>
      <c r="GJ343" s="105"/>
      <c r="GK343" s="105"/>
      <c r="GL343" s="105"/>
      <c r="GM343" s="105"/>
      <c r="GN343" s="105"/>
      <c r="GO343" s="105"/>
      <c r="GP343" s="105"/>
      <c r="GQ343" s="105"/>
      <c r="GR343" s="105"/>
      <c r="GS343" s="105"/>
      <c r="GT343" s="105"/>
      <c r="GU343" s="105"/>
      <c r="GV343" s="105"/>
      <c r="GW343" s="105"/>
      <c r="GX343" s="105"/>
      <c r="GY343" s="105"/>
      <c r="GZ343" s="105"/>
      <c r="HA343" s="105"/>
      <c r="HB343" s="105"/>
      <c r="HC343" s="105"/>
      <c r="HD343" s="105"/>
      <c r="HE343" s="105"/>
      <c r="HF343" s="105"/>
      <c r="HG343" s="105"/>
      <c r="HH343" s="105"/>
      <c r="HI343" s="105"/>
      <c r="HJ343" s="105"/>
      <c r="HK343" s="105"/>
      <c r="HL343" s="105"/>
      <c r="HM343" s="105"/>
      <c r="HN343" s="105"/>
      <c r="HO343" s="105"/>
      <c r="HP343" s="105"/>
      <c r="HQ343" s="105"/>
      <c r="HR343" s="105"/>
      <c r="HS343" s="105"/>
      <c r="HT343" s="105"/>
      <c r="HU343" s="105"/>
      <c r="HV343" s="105"/>
      <c r="HW343" s="105"/>
      <c r="HX343" s="105"/>
      <c r="HY343" s="105"/>
      <c r="HZ343" s="105"/>
      <c r="IA343" s="105"/>
      <c r="IB343" s="105"/>
      <c r="IC343" s="105"/>
      <c r="ID343" s="105"/>
      <c r="IE343" s="105"/>
      <c r="IF343" s="105"/>
      <c r="IG343" s="105"/>
      <c r="IH343" s="105"/>
      <c r="II343" s="105"/>
      <c r="IJ343" s="105"/>
      <c r="IK343" s="105"/>
      <c r="IL343" s="105"/>
      <c r="IM343" s="105"/>
      <c r="IN343" s="105"/>
      <c r="IO343" s="105"/>
      <c r="IP343" s="105"/>
      <c r="IQ343" s="105"/>
      <c r="IR343" s="105"/>
      <c r="IS343" s="105"/>
      <c r="IT343" s="105"/>
      <c r="IU343" s="105"/>
      <c r="IV343" s="105"/>
    </row>
    <row r="344" spans="1:256" s="384" customFormat="1" x14ac:dyDescent="0.2">
      <c r="A344" s="274">
        <v>44343</v>
      </c>
      <c r="B344" s="275" t="s">
        <v>95</v>
      </c>
      <c r="C344" s="275">
        <v>2021</v>
      </c>
      <c r="D344" s="275" t="s">
        <v>5</v>
      </c>
      <c r="E344" s="420">
        <v>-349.4</v>
      </c>
      <c r="F344" s="276" t="s">
        <v>33</v>
      </c>
      <c r="G344" s="421">
        <v>139760</v>
      </c>
      <c r="H344" s="420">
        <v>212</v>
      </c>
      <c r="I344" s="420" t="s">
        <v>80</v>
      </c>
      <c r="J344" s="420" t="s">
        <v>731</v>
      </c>
      <c r="K344" s="420">
        <v>349.4</v>
      </c>
      <c r="L344" s="422" t="s">
        <v>726</v>
      </c>
      <c r="M344" s="420" t="s">
        <v>732</v>
      </c>
      <c r="N344" s="422" t="s">
        <v>733</v>
      </c>
      <c r="O344" s="423"/>
      <c r="P344" s="423" t="s">
        <v>734</v>
      </c>
      <c r="Q344" s="779">
        <v>41.281999999999996</v>
      </c>
      <c r="R344" s="676">
        <v>-86.046999999999997</v>
      </c>
      <c r="S344" s="423" t="s">
        <v>63</v>
      </c>
      <c r="T344" s="423"/>
      <c r="U344" s="275" t="s">
        <v>51</v>
      </c>
      <c r="V344" s="274"/>
      <c r="W344" s="280">
        <f>IF(AC344="Intr",0,G344*Definitions!$B$53)</f>
        <v>20964</v>
      </c>
      <c r="X344" s="280">
        <f>IF(AC344="Intr",0,G344*Definitions!$B$54)</f>
        <v>97832</v>
      </c>
      <c r="Y344" s="280">
        <f>IF(AC344="Intr",G344,G344*Definitions!$B$55)</f>
        <v>20964</v>
      </c>
      <c r="Z344" s="280" t="s">
        <v>964</v>
      </c>
      <c r="AA344" s="280" t="s">
        <v>965</v>
      </c>
      <c r="AB344" s="280"/>
      <c r="AC344" s="275"/>
      <c r="AD344" s="275"/>
      <c r="AE344" s="275"/>
      <c r="AF344" s="275"/>
      <c r="AG344" s="281"/>
      <c r="AH344" s="423" t="s">
        <v>735</v>
      </c>
      <c r="AI344" s="105"/>
      <c r="AJ344" s="105"/>
      <c r="AK344" s="105"/>
      <c r="AL344" s="105"/>
      <c r="AM344" s="105"/>
      <c r="AN344" s="105"/>
      <c r="AO344" s="105"/>
      <c r="AP344" s="105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5"/>
      <c r="BB344" s="105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5"/>
      <c r="BN344" s="105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5"/>
      <c r="BZ344" s="105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5"/>
      <c r="CM344" s="105"/>
      <c r="CN344" s="105"/>
      <c r="CO344" s="105"/>
      <c r="CP344" s="105"/>
      <c r="CQ344" s="105"/>
      <c r="CR344" s="105"/>
      <c r="CS344" s="105"/>
      <c r="CT344" s="105"/>
      <c r="CU344" s="105"/>
      <c r="CV344" s="105"/>
      <c r="CW344" s="105"/>
      <c r="CX344" s="105"/>
      <c r="CY344" s="105"/>
      <c r="CZ344" s="105"/>
      <c r="DA344" s="105"/>
      <c r="DB344" s="105"/>
      <c r="DC344" s="105"/>
      <c r="DD344" s="105"/>
      <c r="DE344" s="105"/>
      <c r="DF344" s="105"/>
      <c r="DG344" s="105"/>
      <c r="DH344" s="105"/>
      <c r="DI344" s="105"/>
      <c r="DJ344" s="105"/>
      <c r="DK344" s="105"/>
      <c r="DL344" s="105"/>
      <c r="DM344" s="105"/>
      <c r="DN344" s="105"/>
      <c r="DO344" s="105"/>
      <c r="DP344" s="105"/>
      <c r="DQ344" s="105"/>
      <c r="DR344" s="105"/>
      <c r="DS344" s="105"/>
      <c r="DT344" s="105"/>
      <c r="DU344" s="105"/>
      <c r="DV344" s="105"/>
      <c r="DW344" s="105"/>
      <c r="DX344" s="105"/>
      <c r="DY344" s="105"/>
      <c r="DZ344" s="105"/>
      <c r="EA344" s="105"/>
      <c r="EB344" s="105"/>
      <c r="EC344" s="105"/>
      <c r="ED344" s="105"/>
      <c r="EE344" s="105"/>
      <c r="EF344" s="105"/>
      <c r="EG344" s="105"/>
      <c r="EH344" s="105"/>
      <c r="EI344" s="105"/>
      <c r="EJ344" s="105"/>
      <c r="EK344" s="105"/>
      <c r="EL344" s="105"/>
      <c r="EM344" s="105"/>
      <c r="EN344" s="105"/>
      <c r="EO344" s="105"/>
      <c r="EP344" s="105"/>
      <c r="EQ344" s="105"/>
      <c r="ER344" s="105"/>
      <c r="ES344" s="105"/>
      <c r="ET344" s="105"/>
      <c r="EU344" s="105"/>
      <c r="EV344" s="105"/>
      <c r="EW344" s="105"/>
      <c r="EX344" s="105"/>
      <c r="EY344" s="105"/>
      <c r="EZ344" s="105"/>
      <c r="FA344" s="105"/>
      <c r="FB344" s="105"/>
      <c r="FC344" s="105"/>
      <c r="FD344" s="105"/>
      <c r="FE344" s="105"/>
      <c r="FF344" s="105"/>
      <c r="FG344" s="105"/>
      <c r="FH344" s="105"/>
      <c r="FI344" s="105"/>
      <c r="FJ344" s="105"/>
      <c r="FK344" s="105"/>
      <c r="FL344" s="105"/>
      <c r="FM344" s="105"/>
      <c r="FN344" s="105"/>
      <c r="FO344" s="105"/>
      <c r="FP344" s="105"/>
      <c r="FQ344" s="105"/>
      <c r="FR344" s="105"/>
      <c r="FS344" s="105"/>
      <c r="FT344" s="105"/>
      <c r="FU344" s="105"/>
      <c r="FV344" s="105"/>
      <c r="FW344" s="105"/>
      <c r="FX344" s="105"/>
      <c r="FY344" s="105"/>
      <c r="FZ344" s="105"/>
      <c r="GA344" s="105"/>
      <c r="GB344" s="105"/>
      <c r="GC344" s="105"/>
      <c r="GD344" s="105"/>
      <c r="GE344" s="105"/>
      <c r="GF344" s="105"/>
      <c r="GG344" s="105"/>
      <c r="GH344" s="105"/>
      <c r="GI344" s="105"/>
      <c r="GJ344" s="105"/>
      <c r="GK344" s="105"/>
      <c r="GL344" s="105"/>
      <c r="GM344" s="105"/>
      <c r="GN344" s="105"/>
      <c r="GO344" s="105"/>
      <c r="GP344" s="105"/>
      <c r="GQ344" s="105"/>
      <c r="GR344" s="105"/>
      <c r="GS344" s="105"/>
      <c r="GT344" s="105"/>
      <c r="GU344" s="105"/>
      <c r="GV344" s="105"/>
      <c r="GW344" s="105"/>
      <c r="GX344" s="105"/>
      <c r="GY344" s="105"/>
      <c r="GZ344" s="105"/>
      <c r="HA344" s="105"/>
      <c r="HB344" s="105"/>
      <c r="HC344" s="105"/>
      <c r="HD344" s="105"/>
      <c r="HE344" s="105"/>
      <c r="HF344" s="105"/>
      <c r="HG344" s="105"/>
      <c r="HH344" s="105"/>
      <c r="HI344" s="105"/>
      <c r="HJ344" s="105"/>
      <c r="HK344" s="105"/>
      <c r="HL344" s="105"/>
      <c r="HM344" s="105"/>
      <c r="HN344" s="105"/>
      <c r="HO344" s="105"/>
      <c r="HP344" s="105"/>
      <c r="HQ344" s="105"/>
      <c r="HR344" s="105"/>
      <c r="HS344" s="105"/>
      <c r="HT344" s="105"/>
      <c r="HU344" s="105"/>
      <c r="HV344" s="105"/>
      <c r="HW344" s="105"/>
      <c r="HX344" s="105"/>
      <c r="HY344" s="105"/>
      <c r="HZ344" s="105"/>
      <c r="IA344" s="105"/>
      <c r="IB344" s="105"/>
      <c r="IC344" s="105"/>
      <c r="ID344" s="105"/>
      <c r="IE344" s="105"/>
      <c r="IF344" s="105"/>
      <c r="IG344" s="105"/>
      <c r="IH344" s="105"/>
      <c r="II344" s="105"/>
      <c r="IJ344" s="105"/>
      <c r="IK344" s="105"/>
      <c r="IL344" s="105"/>
      <c r="IM344" s="105"/>
      <c r="IN344" s="105"/>
      <c r="IO344" s="105"/>
      <c r="IP344" s="105"/>
      <c r="IQ344" s="105"/>
      <c r="IR344" s="105"/>
      <c r="IS344" s="105"/>
      <c r="IT344" s="105"/>
      <c r="IU344" s="105"/>
      <c r="IV344" s="105"/>
    </row>
    <row r="345" spans="1:256" s="385" customFormat="1" x14ac:dyDescent="0.2">
      <c r="A345" s="274">
        <v>44343</v>
      </c>
      <c r="B345" s="275" t="s">
        <v>95</v>
      </c>
      <c r="C345" s="275">
        <v>2021</v>
      </c>
      <c r="D345" s="275" t="s">
        <v>5</v>
      </c>
      <c r="E345" s="420">
        <v>-2.9600000000000001E-2</v>
      </c>
      <c r="F345" s="276" t="s">
        <v>32</v>
      </c>
      <c r="G345" s="421">
        <v>2368</v>
      </c>
      <c r="H345" s="420">
        <v>212</v>
      </c>
      <c r="I345" s="420" t="s">
        <v>80</v>
      </c>
      <c r="J345" s="420" t="s">
        <v>36</v>
      </c>
      <c r="K345" s="420">
        <v>1.4800000000000001E-2</v>
      </c>
      <c r="L345" s="422" t="s">
        <v>726</v>
      </c>
      <c r="M345" s="420" t="s">
        <v>732</v>
      </c>
      <c r="N345" s="422" t="s">
        <v>733</v>
      </c>
      <c r="O345" s="423"/>
      <c r="P345" s="423" t="s">
        <v>734</v>
      </c>
      <c r="Q345" s="779">
        <v>41.281999999999996</v>
      </c>
      <c r="R345" s="676">
        <v>-86.046999999999997</v>
      </c>
      <c r="S345" s="423" t="s">
        <v>63</v>
      </c>
      <c r="T345" s="423"/>
      <c r="U345" s="275" t="s">
        <v>51</v>
      </c>
      <c r="V345" s="274"/>
      <c r="W345" s="280">
        <f>IF(AC345="Intr",0,G345*Definitions!$B$53)</f>
        <v>355.2</v>
      </c>
      <c r="X345" s="280">
        <f>IF(AC345="Intr",0,G345*Definitions!$B$54)</f>
        <v>1657.6</v>
      </c>
      <c r="Y345" s="280">
        <f>IF(AC345="Intr",G345,G345*Definitions!$B$55)</f>
        <v>355.2</v>
      </c>
      <c r="Z345" s="280" t="s">
        <v>964</v>
      </c>
      <c r="AA345" s="280" t="s">
        <v>965</v>
      </c>
      <c r="AB345" s="280"/>
      <c r="AC345" s="275"/>
      <c r="AD345" s="275"/>
      <c r="AE345" s="275"/>
      <c r="AF345" s="275"/>
      <c r="AG345" s="281"/>
      <c r="AH345" s="275"/>
      <c r="AI345" s="105"/>
      <c r="AJ345" s="105"/>
      <c r="AK345" s="105"/>
      <c r="AL345" s="105"/>
      <c r="AM345" s="105"/>
      <c r="AN345" s="105"/>
      <c r="AO345" s="105"/>
      <c r="AP345" s="105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5"/>
      <c r="BB345" s="105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5"/>
      <c r="BN345" s="105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5"/>
      <c r="BZ345" s="105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5"/>
      <c r="CM345" s="105"/>
      <c r="CN345" s="105"/>
      <c r="CO345" s="105"/>
      <c r="CP345" s="105"/>
      <c r="CQ345" s="105"/>
      <c r="CR345" s="105"/>
      <c r="CS345" s="105"/>
      <c r="CT345" s="105"/>
      <c r="CU345" s="105"/>
      <c r="CV345" s="105"/>
      <c r="CW345" s="105"/>
      <c r="CX345" s="105"/>
      <c r="CY345" s="105"/>
      <c r="CZ345" s="105"/>
      <c r="DA345" s="105"/>
      <c r="DB345" s="105"/>
      <c r="DC345" s="105"/>
      <c r="DD345" s="105"/>
      <c r="DE345" s="105"/>
      <c r="DF345" s="105"/>
      <c r="DG345" s="105"/>
      <c r="DH345" s="105"/>
      <c r="DI345" s="105"/>
      <c r="DJ345" s="105"/>
      <c r="DK345" s="105"/>
      <c r="DL345" s="105"/>
      <c r="DM345" s="105"/>
      <c r="DN345" s="105"/>
      <c r="DO345" s="105"/>
      <c r="DP345" s="105"/>
      <c r="DQ345" s="105"/>
      <c r="DR345" s="105"/>
      <c r="DS345" s="105"/>
      <c r="DT345" s="105"/>
      <c r="DU345" s="105"/>
      <c r="DV345" s="105"/>
      <c r="DW345" s="105"/>
      <c r="DX345" s="105"/>
      <c r="DY345" s="105"/>
      <c r="DZ345" s="105"/>
      <c r="EA345" s="105"/>
      <c r="EB345" s="105"/>
      <c r="EC345" s="105"/>
      <c r="ED345" s="105"/>
      <c r="EE345" s="105"/>
      <c r="EF345" s="105"/>
      <c r="EG345" s="105"/>
      <c r="EH345" s="105"/>
      <c r="EI345" s="105"/>
      <c r="EJ345" s="105"/>
      <c r="EK345" s="105"/>
      <c r="EL345" s="105"/>
      <c r="EM345" s="105"/>
      <c r="EN345" s="105"/>
      <c r="EO345" s="105"/>
      <c r="EP345" s="105"/>
      <c r="EQ345" s="105"/>
      <c r="ER345" s="105"/>
      <c r="ES345" s="105"/>
      <c r="ET345" s="105"/>
      <c r="EU345" s="105"/>
      <c r="EV345" s="105"/>
      <c r="EW345" s="105"/>
      <c r="EX345" s="105"/>
      <c r="EY345" s="105"/>
      <c r="EZ345" s="105"/>
      <c r="FA345" s="105"/>
      <c r="FB345" s="105"/>
      <c r="FC345" s="105"/>
      <c r="FD345" s="105"/>
      <c r="FE345" s="105"/>
      <c r="FF345" s="105"/>
      <c r="FG345" s="105"/>
      <c r="FH345" s="105"/>
      <c r="FI345" s="105"/>
      <c r="FJ345" s="105"/>
      <c r="FK345" s="105"/>
      <c r="FL345" s="105"/>
      <c r="FM345" s="105"/>
      <c r="FN345" s="105"/>
      <c r="FO345" s="105"/>
      <c r="FP345" s="105"/>
      <c r="FQ345" s="105"/>
      <c r="FR345" s="105"/>
      <c r="FS345" s="105"/>
      <c r="FT345" s="105"/>
      <c r="FU345" s="105"/>
      <c r="FV345" s="105"/>
      <c r="FW345" s="105"/>
      <c r="FX345" s="105"/>
      <c r="FY345" s="105"/>
      <c r="FZ345" s="105"/>
      <c r="GA345" s="105"/>
      <c r="GB345" s="105"/>
      <c r="GC345" s="105"/>
      <c r="GD345" s="105"/>
      <c r="GE345" s="105"/>
      <c r="GF345" s="105"/>
      <c r="GG345" s="105"/>
      <c r="GH345" s="105"/>
      <c r="GI345" s="105"/>
      <c r="GJ345" s="105"/>
      <c r="GK345" s="105"/>
      <c r="GL345" s="105"/>
      <c r="GM345" s="105"/>
      <c r="GN345" s="105"/>
      <c r="GO345" s="105"/>
      <c r="GP345" s="105"/>
      <c r="GQ345" s="105"/>
      <c r="GR345" s="105"/>
      <c r="GS345" s="105"/>
      <c r="GT345" s="105"/>
      <c r="GU345" s="105"/>
      <c r="GV345" s="105"/>
      <c r="GW345" s="105"/>
      <c r="GX345" s="105"/>
      <c r="GY345" s="105"/>
      <c r="GZ345" s="105"/>
      <c r="HA345" s="105"/>
      <c r="HB345" s="105"/>
      <c r="HC345" s="105"/>
      <c r="HD345" s="105"/>
      <c r="HE345" s="105"/>
      <c r="HF345" s="105"/>
      <c r="HG345" s="105"/>
      <c r="HH345" s="105"/>
      <c r="HI345" s="105"/>
      <c r="HJ345" s="105"/>
      <c r="HK345" s="105"/>
      <c r="HL345" s="105"/>
      <c r="HM345" s="105"/>
      <c r="HN345" s="105"/>
      <c r="HO345" s="105"/>
      <c r="HP345" s="105"/>
      <c r="HQ345" s="105"/>
      <c r="HR345" s="105"/>
      <c r="HS345" s="105"/>
      <c r="HT345" s="105"/>
      <c r="HU345" s="105"/>
      <c r="HV345" s="105"/>
      <c r="HW345" s="105"/>
      <c r="HX345" s="105"/>
      <c r="HY345" s="105"/>
      <c r="HZ345" s="105"/>
      <c r="IA345" s="105"/>
      <c r="IB345" s="105"/>
      <c r="IC345" s="105"/>
      <c r="ID345" s="105"/>
      <c r="IE345" s="105"/>
      <c r="IF345" s="105"/>
      <c r="IG345" s="105"/>
      <c r="IH345" s="105"/>
      <c r="II345" s="105"/>
      <c r="IJ345" s="105"/>
      <c r="IK345" s="105"/>
      <c r="IL345" s="105"/>
      <c r="IM345" s="105"/>
      <c r="IN345" s="105"/>
      <c r="IO345" s="105"/>
      <c r="IP345" s="105"/>
      <c r="IQ345" s="105"/>
      <c r="IR345" s="105"/>
      <c r="IS345" s="105"/>
      <c r="IT345" s="105"/>
      <c r="IU345" s="105"/>
      <c r="IV345" s="105"/>
    </row>
    <row r="346" spans="1:256" s="387" customFormat="1" x14ac:dyDescent="0.2">
      <c r="A346" s="37">
        <v>44343</v>
      </c>
      <c r="B346" s="38" t="s">
        <v>95</v>
      </c>
      <c r="C346" s="38">
        <v>2021</v>
      </c>
      <c r="D346" s="38" t="s">
        <v>5</v>
      </c>
      <c r="E346" s="233">
        <v>-0.13</v>
      </c>
      <c r="F346" s="177" t="s">
        <v>32</v>
      </c>
      <c r="G346" s="234">
        <v>10400</v>
      </c>
      <c r="H346" s="233">
        <v>210</v>
      </c>
      <c r="I346" s="233" t="s">
        <v>80</v>
      </c>
      <c r="J346" s="233" t="s">
        <v>36</v>
      </c>
      <c r="K346" s="233">
        <v>0.02</v>
      </c>
      <c r="L346" s="235" t="s">
        <v>726</v>
      </c>
      <c r="M346" s="233" t="s">
        <v>736</v>
      </c>
      <c r="N346" s="235" t="s">
        <v>737</v>
      </c>
      <c r="O346" s="236"/>
      <c r="P346" s="236" t="s">
        <v>404</v>
      </c>
      <c r="Q346" s="780">
        <v>40.485999999999997</v>
      </c>
      <c r="R346" s="677">
        <v>-86.107500000000002</v>
      </c>
      <c r="S346" s="236" t="s">
        <v>63</v>
      </c>
      <c r="T346" s="38"/>
      <c r="U346" s="38" t="s">
        <v>51</v>
      </c>
      <c r="V346" s="37"/>
      <c r="W346" s="39">
        <f>IF(AC346="Intr",0,G346*Definitions!$B$53)</f>
        <v>1560</v>
      </c>
      <c r="X346" s="39">
        <f>IF(AC346="Intr",0,G346*Definitions!$B$54)</f>
        <v>7279.9999999999991</v>
      </c>
      <c r="Y346" s="39">
        <f>IF(AC346="Intr",G346,G346*Definitions!$B$55)</f>
        <v>1560</v>
      </c>
      <c r="Z346" s="39" t="s">
        <v>966</v>
      </c>
      <c r="AA346" s="39" t="s">
        <v>965</v>
      </c>
      <c r="AB346" s="39"/>
      <c r="AC346" s="38"/>
      <c r="AD346" s="38"/>
      <c r="AE346" s="38"/>
      <c r="AF346" s="38"/>
      <c r="AG346" s="40"/>
      <c r="AH346" s="38"/>
      <c r="AI346" s="105"/>
      <c r="AJ346" s="105"/>
      <c r="AK346" s="105"/>
      <c r="AL346" s="105"/>
      <c r="AM346" s="105"/>
      <c r="AN346" s="105"/>
      <c r="AO346" s="105"/>
      <c r="AP346" s="105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5"/>
      <c r="BB346" s="105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5"/>
      <c r="BN346" s="105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5"/>
      <c r="BZ346" s="105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5"/>
      <c r="CM346" s="105"/>
      <c r="CN346" s="105"/>
      <c r="CO346" s="105"/>
      <c r="CP346" s="105"/>
      <c r="CQ346" s="105"/>
      <c r="CR346" s="105"/>
      <c r="CS346" s="105"/>
      <c r="CT346" s="105"/>
      <c r="CU346" s="105"/>
      <c r="CV346" s="105"/>
      <c r="CW346" s="105"/>
      <c r="CX346" s="105"/>
      <c r="CY346" s="105"/>
      <c r="CZ346" s="105"/>
      <c r="DA346" s="105"/>
      <c r="DB346" s="105"/>
      <c r="DC346" s="105"/>
      <c r="DD346" s="105"/>
      <c r="DE346" s="105"/>
      <c r="DF346" s="105"/>
      <c r="DG346" s="105"/>
      <c r="DH346" s="105"/>
      <c r="DI346" s="105"/>
      <c r="DJ346" s="105"/>
      <c r="DK346" s="105"/>
      <c r="DL346" s="105"/>
      <c r="DM346" s="105"/>
      <c r="DN346" s="105"/>
      <c r="DO346" s="105"/>
      <c r="DP346" s="105"/>
      <c r="DQ346" s="105"/>
      <c r="DR346" s="105"/>
      <c r="DS346" s="105"/>
      <c r="DT346" s="105"/>
      <c r="DU346" s="105"/>
      <c r="DV346" s="105"/>
      <c r="DW346" s="105"/>
      <c r="DX346" s="105"/>
      <c r="DY346" s="105"/>
      <c r="DZ346" s="105"/>
      <c r="EA346" s="105"/>
      <c r="EB346" s="105"/>
      <c r="EC346" s="105"/>
      <c r="ED346" s="105"/>
      <c r="EE346" s="105"/>
      <c r="EF346" s="105"/>
      <c r="EG346" s="105"/>
      <c r="EH346" s="105"/>
      <c r="EI346" s="105"/>
      <c r="EJ346" s="105"/>
      <c r="EK346" s="105"/>
      <c r="EL346" s="105"/>
      <c r="EM346" s="105"/>
      <c r="EN346" s="105"/>
      <c r="EO346" s="105"/>
      <c r="EP346" s="105"/>
      <c r="EQ346" s="105"/>
      <c r="ER346" s="105"/>
      <c r="ES346" s="105"/>
      <c r="ET346" s="105"/>
      <c r="EU346" s="105"/>
      <c r="EV346" s="105"/>
      <c r="EW346" s="105"/>
      <c r="EX346" s="105"/>
      <c r="EY346" s="105"/>
      <c r="EZ346" s="105"/>
      <c r="FA346" s="105"/>
      <c r="FB346" s="105"/>
      <c r="FC346" s="105"/>
      <c r="FD346" s="105"/>
      <c r="FE346" s="105"/>
      <c r="FF346" s="105"/>
      <c r="FG346" s="105"/>
      <c r="FH346" s="105"/>
      <c r="FI346" s="105"/>
      <c r="FJ346" s="105"/>
      <c r="FK346" s="105"/>
      <c r="FL346" s="105"/>
      <c r="FM346" s="105"/>
      <c r="FN346" s="105"/>
      <c r="FO346" s="105"/>
      <c r="FP346" s="105"/>
      <c r="FQ346" s="105"/>
      <c r="FR346" s="105"/>
      <c r="FS346" s="105"/>
      <c r="FT346" s="105"/>
      <c r="FU346" s="105"/>
      <c r="FV346" s="105"/>
      <c r="FW346" s="105"/>
      <c r="FX346" s="105"/>
      <c r="FY346" s="105"/>
      <c r="FZ346" s="105"/>
      <c r="GA346" s="105"/>
      <c r="GB346" s="105"/>
      <c r="GC346" s="105"/>
      <c r="GD346" s="105"/>
      <c r="GE346" s="105"/>
      <c r="GF346" s="105"/>
      <c r="GG346" s="105"/>
      <c r="GH346" s="105"/>
      <c r="GI346" s="105"/>
      <c r="GJ346" s="105"/>
      <c r="GK346" s="105"/>
      <c r="GL346" s="105"/>
      <c r="GM346" s="105"/>
      <c r="GN346" s="105"/>
      <c r="GO346" s="105"/>
      <c r="GP346" s="105"/>
      <c r="GQ346" s="105"/>
      <c r="GR346" s="105"/>
      <c r="GS346" s="105"/>
      <c r="GT346" s="105"/>
      <c r="GU346" s="105"/>
      <c r="GV346" s="105"/>
      <c r="GW346" s="105"/>
      <c r="GX346" s="105"/>
      <c r="GY346" s="105"/>
      <c r="GZ346" s="105"/>
      <c r="HA346" s="105"/>
      <c r="HB346" s="105"/>
      <c r="HC346" s="105"/>
      <c r="HD346" s="105"/>
      <c r="HE346" s="105"/>
      <c r="HF346" s="105"/>
      <c r="HG346" s="105"/>
      <c r="HH346" s="105"/>
      <c r="HI346" s="105"/>
      <c r="HJ346" s="105"/>
      <c r="HK346" s="105"/>
      <c r="HL346" s="105"/>
      <c r="HM346" s="105"/>
      <c r="HN346" s="105"/>
      <c r="HO346" s="105"/>
      <c r="HP346" s="105"/>
      <c r="HQ346" s="105"/>
      <c r="HR346" s="105"/>
      <c r="HS346" s="105"/>
      <c r="HT346" s="105"/>
      <c r="HU346" s="105"/>
      <c r="HV346" s="105"/>
      <c r="HW346" s="105"/>
      <c r="HX346" s="105"/>
      <c r="HY346" s="105"/>
      <c r="HZ346" s="105"/>
      <c r="IA346" s="105"/>
      <c r="IB346" s="105"/>
      <c r="IC346" s="105"/>
      <c r="ID346" s="105"/>
      <c r="IE346" s="105"/>
      <c r="IF346" s="105"/>
      <c r="IG346" s="105"/>
      <c r="IH346" s="105"/>
      <c r="II346" s="105"/>
      <c r="IJ346" s="105"/>
      <c r="IK346" s="105"/>
      <c r="IL346" s="105"/>
      <c r="IM346" s="105"/>
      <c r="IN346" s="105"/>
      <c r="IO346" s="105"/>
      <c r="IP346" s="105"/>
      <c r="IQ346" s="105"/>
      <c r="IR346" s="105"/>
      <c r="IS346" s="105"/>
      <c r="IT346" s="105"/>
      <c r="IU346" s="105"/>
      <c r="IV346" s="105"/>
    </row>
    <row r="347" spans="1:256" s="387" customFormat="1" x14ac:dyDescent="0.2">
      <c r="A347" s="145">
        <v>44343</v>
      </c>
      <c r="B347" s="112" t="s">
        <v>95</v>
      </c>
      <c r="C347" s="112">
        <v>2021</v>
      </c>
      <c r="D347" s="112" t="s">
        <v>8</v>
      </c>
      <c r="E347" s="512">
        <v>-131</v>
      </c>
      <c r="F347" s="146" t="s">
        <v>33</v>
      </c>
      <c r="G347" s="513">
        <v>52400</v>
      </c>
      <c r="H347" s="512">
        <v>162</v>
      </c>
      <c r="I347" s="230" t="s">
        <v>80</v>
      </c>
      <c r="J347" s="512" t="s">
        <v>738</v>
      </c>
      <c r="K347" s="512">
        <v>109</v>
      </c>
      <c r="L347" s="514" t="s">
        <v>726</v>
      </c>
      <c r="M347" s="146" t="s">
        <v>739</v>
      </c>
      <c r="N347" s="149" t="s">
        <v>740</v>
      </c>
      <c r="O347" s="515"/>
      <c r="P347" s="515" t="s">
        <v>741</v>
      </c>
      <c r="Q347" s="781">
        <v>39.613289999999999</v>
      </c>
      <c r="R347" s="678">
        <v>-85.613870000000006</v>
      </c>
      <c r="S347" s="515" t="s">
        <v>63</v>
      </c>
      <c r="T347" s="112"/>
      <c r="U347" s="112" t="s">
        <v>51</v>
      </c>
      <c r="V347" s="145"/>
      <c r="W347" s="150">
        <f>IF(AC347="Intr",0,G347*Definitions!$B$53)</f>
        <v>7860</v>
      </c>
      <c r="X347" s="150">
        <f>IF(AC347="Intr",0,G347*Definitions!$B$54)</f>
        <v>36680</v>
      </c>
      <c r="Y347" s="150">
        <f>IF(AC347="Intr",G347,G347*Definitions!$B$55)</f>
        <v>7860</v>
      </c>
      <c r="Z347" s="150" t="s">
        <v>966</v>
      </c>
      <c r="AA347" s="150" t="s">
        <v>965</v>
      </c>
      <c r="AB347" s="150"/>
      <c r="AC347" s="112"/>
      <c r="AD347" s="112"/>
      <c r="AE347" s="112"/>
      <c r="AF347" s="112"/>
      <c r="AG347" s="151"/>
      <c r="AH347" s="112"/>
      <c r="AI347" s="105"/>
      <c r="AJ347" s="105"/>
      <c r="AK347" s="105"/>
      <c r="AL347" s="105"/>
      <c r="AM347" s="105"/>
      <c r="AN347" s="105"/>
      <c r="AO347" s="105"/>
      <c r="AP347" s="105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5"/>
      <c r="BB347" s="105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5"/>
      <c r="BN347" s="105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5"/>
      <c r="BZ347" s="105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5"/>
      <c r="CM347" s="105"/>
      <c r="CN347" s="105"/>
      <c r="CO347" s="105"/>
      <c r="CP347" s="105"/>
      <c r="CQ347" s="105"/>
      <c r="CR347" s="105"/>
      <c r="CS347" s="105"/>
      <c r="CT347" s="105"/>
      <c r="CU347" s="105"/>
      <c r="CV347" s="105"/>
      <c r="CW347" s="105"/>
      <c r="CX347" s="105"/>
      <c r="CY347" s="105"/>
      <c r="CZ347" s="105"/>
      <c r="DA347" s="105"/>
      <c r="DB347" s="105"/>
      <c r="DC347" s="105"/>
      <c r="DD347" s="105"/>
      <c r="DE347" s="105"/>
      <c r="DF347" s="105"/>
      <c r="DG347" s="105"/>
      <c r="DH347" s="105"/>
      <c r="DI347" s="105"/>
      <c r="DJ347" s="105"/>
      <c r="DK347" s="105"/>
      <c r="DL347" s="105"/>
      <c r="DM347" s="105"/>
      <c r="DN347" s="105"/>
      <c r="DO347" s="105"/>
      <c r="DP347" s="105"/>
      <c r="DQ347" s="105"/>
      <c r="DR347" s="105"/>
      <c r="DS347" s="105"/>
      <c r="DT347" s="105"/>
      <c r="DU347" s="105"/>
      <c r="DV347" s="105"/>
      <c r="DW347" s="105"/>
      <c r="DX347" s="105"/>
      <c r="DY347" s="105"/>
      <c r="DZ347" s="105"/>
      <c r="EA347" s="105"/>
      <c r="EB347" s="105"/>
      <c r="EC347" s="105"/>
      <c r="ED347" s="105"/>
      <c r="EE347" s="105"/>
      <c r="EF347" s="105"/>
      <c r="EG347" s="105"/>
      <c r="EH347" s="105"/>
      <c r="EI347" s="105"/>
      <c r="EJ347" s="105"/>
      <c r="EK347" s="105"/>
      <c r="EL347" s="105"/>
      <c r="EM347" s="105"/>
      <c r="EN347" s="105"/>
      <c r="EO347" s="105"/>
      <c r="EP347" s="105"/>
      <c r="EQ347" s="105"/>
      <c r="ER347" s="105"/>
      <c r="ES347" s="105"/>
      <c r="ET347" s="105"/>
      <c r="EU347" s="105"/>
      <c r="EV347" s="105"/>
      <c r="EW347" s="105"/>
      <c r="EX347" s="105"/>
      <c r="EY347" s="105"/>
      <c r="EZ347" s="105"/>
      <c r="FA347" s="105"/>
      <c r="FB347" s="105"/>
      <c r="FC347" s="105"/>
      <c r="FD347" s="105"/>
      <c r="FE347" s="105"/>
      <c r="FF347" s="105"/>
      <c r="FG347" s="105"/>
      <c r="FH347" s="105"/>
      <c r="FI347" s="105"/>
      <c r="FJ347" s="105"/>
      <c r="FK347" s="105"/>
      <c r="FL347" s="105"/>
      <c r="FM347" s="105"/>
      <c r="FN347" s="105"/>
      <c r="FO347" s="105"/>
      <c r="FP347" s="105"/>
      <c r="FQ347" s="105"/>
      <c r="FR347" s="105"/>
      <c r="FS347" s="105"/>
      <c r="FT347" s="105"/>
      <c r="FU347" s="105"/>
      <c r="FV347" s="105"/>
      <c r="FW347" s="105"/>
      <c r="FX347" s="105"/>
      <c r="FY347" s="105"/>
      <c r="FZ347" s="105"/>
      <c r="GA347" s="105"/>
      <c r="GB347" s="105"/>
      <c r="GC347" s="105"/>
      <c r="GD347" s="105"/>
      <c r="GE347" s="105"/>
      <c r="GF347" s="105"/>
      <c r="GG347" s="105"/>
      <c r="GH347" s="105"/>
      <c r="GI347" s="105"/>
      <c r="GJ347" s="105"/>
      <c r="GK347" s="105"/>
      <c r="GL347" s="105"/>
      <c r="GM347" s="105"/>
      <c r="GN347" s="105"/>
      <c r="GO347" s="105"/>
      <c r="GP347" s="105"/>
      <c r="GQ347" s="105"/>
      <c r="GR347" s="105"/>
      <c r="GS347" s="105"/>
      <c r="GT347" s="105"/>
      <c r="GU347" s="105"/>
      <c r="GV347" s="105"/>
      <c r="GW347" s="105"/>
      <c r="GX347" s="105"/>
      <c r="GY347" s="105"/>
      <c r="GZ347" s="105"/>
      <c r="HA347" s="105"/>
      <c r="HB347" s="105"/>
      <c r="HC347" s="105"/>
      <c r="HD347" s="105"/>
      <c r="HE347" s="105"/>
      <c r="HF347" s="105"/>
      <c r="HG347" s="105"/>
      <c r="HH347" s="105"/>
      <c r="HI347" s="105"/>
      <c r="HJ347" s="105"/>
      <c r="HK347" s="105"/>
      <c r="HL347" s="105"/>
      <c r="HM347" s="105"/>
      <c r="HN347" s="105"/>
      <c r="HO347" s="105"/>
      <c r="HP347" s="105"/>
      <c r="HQ347" s="105"/>
      <c r="HR347" s="105"/>
      <c r="HS347" s="105"/>
      <c r="HT347" s="105"/>
      <c r="HU347" s="105"/>
      <c r="HV347" s="105"/>
      <c r="HW347" s="105"/>
      <c r="HX347" s="105"/>
      <c r="HY347" s="105"/>
      <c r="HZ347" s="105"/>
      <c r="IA347" s="105"/>
      <c r="IB347" s="105"/>
      <c r="IC347" s="105"/>
      <c r="ID347" s="105"/>
      <c r="IE347" s="105"/>
      <c r="IF347" s="105"/>
      <c r="IG347" s="105"/>
      <c r="IH347" s="105"/>
      <c r="II347" s="105"/>
      <c r="IJ347" s="105"/>
      <c r="IK347" s="105"/>
      <c r="IL347" s="105"/>
      <c r="IM347" s="105"/>
      <c r="IN347" s="105"/>
      <c r="IO347" s="105"/>
      <c r="IP347" s="105"/>
      <c r="IQ347" s="105"/>
      <c r="IR347" s="105"/>
      <c r="IS347" s="105"/>
      <c r="IT347" s="105"/>
      <c r="IU347" s="105"/>
      <c r="IV347" s="105"/>
    </row>
    <row r="348" spans="1:256" x14ac:dyDescent="0.2">
      <c r="A348" s="145">
        <v>44343</v>
      </c>
      <c r="B348" s="112" t="s">
        <v>95</v>
      </c>
      <c r="C348" s="112">
        <v>2021</v>
      </c>
      <c r="D348" s="112" t="s">
        <v>8</v>
      </c>
      <c r="E348" s="512">
        <v>-1.5</v>
      </c>
      <c r="F348" s="146" t="s">
        <v>32</v>
      </c>
      <c r="G348" s="513">
        <v>120000</v>
      </c>
      <c r="H348" s="512">
        <v>162</v>
      </c>
      <c r="I348" s="230" t="s">
        <v>80</v>
      </c>
      <c r="J348" s="512" t="s">
        <v>38</v>
      </c>
      <c r="K348" s="512">
        <v>0.375</v>
      </c>
      <c r="L348" s="514" t="s">
        <v>987</v>
      </c>
      <c r="M348" s="146" t="s">
        <v>739</v>
      </c>
      <c r="N348" s="149" t="s">
        <v>740</v>
      </c>
      <c r="O348" s="515"/>
      <c r="P348" s="515" t="s">
        <v>741</v>
      </c>
      <c r="Q348" s="781">
        <v>39.613289999999999</v>
      </c>
      <c r="R348" s="678">
        <v>-85.613870000000006</v>
      </c>
      <c r="S348" s="515" t="s">
        <v>63</v>
      </c>
      <c r="T348" s="112"/>
      <c r="U348" s="112" t="s">
        <v>51</v>
      </c>
      <c r="V348" s="145"/>
      <c r="W348" s="150">
        <f>IF(AC348="Intr",0,G348*Definitions!$B$53)</f>
        <v>18000</v>
      </c>
      <c r="X348" s="150">
        <f>IF(AC348="Intr",0,G348*Definitions!$B$54)</f>
        <v>84000</v>
      </c>
      <c r="Y348" s="150">
        <f>IF(AC348="Intr",G348,G348*Definitions!$B$55)</f>
        <v>18000</v>
      </c>
      <c r="Z348" s="150" t="s">
        <v>966</v>
      </c>
      <c r="AA348" s="150" t="s">
        <v>965</v>
      </c>
      <c r="AB348" s="150"/>
      <c r="AC348" s="112"/>
      <c r="AD348" s="112"/>
      <c r="AE348" s="112"/>
      <c r="AF348" s="112"/>
      <c r="AG348" s="151"/>
      <c r="AH348" s="112"/>
    </row>
    <row r="349" spans="1:256" s="388" customFormat="1" x14ac:dyDescent="0.2">
      <c r="A349" s="37">
        <v>44350</v>
      </c>
      <c r="B349" s="38" t="s">
        <v>433</v>
      </c>
      <c r="C349" s="38">
        <v>2021</v>
      </c>
      <c r="D349" s="38" t="s">
        <v>1</v>
      </c>
      <c r="E349" s="233">
        <v>-0.05</v>
      </c>
      <c r="F349" s="177" t="s">
        <v>32</v>
      </c>
      <c r="G349" s="234">
        <v>4750</v>
      </c>
      <c r="H349" s="233">
        <v>216</v>
      </c>
      <c r="I349" s="177" t="s">
        <v>81</v>
      </c>
      <c r="J349" s="233" t="s">
        <v>36</v>
      </c>
      <c r="K349" s="233">
        <v>0.05</v>
      </c>
      <c r="L349" s="235" t="s">
        <v>748</v>
      </c>
      <c r="M349" s="233" t="s">
        <v>729</v>
      </c>
      <c r="N349" s="235" t="s">
        <v>822</v>
      </c>
      <c r="O349" s="236"/>
      <c r="P349" s="236" t="s">
        <v>227</v>
      </c>
      <c r="Q349" s="780">
        <v>41.541547999999999</v>
      </c>
      <c r="R349" s="677" t="s">
        <v>749</v>
      </c>
      <c r="S349" s="38" t="s">
        <v>61</v>
      </c>
      <c r="T349" s="38"/>
      <c r="U349" s="38" t="s">
        <v>51</v>
      </c>
      <c r="V349" s="37"/>
      <c r="W349" s="39">
        <f>IF(AC349="Intr",0,G349*Definitions!$B$53)</f>
        <v>712.5</v>
      </c>
      <c r="X349" s="39">
        <f>IF(AC349="Intr",0,G349*Definitions!$B$54)</f>
        <v>3325</v>
      </c>
      <c r="Y349" s="39">
        <f>IF(AC349="Intr",G349,G349*Definitions!$B$55)</f>
        <v>712.5</v>
      </c>
      <c r="Z349" s="39" t="s">
        <v>967</v>
      </c>
      <c r="AA349" s="39" t="s">
        <v>963</v>
      </c>
      <c r="AB349" s="39" t="s">
        <v>969</v>
      </c>
      <c r="AC349" s="38"/>
      <c r="AD349" s="38"/>
      <c r="AE349" s="38"/>
      <c r="AF349" s="38"/>
      <c r="AG349" s="40"/>
      <c r="AH349" s="38"/>
      <c r="AI349" s="105"/>
      <c r="AJ349" s="105"/>
      <c r="AK349" s="105"/>
      <c r="AL349" s="105"/>
      <c r="AM349" s="105"/>
      <c r="AN349" s="105"/>
      <c r="AO349" s="105"/>
      <c r="AP349" s="105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5"/>
      <c r="BB349" s="105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5"/>
      <c r="BN349" s="105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5"/>
      <c r="BZ349" s="105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5"/>
      <c r="CM349" s="105"/>
      <c r="CN349" s="105"/>
      <c r="CO349" s="105"/>
      <c r="CP349" s="105"/>
      <c r="CQ349" s="105"/>
      <c r="CR349" s="105"/>
      <c r="CS349" s="105"/>
      <c r="CT349" s="105"/>
      <c r="CU349" s="105"/>
      <c r="CV349" s="105"/>
      <c r="CW349" s="105"/>
      <c r="CX349" s="105"/>
      <c r="CY349" s="105"/>
      <c r="CZ349" s="105"/>
      <c r="DA349" s="105"/>
      <c r="DB349" s="105"/>
      <c r="DC349" s="105"/>
      <c r="DD349" s="105"/>
      <c r="DE349" s="105"/>
      <c r="DF349" s="105"/>
      <c r="DG349" s="105"/>
      <c r="DH349" s="105"/>
      <c r="DI349" s="105"/>
      <c r="DJ349" s="105"/>
      <c r="DK349" s="105"/>
      <c r="DL349" s="105"/>
      <c r="DM349" s="105"/>
      <c r="DN349" s="105"/>
      <c r="DO349" s="105"/>
      <c r="DP349" s="105"/>
      <c r="DQ349" s="105"/>
      <c r="DR349" s="105"/>
      <c r="DS349" s="105"/>
      <c r="DT349" s="105"/>
      <c r="DU349" s="105"/>
      <c r="DV349" s="105"/>
      <c r="DW349" s="105"/>
      <c r="DX349" s="105"/>
      <c r="DY349" s="105"/>
      <c r="DZ349" s="105"/>
      <c r="EA349" s="105"/>
      <c r="EB349" s="105"/>
      <c r="EC349" s="105"/>
      <c r="ED349" s="105"/>
      <c r="EE349" s="105"/>
      <c r="EF349" s="105"/>
      <c r="EG349" s="105"/>
      <c r="EH349" s="105"/>
      <c r="EI349" s="105"/>
      <c r="EJ349" s="105"/>
      <c r="EK349" s="105"/>
      <c r="EL349" s="105"/>
      <c r="EM349" s="105"/>
      <c r="EN349" s="105"/>
      <c r="EO349" s="105"/>
      <c r="EP349" s="105"/>
      <c r="EQ349" s="105"/>
      <c r="ER349" s="105"/>
      <c r="ES349" s="105"/>
      <c r="ET349" s="105"/>
      <c r="EU349" s="105"/>
      <c r="EV349" s="105"/>
      <c r="EW349" s="105"/>
      <c r="EX349" s="105"/>
      <c r="EY349" s="105"/>
      <c r="EZ349" s="105"/>
      <c r="FA349" s="105"/>
      <c r="FB349" s="105"/>
      <c r="FC349" s="105"/>
      <c r="FD349" s="105"/>
      <c r="FE349" s="105"/>
      <c r="FF349" s="105"/>
      <c r="FG349" s="105"/>
      <c r="FH349" s="105"/>
      <c r="FI349" s="105"/>
      <c r="FJ349" s="105"/>
      <c r="FK349" s="105"/>
      <c r="FL349" s="105"/>
      <c r="FM349" s="105"/>
      <c r="FN349" s="105"/>
      <c r="FO349" s="105"/>
      <c r="FP349" s="105"/>
      <c r="FQ349" s="105"/>
      <c r="FR349" s="105"/>
      <c r="FS349" s="105"/>
      <c r="FT349" s="105"/>
      <c r="FU349" s="105"/>
      <c r="FV349" s="105"/>
      <c r="FW349" s="105"/>
      <c r="FX349" s="105"/>
      <c r="FY349" s="105"/>
      <c r="FZ349" s="105"/>
      <c r="GA349" s="105"/>
      <c r="GB349" s="105"/>
      <c r="GC349" s="105"/>
      <c r="GD349" s="105"/>
      <c r="GE349" s="105"/>
      <c r="GF349" s="105"/>
      <c r="GG349" s="105"/>
      <c r="GH349" s="105"/>
      <c r="GI349" s="105"/>
      <c r="GJ349" s="105"/>
      <c r="GK349" s="105"/>
      <c r="GL349" s="105"/>
      <c r="GM349" s="105"/>
      <c r="GN349" s="105"/>
      <c r="GO349" s="105"/>
      <c r="GP349" s="105"/>
      <c r="GQ349" s="105"/>
      <c r="GR349" s="105"/>
      <c r="GS349" s="105"/>
      <c r="GT349" s="105"/>
      <c r="GU349" s="105"/>
      <c r="GV349" s="105"/>
      <c r="GW349" s="105"/>
      <c r="GX349" s="105"/>
      <c r="GY349" s="105"/>
      <c r="GZ349" s="105"/>
      <c r="HA349" s="105"/>
      <c r="HB349" s="105"/>
      <c r="HC349" s="105"/>
      <c r="HD349" s="105"/>
      <c r="HE349" s="105"/>
      <c r="HF349" s="105"/>
      <c r="HG349" s="105"/>
      <c r="HH349" s="105"/>
      <c r="HI349" s="105"/>
      <c r="HJ349" s="105"/>
      <c r="HK349" s="105"/>
      <c r="HL349" s="105"/>
      <c r="HM349" s="105"/>
      <c r="HN349" s="105"/>
      <c r="HO349" s="105"/>
      <c r="HP349" s="105"/>
      <c r="HQ349" s="105"/>
      <c r="HR349" s="105"/>
      <c r="HS349" s="105"/>
      <c r="HT349" s="105"/>
      <c r="HU349" s="105"/>
      <c r="HV349" s="105"/>
      <c r="HW349" s="105"/>
      <c r="HX349" s="105"/>
      <c r="HY349" s="105"/>
      <c r="HZ349" s="105"/>
      <c r="IA349" s="105"/>
      <c r="IB349" s="105"/>
      <c r="IC349" s="105"/>
      <c r="ID349" s="105"/>
      <c r="IE349" s="105"/>
      <c r="IF349" s="105"/>
      <c r="IG349" s="105"/>
      <c r="IH349" s="105"/>
      <c r="II349" s="105"/>
      <c r="IJ349" s="105"/>
      <c r="IK349" s="105"/>
      <c r="IL349" s="105"/>
      <c r="IM349" s="105"/>
      <c r="IN349" s="105"/>
      <c r="IO349" s="105"/>
      <c r="IP349" s="105"/>
      <c r="IQ349" s="105"/>
      <c r="IR349" s="105"/>
      <c r="IS349" s="105"/>
      <c r="IT349" s="105"/>
      <c r="IU349" s="105"/>
      <c r="IV349" s="105"/>
    </row>
    <row r="350" spans="1:256" s="388" customFormat="1" x14ac:dyDescent="0.2">
      <c r="A350" s="367">
        <v>44357</v>
      </c>
      <c r="B350" s="368" t="s">
        <v>433</v>
      </c>
      <c r="C350" s="368">
        <v>2021</v>
      </c>
      <c r="D350" s="368" t="s">
        <v>10</v>
      </c>
      <c r="E350" s="369">
        <v>-0.78</v>
      </c>
      <c r="F350" s="389" t="s">
        <v>32</v>
      </c>
      <c r="G350" s="370">
        <v>62400</v>
      </c>
      <c r="H350" s="369">
        <v>214</v>
      </c>
      <c r="I350" s="369" t="s">
        <v>80</v>
      </c>
      <c r="J350" s="369" t="s">
        <v>38</v>
      </c>
      <c r="K350" s="369">
        <v>0.26</v>
      </c>
      <c r="L350" s="371" t="s">
        <v>284</v>
      </c>
      <c r="M350" s="369" t="s">
        <v>751</v>
      </c>
      <c r="N350" s="371" t="s">
        <v>752</v>
      </c>
      <c r="O350" s="372"/>
      <c r="P350" s="372" t="s">
        <v>84</v>
      </c>
      <c r="Q350" s="782">
        <v>38.450719999999997</v>
      </c>
      <c r="R350" s="679">
        <v>-85.725769999999997</v>
      </c>
      <c r="S350" s="368" t="s">
        <v>62</v>
      </c>
      <c r="T350" s="368"/>
      <c r="U350" s="368" t="s">
        <v>51</v>
      </c>
      <c r="V350" s="367"/>
      <c r="W350" s="374">
        <f>IF(AC350="Intr",0,G350*Definitions!$B$53)</f>
        <v>9360</v>
      </c>
      <c r="X350" s="374">
        <f>IF(AC350="Intr",0,G350*Definitions!$B$54)</f>
        <v>43680</v>
      </c>
      <c r="Y350" s="374">
        <f>IF(AC350="Intr",G350,G350*Definitions!$B$55)</f>
        <v>9360</v>
      </c>
      <c r="Z350" s="374" t="s">
        <v>966</v>
      </c>
      <c r="AA350" s="374" t="s">
        <v>965</v>
      </c>
      <c r="AB350" s="374"/>
      <c r="AC350" s="368"/>
      <c r="AD350" s="368"/>
      <c r="AE350" s="368"/>
      <c r="AF350" s="368"/>
      <c r="AG350" s="375"/>
      <c r="AH350" s="368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5"/>
      <c r="BZ350" s="105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5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5"/>
      <c r="CX350" s="105"/>
      <c r="CY350" s="105"/>
      <c r="CZ350" s="105"/>
      <c r="DA350" s="105"/>
      <c r="DB350" s="105"/>
      <c r="DC350" s="105"/>
      <c r="DD350" s="105"/>
      <c r="DE350" s="105"/>
      <c r="DF350" s="105"/>
      <c r="DG350" s="105"/>
      <c r="DH350" s="105"/>
      <c r="DI350" s="105"/>
      <c r="DJ350" s="105"/>
      <c r="DK350" s="105"/>
      <c r="DL350" s="105"/>
      <c r="DM350" s="105"/>
      <c r="DN350" s="105"/>
      <c r="DO350" s="105"/>
      <c r="DP350" s="105"/>
      <c r="DQ350" s="105"/>
      <c r="DR350" s="105"/>
      <c r="DS350" s="105"/>
      <c r="DT350" s="105"/>
      <c r="DU350" s="105"/>
      <c r="DV350" s="105"/>
      <c r="DW350" s="105"/>
      <c r="DX350" s="105"/>
      <c r="DY350" s="105"/>
      <c r="DZ350" s="105"/>
      <c r="EA350" s="105"/>
      <c r="EB350" s="105"/>
      <c r="EC350" s="105"/>
      <c r="ED350" s="105"/>
      <c r="EE350" s="105"/>
      <c r="EF350" s="105"/>
      <c r="EG350" s="105"/>
      <c r="EH350" s="105"/>
      <c r="EI350" s="105"/>
      <c r="EJ350" s="105"/>
      <c r="EK350" s="105"/>
      <c r="EL350" s="105"/>
      <c r="EM350" s="105"/>
      <c r="EN350" s="105"/>
      <c r="EO350" s="105"/>
      <c r="EP350" s="105"/>
      <c r="EQ350" s="105"/>
      <c r="ER350" s="105"/>
      <c r="ES350" s="105"/>
      <c r="ET350" s="105"/>
      <c r="EU350" s="105"/>
      <c r="EV350" s="105"/>
      <c r="EW350" s="105"/>
      <c r="EX350" s="105"/>
      <c r="EY350" s="105"/>
      <c r="EZ350" s="105"/>
      <c r="FA350" s="105"/>
      <c r="FB350" s="105"/>
      <c r="FC350" s="105"/>
      <c r="FD350" s="105"/>
      <c r="FE350" s="105"/>
      <c r="FF350" s="105"/>
      <c r="FG350" s="105"/>
      <c r="FH350" s="105"/>
      <c r="FI350" s="105"/>
      <c r="FJ350" s="105"/>
      <c r="FK350" s="105"/>
      <c r="FL350" s="105"/>
      <c r="FM350" s="105"/>
      <c r="FN350" s="105"/>
      <c r="FO350" s="105"/>
      <c r="FP350" s="105"/>
      <c r="FQ350" s="105"/>
      <c r="FR350" s="105"/>
      <c r="FS350" s="105"/>
      <c r="FT350" s="105"/>
      <c r="FU350" s="105"/>
      <c r="FV350" s="105"/>
      <c r="FW350" s="105"/>
      <c r="FX350" s="105"/>
      <c r="FY350" s="105"/>
      <c r="FZ350" s="105"/>
      <c r="GA350" s="105"/>
      <c r="GB350" s="105"/>
      <c r="GC350" s="105"/>
      <c r="GD350" s="105"/>
      <c r="GE350" s="105"/>
      <c r="GF350" s="105"/>
      <c r="GG350" s="105"/>
      <c r="GH350" s="105"/>
      <c r="GI350" s="105"/>
      <c r="GJ350" s="105"/>
      <c r="GK350" s="105"/>
      <c r="GL350" s="105"/>
      <c r="GM350" s="105"/>
      <c r="GN350" s="105"/>
      <c r="GO350" s="105"/>
      <c r="GP350" s="105"/>
      <c r="GQ350" s="105"/>
      <c r="GR350" s="105"/>
      <c r="GS350" s="105"/>
      <c r="GT350" s="105"/>
      <c r="GU350" s="105"/>
      <c r="GV350" s="105"/>
      <c r="GW350" s="105"/>
      <c r="GX350" s="105"/>
      <c r="GY350" s="105"/>
      <c r="GZ350" s="105"/>
      <c r="HA350" s="105"/>
      <c r="HB350" s="105"/>
      <c r="HC350" s="105"/>
      <c r="HD350" s="105"/>
      <c r="HE350" s="105"/>
      <c r="HF350" s="105"/>
      <c r="HG350" s="105"/>
      <c r="HH350" s="105"/>
      <c r="HI350" s="105"/>
      <c r="HJ350" s="105"/>
      <c r="HK350" s="105"/>
      <c r="HL350" s="105"/>
      <c r="HM350" s="105"/>
      <c r="HN350" s="105"/>
      <c r="HO350" s="105"/>
      <c r="HP350" s="105"/>
      <c r="HQ350" s="105"/>
      <c r="HR350" s="105"/>
      <c r="HS350" s="105"/>
      <c r="HT350" s="105"/>
      <c r="HU350" s="105"/>
      <c r="HV350" s="105"/>
      <c r="HW350" s="105"/>
      <c r="HX350" s="105"/>
      <c r="HY350" s="105"/>
      <c r="HZ350" s="105"/>
      <c r="IA350" s="105"/>
      <c r="IB350" s="105"/>
      <c r="IC350" s="105"/>
      <c r="ID350" s="105"/>
      <c r="IE350" s="105"/>
      <c r="IF350" s="105"/>
      <c r="IG350" s="105"/>
      <c r="IH350" s="105"/>
      <c r="II350" s="105"/>
      <c r="IJ350" s="105"/>
      <c r="IK350" s="105"/>
      <c r="IL350" s="105"/>
      <c r="IM350" s="105"/>
      <c r="IN350" s="105"/>
      <c r="IO350" s="105"/>
      <c r="IP350" s="105"/>
      <c r="IQ350" s="105"/>
      <c r="IR350" s="105"/>
      <c r="IS350" s="105"/>
      <c r="IT350" s="105"/>
      <c r="IU350" s="105"/>
      <c r="IV350" s="105"/>
    </row>
    <row r="351" spans="1:256" x14ac:dyDescent="0.2">
      <c r="A351" s="168">
        <v>44357</v>
      </c>
      <c r="B351" s="169" t="s">
        <v>232</v>
      </c>
      <c r="C351" s="169">
        <v>2021</v>
      </c>
      <c r="D351" s="169" t="s">
        <v>7</v>
      </c>
      <c r="E351" s="462">
        <v>-0.03</v>
      </c>
      <c r="F351" s="170" t="s">
        <v>32</v>
      </c>
      <c r="G351" s="463">
        <v>2400</v>
      </c>
      <c r="H351" s="462">
        <v>188</v>
      </c>
      <c r="I351" s="170" t="s">
        <v>81</v>
      </c>
      <c r="J351" s="462" t="s">
        <v>38</v>
      </c>
      <c r="K351" s="462">
        <v>0.03</v>
      </c>
      <c r="L351" s="464" t="s">
        <v>572</v>
      </c>
      <c r="M351" s="462" t="s">
        <v>729</v>
      </c>
      <c r="N351" s="464" t="s">
        <v>750</v>
      </c>
      <c r="O351" s="465"/>
      <c r="P351" s="465" t="s">
        <v>137</v>
      </c>
      <c r="Q351" s="783">
        <v>40.019039999999997</v>
      </c>
      <c r="R351" s="860">
        <v>-86.210729999999998</v>
      </c>
      <c r="S351" s="465" t="s">
        <v>61</v>
      </c>
      <c r="T351" s="169"/>
      <c r="U351" s="169" t="s">
        <v>51</v>
      </c>
      <c r="V351" s="168"/>
      <c r="W351" s="174">
        <f>IF(AC351="Intr",0,G351*Definitions!$B$53)</f>
        <v>360</v>
      </c>
      <c r="X351" s="174">
        <f>IF(AC351="Intr",0,G351*Definitions!$B$54)</f>
        <v>1680</v>
      </c>
      <c r="Y351" s="174">
        <f>IF(AC351="Intr",G351,G351*Definitions!$B$55)</f>
        <v>360</v>
      </c>
      <c r="Z351" s="174" t="s">
        <v>966</v>
      </c>
      <c r="AA351" s="174" t="s">
        <v>963</v>
      </c>
      <c r="AB351" s="174" t="s">
        <v>972</v>
      </c>
      <c r="AC351" s="169"/>
      <c r="AD351" s="169"/>
      <c r="AE351" s="169"/>
      <c r="AF351" s="169"/>
      <c r="AG351" s="175"/>
      <c r="AH351" s="169"/>
    </row>
    <row r="352" spans="1:256" s="390" customFormat="1" x14ac:dyDescent="0.2">
      <c r="A352" s="37">
        <v>44357</v>
      </c>
      <c r="B352" s="38" t="s">
        <v>433</v>
      </c>
      <c r="C352" s="38">
        <v>2021</v>
      </c>
      <c r="D352" s="38" t="s">
        <v>7</v>
      </c>
      <c r="E352" s="233">
        <v>-0.8</v>
      </c>
      <c r="F352" s="177" t="s">
        <v>32</v>
      </c>
      <c r="G352" s="234">
        <v>64000</v>
      </c>
      <c r="H352" s="233">
        <v>213</v>
      </c>
      <c r="I352" s="233" t="s">
        <v>80</v>
      </c>
      <c r="J352" s="233" t="s">
        <v>38</v>
      </c>
      <c r="K352" s="233">
        <v>0.2</v>
      </c>
      <c r="L352" s="235" t="s">
        <v>572</v>
      </c>
      <c r="M352" s="233" t="s">
        <v>753</v>
      </c>
      <c r="N352" s="235" t="s">
        <v>754</v>
      </c>
      <c r="O352" s="236"/>
      <c r="P352" s="236" t="s">
        <v>137</v>
      </c>
      <c r="Q352" s="780">
        <v>39.9831</v>
      </c>
      <c r="R352" s="861">
        <v>-85.875500000000002</v>
      </c>
      <c r="S352" s="236" t="s">
        <v>61</v>
      </c>
      <c r="T352" s="236"/>
      <c r="U352" s="38" t="s">
        <v>51</v>
      </c>
      <c r="V352" s="37"/>
      <c r="W352" s="39">
        <f>IF(AC352="Intr",0,G352*Definitions!$B$53)</f>
        <v>9600</v>
      </c>
      <c r="X352" s="39">
        <f>IF(AC352="Intr",0,G352*Definitions!$B$54)</f>
        <v>44800</v>
      </c>
      <c r="Y352" s="39">
        <f>IF(AC352="Intr",G352,G352*Definitions!$B$55)</f>
        <v>9600</v>
      </c>
      <c r="Z352" s="39" t="s">
        <v>966</v>
      </c>
      <c r="AA352" s="39" t="s">
        <v>965</v>
      </c>
      <c r="AB352" s="39"/>
      <c r="AC352" s="38"/>
      <c r="AD352" s="38"/>
      <c r="AE352" s="38"/>
      <c r="AF352" s="38"/>
      <c r="AG352" s="40"/>
      <c r="AH352" s="38"/>
      <c r="AI352" s="105"/>
      <c r="AJ352" s="105"/>
      <c r="AK352" s="105"/>
      <c r="AL352" s="105"/>
      <c r="AM352" s="105"/>
      <c r="AN352" s="105"/>
      <c r="AO352" s="105"/>
      <c r="AP352" s="105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5"/>
      <c r="BB352" s="105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5"/>
      <c r="BN352" s="105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5"/>
      <c r="BZ352" s="105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5"/>
      <c r="CM352" s="105"/>
      <c r="CN352" s="105"/>
      <c r="CO352" s="105"/>
      <c r="CP352" s="105"/>
      <c r="CQ352" s="105"/>
      <c r="CR352" s="105"/>
      <c r="CS352" s="105"/>
      <c r="CT352" s="105"/>
      <c r="CU352" s="105"/>
      <c r="CV352" s="105"/>
      <c r="CW352" s="105"/>
      <c r="CX352" s="105"/>
      <c r="CY352" s="105"/>
      <c r="CZ352" s="105"/>
      <c r="DA352" s="105"/>
      <c r="DB352" s="105"/>
      <c r="DC352" s="105"/>
      <c r="DD352" s="105"/>
      <c r="DE352" s="105"/>
      <c r="DF352" s="105"/>
      <c r="DG352" s="105"/>
      <c r="DH352" s="105"/>
      <c r="DI352" s="105"/>
      <c r="DJ352" s="105"/>
      <c r="DK352" s="105"/>
      <c r="DL352" s="105"/>
      <c r="DM352" s="105"/>
      <c r="DN352" s="105"/>
      <c r="DO352" s="105"/>
      <c r="DP352" s="105"/>
      <c r="DQ352" s="105"/>
      <c r="DR352" s="105"/>
      <c r="DS352" s="105"/>
      <c r="DT352" s="105"/>
      <c r="DU352" s="105"/>
      <c r="DV352" s="105"/>
      <c r="DW352" s="105"/>
      <c r="DX352" s="105"/>
      <c r="DY352" s="105"/>
      <c r="DZ352" s="105"/>
      <c r="EA352" s="105"/>
      <c r="EB352" s="105"/>
      <c r="EC352" s="105"/>
      <c r="ED352" s="105"/>
      <c r="EE352" s="105"/>
      <c r="EF352" s="105"/>
      <c r="EG352" s="105"/>
      <c r="EH352" s="105"/>
      <c r="EI352" s="105"/>
      <c r="EJ352" s="105"/>
      <c r="EK352" s="105"/>
      <c r="EL352" s="105"/>
      <c r="EM352" s="105"/>
      <c r="EN352" s="105"/>
      <c r="EO352" s="105"/>
      <c r="EP352" s="105"/>
      <c r="EQ352" s="105"/>
      <c r="ER352" s="105"/>
      <c r="ES352" s="105"/>
      <c r="ET352" s="105"/>
      <c r="EU352" s="105"/>
      <c r="EV352" s="105"/>
      <c r="EW352" s="105"/>
      <c r="EX352" s="105"/>
      <c r="EY352" s="105"/>
      <c r="EZ352" s="105"/>
      <c r="FA352" s="105"/>
      <c r="FB352" s="105"/>
      <c r="FC352" s="105"/>
      <c r="FD352" s="105"/>
      <c r="FE352" s="105"/>
      <c r="FF352" s="105"/>
      <c r="FG352" s="105"/>
      <c r="FH352" s="105"/>
      <c r="FI352" s="105"/>
      <c r="FJ352" s="105"/>
      <c r="FK352" s="105"/>
      <c r="FL352" s="105"/>
      <c r="FM352" s="105"/>
      <c r="FN352" s="105"/>
      <c r="FO352" s="105"/>
      <c r="FP352" s="105"/>
      <c r="FQ352" s="105"/>
      <c r="FR352" s="105"/>
      <c r="FS352" s="105"/>
      <c r="FT352" s="105"/>
      <c r="FU352" s="105"/>
      <c r="FV352" s="105"/>
      <c r="FW352" s="105"/>
      <c r="FX352" s="105"/>
      <c r="FY352" s="105"/>
      <c r="FZ352" s="105"/>
      <c r="GA352" s="105"/>
      <c r="GB352" s="105"/>
      <c r="GC352" s="105"/>
      <c r="GD352" s="105"/>
      <c r="GE352" s="105"/>
      <c r="GF352" s="105"/>
      <c r="GG352" s="105"/>
      <c r="GH352" s="105"/>
      <c r="GI352" s="105"/>
      <c r="GJ352" s="105"/>
      <c r="GK352" s="105"/>
      <c r="GL352" s="105"/>
      <c r="GM352" s="105"/>
      <c r="GN352" s="105"/>
      <c r="GO352" s="105"/>
      <c r="GP352" s="105"/>
      <c r="GQ352" s="105"/>
      <c r="GR352" s="105"/>
      <c r="GS352" s="105"/>
      <c r="GT352" s="105"/>
      <c r="GU352" s="105"/>
      <c r="GV352" s="105"/>
      <c r="GW352" s="105"/>
      <c r="GX352" s="105"/>
      <c r="GY352" s="105"/>
      <c r="GZ352" s="105"/>
      <c r="HA352" s="105"/>
      <c r="HB352" s="105"/>
      <c r="HC352" s="105"/>
      <c r="HD352" s="105"/>
      <c r="HE352" s="105"/>
      <c r="HF352" s="105"/>
      <c r="HG352" s="105"/>
      <c r="HH352" s="105"/>
      <c r="HI352" s="105"/>
      <c r="HJ352" s="105"/>
      <c r="HK352" s="105"/>
      <c r="HL352" s="105"/>
      <c r="HM352" s="105"/>
      <c r="HN352" s="105"/>
      <c r="HO352" s="105"/>
      <c r="HP352" s="105"/>
      <c r="HQ352" s="105"/>
      <c r="HR352" s="105"/>
      <c r="HS352" s="105"/>
      <c r="HT352" s="105"/>
      <c r="HU352" s="105"/>
      <c r="HV352" s="105"/>
      <c r="HW352" s="105"/>
      <c r="HX352" s="105"/>
      <c r="HY352" s="105"/>
      <c r="HZ352" s="105"/>
      <c r="IA352" s="105"/>
      <c r="IB352" s="105"/>
      <c r="IC352" s="105"/>
      <c r="ID352" s="105"/>
      <c r="IE352" s="105"/>
      <c r="IF352" s="105"/>
      <c r="IG352" s="105"/>
      <c r="IH352" s="105"/>
      <c r="II352" s="105"/>
      <c r="IJ352" s="105"/>
      <c r="IK352" s="105"/>
      <c r="IL352" s="105"/>
      <c r="IM352" s="105"/>
      <c r="IN352" s="105"/>
      <c r="IO352" s="105"/>
      <c r="IP352" s="105"/>
      <c r="IQ352" s="105"/>
      <c r="IR352" s="105"/>
      <c r="IS352" s="105"/>
      <c r="IT352" s="105"/>
      <c r="IU352" s="105"/>
      <c r="IV352" s="105"/>
    </row>
    <row r="353" spans="1:256" s="396" customFormat="1" x14ac:dyDescent="0.2">
      <c r="A353" s="237">
        <v>44363</v>
      </c>
      <c r="B353" s="238" t="s">
        <v>433</v>
      </c>
      <c r="C353" s="238">
        <v>2021</v>
      </c>
      <c r="D353" s="238" t="s">
        <v>1</v>
      </c>
      <c r="E353" s="239">
        <v>-0.04</v>
      </c>
      <c r="F353" s="240" t="s">
        <v>32</v>
      </c>
      <c r="G353" s="241">
        <v>3800</v>
      </c>
      <c r="H353" s="239">
        <v>224</v>
      </c>
      <c r="I353" s="239" t="s">
        <v>81</v>
      </c>
      <c r="J353" s="239" t="s">
        <v>36</v>
      </c>
      <c r="K353" s="239">
        <v>0.04</v>
      </c>
      <c r="L353" s="242" t="s">
        <v>756</v>
      </c>
      <c r="M353" s="239"/>
      <c r="N353" s="242" t="s">
        <v>757</v>
      </c>
      <c r="O353" s="243"/>
      <c r="P353" s="243" t="s">
        <v>758</v>
      </c>
      <c r="Q353" s="784">
        <v>41.441094999999997</v>
      </c>
      <c r="R353" s="681">
        <v>-87.323815999999994</v>
      </c>
      <c r="S353" s="243" t="s">
        <v>61</v>
      </c>
      <c r="T353" s="238"/>
      <c r="U353" s="238" t="s">
        <v>51</v>
      </c>
      <c r="V353" s="237"/>
      <c r="W353" s="244">
        <f>IF(AC353="Intr",0,G353*Definitions!$B$53)</f>
        <v>570</v>
      </c>
      <c r="X353" s="244">
        <f>IF(AC353="Intr",0,G353*Definitions!$B$54)</f>
        <v>2660</v>
      </c>
      <c r="Y353" s="244">
        <f>IF(AC353="Intr",G353,G353*Definitions!$B$55)</f>
        <v>570</v>
      </c>
      <c r="Z353" s="244" t="s">
        <v>967</v>
      </c>
      <c r="AA353" s="244" t="s">
        <v>965</v>
      </c>
      <c r="AB353" s="244"/>
      <c r="AC353" s="238"/>
      <c r="AD353" s="238"/>
      <c r="AE353" s="238"/>
      <c r="AF353" s="238"/>
      <c r="AG353" s="245"/>
      <c r="AH353" s="238"/>
      <c r="AI353" s="105"/>
      <c r="AJ353" s="105"/>
      <c r="AK353" s="105"/>
      <c r="AL353" s="105"/>
      <c r="AM353" s="105"/>
      <c r="AN353" s="105"/>
      <c r="AO353" s="105"/>
      <c r="AP353" s="105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5"/>
      <c r="BB353" s="105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5"/>
      <c r="BN353" s="105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5"/>
      <c r="BZ353" s="105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5"/>
      <c r="CM353" s="105"/>
      <c r="CN353" s="105"/>
      <c r="CO353" s="105"/>
      <c r="CP353" s="105"/>
      <c r="CQ353" s="105"/>
      <c r="CR353" s="105"/>
      <c r="CS353" s="105"/>
      <c r="CT353" s="105"/>
      <c r="CU353" s="105"/>
      <c r="CV353" s="105"/>
      <c r="CW353" s="105"/>
      <c r="CX353" s="105"/>
      <c r="CY353" s="105"/>
      <c r="CZ353" s="105"/>
      <c r="DA353" s="105"/>
      <c r="DB353" s="105"/>
      <c r="DC353" s="105"/>
      <c r="DD353" s="105"/>
      <c r="DE353" s="105"/>
      <c r="DF353" s="105"/>
      <c r="DG353" s="105"/>
      <c r="DH353" s="105"/>
      <c r="DI353" s="105"/>
      <c r="DJ353" s="105"/>
      <c r="DK353" s="105"/>
      <c r="DL353" s="105"/>
      <c r="DM353" s="105"/>
      <c r="DN353" s="105"/>
      <c r="DO353" s="105"/>
      <c r="DP353" s="105"/>
      <c r="DQ353" s="105"/>
      <c r="DR353" s="105"/>
      <c r="DS353" s="105"/>
      <c r="DT353" s="105"/>
      <c r="DU353" s="105"/>
      <c r="DV353" s="105"/>
      <c r="DW353" s="105"/>
      <c r="DX353" s="105"/>
      <c r="DY353" s="105"/>
      <c r="DZ353" s="105"/>
      <c r="EA353" s="105"/>
      <c r="EB353" s="105"/>
      <c r="EC353" s="105"/>
      <c r="ED353" s="105"/>
      <c r="EE353" s="105"/>
      <c r="EF353" s="105"/>
      <c r="EG353" s="105"/>
      <c r="EH353" s="105"/>
      <c r="EI353" s="105"/>
      <c r="EJ353" s="105"/>
      <c r="EK353" s="105"/>
      <c r="EL353" s="105"/>
      <c r="EM353" s="105"/>
      <c r="EN353" s="105"/>
      <c r="EO353" s="105"/>
      <c r="EP353" s="105"/>
      <c r="EQ353" s="105"/>
      <c r="ER353" s="105"/>
      <c r="ES353" s="105"/>
      <c r="ET353" s="105"/>
      <c r="EU353" s="105"/>
      <c r="EV353" s="105"/>
      <c r="EW353" s="105"/>
      <c r="EX353" s="105"/>
      <c r="EY353" s="105"/>
      <c r="EZ353" s="105"/>
      <c r="FA353" s="105"/>
      <c r="FB353" s="105"/>
      <c r="FC353" s="105"/>
      <c r="FD353" s="105"/>
      <c r="FE353" s="105"/>
      <c r="FF353" s="105"/>
      <c r="FG353" s="105"/>
      <c r="FH353" s="105"/>
      <c r="FI353" s="105"/>
      <c r="FJ353" s="105"/>
      <c r="FK353" s="105"/>
      <c r="FL353" s="105"/>
      <c r="FM353" s="105"/>
      <c r="FN353" s="105"/>
      <c r="FO353" s="105"/>
      <c r="FP353" s="105"/>
      <c r="FQ353" s="105"/>
      <c r="FR353" s="105"/>
      <c r="FS353" s="105"/>
      <c r="FT353" s="105"/>
      <c r="FU353" s="105"/>
      <c r="FV353" s="105"/>
      <c r="FW353" s="105"/>
      <c r="FX353" s="105"/>
      <c r="FY353" s="105"/>
      <c r="FZ353" s="105"/>
      <c r="GA353" s="105"/>
      <c r="GB353" s="105"/>
      <c r="GC353" s="105"/>
      <c r="GD353" s="105"/>
      <c r="GE353" s="105"/>
      <c r="GF353" s="105"/>
      <c r="GG353" s="105"/>
      <c r="GH353" s="105"/>
      <c r="GI353" s="105"/>
      <c r="GJ353" s="105"/>
      <c r="GK353" s="105"/>
      <c r="GL353" s="105"/>
      <c r="GM353" s="105"/>
      <c r="GN353" s="105"/>
      <c r="GO353" s="105"/>
      <c r="GP353" s="105"/>
      <c r="GQ353" s="105"/>
      <c r="GR353" s="105"/>
      <c r="GS353" s="105"/>
      <c r="GT353" s="105"/>
      <c r="GU353" s="105"/>
      <c r="GV353" s="105"/>
      <c r="GW353" s="105"/>
      <c r="GX353" s="105"/>
      <c r="GY353" s="105"/>
      <c r="GZ353" s="105"/>
      <c r="HA353" s="105"/>
      <c r="HB353" s="105"/>
      <c r="HC353" s="105"/>
      <c r="HD353" s="105"/>
      <c r="HE353" s="105"/>
      <c r="HF353" s="105"/>
      <c r="HG353" s="105"/>
      <c r="HH353" s="105"/>
      <c r="HI353" s="105"/>
      <c r="HJ353" s="105"/>
      <c r="HK353" s="105"/>
      <c r="HL353" s="105"/>
      <c r="HM353" s="105"/>
      <c r="HN353" s="105"/>
      <c r="HO353" s="105"/>
      <c r="HP353" s="105"/>
      <c r="HQ353" s="105"/>
      <c r="HR353" s="105"/>
      <c r="HS353" s="105"/>
      <c r="HT353" s="105"/>
      <c r="HU353" s="105"/>
      <c r="HV353" s="105"/>
      <c r="HW353" s="105"/>
      <c r="HX353" s="105"/>
      <c r="HY353" s="105"/>
      <c r="HZ353" s="105"/>
      <c r="IA353" s="105"/>
      <c r="IB353" s="105"/>
      <c r="IC353" s="105"/>
      <c r="ID353" s="105"/>
      <c r="IE353" s="105"/>
      <c r="IF353" s="105"/>
      <c r="IG353" s="105"/>
      <c r="IH353" s="105"/>
      <c r="II353" s="105"/>
      <c r="IJ353" s="105"/>
      <c r="IK353" s="105"/>
      <c r="IL353" s="105"/>
      <c r="IM353" s="105"/>
      <c r="IN353" s="105"/>
      <c r="IO353" s="105"/>
      <c r="IP353" s="105"/>
      <c r="IQ353" s="105"/>
      <c r="IR353" s="105"/>
      <c r="IS353" s="105"/>
      <c r="IT353" s="105"/>
      <c r="IU353" s="105"/>
      <c r="IV353" s="105"/>
    </row>
    <row r="354" spans="1:256" x14ac:dyDescent="0.2">
      <c r="A354" s="58">
        <v>44363</v>
      </c>
      <c r="B354" s="59" t="s">
        <v>433</v>
      </c>
      <c r="C354" s="59">
        <v>2021</v>
      </c>
      <c r="D354" s="59" t="s">
        <v>10</v>
      </c>
      <c r="E354" s="391">
        <v>-155</v>
      </c>
      <c r="F354" s="60" t="s">
        <v>33</v>
      </c>
      <c r="G354" s="392">
        <v>62000</v>
      </c>
      <c r="H354" s="391">
        <v>221</v>
      </c>
      <c r="I354" s="391" t="s">
        <v>80</v>
      </c>
      <c r="J354" s="391" t="s">
        <v>725</v>
      </c>
      <c r="K354" s="391">
        <v>86</v>
      </c>
      <c r="L354" s="393" t="s">
        <v>759</v>
      </c>
      <c r="M354" s="60" t="s">
        <v>760</v>
      </c>
      <c r="N354" s="63" t="s">
        <v>761</v>
      </c>
      <c r="O354" s="394"/>
      <c r="P354" s="394" t="s">
        <v>84</v>
      </c>
      <c r="Q354" s="785">
        <v>38.330910000000003</v>
      </c>
      <c r="R354" s="682">
        <v>-85.672910000000002</v>
      </c>
      <c r="S354" s="394" t="s">
        <v>63</v>
      </c>
      <c r="T354" s="395"/>
      <c r="U354" s="59" t="s">
        <v>51</v>
      </c>
      <c r="V354" s="58"/>
      <c r="W354" s="65">
        <f>IF(AC354="Intr",0,G354*Definitions!$B$53)</f>
        <v>9300</v>
      </c>
      <c r="X354" s="65">
        <f>IF(AC354="Intr",0,G354*Definitions!$B$54)</f>
        <v>43400</v>
      </c>
      <c r="Y354" s="65">
        <f>IF(AC354="Intr",G354,G354*Definitions!$B$55)</f>
        <v>9300</v>
      </c>
      <c r="Z354" s="65" t="s">
        <v>966</v>
      </c>
      <c r="AA354" s="65" t="s">
        <v>968</v>
      </c>
      <c r="AB354" s="65"/>
      <c r="AC354" s="59"/>
      <c r="AD354" s="59"/>
      <c r="AE354" s="59"/>
      <c r="AF354" s="59"/>
      <c r="AG354" s="66"/>
      <c r="AH354" s="395" t="s">
        <v>762</v>
      </c>
    </row>
    <row r="355" spans="1:256" s="397" customFormat="1" x14ac:dyDescent="0.2">
      <c r="A355" s="58">
        <v>44363</v>
      </c>
      <c r="B355" s="59" t="s">
        <v>433</v>
      </c>
      <c r="C355" s="59">
        <v>2021</v>
      </c>
      <c r="D355" s="59" t="s">
        <v>10</v>
      </c>
      <c r="E355" s="391">
        <v>-0.94</v>
      </c>
      <c r="F355" s="60" t="s">
        <v>32</v>
      </c>
      <c r="G355" s="392">
        <v>75200</v>
      </c>
      <c r="H355" s="391">
        <v>221</v>
      </c>
      <c r="I355" s="391" t="s">
        <v>80</v>
      </c>
      <c r="J355" s="391" t="s">
        <v>36</v>
      </c>
      <c r="K355" s="391">
        <v>0.38900000000000001</v>
      </c>
      <c r="L355" s="393" t="s">
        <v>759</v>
      </c>
      <c r="M355" s="60" t="s">
        <v>760</v>
      </c>
      <c r="N355" s="63" t="s">
        <v>761</v>
      </c>
      <c r="O355" s="394"/>
      <c r="P355" s="394" t="s">
        <v>84</v>
      </c>
      <c r="Q355" s="785">
        <v>38.322290000000002</v>
      </c>
      <c r="R355" s="682">
        <v>-85.661090000000002</v>
      </c>
      <c r="S355" s="394" t="s">
        <v>63</v>
      </c>
      <c r="T355" s="395"/>
      <c r="U355" s="59" t="s">
        <v>51</v>
      </c>
      <c r="V355" s="58"/>
      <c r="W355" s="65">
        <f>IF(AC355="Intr",0,G355*Definitions!$B$53)</f>
        <v>11280</v>
      </c>
      <c r="X355" s="65">
        <f>IF(AC355="Intr",0,G355*Definitions!$B$54)</f>
        <v>52640</v>
      </c>
      <c r="Y355" s="65">
        <f>IF(AC355="Intr",G355,G355*Definitions!$B$55)</f>
        <v>11280</v>
      </c>
      <c r="Z355" s="65" t="s">
        <v>966</v>
      </c>
      <c r="AA355" s="65" t="s">
        <v>968</v>
      </c>
      <c r="AB355" s="65"/>
      <c r="AC355" s="59"/>
      <c r="AD355" s="59"/>
      <c r="AE355" s="59"/>
      <c r="AF355" s="59"/>
      <c r="AG355" s="66"/>
      <c r="AH355" s="395"/>
      <c r="AI355" s="105"/>
      <c r="AJ355" s="105"/>
      <c r="AK355" s="105"/>
      <c r="AL355" s="105"/>
      <c r="AM355" s="105"/>
      <c r="AN355" s="105"/>
      <c r="AO355" s="105"/>
      <c r="AP355" s="105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5"/>
      <c r="BB355" s="105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5"/>
      <c r="BN355" s="105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5"/>
      <c r="BZ355" s="105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5"/>
      <c r="CM355" s="105"/>
      <c r="CN355" s="105"/>
      <c r="CO355" s="105"/>
      <c r="CP355" s="105"/>
      <c r="CQ355" s="105"/>
      <c r="CR355" s="105"/>
      <c r="CS355" s="105"/>
      <c r="CT355" s="105"/>
      <c r="CU355" s="105"/>
      <c r="CV355" s="105"/>
      <c r="CW355" s="105"/>
      <c r="CX355" s="105"/>
      <c r="CY355" s="105"/>
      <c r="CZ355" s="105"/>
      <c r="DA355" s="105"/>
      <c r="DB355" s="105"/>
      <c r="DC355" s="105"/>
      <c r="DD355" s="105"/>
      <c r="DE355" s="105"/>
      <c r="DF355" s="105"/>
      <c r="DG355" s="105"/>
      <c r="DH355" s="105"/>
      <c r="DI355" s="105"/>
      <c r="DJ355" s="105"/>
      <c r="DK355" s="105"/>
      <c r="DL355" s="105"/>
      <c r="DM355" s="105"/>
      <c r="DN355" s="105"/>
      <c r="DO355" s="105"/>
      <c r="DP355" s="105"/>
      <c r="DQ355" s="105"/>
      <c r="DR355" s="105"/>
      <c r="DS355" s="105"/>
      <c r="DT355" s="105"/>
      <c r="DU355" s="105"/>
      <c r="DV355" s="105"/>
      <c r="DW355" s="105"/>
      <c r="DX355" s="105"/>
      <c r="DY355" s="105"/>
      <c r="DZ355" s="105"/>
      <c r="EA355" s="105"/>
      <c r="EB355" s="105"/>
      <c r="EC355" s="105"/>
      <c r="ED355" s="105"/>
      <c r="EE355" s="105"/>
      <c r="EF355" s="105"/>
      <c r="EG355" s="105"/>
      <c r="EH355" s="105"/>
      <c r="EI355" s="105"/>
      <c r="EJ355" s="105"/>
      <c r="EK355" s="105"/>
      <c r="EL355" s="105"/>
      <c r="EM355" s="105"/>
      <c r="EN355" s="105"/>
      <c r="EO355" s="105"/>
      <c r="EP355" s="105"/>
      <c r="EQ355" s="105"/>
      <c r="ER355" s="105"/>
      <c r="ES355" s="105"/>
      <c r="ET355" s="105"/>
      <c r="EU355" s="105"/>
      <c r="EV355" s="105"/>
      <c r="EW355" s="105"/>
      <c r="EX355" s="105"/>
      <c r="EY355" s="105"/>
      <c r="EZ355" s="105"/>
      <c r="FA355" s="105"/>
      <c r="FB355" s="105"/>
      <c r="FC355" s="105"/>
      <c r="FD355" s="105"/>
      <c r="FE355" s="105"/>
      <c r="FF355" s="105"/>
      <c r="FG355" s="105"/>
      <c r="FH355" s="105"/>
      <c r="FI355" s="105"/>
      <c r="FJ355" s="105"/>
      <c r="FK355" s="105"/>
      <c r="FL355" s="105"/>
      <c r="FM355" s="105"/>
      <c r="FN355" s="105"/>
      <c r="FO355" s="105"/>
      <c r="FP355" s="105"/>
      <c r="FQ355" s="105"/>
      <c r="FR355" s="105"/>
      <c r="FS355" s="105"/>
      <c r="FT355" s="105"/>
      <c r="FU355" s="105"/>
      <c r="FV355" s="105"/>
      <c r="FW355" s="105"/>
      <c r="FX355" s="105"/>
      <c r="FY355" s="105"/>
      <c r="FZ355" s="105"/>
      <c r="GA355" s="105"/>
      <c r="GB355" s="105"/>
      <c r="GC355" s="105"/>
      <c r="GD355" s="105"/>
      <c r="GE355" s="105"/>
      <c r="GF355" s="105"/>
      <c r="GG355" s="105"/>
      <c r="GH355" s="105"/>
      <c r="GI355" s="105"/>
      <c r="GJ355" s="105"/>
      <c r="GK355" s="105"/>
      <c r="GL355" s="105"/>
      <c r="GM355" s="105"/>
      <c r="GN355" s="105"/>
      <c r="GO355" s="105"/>
      <c r="GP355" s="105"/>
      <c r="GQ355" s="105"/>
      <c r="GR355" s="105"/>
      <c r="GS355" s="105"/>
      <c r="GT355" s="105"/>
      <c r="GU355" s="105"/>
      <c r="GV355" s="105"/>
      <c r="GW355" s="105"/>
      <c r="GX355" s="105"/>
      <c r="GY355" s="105"/>
      <c r="GZ355" s="105"/>
      <c r="HA355" s="105"/>
      <c r="HB355" s="105"/>
      <c r="HC355" s="105"/>
      <c r="HD355" s="105"/>
      <c r="HE355" s="105"/>
      <c r="HF355" s="105"/>
      <c r="HG355" s="105"/>
      <c r="HH355" s="105"/>
      <c r="HI355" s="105"/>
      <c r="HJ355" s="105"/>
      <c r="HK355" s="105"/>
      <c r="HL355" s="105"/>
      <c r="HM355" s="105"/>
      <c r="HN355" s="105"/>
      <c r="HO355" s="105"/>
      <c r="HP355" s="105"/>
      <c r="HQ355" s="105"/>
      <c r="HR355" s="105"/>
      <c r="HS355" s="105"/>
      <c r="HT355" s="105"/>
      <c r="HU355" s="105"/>
      <c r="HV355" s="105"/>
      <c r="HW355" s="105"/>
      <c r="HX355" s="105"/>
      <c r="HY355" s="105"/>
      <c r="HZ355" s="105"/>
      <c r="IA355" s="105"/>
      <c r="IB355" s="105"/>
      <c r="IC355" s="105"/>
      <c r="ID355" s="105"/>
      <c r="IE355" s="105"/>
      <c r="IF355" s="105"/>
      <c r="IG355" s="105"/>
      <c r="IH355" s="105"/>
      <c r="II355" s="105"/>
      <c r="IJ355" s="105"/>
      <c r="IK355" s="105"/>
      <c r="IL355" s="105"/>
      <c r="IM355" s="105"/>
      <c r="IN355" s="105"/>
      <c r="IO355" s="105"/>
      <c r="IP355" s="105"/>
      <c r="IQ355" s="105"/>
      <c r="IR355" s="105"/>
      <c r="IS355" s="105"/>
      <c r="IT355" s="105"/>
      <c r="IU355" s="105"/>
      <c r="IV355" s="105"/>
    </row>
    <row r="356" spans="1:256" s="402" customFormat="1" x14ac:dyDescent="0.2">
      <c r="A356" s="58">
        <v>44363</v>
      </c>
      <c r="B356" s="59" t="s">
        <v>433</v>
      </c>
      <c r="C356" s="59">
        <v>2021</v>
      </c>
      <c r="D356" s="59" t="s">
        <v>10</v>
      </c>
      <c r="E356" s="391">
        <v>-5.0999999999999997E-2</v>
      </c>
      <c r="F356" s="60" t="s">
        <v>32</v>
      </c>
      <c r="G356" s="392">
        <v>4080</v>
      </c>
      <c r="H356" s="391">
        <v>221</v>
      </c>
      <c r="I356" s="60" t="s">
        <v>81</v>
      </c>
      <c r="J356" s="391" t="s">
        <v>36</v>
      </c>
      <c r="K356" s="391">
        <v>3.4000000000000002E-2</v>
      </c>
      <c r="L356" s="393" t="s">
        <v>759</v>
      </c>
      <c r="M356" s="60" t="s">
        <v>760</v>
      </c>
      <c r="N356" s="63" t="s">
        <v>763</v>
      </c>
      <c r="O356" s="394"/>
      <c r="P356" s="394" t="s">
        <v>84</v>
      </c>
      <c r="Q356" s="785">
        <v>38.322290000000002</v>
      </c>
      <c r="R356" s="682">
        <v>-85.661090000000002</v>
      </c>
      <c r="S356" s="394" t="s">
        <v>63</v>
      </c>
      <c r="T356" s="395"/>
      <c r="U356" s="59" t="s">
        <v>51</v>
      </c>
      <c r="V356" s="58"/>
      <c r="W356" s="65">
        <f>IF(AC356="Intr",0,G356*Definitions!$B$53)</f>
        <v>612</v>
      </c>
      <c r="X356" s="65">
        <f>IF(AC356="Intr",0,G356*Definitions!$B$54)</f>
        <v>2856</v>
      </c>
      <c r="Y356" s="65">
        <f>IF(AC356="Intr",G356,G356*Definitions!$B$55)</f>
        <v>612</v>
      </c>
      <c r="Z356" s="65" t="s">
        <v>966</v>
      </c>
      <c r="AA356" s="65" t="s">
        <v>968</v>
      </c>
      <c r="AB356" s="65" t="s">
        <v>969</v>
      </c>
      <c r="AC356" s="59"/>
      <c r="AD356" s="59"/>
      <c r="AE356" s="59"/>
      <c r="AF356" s="59"/>
      <c r="AG356" s="66"/>
      <c r="AH356" s="395" t="s">
        <v>764</v>
      </c>
      <c r="AI356" s="105"/>
      <c r="AJ356" s="105"/>
      <c r="AK356" s="105"/>
      <c r="AL356" s="105"/>
      <c r="AM356" s="105"/>
      <c r="AN356" s="105"/>
      <c r="AO356" s="105"/>
      <c r="AP356" s="105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5"/>
      <c r="BB356" s="105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5"/>
      <c r="BN356" s="105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5"/>
      <c r="BZ356" s="105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5"/>
      <c r="CM356" s="105"/>
      <c r="CN356" s="105"/>
      <c r="CO356" s="105"/>
      <c r="CP356" s="105"/>
      <c r="CQ356" s="105"/>
      <c r="CR356" s="105"/>
      <c r="CS356" s="105"/>
      <c r="CT356" s="105"/>
      <c r="CU356" s="105"/>
      <c r="CV356" s="105"/>
      <c r="CW356" s="105"/>
      <c r="CX356" s="105"/>
      <c r="CY356" s="105"/>
      <c r="CZ356" s="105"/>
      <c r="DA356" s="105"/>
      <c r="DB356" s="105"/>
      <c r="DC356" s="105"/>
      <c r="DD356" s="105"/>
      <c r="DE356" s="105"/>
      <c r="DF356" s="105"/>
      <c r="DG356" s="105"/>
      <c r="DH356" s="105"/>
      <c r="DI356" s="105"/>
      <c r="DJ356" s="105"/>
      <c r="DK356" s="105"/>
      <c r="DL356" s="105"/>
      <c r="DM356" s="105"/>
      <c r="DN356" s="105"/>
      <c r="DO356" s="105"/>
      <c r="DP356" s="105"/>
      <c r="DQ356" s="105"/>
      <c r="DR356" s="105"/>
      <c r="DS356" s="105"/>
      <c r="DT356" s="105"/>
      <c r="DU356" s="105"/>
      <c r="DV356" s="105"/>
      <c r="DW356" s="105"/>
      <c r="DX356" s="105"/>
      <c r="DY356" s="105"/>
      <c r="DZ356" s="105"/>
      <c r="EA356" s="105"/>
      <c r="EB356" s="105"/>
      <c r="EC356" s="105"/>
      <c r="ED356" s="105"/>
      <c r="EE356" s="105"/>
      <c r="EF356" s="105"/>
      <c r="EG356" s="105"/>
      <c r="EH356" s="105"/>
      <c r="EI356" s="105"/>
      <c r="EJ356" s="105"/>
      <c r="EK356" s="105"/>
      <c r="EL356" s="105"/>
      <c r="EM356" s="105"/>
      <c r="EN356" s="105"/>
      <c r="EO356" s="105"/>
      <c r="EP356" s="105"/>
      <c r="EQ356" s="105"/>
      <c r="ER356" s="105"/>
      <c r="ES356" s="105"/>
      <c r="ET356" s="105"/>
      <c r="EU356" s="105"/>
      <c r="EV356" s="105"/>
      <c r="EW356" s="105"/>
      <c r="EX356" s="105"/>
      <c r="EY356" s="105"/>
      <c r="EZ356" s="105"/>
      <c r="FA356" s="105"/>
      <c r="FB356" s="105"/>
      <c r="FC356" s="105"/>
      <c r="FD356" s="105"/>
      <c r="FE356" s="105"/>
      <c r="FF356" s="105"/>
      <c r="FG356" s="105"/>
      <c r="FH356" s="105"/>
      <c r="FI356" s="105"/>
      <c r="FJ356" s="105"/>
      <c r="FK356" s="105"/>
      <c r="FL356" s="105"/>
      <c r="FM356" s="105"/>
      <c r="FN356" s="105"/>
      <c r="FO356" s="105"/>
      <c r="FP356" s="105"/>
      <c r="FQ356" s="105"/>
      <c r="FR356" s="105"/>
      <c r="FS356" s="105"/>
      <c r="FT356" s="105"/>
      <c r="FU356" s="105"/>
      <c r="FV356" s="105"/>
      <c r="FW356" s="105"/>
      <c r="FX356" s="105"/>
      <c r="FY356" s="105"/>
      <c r="FZ356" s="105"/>
      <c r="GA356" s="105"/>
      <c r="GB356" s="105"/>
      <c r="GC356" s="105"/>
      <c r="GD356" s="105"/>
      <c r="GE356" s="105"/>
      <c r="GF356" s="105"/>
      <c r="GG356" s="105"/>
      <c r="GH356" s="105"/>
      <c r="GI356" s="105"/>
      <c r="GJ356" s="105"/>
      <c r="GK356" s="105"/>
      <c r="GL356" s="105"/>
      <c r="GM356" s="105"/>
      <c r="GN356" s="105"/>
      <c r="GO356" s="105"/>
      <c r="GP356" s="105"/>
      <c r="GQ356" s="105"/>
      <c r="GR356" s="105"/>
      <c r="GS356" s="105"/>
      <c r="GT356" s="105"/>
      <c r="GU356" s="105"/>
      <c r="GV356" s="105"/>
      <c r="GW356" s="105"/>
      <c r="GX356" s="105"/>
      <c r="GY356" s="105"/>
      <c r="GZ356" s="105"/>
      <c r="HA356" s="105"/>
      <c r="HB356" s="105"/>
      <c r="HC356" s="105"/>
      <c r="HD356" s="105"/>
      <c r="HE356" s="105"/>
      <c r="HF356" s="105"/>
      <c r="HG356" s="105"/>
      <c r="HH356" s="105"/>
      <c r="HI356" s="105"/>
      <c r="HJ356" s="105"/>
      <c r="HK356" s="105"/>
      <c r="HL356" s="105"/>
      <c r="HM356" s="105"/>
      <c r="HN356" s="105"/>
      <c r="HO356" s="105"/>
      <c r="HP356" s="105"/>
      <c r="HQ356" s="105"/>
      <c r="HR356" s="105"/>
      <c r="HS356" s="105"/>
      <c r="HT356" s="105"/>
      <c r="HU356" s="105"/>
      <c r="HV356" s="105"/>
      <c r="HW356" s="105"/>
      <c r="HX356" s="105"/>
      <c r="HY356" s="105"/>
      <c r="HZ356" s="105"/>
      <c r="IA356" s="105"/>
      <c r="IB356" s="105"/>
      <c r="IC356" s="105"/>
      <c r="ID356" s="105"/>
      <c r="IE356" s="105"/>
      <c r="IF356" s="105"/>
      <c r="IG356" s="105"/>
      <c r="IH356" s="105"/>
      <c r="II356" s="105"/>
      <c r="IJ356" s="105"/>
      <c r="IK356" s="105"/>
      <c r="IL356" s="105"/>
      <c r="IM356" s="105"/>
      <c r="IN356" s="105"/>
      <c r="IO356" s="105"/>
      <c r="IP356" s="105"/>
      <c r="IQ356" s="105"/>
      <c r="IR356" s="105"/>
      <c r="IS356" s="105"/>
      <c r="IT356" s="105"/>
      <c r="IU356" s="105"/>
      <c r="IV356" s="105"/>
    </row>
    <row r="357" spans="1:256" s="402" customFormat="1" x14ac:dyDescent="0.2">
      <c r="A357" s="37">
        <v>44368</v>
      </c>
      <c r="B357" s="38" t="s">
        <v>433</v>
      </c>
      <c r="C357" s="38">
        <v>2021</v>
      </c>
      <c r="D357" s="38" t="s">
        <v>5</v>
      </c>
      <c r="E357" s="233">
        <v>-2.09</v>
      </c>
      <c r="F357" s="177" t="s">
        <v>32</v>
      </c>
      <c r="G357" s="234">
        <v>167200</v>
      </c>
      <c r="H357" s="233">
        <v>217</v>
      </c>
      <c r="I357" s="177" t="s">
        <v>81</v>
      </c>
      <c r="J357" s="233" t="s">
        <v>38</v>
      </c>
      <c r="K357" s="233">
        <v>0.83599999999999997</v>
      </c>
      <c r="L357" s="235" t="s">
        <v>765</v>
      </c>
      <c r="M357" s="233" t="s">
        <v>729</v>
      </c>
      <c r="N357" s="235" t="s">
        <v>766</v>
      </c>
      <c r="O357" s="236"/>
      <c r="P357" s="236" t="s">
        <v>767</v>
      </c>
      <c r="Q357" s="780">
        <v>40.894539999999999</v>
      </c>
      <c r="R357" s="677">
        <v>-85.518429999999995</v>
      </c>
      <c r="S357" s="236" t="s">
        <v>61</v>
      </c>
      <c r="T357" s="38"/>
      <c r="U357" s="38" t="s">
        <v>51</v>
      </c>
      <c r="V357" s="37"/>
      <c r="W357" s="39">
        <f>IF(AC357="Intr",0,G357*Definitions!$B$53)</f>
        <v>25080</v>
      </c>
      <c r="X357" s="39">
        <f>IF(AC357="Intr",0,G357*Definitions!$B$54)</f>
        <v>117039.99999999999</v>
      </c>
      <c r="Y357" s="39">
        <f>IF(AC357="Intr",G357,G357*Definitions!$B$55)</f>
        <v>25080</v>
      </c>
      <c r="Z357" s="39" t="s">
        <v>966</v>
      </c>
      <c r="AA357" s="39" t="s">
        <v>963</v>
      </c>
      <c r="AB357" s="39" t="s">
        <v>973</v>
      </c>
      <c r="AC357" s="38"/>
      <c r="AD357" s="38"/>
      <c r="AE357" s="38"/>
      <c r="AF357" s="38"/>
      <c r="AG357" s="40"/>
      <c r="AH357" s="38"/>
      <c r="AI357" s="105"/>
      <c r="AJ357" s="105"/>
      <c r="AK357" s="105"/>
      <c r="AL357" s="105"/>
      <c r="AM357" s="105"/>
      <c r="AN357" s="105"/>
      <c r="AO357" s="105"/>
      <c r="AP357" s="105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5"/>
      <c r="BB357" s="105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5"/>
      <c r="BN357" s="105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5"/>
      <c r="BZ357" s="105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5"/>
      <c r="CM357" s="105"/>
      <c r="CN357" s="105"/>
      <c r="CO357" s="105"/>
      <c r="CP357" s="105"/>
      <c r="CQ357" s="105"/>
      <c r="CR357" s="105"/>
      <c r="CS357" s="105"/>
      <c r="CT357" s="105"/>
      <c r="CU357" s="105"/>
      <c r="CV357" s="105"/>
      <c r="CW357" s="105"/>
      <c r="CX357" s="105"/>
      <c r="CY357" s="105"/>
      <c r="CZ357" s="105"/>
      <c r="DA357" s="105"/>
      <c r="DB357" s="105"/>
      <c r="DC357" s="105"/>
      <c r="DD357" s="105"/>
      <c r="DE357" s="105"/>
      <c r="DF357" s="105"/>
      <c r="DG357" s="105"/>
      <c r="DH357" s="105"/>
      <c r="DI357" s="105"/>
      <c r="DJ357" s="105"/>
      <c r="DK357" s="105"/>
      <c r="DL357" s="105"/>
      <c r="DM357" s="105"/>
      <c r="DN357" s="105"/>
      <c r="DO357" s="105"/>
      <c r="DP357" s="105"/>
      <c r="DQ357" s="105"/>
      <c r="DR357" s="105"/>
      <c r="DS357" s="105"/>
      <c r="DT357" s="105"/>
      <c r="DU357" s="105"/>
      <c r="DV357" s="105"/>
      <c r="DW357" s="105"/>
      <c r="DX357" s="105"/>
      <c r="DY357" s="105"/>
      <c r="DZ357" s="105"/>
      <c r="EA357" s="105"/>
      <c r="EB357" s="105"/>
      <c r="EC357" s="105"/>
      <c r="ED357" s="105"/>
      <c r="EE357" s="105"/>
      <c r="EF357" s="105"/>
      <c r="EG357" s="105"/>
      <c r="EH357" s="105"/>
      <c r="EI357" s="105"/>
      <c r="EJ357" s="105"/>
      <c r="EK357" s="105"/>
      <c r="EL357" s="105"/>
      <c r="EM357" s="105"/>
      <c r="EN357" s="105"/>
      <c r="EO357" s="105"/>
      <c r="EP357" s="105"/>
      <c r="EQ357" s="105"/>
      <c r="ER357" s="105"/>
      <c r="ES357" s="105"/>
      <c r="ET357" s="105"/>
      <c r="EU357" s="105"/>
      <c r="EV357" s="105"/>
      <c r="EW357" s="105"/>
      <c r="EX357" s="105"/>
      <c r="EY357" s="105"/>
      <c r="EZ357" s="105"/>
      <c r="FA357" s="105"/>
      <c r="FB357" s="105"/>
      <c r="FC357" s="105"/>
      <c r="FD357" s="105"/>
      <c r="FE357" s="105"/>
      <c r="FF357" s="105"/>
      <c r="FG357" s="105"/>
      <c r="FH357" s="105"/>
      <c r="FI357" s="105"/>
      <c r="FJ357" s="105"/>
      <c r="FK357" s="105"/>
      <c r="FL357" s="105"/>
      <c r="FM357" s="105"/>
      <c r="FN357" s="105"/>
      <c r="FO357" s="105"/>
      <c r="FP357" s="105"/>
      <c r="FQ357" s="105"/>
      <c r="FR357" s="105"/>
      <c r="FS357" s="105"/>
      <c r="FT357" s="105"/>
      <c r="FU357" s="105"/>
      <c r="FV357" s="105"/>
      <c r="FW357" s="105"/>
      <c r="FX357" s="105"/>
      <c r="FY357" s="105"/>
      <c r="FZ357" s="105"/>
      <c r="GA357" s="105"/>
      <c r="GB357" s="105"/>
      <c r="GC357" s="105"/>
      <c r="GD357" s="105"/>
      <c r="GE357" s="105"/>
      <c r="GF357" s="105"/>
      <c r="GG357" s="105"/>
      <c r="GH357" s="105"/>
      <c r="GI357" s="105"/>
      <c r="GJ357" s="105"/>
      <c r="GK357" s="105"/>
      <c r="GL357" s="105"/>
      <c r="GM357" s="105"/>
      <c r="GN357" s="105"/>
      <c r="GO357" s="105"/>
      <c r="GP357" s="105"/>
      <c r="GQ357" s="105"/>
      <c r="GR357" s="105"/>
      <c r="GS357" s="105"/>
      <c r="GT357" s="105"/>
      <c r="GU357" s="105"/>
      <c r="GV357" s="105"/>
      <c r="GW357" s="105"/>
      <c r="GX357" s="105"/>
      <c r="GY357" s="105"/>
      <c r="GZ357" s="105"/>
      <c r="HA357" s="105"/>
      <c r="HB357" s="105"/>
      <c r="HC357" s="105"/>
      <c r="HD357" s="105"/>
      <c r="HE357" s="105"/>
      <c r="HF357" s="105"/>
      <c r="HG357" s="105"/>
      <c r="HH357" s="105"/>
      <c r="HI357" s="105"/>
      <c r="HJ357" s="105"/>
      <c r="HK357" s="105"/>
      <c r="HL357" s="105"/>
      <c r="HM357" s="105"/>
      <c r="HN357" s="105"/>
      <c r="HO357" s="105"/>
      <c r="HP357" s="105"/>
      <c r="HQ357" s="105"/>
      <c r="HR357" s="105"/>
      <c r="HS357" s="105"/>
      <c r="HT357" s="105"/>
      <c r="HU357" s="105"/>
      <c r="HV357" s="105"/>
      <c r="HW357" s="105"/>
      <c r="HX357" s="105"/>
      <c r="HY357" s="105"/>
      <c r="HZ357" s="105"/>
      <c r="IA357" s="105"/>
      <c r="IB357" s="105"/>
      <c r="IC357" s="105"/>
      <c r="ID357" s="105"/>
      <c r="IE357" s="105"/>
      <c r="IF357" s="105"/>
      <c r="IG357" s="105"/>
      <c r="IH357" s="105"/>
      <c r="II357" s="105"/>
      <c r="IJ357" s="105"/>
      <c r="IK357" s="105"/>
      <c r="IL357" s="105"/>
      <c r="IM357" s="105"/>
      <c r="IN357" s="105"/>
      <c r="IO357" s="105"/>
      <c r="IP357" s="105"/>
      <c r="IQ357" s="105"/>
      <c r="IR357" s="105"/>
      <c r="IS357" s="105"/>
      <c r="IT357" s="105"/>
      <c r="IU357" s="105"/>
      <c r="IV357" s="105"/>
    </row>
    <row r="358" spans="1:256" s="402" customFormat="1" x14ac:dyDescent="0.2">
      <c r="A358" s="160">
        <v>44376</v>
      </c>
      <c r="B358" s="161" t="s">
        <v>433</v>
      </c>
      <c r="C358" s="161">
        <v>2021</v>
      </c>
      <c r="D358" s="161" t="s">
        <v>10</v>
      </c>
      <c r="E358" s="398">
        <v>-2254.6</v>
      </c>
      <c r="F358" s="162" t="s">
        <v>33</v>
      </c>
      <c r="G358" s="399">
        <v>901840</v>
      </c>
      <c r="H358" s="398">
        <v>219</v>
      </c>
      <c r="I358" s="162" t="s">
        <v>80</v>
      </c>
      <c r="J358" s="398" t="s">
        <v>725</v>
      </c>
      <c r="K358" s="398">
        <v>2019.5</v>
      </c>
      <c r="L358" s="379" t="s">
        <v>768</v>
      </c>
      <c r="M358" s="398" t="s">
        <v>769</v>
      </c>
      <c r="N358" s="379" t="s">
        <v>770</v>
      </c>
      <c r="O358" s="400"/>
      <c r="P358" s="400" t="s">
        <v>771</v>
      </c>
      <c r="Q358" s="786">
        <v>38.01473</v>
      </c>
      <c r="R358" s="862">
        <v>-86.168059999999997</v>
      </c>
      <c r="S358" s="161" t="s">
        <v>63</v>
      </c>
      <c r="T358" s="161"/>
      <c r="U358" s="161" t="s">
        <v>51</v>
      </c>
      <c r="V358" s="160"/>
      <c r="W358" s="166">
        <f>IF(AC358="Intr",0,G358*Definitions!$B$53)</f>
        <v>135276</v>
      </c>
      <c r="X358" s="166">
        <f>IF(AC358="Intr",0,G358*Definitions!$B$54)</f>
        <v>631288</v>
      </c>
      <c r="Y358" s="166">
        <f>IF(AC358="Intr",G358,G358*Definitions!$B$55)</f>
        <v>135276</v>
      </c>
      <c r="Z358" s="166" t="s">
        <v>966</v>
      </c>
      <c r="AA358" s="166" t="s">
        <v>965</v>
      </c>
      <c r="AB358" s="166"/>
      <c r="AC358" s="161"/>
      <c r="AD358" s="161"/>
      <c r="AE358" s="161"/>
      <c r="AF358" s="161"/>
      <c r="AG358" s="167"/>
      <c r="AH358" s="401" t="s">
        <v>772</v>
      </c>
      <c r="AI358" s="105"/>
      <c r="AJ358" s="105"/>
      <c r="AK358" s="105"/>
      <c r="AL358" s="105"/>
      <c r="AM358" s="105"/>
      <c r="AN358" s="105"/>
      <c r="AO358" s="105"/>
      <c r="AP358" s="105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5"/>
      <c r="BB358" s="105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5"/>
      <c r="BN358" s="105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5"/>
      <c r="BZ358" s="105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5"/>
      <c r="CM358" s="105"/>
      <c r="CN358" s="105"/>
      <c r="CO358" s="105"/>
      <c r="CP358" s="105"/>
      <c r="CQ358" s="105"/>
      <c r="CR358" s="105"/>
      <c r="CS358" s="105"/>
      <c r="CT358" s="105"/>
      <c r="CU358" s="105"/>
      <c r="CV358" s="105"/>
      <c r="CW358" s="105"/>
      <c r="CX358" s="105"/>
      <c r="CY358" s="105"/>
      <c r="CZ358" s="105"/>
      <c r="DA358" s="105"/>
      <c r="DB358" s="105"/>
      <c r="DC358" s="105"/>
      <c r="DD358" s="105"/>
      <c r="DE358" s="105"/>
      <c r="DF358" s="105"/>
      <c r="DG358" s="105"/>
      <c r="DH358" s="105"/>
      <c r="DI358" s="105"/>
      <c r="DJ358" s="105"/>
      <c r="DK358" s="105"/>
      <c r="DL358" s="105"/>
      <c r="DM358" s="105"/>
      <c r="DN358" s="105"/>
      <c r="DO358" s="105"/>
      <c r="DP358" s="105"/>
      <c r="DQ358" s="105"/>
      <c r="DR358" s="105"/>
      <c r="DS358" s="105"/>
      <c r="DT358" s="105"/>
      <c r="DU358" s="105"/>
      <c r="DV358" s="105"/>
      <c r="DW358" s="105"/>
      <c r="DX358" s="105"/>
      <c r="DY358" s="105"/>
      <c r="DZ358" s="105"/>
      <c r="EA358" s="105"/>
      <c r="EB358" s="105"/>
      <c r="EC358" s="105"/>
      <c r="ED358" s="105"/>
      <c r="EE358" s="105"/>
      <c r="EF358" s="105"/>
      <c r="EG358" s="105"/>
      <c r="EH358" s="105"/>
      <c r="EI358" s="105"/>
      <c r="EJ358" s="105"/>
      <c r="EK358" s="105"/>
      <c r="EL358" s="105"/>
      <c r="EM358" s="105"/>
      <c r="EN358" s="105"/>
      <c r="EO358" s="105"/>
      <c r="EP358" s="105"/>
      <c r="EQ358" s="105"/>
      <c r="ER358" s="105"/>
      <c r="ES358" s="105"/>
      <c r="ET358" s="105"/>
      <c r="EU358" s="105"/>
      <c r="EV358" s="105"/>
      <c r="EW358" s="105"/>
      <c r="EX358" s="105"/>
      <c r="EY358" s="105"/>
      <c r="EZ358" s="105"/>
      <c r="FA358" s="105"/>
      <c r="FB358" s="105"/>
      <c r="FC358" s="105"/>
      <c r="FD358" s="105"/>
      <c r="FE358" s="105"/>
      <c r="FF358" s="105"/>
      <c r="FG358" s="105"/>
      <c r="FH358" s="105"/>
      <c r="FI358" s="105"/>
      <c r="FJ358" s="105"/>
      <c r="FK358" s="105"/>
      <c r="FL358" s="105"/>
      <c r="FM358" s="105"/>
      <c r="FN358" s="105"/>
      <c r="FO358" s="105"/>
      <c r="FP358" s="105"/>
      <c r="FQ358" s="105"/>
      <c r="FR358" s="105"/>
      <c r="FS358" s="105"/>
      <c r="FT358" s="105"/>
      <c r="FU358" s="105"/>
      <c r="FV358" s="105"/>
      <c r="FW358" s="105"/>
      <c r="FX358" s="105"/>
      <c r="FY358" s="105"/>
      <c r="FZ358" s="105"/>
      <c r="GA358" s="105"/>
      <c r="GB358" s="105"/>
      <c r="GC358" s="105"/>
      <c r="GD358" s="105"/>
      <c r="GE358" s="105"/>
      <c r="GF358" s="105"/>
      <c r="GG358" s="105"/>
      <c r="GH358" s="105"/>
      <c r="GI358" s="105"/>
      <c r="GJ358" s="105"/>
      <c r="GK358" s="105"/>
      <c r="GL358" s="105"/>
      <c r="GM358" s="105"/>
      <c r="GN358" s="105"/>
      <c r="GO358" s="105"/>
      <c r="GP358" s="105"/>
      <c r="GQ358" s="105"/>
      <c r="GR358" s="105"/>
      <c r="GS358" s="105"/>
      <c r="GT358" s="105"/>
      <c r="GU358" s="105"/>
      <c r="GV358" s="105"/>
      <c r="GW358" s="105"/>
      <c r="GX358" s="105"/>
      <c r="GY358" s="105"/>
      <c r="GZ358" s="105"/>
      <c r="HA358" s="105"/>
      <c r="HB358" s="105"/>
      <c r="HC358" s="105"/>
      <c r="HD358" s="105"/>
      <c r="HE358" s="105"/>
      <c r="HF358" s="105"/>
      <c r="HG358" s="105"/>
      <c r="HH358" s="105"/>
      <c r="HI358" s="105"/>
      <c r="HJ358" s="105"/>
      <c r="HK358" s="105"/>
      <c r="HL358" s="105"/>
      <c r="HM358" s="105"/>
      <c r="HN358" s="105"/>
      <c r="HO358" s="105"/>
      <c r="HP358" s="105"/>
      <c r="HQ358" s="105"/>
      <c r="HR358" s="105"/>
      <c r="HS358" s="105"/>
      <c r="HT358" s="105"/>
      <c r="HU358" s="105"/>
      <c r="HV358" s="105"/>
      <c r="HW358" s="105"/>
      <c r="HX358" s="105"/>
      <c r="HY358" s="105"/>
      <c r="HZ358" s="105"/>
      <c r="IA358" s="105"/>
      <c r="IB358" s="105"/>
      <c r="IC358" s="105"/>
      <c r="ID358" s="105"/>
      <c r="IE358" s="105"/>
      <c r="IF358" s="105"/>
      <c r="IG358" s="105"/>
      <c r="IH358" s="105"/>
      <c r="II358" s="105"/>
      <c r="IJ358" s="105"/>
      <c r="IK358" s="105"/>
      <c r="IL358" s="105"/>
      <c r="IM358" s="105"/>
      <c r="IN358" s="105"/>
      <c r="IO358" s="105"/>
      <c r="IP358" s="105"/>
      <c r="IQ358" s="105"/>
      <c r="IR358" s="105"/>
      <c r="IS358" s="105"/>
      <c r="IT358" s="105"/>
      <c r="IU358" s="105"/>
      <c r="IV358" s="105"/>
    </row>
    <row r="359" spans="1:256" x14ac:dyDescent="0.2">
      <c r="A359" s="160">
        <v>44376</v>
      </c>
      <c r="B359" s="161" t="s">
        <v>433</v>
      </c>
      <c r="C359" s="161">
        <v>2021</v>
      </c>
      <c r="D359" s="161" t="s">
        <v>10</v>
      </c>
      <c r="E359" s="398">
        <v>-0.51200000000000001</v>
      </c>
      <c r="F359" s="162" t="s">
        <v>32</v>
      </c>
      <c r="G359" s="399">
        <v>40960</v>
      </c>
      <c r="H359" s="398">
        <v>219</v>
      </c>
      <c r="I359" s="162" t="s">
        <v>80</v>
      </c>
      <c r="J359" s="398" t="s">
        <v>38</v>
      </c>
      <c r="K359" s="398">
        <v>0.128</v>
      </c>
      <c r="L359" s="379" t="s">
        <v>768</v>
      </c>
      <c r="M359" s="398" t="s">
        <v>769</v>
      </c>
      <c r="N359" s="379" t="s">
        <v>770</v>
      </c>
      <c r="O359" s="400"/>
      <c r="P359" s="400" t="s">
        <v>771</v>
      </c>
      <c r="Q359" s="786">
        <v>38.01473</v>
      </c>
      <c r="R359" s="862">
        <v>-86.168059999999997</v>
      </c>
      <c r="S359" s="161" t="s">
        <v>63</v>
      </c>
      <c r="T359" s="161"/>
      <c r="U359" s="161" t="s">
        <v>51</v>
      </c>
      <c r="V359" s="160"/>
      <c r="W359" s="166">
        <f>IF(AC359="Intr",0,G359*Definitions!$B$53)</f>
        <v>6144</v>
      </c>
      <c r="X359" s="166">
        <f>IF(AC359="Intr",0,G359*Definitions!$B$54)</f>
        <v>28672</v>
      </c>
      <c r="Y359" s="166">
        <f>IF(AC359="Intr",G359,G359*Definitions!$B$55)</f>
        <v>6144</v>
      </c>
      <c r="Z359" s="166" t="s">
        <v>966</v>
      </c>
      <c r="AA359" s="166" t="s">
        <v>965</v>
      </c>
      <c r="AB359" s="166"/>
      <c r="AC359" s="161"/>
      <c r="AD359" s="161"/>
      <c r="AE359" s="161"/>
      <c r="AF359" s="161"/>
      <c r="AG359" s="167"/>
      <c r="AH359" s="161"/>
    </row>
    <row r="360" spans="1:256" s="404" customFormat="1" x14ac:dyDescent="0.2">
      <c r="A360" s="160">
        <v>44376</v>
      </c>
      <c r="B360" s="161" t="s">
        <v>433</v>
      </c>
      <c r="C360" s="161">
        <v>2021</v>
      </c>
      <c r="D360" s="161" t="s">
        <v>10</v>
      </c>
      <c r="E360" s="398">
        <v>-8.7999999999999995E-2</v>
      </c>
      <c r="F360" s="162" t="s">
        <v>32</v>
      </c>
      <c r="G360" s="399">
        <v>7040</v>
      </c>
      <c r="H360" s="398">
        <v>219</v>
      </c>
      <c r="I360" s="162" t="s">
        <v>80</v>
      </c>
      <c r="J360" s="398" t="s">
        <v>36</v>
      </c>
      <c r="K360" s="398">
        <v>0.04</v>
      </c>
      <c r="L360" s="379" t="s">
        <v>768</v>
      </c>
      <c r="M360" s="398" t="s">
        <v>769</v>
      </c>
      <c r="N360" s="379" t="s">
        <v>770</v>
      </c>
      <c r="O360" s="400"/>
      <c r="P360" s="400" t="s">
        <v>771</v>
      </c>
      <c r="Q360" s="786">
        <v>38.01473</v>
      </c>
      <c r="R360" s="683">
        <v>-86.168059999999997</v>
      </c>
      <c r="S360" s="161" t="s">
        <v>63</v>
      </c>
      <c r="T360" s="161"/>
      <c r="U360" s="161" t="s">
        <v>51</v>
      </c>
      <c r="V360" s="160"/>
      <c r="W360" s="166">
        <f>IF(AC360="Intr",0,G360*Definitions!$B$53)</f>
        <v>1056</v>
      </c>
      <c r="X360" s="166">
        <f>IF(AC360="Intr",0,G360*Definitions!$B$54)</f>
        <v>4928</v>
      </c>
      <c r="Y360" s="166">
        <f>IF(AC360="Intr",G360,G360*Definitions!$B$55)</f>
        <v>1056</v>
      </c>
      <c r="Z360" s="166" t="s">
        <v>966</v>
      </c>
      <c r="AA360" s="166" t="s">
        <v>965</v>
      </c>
      <c r="AB360" s="166"/>
      <c r="AC360" s="161"/>
      <c r="AD360" s="161"/>
      <c r="AE360" s="161"/>
      <c r="AF360" s="161"/>
      <c r="AG360" s="167"/>
      <c r="AH360" s="161"/>
      <c r="AI360" s="105"/>
      <c r="AJ360" s="105"/>
      <c r="AK360" s="105"/>
      <c r="AL360" s="105"/>
      <c r="AM360" s="105"/>
      <c r="AN360" s="105"/>
      <c r="AO360" s="105"/>
      <c r="AP360" s="105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5"/>
      <c r="BB360" s="105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5"/>
      <c r="BN360" s="105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5"/>
      <c r="BZ360" s="105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5"/>
      <c r="CM360" s="105"/>
      <c r="CN360" s="105"/>
      <c r="CO360" s="105"/>
      <c r="CP360" s="105"/>
      <c r="CQ360" s="105"/>
      <c r="CR360" s="105"/>
      <c r="CS360" s="105"/>
      <c r="CT360" s="105"/>
      <c r="CU360" s="105"/>
      <c r="CV360" s="105"/>
      <c r="CW360" s="105"/>
      <c r="CX360" s="105"/>
      <c r="CY360" s="105"/>
      <c r="CZ360" s="105"/>
      <c r="DA360" s="105"/>
      <c r="DB360" s="105"/>
      <c r="DC360" s="105"/>
      <c r="DD360" s="105"/>
      <c r="DE360" s="105"/>
      <c r="DF360" s="105"/>
      <c r="DG360" s="105"/>
      <c r="DH360" s="105"/>
      <c r="DI360" s="105"/>
      <c r="DJ360" s="105"/>
      <c r="DK360" s="105"/>
      <c r="DL360" s="105"/>
      <c r="DM360" s="105"/>
      <c r="DN360" s="105"/>
      <c r="DO360" s="105"/>
      <c r="DP360" s="105"/>
      <c r="DQ360" s="105"/>
      <c r="DR360" s="105"/>
      <c r="DS360" s="105"/>
      <c r="DT360" s="105"/>
      <c r="DU360" s="105"/>
      <c r="DV360" s="105"/>
      <c r="DW360" s="105"/>
      <c r="DX360" s="105"/>
      <c r="DY360" s="105"/>
      <c r="DZ360" s="105"/>
      <c r="EA360" s="105"/>
      <c r="EB360" s="105"/>
      <c r="EC360" s="105"/>
      <c r="ED360" s="105"/>
      <c r="EE360" s="105"/>
      <c r="EF360" s="105"/>
      <c r="EG360" s="105"/>
      <c r="EH360" s="105"/>
      <c r="EI360" s="105"/>
      <c r="EJ360" s="105"/>
      <c r="EK360" s="105"/>
      <c r="EL360" s="105"/>
      <c r="EM360" s="105"/>
      <c r="EN360" s="105"/>
      <c r="EO360" s="105"/>
      <c r="EP360" s="105"/>
      <c r="EQ360" s="105"/>
      <c r="ER360" s="105"/>
      <c r="ES360" s="105"/>
      <c r="ET360" s="105"/>
      <c r="EU360" s="105"/>
      <c r="EV360" s="105"/>
      <c r="EW360" s="105"/>
      <c r="EX360" s="105"/>
      <c r="EY360" s="105"/>
      <c r="EZ360" s="105"/>
      <c r="FA360" s="105"/>
      <c r="FB360" s="105"/>
      <c r="FC360" s="105"/>
      <c r="FD360" s="105"/>
      <c r="FE360" s="105"/>
      <c r="FF360" s="105"/>
      <c r="FG360" s="105"/>
      <c r="FH360" s="105"/>
      <c r="FI360" s="105"/>
      <c r="FJ360" s="105"/>
      <c r="FK360" s="105"/>
      <c r="FL360" s="105"/>
      <c r="FM360" s="105"/>
      <c r="FN360" s="105"/>
      <c r="FO360" s="105"/>
      <c r="FP360" s="105"/>
      <c r="FQ360" s="105"/>
      <c r="FR360" s="105"/>
      <c r="FS360" s="105"/>
      <c r="FT360" s="105"/>
      <c r="FU360" s="105"/>
      <c r="FV360" s="105"/>
      <c r="FW360" s="105"/>
      <c r="FX360" s="105"/>
      <c r="FY360" s="105"/>
      <c r="FZ360" s="105"/>
      <c r="GA360" s="105"/>
      <c r="GB360" s="105"/>
      <c r="GC360" s="105"/>
      <c r="GD360" s="105"/>
      <c r="GE360" s="105"/>
      <c r="GF360" s="105"/>
      <c r="GG360" s="105"/>
      <c r="GH360" s="105"/>
      <c r="GI360" s="105"/>
      <c r="GJ360" s="105"/>
      <c r="GK360" s="105"/>
      <c r="GL360" s="105"/>
      <c r="GM360" s="105"/>
      <c r="GN360" s="105"/>
      <c r="GO360" s="105"/>
      <c r="GP360" s="105"/>
      <c r="GQ360" s="105"/>
      <c r="GR360" s="105"/>
      <c r="GS360" s="105"/>
      <c r="GT360" s="105"/>
      <c r="GU360" s="105"/>
      <c r="GV360" s="105"/>
      <c r="GW360" s="105"/>
      <c r="GX360" s="105"/>
      <c r="GY360" s="105"/>
      <c r="GZ360" s="105"/>
      <c r="HA360" s="105"/>
      <c r="HB360" s="105"/>
      <c r="HC360" s="105"/>
      <c r="HD360" s="105"/>
      <c r="HE360" s="105"/>
      <c r="HF360" s="105"/>
      <c r="HG360" s="105"/>
      <c r="HH360" s="105"/>
      <c r="HI360" s="105"/>
      <c r="HJ360" s="105"/>
      <c r="HK360" s="105"/>
      <c r="HL360" s="105"/>
      <c r="HM360" s="105"/>
      <c r="HN360" s="105"/>
      <c r="HO360" s="105"/>
      <c r="HP360" s="105"/>
      <c r="HQ360" s="105"/>
      <c r="HR360" s="105"/>
      <c r="HS360" s="105"/>
      <c r="HT360" s="105"/>
      <c r="HU360" s="105"/>
      <c r="HV360" s="105"/>
      <c r="HW360" s="105"/>
      <c r="HX360" s="105"/>
      <c r="HY360" s="105"/>
      <c r="HZ360" s="105"/>
      <c r="IA360" s="105"/>
      <c r="IB360" s="105"/>
      <c r="IC360" s="105"/>
      <c r="ID360" s="105"/>
      <c r="IE360" s="105"/>
      <c r="IF360" s="105"/>
      <c r="IG360" s="105"/>
      <c r="IH360" s="105"/>
      <c r="II360" s="105"/>
      <c r="IJ360" s="105"/>
      <c r="IK360" s="105"/>
      <c r="IL360" s="105"/>
      <c r="IM360" s="105"/>
      <c r="IN360" s="105"/>
      <c r="IO360" s="105"/>
      <c r="IP360" s="105"/>
      <c r="IQ360" s="105"/>
      <c r="IR360" s="105"/>
      <c r="IS360" s="105"/>
      <c r="IT360" s="105"/>
      <c r="IU360" s="105"/>
      <c r="IV360" s="105"/>
    </row>
    <row r="361" spans="1:256" s="404" customFormat="1" ht="14.25" customHeight="1" x14ac:dyDescent="0.2">
      <c r="A361" s="37">
        <v>44376</v>
      </c>
      <c r="B361" s="38" t="s">
        <v>433</v>
      </c>
      <c r="C361" s="38">
        <v>2021</v>
      </c>
      <c r="D361" s="38" t="s">
        <v>7</v>
      </c>
      <c r="E361" s="233">
        <v>-600</v>
      </c>
      <c r="F361" s="177" t="s">
        <v>33</v>
      </c>
      <c r="G361" s="234">
        <f>-E361*450</f>
        <v>270000</v>
      </c>
      <c r="H361" s="233">
        <v>226</v>
      </c>
      <c r="I361" s="177" t="s">
        <v>80</v>
      </c>
      <c r="J361" s="233" t="s">
        <v>731</v>
      </c>
      <c r="K361" s="233">
        <v>500</v>
      </c>
      <c r="L361" s="235" t="s">
        <v>773</v>
      </c>
      <c r="M361" s="233" t="s">
        <v>774</v>
      </c>
      <c r="N361" s="235" t="s">
        <v>775</v>
      </c>
      <c r="O361" s="236" t="s">
        <v>776</v>
      </c>
      <c r="P361" s="236" t="s">
        <v>143</v>
      </c>
      <c r="Q361" s="780">
        <v>39.801600000000001</v>
      </c>
      <c r="R361" s="861">
        <v>-86.197400000000002</v>
      </c>
      <c r="S361" s="236" t="s">
        <v>60</v>
      </c>
      <c r="T361" s="403"/>
      <c r="U361" s="38" t="s">
        <v>51</v>
      </c>
      <c r="V361" s="37"/>
      <c r="W361" s="39">
        <f>IF(AC361="Intr",0,G361*Definitions!$B$53)</f>
        <v>40500</v>
      </c>
      <c r="X361" s="39">
        <f>IF(AC361="Intr",0,G361*Definitions!$B$54)</f>
        <v>189000</v>
      </c>
      <c r="Y361" s="39">
        <f>IF(AC361="Intr",G361,G361*Definitions!$B$55)</f>
        <v>40500</v>
      </c>
      <c r="Z361" s="39" t="s">
        <v>966</v>
      </c>
      <c r="AA361" s="39" t="s">
        <v>965</v>
      </c>
      <c r="AB361" s="39"/>
      <c r="AC361" s="38"/>
      <c r="AD361" s="38"/>
      <c r="AE361" s="38"/>
      <c r="AF361" s="38"/>
      <c r="AG361" s="40"/>
      <c r="AH361" s="403" t="s">
        <v>777</v>
      </c>
      <c r="AI361" s="105"/>
      <c r="AJ361" s="105"/>
      <c r="AK361" s="105"/>
      <c r="AL361" s="105"/>
      <c r="AM361" s="105"/>
      <c r="AN361" s="105"/>
      <c r="AO361" s="105"/>
      <c r="AP361" s="105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5"/>
      <c r="BB361" s="105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5"/>
      <c r="BN361" s="105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5"/>
      <c r="BZ361" s="105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5"/>
      <c r="CM361" s="105"/>
      <c r="CN361" s="105"/>
      <c r="CO361" s="105"/>
      <c r="CP361" s="105"/>
      <c r="CQ361" s="105"/>
      <c r="CR361" s="105"/>
      <c r="CS361" s="105"/>
      <c r="CT361" s="105"/>
      <c r="CU361" s="105"/>
      <c r="CV361" s="105"/>
      <c r="CW361" s="105"/>
      <c r="CX361" s="105"/>
      <c r="CY361" s="105"/>
      <c r="CZ361" s="105"/>
      <c r="DA361" s="105"/>
      <c r="DB361" s="105"/>
      <c r="DC361" s="105"/>
      <c r="DD361" s="105"/>
      <c r="DE361" s="105"/>
      <c r="DF361" s="105"/>
      <c r="DG361" s="105"/>
      <c r="DH361" s="105"/>
      <c r="DI361" s="105"/>
      <c r="DJ361" s="105"/>
      <c r="DK361" s="105"/>
      <c r="DL361" s="105"/>
      <c r="DM361" s="105"/>
      <c r="DN361" s="105"/>
      <c r="DO361" s="105"/>
      <c r="DP361" s="105"/>
      <c r="DQ361" s="105"/>
      <c r="DR361" s="105"/>
      <c r="DS361" s="105"/>
      <c r="DT361" s="105"/>
      <c r="DU361" s="105"/>
      <c r="DV361" s="105"/>
      <c r="DW361" s="105"/>
      <c r="DX361" s="105"/>
      <c r="DY361" s="105"/>
      <c r="DZ361" s="105"/>
      <c r="EA361" s="105"/>
      <c r="EB361" s="105"/>
      <c r="EC361" s="105"/>
      <c r="ED361" s="105"/>
      <c r="EE361" s="105"/>
      <c r="EF361" s="105"/>
      <c r="EG361" s="105"/>
      <c r="EH361" s="105"/>
      <c r="EI361" s="105"/>
      <c r="EJ361" s="105"/>
      <c r="EK361" s="105"/>
      <c r="EL361" s="105"/>
      <c r="EM361" s="105"/>
      <c r="EN361" s="105"/>
      <c r="EO361" s="105"/>
      <c r="EP361" s="105"/>
      <c r="EQ361" s="105"/>
      <c r="ER361" s="105"/>
      <c r="ES361" s="105"/>
      <c r="ET361" s="105"/>
      <c r="EU361" s="105"/>
      <c r="EV361" s="105"/>
      <c r="EW361" s="105"/>
      <c r="EX361" s="105"/>
      <c r="EY361" s="105"/>
      <c r="EZ361" s="105"/>
      <c r="FA361" s="105"/>
      <c r="FB361" s="105"/>
      <c r="FC361" s="105"/>
      <c r="FD361" s="105"/>
      <c r="FE361" s="105"/>
      <c r="FF361" s="105"/>
      <c r="FG361" s="105"/>
      <c r="FH361" s="105"/>
      <c r="FI361" s="105"/>
      <c r="FJ361" s="105"/>
      <c r="FK361" s="105"/>
      <c r="FL361" s="105"/>
      <c r="FM361" s="105"/>
      <c r="FN361" s="105"/>
      <c r="FO361" s="105"/>
      <c r="FP361" s="105"/>
      <c r="FQ361" s="105"/>
      <c r="FR361" s="105"/>
      <c r="FS361" s="105"/>
      <c r="FT361" s="105"/>
      <c r="FU361" s="105"/>
      <c r="FV361" s="105"/>
      <c r="FW361" s="105"/>
      <c r="FX361" s="105"/>
      <c r="FY361" s="105"/>
      <c r="FZ361" s="105"/>
      <c r="GA361" s="105"/>
      <c r="GB361" s="105"/>
      <c r="GC361" s="105"/>
      <c r="GD361" s="105"/>
      <c r="GE361" s="105"/>
      <c r="GF361" s="105"/>
      <c r="GG361" s="105"/>
      <c r="GH361" s="105"/>
      <c r="GI361" s="105"/>
      <c r="GJ361" s="105"/>
      <c r="GK361" s="105"/>
      <c r="GL361" s="105"/>
      <c r="GM361" s="105"/>
      <c r="GN361" s="105"/>
      <c r="GO361" s="105"/>
      <c r="GP361" s="105"/>
      <c r="GQ361" s="105"/>
      <c r="GR361" s="105"/>
      <c r="GS361" s="105"/>
      <c r="GT361" s="105"/>
      <c r="GU361" s="105"/>
      <c r="GV361" s="105"/>
      <c r="GW361" s="105"/>
      <c r="GX361" s="105"/>
      <c r="GY361" s="105"/>
      <c r="GZ361" s="105"/>
      <c r="HA361" s="105"/>
      <c r="HB361" s="105"/>
      <c r="HC361" s="105"/>
      <c r="HD361" s="105"/>
      <c r="HE361" s="105"/>
      <c r="HF361" s="105"/>
      <c r="HG361" s="105"/>
      <c r="HH361" s="105"/>
      <c r="HI361" s="105"/>
      <c r="HJ361" s="105"/>
      <c r="HK361" s="105"/>
      <c r="HL361" s="105"/>
      <c r="HM361" s="105"/>
      <c r="HN361" s="105"/>
      <c r="HO361" s="105"/>
      <c r="HP361" s="105"/>
      <c r="HQ361" s="105"/>
      <c r="HR361" s="105"/>
      <c r="HS361" s="105"/>
      <c r="HT361" s="105"/>
      <c r="HU361" s="105"/>
      <c r="HV361" s="105"/>
      <c r="HW361" s="105"/>
      <c r="HX361" s="105"/>
      <c r="HY361" s="105"/>
      <c r="HZ361" s="105"/>
      <c r="IA361" s="105"/>
      <c r="IB361" s="105"/>
      <c r="IC361" s="105"/>
      <c r="ID361" s="105"/>
      <c r="IE361" s="105"/>
      <c r="IF361" s="105"/>
      <c r="IG361" s="105"/>
      <c r="IH361" s="105"/>
      <c r="II361" s="105"/>
      <c r="IJ361" s="105"/>
      <c r="IK361" s="105"/>
      <c r="IL361" s="105"/>
      <c r="IM361" s="105"/>
      <c r="IN361" s="105"/>
      <c r="IO361" s="105"/>
      <c r="IP361" s="105"/>
      <c r="IQ361" s="105"/>
      <c r="IR361" s="105"/>
      <c r="IS361" s="105"/>
      <c r="IT361" s="105"/>
      <c r="IU361" s="105"/>
      <c r="IV361" s="105"/>
    </row>
    <row r="362" spans="1:256" s="404" customFormat="1" ht="13.5" customHeight="1" x14ac:dyDescent="0.2">
      <c r="A362" s="466">
        <v>44376</v>
      </c>
      <c r="B362" s="467" t="s">
        <v>433</v>
      </c>
      <c r="C362" s="467">
        <v>2021</v>
      </c>
      <c r="D362" s="467" t="s">
        <v>7</v>
      </c>
      <c r="E362" s="468">
        <v>-1.464</v>
      </c>
      <c r="F362" s="468" t="s">
        <v>32</v>
      </c>
      <c r="G362" s="469">
        <v>117120</v>
      </c>
      <c r="H362" s="468">
        <v>222</v>
      </c>
      <c r="I362" s="468" t="s">
        <v>81</v>
      </c>
      <c r="J362" s="468" t="s">
        <v>36</v>
      </c>
      <c r="K362" s="468">
        <v>1.613</v>
      </c>
      <c r="L362" s="470" t="s">
        <v>778</v>
      </c>
      <c r="M362" s="468" t="s">
        <v>729</v>
      </c>
      <c r="N362" s="470" t="s">
        <v>779</v>
      </c>
      <c r="O362" s="467"/>
      <c r="P362" s="467" t="s">
        <v>162</v>
      </c>
      <c r="Q362" s="787">
        <v>39.742600000000003</v>
      </c>
      <c r="R362" s="863">
        <v>-86.340800000000002</v>
      </c>
      <c r="S362" s="467" t="s">
        <v>61</v>
      </c>
      <c r="T362" s="467"/>
      <c r="U362" s="467" t="s">
        <v>51</v>
      </c>
      <c r="V362" s="466"/>
      <c r="W362" s="471">
        <f>IF(AC362="Intr",0,G362*Definitions!$B$53)</f>
        <v>17568</v>
      </c>
      <c r="X362" s="471">
        <f>IF(AC362="Intr",0,G362*Definitions!$B$54)</f>
        <v>81984</v>
      </c>
      <c r="Y362" s="471">
        <f>IF(AC362="Intr",G362,G362*Definitions!$B$55)</f>
        <v>17568</v>
      </c>
      <c r="Z362" s="471" t="s">
        <v>966</v>
      </c>
      <c r="AA362" s="471" t="s">
        <v>963</v>
      </c>
      <c r="AB362" s="471" t="s">
        <v>970</v>
      </c>
      <c r="AC362" s="467"/>
      <c r="AD362" s="467"/>
      <c r="AE362" s="467"/>
      <c r="AF362" s="467"/>
      <c r="AG362" s="472"/>
      <c r="AH362" s="473" t="s">
        <v>780</v>
      </c>
      <c r="AI362" s="105"/>
      <c r="AJ362" s="105"/>
      <c r="AK362" s="105"/>
      <c r="AL362" s="105"/>
      <c r="AM362" s="105"/>
      <c r="AN362" s="105"/>
      <c r="AO362" s="105"/>
      <c r="AP362" s="105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5"/>
      <c r="BB362" s="105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5"/>
      <c r="BN362" s="105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5"/>
      <c r="BZ362" s="105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5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5"/>
      <c r="CX362" s="105"/>
      <c r="CY362" s="105"/>
      <c r="CZ362" s="105"/>
      <c r="DA362" s="105"/>
      <c r="DB362" s="105"/>
      <c r="DC362" s="105"/>
      <c r="DD362" s="105"/>
      <c r="DE362" s="105"/>
      <c r="DF362" s="105"/>
      <c r="DG362" s="105"/>
      <c r="DH362" s="105"/>
      <c r="DI362" s="105"/>
      <c r="DJ362" s="105"/>
      <c r="DK362" s="105"/>
      <c r="DL362" s="105"/>
      <c r="DM362" s="105"/>
      <c r="DN362" s="105"/>
      <c r="DO362" s="105"/>
      <c r="DP362" s="105"/>
      <c r="DQ362" s="105"/>
      <c r="DR362" s="105"/>
      <c r="DS362" s="105"/>
      <c r="DT362" s="105"/>
      <c r="DU362" s="105"/>
      <c r="DV362" s="105"/>
      <c r="DW362" s="105"/>
      <c r="DX362" s="105"/>
      <c r="DY362" s="105"/>
      <c r="DZ362" s="105"/>
      <c r="EA362" s="105"/>
      <c r="EB362" s="105"/>
      <c r="EC362" s="105"/>
      <c r="ED362" s="105"/>
      <c r="EE362" s="105"/>
      <c r="EF362" s="105"/>
      <c r="EG362" s="105"/>
      <c r="EH362" s="105"/>
      <c r="EI362" s="105"/>
      <c r="EJ362" s="105"/>
      <c r="EK362" s="105"/>
      <c r="EL362" s="105"/>
      <c r="EM362" s="105"/>
      <c r="EN362" s="105"/>
      <c r="EO362" s="105"/>
      <c r="EP362" s="105"/>
      <c r="EQ362" s="105"/>
      <c r="ER362" s="105"/>
      <c r="ES362" s="105"/>
      <c r="ET362" s="105"/>
      <c r="EU362" s="105"/>
      <c r="EV362" s="105"/>
      <c r="EW362" s="105"/>
      <c r="EX362" s="105"/>
      <c r="EY362" s="105"/>
      <c r="EZ362" s="105"/>
      <c r="FA362" s="105"/>
      <c r="FB362" s="105"/>
      <c r="FC362" s="105"/>
      <c r="FD362" s="105"/>
      <c r="FE362" s="105"/>
      <c r="FF362" s="105"/>
      <c r="FG362" s="105"/>
      <c r="FH362" s="105"/>
      <c r="FI362" s="105"/>
      <c r="FJ362" s="105"/>
      <c r="FK362" s="105"/>
      <c r="FL362" s="105"/>
      <c r="FM362" s="105"/>
      <c r="FN362" s="105"/>
      <c r="FO362" s="105"/>
      <c r="FP362" s="105"/>
      <c r="FQ362" s="105"/>
      <c r="FR362" s="105"/>
      <c r="FS362" s="105"/>
      <c r="FT362" s="105"/>
      <c r="FU362" s="105"/>
      <c r="FV362" s="105"/>
      <c r="FW362" s="105"/>
      <c r="FX362" s="105"/>
      <c r="FY362" s="105"/>
      <c r="FZ362" s="105"/>
      <c r="GA362" s="105"/>
      <c r="GB362" s="105"/>
      <c r="GC362" s="105"/>
      <c r="GD362" s="105"/>
      <c r="GE362" s="105"/>
      <c r="GF362" s="105"/>
      <c r="GG362" s="105"/>
      <c r="GH362" s="105"/>
      <c r="GI362" s="105"/>
      <c r="GJ362" s="105"/>
      <c r="GK362" s="105"/>
      <c r="GL362" s="105"/>
      <c r="GM362" s="105"/>
      <c r="GN362" s="105"/>
      <c r="GO362" s="105"/>
      <c r="GP362" s="105"/>
      <c r="GQ362" s="105"/>
      <c r="GR362" s="105"/>
      <c r="GS362" s="105"/>
      <c r="GT362" s="105"/>
      <c r="GU362" s="105"/>
      <c r="GV362" s="105"/>
      <c r="GW362" s="105"/>
      <c r="GX362" s="105"/>
      <c r="GY362" s="105"/>
      <c r="GZ362" s="105"/>
      <c r="HA362" s="105"/>
      <c r="HB362" s="105"/>
      <c r="HC362" s="105"/>
      <c r="HD362" s="105"/>
      <c r="HE362" s="105"/>
      <c r="HF362" s="105"/>
      <c r="HG362" s="105"/>
      <c r="HH362" s="105"/>
      <c r="HI362" s="105"/>
      <c r="HJ362" s="105"/>
      <c r="HK362" s="105"/>
      <c r="HL362" s="105"/>
      <c r="HM362" s="105"/>
      <c r="HN362" s="105"/>
      <c r="HO362" s="105"/>
      <c r="HP362" s="105"/>
      <c r="HQ362" s="105"/>
      <c r="HR362" s="105"/>
      <c r="HS362" s="105"/>
      <c r="HT362" s="105"/>
      <c r="HU362" s="105"/>
      <c r="HV362" s="105"/>
      <c r="HW362" s="105"/>
      <c r="HX362" s="105"/>
      <c r="HY362" s="105"/>
      <c r="HZ362" s="105"/>
      <c r="IA362" s="105"/>
      <c r="IB362" s="105"/>
      <c r="IC362" s="105"/>
      <c r="ID362" s="105"/>
      <c r="IE362" s="105"/>
      <c r="IF362" s="105"/>
      <c r="IG362" s="105"/>
      <c r="IH362" s="105"/>
      <c r="II362" s="105"/>
      <c r="IJ362" s="105"/>
      <c r="IK362" s="105"/>
      <c r="IL362" s="105"/>
      <c r="IM362" s="105"/>
      <c r="IN362" s="105"/>
      <c r="IO362" s="105"/>
      <c r="IP362" s="105"/>
      <c r="IQ362" s="105"/>
      <c r="IR362" s="105"/>
      <c r="IS362" s="105"/>
      <c r="IT362" s="105"/>
      <c r="IU362" s="105"/>
      <c r="IV362" s="105"/>
    </row>
    <row r="363" spans="1:256" x14ac:dyDescent="0.2">
      <c r="A363" s="367">
        <v>44378</v>
      </c>
      <c r="B363" s="368" t="s">
        <v>238</v>
      </c>
      <c r="C363" s="368">
        <v>2021</v>
      </c>
      <c r="D363" s="368" t="s">
        <v>11</v>
      </c>
      <c r="E363" s="369">
        <v>-0.1875</v>
      </c>
      <c r="F363" s="369" t="s">
        <v>32</v>
      </c>
      <c r="G363" s="370">
        <v>15000</v>
      </c>
      <c r="H363" s="369">
        <v>227</v>
      </c>
      <c r="I363" s="369" t="s">
        <v>80</v>
      </c>
      <c r="J363" s="369" t="s">
        <v>38</v>
      </c>
      <c r="K363" s="369">
        <v>0.25</v>
      </c>
      <c r="L363" s="371" t="s">
        <v>783</v>
      </c>
      <c r="M363" s="369" t="s">
        <v>784</v>
      </c>
      <c r="N363" s="371" t="s">
        <v>785</v>
      </c>
      <c r="O363" s="372"/>
      <c r="P363" s="372" t="s">
        <v>89</v>
      </c>
      <c r="Q363" s="782">
        <v>37.967385999999998</v>
      </c>
      <c r="R363" s="679">
        <v>-87.661501000000001</v>
      </c>
      <c r="S363" s="372" t="s">
        <v>61</v>
      </c>
      <c r="T363" s="373"/>
      <c r="U363" s="368" t="s">
        <v>51</v>
      </c>
      <c r="V363" s="367"/>
      <c r="W363" s="374">
        <f>IF(AC363="Intr",0,G363*Definitions!$B$53)</f>
        <v>2250</v>
      </c>
      <c r="X363" s="374">
        <f>IF(AC363="Intr",0,G363*Definitions!$B$54)</f>
        <v>10500</v>
      </c>
      <c r="Y363" s="374">
        <f>IF(AC363="Intr",G363,G363*Definitions!$B$55)</f>
        <v>2250</v>
      </c>
      <c r="Z363" s="374" t="s">
        <v>966</v>
      </c>
      <c r="AA363" s="374" t="s">
        <v>965</v>
      </c>
      <c r="AB363" s="374"/>
      <c r="AC363" s="368"/>
      <c r="AD363" s="368"/>
      <c r="AE363" s="368"/>
      <c r="AF363" s="368"/>
      <c r="AG363" s="375"/>
      <c r="AH363" s="373" t="s">
        <v>786</v>
      </c>
    </row>
    <row r="364" spans="1:256" s="405" customFormat="1" x14ac:dyDescent="0.2">
      <c r="A364" s="37">
        <v>44378</v>
      </c>
      <c r="B364" s="38" t="s">
        <v>238</v>
      </c>
      <c r="C364" s="38">
        <v>2021</v>
      </c>
      <c r="D364" s="38" t="s">
        <v>7</v>
      </c>
      <c r="E364" s="233">
        <v>-6.91</v>
      </c>
      <c r="F364" s="233" t="s">
        <v>32</v>
      </c>
      <c r="G364" s="234">
        <v>552800</v>
      </c>
      <c r="H364" s="233">
        <v>209</v>
      </c>
      <c r="I364" s="177" t="s">
        <v>80</v>
      </c>
      <c r="J364" s="233" t="s">
        <v>38</v>
      </c>
      <c r="K364" s="233">
        <v>2.88</v>
      </c>
      <c r="L364" s="235" t="s">
        <v>284</v>
      </c>
      <c r="M364" s="233" t="s">
        <v>781</v>
      </c>
      <c r="N364" s="235" t="s">
        <v>782</v>
      </c>
      <c r="O364" s="236"/>
      <c r="P364" s="236" t="s">
        <v>143</v>
      </c>
      <c r="Q364" s="780">
        <v>39.702300000000001</v>
      </c>
      <c r="R364" s="677">
        <v>-86.1631</v>
      </c>
      <c r="S364" s="236" t="s">
        <v>63</v>
      </c>
      <c r="T364" s="38"/>
      <c r="U364" s="38" t="s">
        <v>51</v>
      </c>
      <c r="V364" s="37"/>
      <c r="W364" s="39">
        <f>IF(AC364="Intr",0,G364*Definitions!$B$53)</f>
        <v>82920</v>
      </c>
      <c r="X364" s="39">
        <f>IF(AC364="Intr",0,G364*Definitions!$B$54)</f>
        <v>386960</v>
      </c>
      <c r="Y364" s="39">
        <f>IF(AC364="Intr",G364,G364*Definitions!$B$55)</f>
        <v>82920</v>
      </c>
      <c r="Z364" s="39" t="s">
        <v>966</v>
      </c>
      <c r="AA364" s="39" t="s">
        <v>965</v>
      </c>
      <c r="AB364" s="39"/>
      <c r="AC364" s="38"/>
      <c r="AD364" s="38"/>
      <c r="AE364" s="38"/>
      <c r="AF364" s="38"/>
      <c r="AG364" s="40"/>
      <c r="AH364" s="38"/>
      <c r="AI364" s="588"/>
      <c r="AJ364" s="588"/>
      <c r="AK364" s="588"/>
      <c r="AL364" s="588"/>
      <c r="AM364" s="588"/>
      <c r="AN364" s="588"/>
      <c r="AO364" s="588"/>
      <c r="AP364" s="588"/>
      <c r="AQ364" s="588"/>
      <c r="AR364" s="588"/>
      <c r="AS364" s="588"/>
      <c r="AT364" s="588"/>
      <c r="AU364" s="588"/>
      <c r="AV364" s="588"/>
      <c r="AW364" s="588"/>
      <c r="AX364" s="588"/>
      <c r="AY364" s="588"/>
      <c r="AZ364" s="588"/>
      <c r="BA364" s="588"/>
      <c r="BB364" s="588"/>
      <c r="BC364" s="588"/>
      <c r="BD364" s="588"/>
      <c r="BE364" s="588"/>
      <c r="BF364" s="588"/>
      <c r="BG364" s="588"/>
      <c r="BH364" s="588"/>
      <c r="BI364" s="588"/>
      <c r="BJ364" s="588"/>
      <c r="BK364" s="588"/>
      <c r="BL364" s="588"/>
      <c r="BM364" s="588"/>
      <c r="BN364" s="588"/>
      <c r="BO364" s="588"/>
      <c r="BP364" s="588"/>
      <c r="BQ364" s="588"/>
      <c r="BR364" s="588"/>
      <c r="BS364" s="588"/>
      <c r="BT364" s="588"/>
      <c r="BU364" s="588"/>
      <c r="BV364" s="588"/>
      <c r="BW364" s="588"/>
      <c r="BX364" s="588"/>
      <c r="BY364" s="588"/>
      <c r="BZ364" s="588"/>
      <c r="CA364" s="588"/>
      <c r="CB364" s="588"/>
      <c r="CC364" s="588"/>
      <c r="CD364" s="588"/>
      <c r="CE364" s="588"/>
      <c r="CF364" s="588"/>
      <c r="CG364" s="588"/>
      <c r="CH364" s="588"/>
      <c r="CI364" s="588"/>
      <c r="CJ364" s="588"/>
      <c r="CK364" s="588"/>
      <c r="CL364" s="588"/>
      <c r="CM364" s="588"/>
      <c r="CN364" s="588"/>
      <c r="CO364" s="588"/>
      <c r="CP364" s="588"/>
      <c r="CQ364" s="588"/>
      <c r="CR364" s="588"/>
      <c r="CS364" s="588"/>
      <c r="CT364" s="588"/>
      <c r="CU364" s="588"/>
      <c r="CV364" s="588"/>
      <c r="CW364" s="588"/>
      <c r="CX364" s="588"/>
      <c r="CY364" s="588"/>
      <c r="CZ364" s="588"/>
      <c r="DA364" s="588"/>
      <c r="DB364" s="588"/>
      <c r="DC364" s="588"/>
      <c r="DD364" s="588"/>
      <c r="DE364" s="588"/>
      <c r="DF364" s="588"/>
      <c r="DG364" s="588"/>
      <c r="DH364" s="588"/>
      <c r="DI364" s="588"/>
      <c r="DJ364" s="588"/>
      <c r="DK364" s="588"/>
      <c r="DL364" s="588"/>
      <c r="DM364" s="588"/>
      <c r="DN364" s="588"/>
      <c r="DO364" s="588"/>
      <c r="DP364" s="588"/>
      <c r="DQ364" s="588"/>
      <c r="DR364" s="588"/>
      <c r="DS364" s="588"/>
      <c r="DT364" s="588"/>
      <c r="DU364" s="588"/>
      <c r="DV364" s="588"/>
      <c r="DW364" s="588"/>
      <c r="DX364" s="588"/>
      <c r="DY364" s="588"/>
      <c r="DZ364" s="588"/>
      <c r="EA364" s="588"/>
      <c r="EB364" s="588"/>
      <c r="EC364" s="588"/>
      <c r="ED364" s="588"/>
      <c r="EE364" s="588"/>
      <c r="EF364" s="588"/>
      <c r="EG364" s="588"/>
      <c r="EH364" s="588"/>
      <c r="EI364" s="588"/>
      <c r="EJ364" s="588"/>
      <c r="EK364" s="588"/>
      <c r="EL364" s="588"/>
      <c r="EM364" s="588"/>
      <c r="EN364" s="588"/>
      <c r="EO364" s="588"/>
      <c r="EP364" s="588"/>
      <c r="EQ364" s="588"/>
      <c r="ER364" s="588"/>
      <c r="ES364" s="588"/>
      <c r="ET364" s="588"/>
      <c r="EU364" s="588"/>
      <c r="EV364" s="588"/>
      <c r="EW364" s="588"/>
      <c r="EX364" s="588"/>
      <c r="EY364" s="588"/>
      <c r="EZ364" s="588"/>
      <c r="FA364" s="588"/>
      <c r="FB364" s="588"/>
      <c r="FC364" s="588"/>
      <c r="FD364" s="588"/>
      <c r="FE364" s="588"/>
      <c r="FF364" s="588"/>
      <c r="FG364" s="588"/>
      <c r="FH364" s="588"/>
      <c r="FI364" s="588"/>
      <c r="FJ364" s="588"/>
      <c r="FK364" s="588"/>
      <c r="FL364" s="588"/>
      <c r="FM364" s="588"/>
      <c r="FN364" s="588"/>
      <c r="FO364" s="588"/>
      <c r="FP364" s="588"/>
      <c r="FQ364" s="588"/>
      <c r="FR364" s="588"/>
      <c r="FS364" s="588"/>
      <c r="FT364" s="588"/>
      <c r="FU364" s="588"/>
      <c r="FV364" s="588"/>
      <c r="FW364" s="588"/>
      <c r="FX364" s="588"/>
      <c r="FY364" s="588"/>
      <c r="FZ364" s="588"/>
      <c r="GA364" s="588"/>
      <c r="GB364" s="588"/>
      <c r="GC364" s="588"/>
      <c r="GD364" s="588"/>
      <c r="GE364" s="588"/>
      <c r="GF364" s="588"/>
      <c r="GG364" s="588"/>
      <c r="GH364" s="588"/>
      <c r="GI364" s="588"/>
      <c r="GJ364" s="588"/>
      <c r="GK364" s="588"/>
      <c r="GL364" s="588"/>
      <c r="GM364" s="588"/>
      <c r="GN364" s="588"/>
      <c r="GO364" s="588"/>
      <c r="GP364" s="588"/>
      <c r="GQ364" s="588"/>
      <c r="GR364" s="588"/>
      <c r="GS364" s="588"/>
      <c r="GT364" s="588"/>
      <c r="GU364" s="588"/>
      <c r="GV364" s="588"/>
      <c r="GW364" s="588"/>
      <c r="GX364" s="588"/>
      <c r="GY364" s="588"/>
      <c r="GZ364" s="588"/>
      <c r="HA364" s="588"/>
      <c r="HB364" s="588"/>
      <c r="HC364" s="588"/>
      <c r="HD364" s="588"/>
      <c r="HE364" s="588"/>
      <c r="HF364" s="588"/>
      <c r="HG364" s="588"/>
      <c r="HH364" s="588"/>
      <c r="HI364" s="588"/>
      <c r="HJ364" s="588"/>
      <c r="HK364" s="588"/>
      <c r="HL364" s="588"/>
      <c r="HM364" s="588"/>
      <c r="HN364" s="588"/>
      <c r="HO364" s="588"/>
      <c r="HP364" s="588"/>
      <c r="HQ364" s="588"/>
      <c r="HR364" s="588"/>
      <c r="HS364" s="588"/>
      <c r="HT364" s="588"/>
      <c r="HU364" s="588"/>
      <c r="HV364" s="588"/>
      <c r="HW364" s="588"/>
      <c r="HX364" s="588"/>
      <c r="HY364" s="588"/>
      <c r="HZ364" s="588"/>
      <c r="IA364" s="588"/>
      <c r="IB364" s="588"/>
      <c r="IC364" s="588"/>
      <c r="ID364" s="588"/>
      <c r="IE364" s="588"/>
      <c r="IF364" s="588"/>
      <c r="IG364" s="588"/>
      <c r="IH364" s="588"/>
      <c r="II364" s="588"/>
      <c r="IJ364" s="588"/>
      <c r="IK364" s="588"/>
      <c r="IL364" s="588"/>
      <c r="IM364" s="588"/>
      <c r="IN364" s="588"/>
      <c r="IO364" s="588"/>
      <c r="IP364" s="588"/>
      <c r="IQ364" s="588"/>
      <c r="IR364" s="588"/>
      <c r="IS364" s="588"/>
      <c r="IT364" s="588"/>
      <c r="IU364" s="588"/>
      <c r="IV364" s="588"/>
    </row>
    <row r="365" spans="1:256" x14ac:dyDescent="0.2">
      <c r="A365" s="176">
        <v>44385</v>
      </c>
      <c r="B365" s="38" t="s">
        <v>238</v>
      </c>
      <c r="C365" s="38">
        <v>2021</v>
      </c>
      <c r="D365" s="38" t="s">
        <v>7</v>
      </c>
      <c r="E365" s="177">
        <v>-48</v>
      </c>
      <c r="F365" s="177" t="s">
        <v>33</v>
      </c>
      <c r="G365" s="178">
        <v>21600</v>
      </c>
      <c r="H365" s="179">
        <v>228</v>
      </c>
      <c r="I365" s="177" t="s">
        <v>80</v>
      </c>
      <c r="J365" s="177" t="s">
        <v>39</v>
      </c>
      <c r="K365" s="177">
        <v>121</v>
      </c>
      <c r="L365" s="177" t="s">
        <v>471</v>
      </c>
      <c r="M365" s="233" t="s">
        <v>472</v>
      </c>
      <c r="N365" s="70" t="s">
        <v>787</v>
      </c>
      <c r="O365" s="236"/>
      <c r="P365" s="236" t="s">
        <v>137</v>
      </c>
      <c r="Q365" s="780">
        <v>39.957799999999999</v>
      </c>
      <c r="R365" s="677">
        <v>-86.090299999999999</v>
      </c>
      <c r="S365" s="236" t="s">
        <v>63</v>
      </c>
      <c r="T365" s="38"/>
      <c r="U365" s="38" t="s">
        <v>51</v>
      </c>
      <c r="V365" s="37"/>
      <c r="W365" s="180">
        <f>IF(AC365="Intr",0,G365*Definitions!$B$53)</f>
        <v>3240</v>
      </c>
      <c r="X365" s="180">
        <f>IF(AC365="Intr",0,G365*Definitions!$B$54)</f>
        <v>15119.999999999998</v>
      </c>
      <c r="Y365" s="180">
        <f>IF(AC365="Intr",G365,G365*Definitions!$B$55)</f>
        <v>3240</v>
      </c>
      <c r="Z365" s="180" t="s">
        <v>966</v>
      </c>
      <c r="AA365" s="180" t="s">
        <v>965</v>
      </c>
      <c r="AB365" s="180"/>
      <c r="AC365" s="38"/>
      <c r="AD365" s="38"/>
      <c r="AE365" s="38"/>
      <c r="AF365" s="38"/>
      <c r="AG365" s="40"/>
      <c r="AH365" s="38"/>
    </row>
    <row r="366" spans="1:256" s="396" customFormat="1" x14ac:dyDescent="0.2">
      <c r="A366" s="207">
        <v>44396</v>
      </c>
      <c r="B366" s="208" t="s">
        <v>238</v>
      </c>
      <c r="C366" s="208">
        <v>2021</v>
      </c>
      <c r="D366" s="208" t="s">
        <v>7</v>
      </c>
      <c r="E366" s="209">
        <v>-24</v>
      </c>
      <c r="F366" s="209" t="s">
        <v>33</v>
      </c>
      <c r="G366" s="210">
        <v>10800</v>
      </c>
      <c r="H366" s="211">
        <v>232</v>
      </c>
      <c r="I366" s="209" t="s">
        <v>80</v>
      </c>
      <c r="J366" s="209" t="s">
        <v>40</v>
      </c>
      <c r="K366" s="209" t="s">
        <v>788</v>
      </c>
      <c r="L366" s="232" t="s">
        <v>789</v>
      </c>
      <c r="M366" s="230" t="s">
        <v>790</v>
      </c>
      <c r="N366" s="232" t="s">
        <v>791</v>
      </c>
      <c r="O366" s="229"/>
      <c r="P366" s="229" t="s">
        <v>162</v>
      </c>
      <c r="Q366" s="749">
        <v>39.665999999999997</v>
      </c>
      <c r="R366" s="641">
        <v>-86.376999999999995</v>
      </c>
      <c r="S366" s="229" t="s">
        <v>63</v>
      </c>
      <c r="T366" s="208"/>
      <c r="U366" s="208" t="s">
        <v>51</v>
      </c>
      <c r="V366" s="207"/>
      <c r="W366" s="213">
        <f>IF(AC366="Intr",0,G366*Definitions!$B$53)</f>
        <v>1620</v>
      </c>
      <c r="X366" s="213">
        <f>IF(AC366="Intr",0,G366*Definitions!$B$54)</f>
        <v>7559.9999999999991</v>
      </c>
      <c r="Y366" s="213">
        <f>IF(AC366="Intr",G366,G366*Definitions!$B$55)</f>
        <v>1620</v>
      </c>
      <c r="Z366" s="213" t="s">
        <v>966</v>
      </c>
      <c r="AA366" s="213" t="s">
        <v>965</v>
      </c>
      <c r="AB366" s="213"/>
      <c r="AC366" s="208"/>
      <c r="AD366" s="208"/>
      <c r="AE366" s="208"/>
      <c r="AF366" s="208"/>
      <c r="AG366" s="214"/>
      <c r="AH366" s="474" t="s">
        <v>792</v>
      </c>
      <c r="AI366" s="105"/>
      <c r="AJ366" s="105"/>
      <c r="AK366" s="105"/>
      <c r="AL366" s="105"/>
      <c r="AM366" s="105"/>
      <c r="AN366" s="105"/>
      <c r="AO366" s="105"/>
      <c r="AP366" s="105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5"/>
      <c r="BB366" s="105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5"/>
      <c r="BN366" s="105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5"/>
      <c r="BZ366" s="105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5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5"/>
      <c r="CX366" s="105"/>
      <c r="CY366" s="105"/>
      <c r="CZ366" s="105"/>
      <c r="DA366" s="105"/>
      <c r="DB366" s="105"/>
      <c r="DC366" s="105"/>
      <c r="DD366" s="105"/>
      <c r="DE366" s="105"/>
      <c r="DF366" s="105"/>
      <c r="DG366" s="105"/>
      <c r="DH366" s="105"/>
      <c r="DI366" s="105"/>
      <c r="DJ366" s="105"/>
      <c r="DK366" s="105"/>
      <c r="DL366" s="105"/>
      <c r="DM366" s="105"/>
      <c r="DN366" s="105"/>
      <c r="DO366" s="105"/>
      <c r="DP366" s="105"/>
      <c r="DQ366" s="105"/>
      <c r="DR366" s="105"/>
      <c r="DS366" s="105"/>
      <c r="DT366" s="105"/>
      <c r="DU366" s="105"/>
      <c r="DV366" s="105"/>
      <c r="DW366" s="105"/>
      <c r="DX366" s="105"/>
      <c r="DY366" s="105"/>
      <c r="DZ366" s="105"/>
      <c r="EA366" s="105"/>
      <c r="EB366" s="105"/>
      <c r="EC366" s="105"/>
      <c r="ED366" s="105"/>
      <c r="EE366" s="105"/>
      <c r="EF366" s="105"/>
      <c r="EG366" s="105"/>
      <c r="EH366" s="105"/>
      <c r="EI366" s="105"/>
      <c r="EJ366" s="105"/>
      <c r="EK366" s="105"/>
      <c r="EL366" s="105"/>
      <c r="EM366" s="105"/>
      <c r="EN366" s="105"/>
      <c r="EO366" s="105"/>
      <c r="EP366" s="105"/>
      <c r="EQ366" s="105"/>
      <c r="ER366" s="105"/>
      <c r="ES366" s="105"/>
      <c r="ET366" s="105"/>
      <c r="EU366" s="105"/>
      <c r="EV366" s="105"/>
      <c r="EW366" s="105"/>
      <c r="EX366" s="105"/>
      <c r="EY366" s="105"/>
      <c r="EZ366" s="105"/>
      <c r="FA366" s="105"/>
      <c r="FB366" s="105"/>
      <c r="FC366" s="105"/>
      <c r="FD366" s="105"/>
      <c r="FE366" s="105"/>
      <c r="FF366" s="105"/>
      <c r="FG366" s="105"/>
      <c r="FH366" s="105"/>
      <c r="FI366" s="105"/>
      <c r="FJ366" s="105"/>
      <c r="FK366" s="105"/>
      <c r="FL366" s="105"/>
      <c r="FM366" s="105"/>
      <c r="FN366" s="105"/>
      <c r="FO366" s="105"/>
      <c r="FP366" s="105"/>
      <c r="FQ366" s="105"/>
      <c r="FR366" s="105"/>
      <c r="FS366" s="105"/>
      <c r="FT366" s="105"/>
      <c r="FU366" s="105"/>
      <c r="FV366" s="105"/>
      <c r="FW366" s="105"/>
      <c r="FX366" s="105"/>
      <c r="FY366" s="105"/>
      <c r="FZ366" s="105"/>
      <c r="GA366" s="105"/>
      <c r="GB366" s="105"/>
      <c r="GC366" s="105"/>
      <c r="GD366" s="105"/>
      <c r="GE366" s="105"/>
      <c r="GF366" s="105"/>
      <c r="GG366" s="105"/>
      <c r="GH366" s="105"/>
      <c r="GI366" s="105"/>
      <c r="GJ366" s="105"/>
      <c r="GK366" s="105"/>
      <c r="GL366" s="105"/>
      <c r="GM366" s="105"/>
      <c r="GN366" s="105"/>
      <c r="GO366" s="105"/>
      <c r="GP366" s="105"/>
      <c r="GQ366" s="105"/>
      <c r="GR366" s="105"/>
      <c r="GS366" s="105"/>
      <c r="GT366" s="105"/>
      <c r="GU366" s="105"/>
      <c r="GV366" s="105"/>
      <c r="GW366" s="105"/>
      <c r="GX366" s="105"/>
      <c r="GY366" s="105"/>
      <c r="GZ366" s="105"/>
      <c r="HA366" s="105"/>
      <c r="HB366" s="105"/>
      <c r="HC366" s="105"/>
      <c r="HD366" s="105"/>
      <c r="HE366" s="105"/>
      <c r="HF366" s="105"/>
      <c r="HG366" s="105"/>
      <c r="HH366" s="105"/>
      <c r="HI366" s="105"/>
      <c r="HJ366" s="105"/>
      <c r="HK366" s="105"/>
      <c r="HL366" s="105"/>
      <c r="HM366" s="105"/>
      <c r="HN366" s="105"/>
      <c r="HO366" s="105"/>
      <c r="HP366" s="105"/>
      <c r="HQ366" s="105"/>
      <c r="HR366" s="105"/>
      <c r="HS366" s="105"/>
      <c r="HT366" s="105"/>
      <c r="HU366" s="105"/>
      <c r="HV366" s="105"/>
      <c r="HW366" s="105"/>
      <c r="HX366" s="105"/>
      <c r="HY366" s="105"/>
      <c r="HZ366" s="105"/>
      <c r="IA366" s="105"/>
      <c r="IB366" s="105"/>
      <c r="IC366" s="105"/>
      <c r="ID366" s="105"/>
      <c r="IE366" s="105"/>
      <c r="IF366" s="105"/>
      <c r="IG366" s="105"/>
      <c r="IH366" s="105"/>
      <c r="II366" s="105"/>
      <c r="IJ366" s="105"/>
      <c r="IK366" s="105"/>
      <c r="IL366" s="105"/>
      <c r="IM366" s="105"/>
      <c r="IN366" s="105"/>
      <c r="IO366" s="105"/>
      <c r="IP366" s="105"/>
      <c r="IQ366" s="105"/>
      <c r="IR366" s="105"/>
      <c r="IS366" s="105"/>
      <c r="IT366" s="105"/>
      <c r="IU366" s="105"/>
      <c r="IV366" s="105"/>
    </row>
    <row r="367" spans="1:256" x14ac:dyDescent="0.2">
      <c r="A367" s="176">
        <v>44398</v>
      </c>
      <c r="B367" s="38" t="s">
        <v>238</v>
      </c>
      <c r="C367" s="38">
        <v>2021</v>
      </c>
      <c r="D367" s="38" t="s">
        <v>10</v>
      </c>
      <c r="E367" s="177">
        <v>-140</v>
      </c>
      <c r="F367" s="177" t="s">
        <v>33</v>
      </c>
      <c r="G367" s="234">
        <v>56000</v>
      </c>
      <c r="H367" s="233">
        <v>223</v>
      </c>
      <c r="I367" s="177" t="s">
        <v>80</v>
      </c>
      <c r="J367" s="177" t="s">
        <v>40</v>
      </c>
      <c r="K367" s="177">
        <v>151</v>
      </c>
      <c r="L367" s="235" t="s">
        <v>798</v>
      </c>
      <c r="M367" s="233" t="s">
        <v>799</v>
      </c>
      <c r="N367" s="235" t="s">
        <v>800</v>
      </c>
      <c r="O367" s="236"/>
      <c r="P367" s="236" t="s">
        <v>84</v>
      </c>
      <c r="Q367" s="780">
        <v>38.48592</v>
      </c>
      <c r="R367" s="677">
        <v>-85.530699999999996</v>
      </c>
      <c r="S367" s="236" t="s">
        <v>63</v>
      </c>
      <c r="T367" s="38"/>
      <c r="U367" s="38" t="s">
        <v>51</v>
      </c>
      <c r="V367" s="37"/>
      <c r="W367" s="180">
        <f>IF(AC367="Intr",0,G367*Definitions!$B$53)</f>
        <v>8400</v>
      </c>
      <c r="X367" s="180">
        <f>IF(AC367="Intr",0,G367*Definitions!$B$54)</f>
        <v>39200</v>
      </c>
      <c r="Y367" s="180">
        <f>IF(AC367="Intr",G367,G367*Definitions!$B$55)</f>
        <v>8400</v>
      </c>
      <c r="Z367" s="180" t="s">
        <v>966</v>
      </c>
      <c r="AA367" s="180" t="s">
        <v>965</v>
      </c>
      <c r="AB367" s="180"/>
      <c r="AC367" s="38"/>
      <c r="AD367" s="38"/>
      <c r="AE367" s="38"/>
      <c r="AF367" s="38"/>
      <c r="AG367" s="40"/>
      <c r="AH367" s="403" t="s">
        <v>801</v>
      </c>
    </row>
    <row r="368" spans="1:256" s="384" customFormat="1" x14ac:dyDescent="0.2">
      <c r="A368" s="168">
        <v>44398</v>
      </c>
      <c r="B368" s="169" t="s">
        <v>238</v>
      </c>
      <c r="C368" s="169">
        <v>2021</v>
      </c>
      <c r="D368" s="169" t="s">
        <v>7</v>
      </c>
      <c r="E368" s="170">
        <v>-122</v>
      </c>
      <c r="F368" s="170" t="s">
        <v>33</v>
      </c>
      <c r="G368" s="463">
        <f>-(E368*450)</f>
        <v>54900</v>
      </c>
      <c r="H368" s="172">
        <v>231</v>
      </c>
      <c r="I368" s="170" t="s">
        <v>80</v>
      </c>
      <c r="J368" s="170" t="s">
        <v>39</v>
      </c>
      <c r="K368" s="462">
        <v>1035</v>
      </c>
      <c r="L368" s="464" t="s">
        <v>793</v>
      </c>
      <c r="M368" s="462" t="s">
        <v>794</v>
      </c>
      <c r="N368" s="464" t="s">
        <v>795</v>
      </c>
      <c r="O368" s="465"/>
      <c r="P368" s="465" t="s">
        <v>143</v>
      </c>
      <c r="Q368" s="788">
        <v>39.894840000000002</v>
      </c>
      <c r="R368" s="685">
        <v>-86.266040000000004</v>
      </c>
      <c r="S368" s="465" t="s">
        <v>61</v>
      </c>
      <c r="T368" s="169"/>
      <c r="U368" s="169" t="s">
        <v>51</v>
      </c>
      <c r="V368" s="168"/>
      <c r="W368" s="174">
        <f>IF(AC368="Intr",0,G368*Definitions!$B$53)</f>
        <v>8235</v>
      </c>
      <c r="X368" s="174">
        <f>IF(AC368="Intr",0,G368*Definitions!$B$54)</f>
        <v>38430</v>
      </c>
      <c r="Y368" s="174">
        <f>IF(AC368="Intr",G368,G368*Definitions!$B$55)</f>
        <v>8235</v>
      </c>
      <c r="Z368" s="174" t="s">
        <v>966</v>
      </c>
      <c r="AA368" s="174" t="s">
        <v>965</v>
      </c>
      <c r="AB368" s="174"/>
      <c r="AC368" s="169"/>
      <c r="AD368" s="169"/>
      <c r="AE368" s="169"/>
      <c r="AF368" s="169"/>
      <c r="AG368" s="175"/>
      <c r="AH368" s="475" t="s">
        <v>796</v>
      </c>
      <c r="AI368" s="105"/>
      <c r="AJ368" s="105"/>
      <c r="AK368" s="105"/>
      <c r="AL368" s="105"/>
      <c r="AM368" s="105"/>
      <c r="AN368" s="105"/>
      <c r="AO368" s="105"/>
      <c r="AP368" s="105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5"/>
      <c r="BB368" s="105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5"/>
      <c r="BN368" s="105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5"/>
      <c r="BZ368" s="105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5"/>
      <c r="CM368" s="105"/>
      <c r="CN368" s="105"/>
      <c r="CO368" s="105"/>
      <c r="CP368" s="105"/>
      <c r="CQ368" s="105"/>
      <c r="CR368" s="105"/>
      <c r="CS368" s="105"/>
      <c r="CT368" s="105"/>
      <c r="CU368" s="105"/>
      <c r="CV368" s="105"/>
      <c r="CW368" s="105"/>
      <c r="CX368" s="105"/>
      <c r="CY368" s="105"/>
      <c r="CZ368" s="105"/>
      <c r="DA368" s="105"/>
      <c r="DB368" s="105"/>
      <c r="DC368" s="105"/>
      <c r="DD368" s="105"/>
      <c r="DE368" s="105"/>
      <c r="DF368" s="105"/>
      <c r="DG368" s="105"/>
      <c r="DH368" s="105"/>
      <c r="DI368" s="105"/>
      <c r="DJ368" s="105"/>
      <c r="DK368" s="105"/>
      <c r="DL368" s="105"/>
      <c r="DM368" s="105"/>
      <c r="DN368" s="105"/>
      <c r="DO368" s="105"/>
      <c r="DP368" s="105"/>
      <c r="DQ368" s="105"/>
      <c r="DR368" s="105"/>
      <c r="DS368" s="105"/>
      <c r="DT368" s="105"/>
      <c r="DU368" s="105"/>
      <c r="DV368" s="105"/>
      <c r="DW368" s="105"/>
      <c r="DX368" s="105"/>
      <c r="DY368" s="105"/>
      <c r="DZ368" s="105"/>
      <c r="EA368" s="105"/>
      <c r="EB368" s="105"/>
      <c r="EC368" s="105"/>
      <c r="ED368" s="105"/>
      <c r="EE368" s="105"/>
      <c r="EF368" s="105"/>
      <c r="EG368" s="105"/>
      <c r="EH368" s="105"/>
      <c r="EI368" s="105"/>
      <c r="EJ368" s="105"/>
      <c r="EK368" s="105"/>
      <c r="EL368" s="105"/>
      <c r="EM368" s="105"/>
      <c r="EN368" s="105"/>
      <c r="EO368" s="105"/>
      <c r="EP368" s="105"/>
      <c r="EQ368" s="105"/>
      <c r="ER368" s="105"/>
      <c r="ES368" s="105"/>
      <c r="ET368" s="105"/>
      <c r="EU368" s="105"/>
      <c r="EV368" s="105"/>
      <c r="EW368" s="105"/>
      <c r="EX368" s="105"/>
      <c r="EY368" s="105"/>
      <c r="EZ368" s="105"/>
      <c r="FA368" s="105"/>
      <c r="FB368" s="105"/>
      <c r="FC368" s="105"/>
      <c r="FD368" s="105"/>
      <c r="FE368" s="105"/>
      <c r="FF368" s="105"/>
      <c r="FG368" s="105"/>
      <c r="FH368" s="105"/>
      <c r="FI368" s="105"/>
      <c r="FJ368" s="105"/>
      <c r="FK368" s="105"/>
      <c r="FL368" s="105"/>
      <c r="FM368" s="105"/>
      <c r="FN368" s="105"/>
      <c r="FO368" s="105"/>
      <c r="FP368" s="105"/>
      <c r="FQ368" s="105"/>
      <c r="FR368" s="105"/>
      <c r="FS368" s="105"/>
      <c r="FT368" s="105"/>
      <c r="FU368" s="105"/>
      <c r="FV368" s="105"/>
      <c r="FW368" s="105"/>
      <c r="FX368" s="105"/>
      <c r="FY368" s="105"/>
      <c r="FZ368" s="105"/>
      <c r="GA368" s="105"/>
      <c r="GB368" s="105"/>
      <c r="GC368" s="105"/>
      <c r="GD368" s="105"/>
      <c r="GE368" s="105"/>
      <c r="GF368" s="105"/>
      <c r="GG368" s="105"/>
      <c r="GH368" s="105"/>
      <c r="GI368" s="105"/>
      <c r="GJ368" s="105"/>
      <c r="GK368" s="105"/>
      <c r="GL368" s="105"/>
      <c r="GM368" s="105"/>
      <c r="GN368" s="105"/>
      <c r="GO368" s="105"/>
      <c r="GP368" s="105"/>
      <c r="GQ368" s="105"/>
      <c r="GR368" s="105"/>
      <c r="GS368" s="105"/>
      <c r="GT368" s="105"/>
      <c r="GU368" s="105"/>
      <c r="GV368" s="105"/>
      <c r="GW368" s="105"/>
      <c r="GX368" s="105"/>
      <c r="GY368" s="105"/>
      <c r="GZ368" s="105"/>
      <c r="HA368" s="105"/>
      <c r="HB368" s="105"/>
      <c r="HC368" s="105"/>
      <c r="HD368" s="105"/>
      <c r="HE368" s="105"/>
      <c r="HF368" s="105"/>
      <c r="HG368" s="105"/>
      <c r="HH368" s="105"/>
      <c r="HI368" s="105"/>
      <c r="HJ368" s="105"/>
      <c r="HK368" s="105"/>
      <c r="HL368" s="105"/>
      <c r="HM368" s="105"/>
      <c r="HN368" s="105"/>
      <c r="HO368" s="105"/>
      <c r="HP368" s="105"/>
      <c r="HQ368" s="105"/>
      <c r="HR368" s="105"/>
      <c r="HS368" s="105"/>
      <c r="HT368" s="105"/>
      <c r="HU368" s="105"/>
      <c r="HV368" s="105"/>
      <c r="HW368" s="105"/>
      <c r="HX368" s="105"/>
      <c r="HY368" s="105"/>
      <c r="HZ368" s="105"/>
      <c r="IA368" s="105"/>
      <c r="IB368" s="105"/>
      <c r="IC368" s="105"/>
      <c r="ID368" s="105"/>
      <c r="IE368" s="105"/>
      <c r="IF368" s="105"/>
      <c r="IG368" s="105"/>
      <c r="IH368" s="105"/>
      <c r="II368" s="105"/>
      <c r="IJ368" s="105"/>
      <c r="IK368" s="105"/>
      <c r="IL368" s="105"/>
      <c r="IM368" s="105"/>
      <c r="IN368" s="105"/>
      <c r="IO368" s="105"/>
      <c r="IP368" s="105"/>
      <c r="IQ368" s="105"/>
      <c r="IR368" s="105"/>
      <c r="IS368" s="105"/>
      <c r="IT368" s="105"/>
      <c r="IU368" s="105"/>
      <c r="IV368" s="105"/>
    </row>
    <row r="369" spans="1:256" s="390" customFormat="1" x14ac:dyDescent="0.2">
      <c r="A369" s="168">
        <v>44398</v>
      </c>
      <c r="B369" s="169" t="s">
        <v>238</v>
      </c>
      <c r="C369" s="169">
        <v>2021</v>
      </c>
      <c r="D369" s="169" t="s">
        <v>7</v>
      </c>
      <c r="E369" s="170">
        <v>-319</v>
      </c>
      <c r="F369" s="170" t="s">
        <v>33</v>
      </c>
      <c r="G369" s="463">
        <f>-(E369*450)</f>
        <v>143550</v>
      </c>
      <c r="H369" s="172">
        <v>231</v>
      </c>
      <c r="I369" s="170" t="s">
        <v>80</v>
      </c>
      <c r="J369" s="170" t="s">
        <v>40</v>
      </c>
      <c r="K369" s="462">
        <v>266</v>
      </c>
      <c r="L369" s="464" t="s">
        <v>793</v>
      </c>
      <c r="M369" s="462" t="s">
        <v>794</v>
      </c>
      <c r="N369" s="464" t="s">
        <v>795</v>
      </c>
      <c r="O369" s="465"/>
      <c r="P369" s="465" t="s">
        <v>143</v>
      </c>
      <c r="Q369" s="783">
        <v>39.894840000000002</v>
      </c>
      <c r="R369" s="680">
        <v>-86.266040000000004</v>
      </c>
      <c r="S369" s="465" t="s">
        <v>61</v>
      </c>
      <c r="T369" s="169"/>
      <c r="U369" s="169" t="s">
        <v>51</v>
      </c>
      <c r="V369" s="168"/>
      <c r="W369" s="174">
        <f>IF(AC369="Intr",0,G369*Definitions!$B$53)</f>
        <v>21532.5</v>
      </c>
      <c r="X369" s="174">
        <f>IF(AC369="Intr",0,G369*Definitions!$B$54)</f>
        <v>100485</v>
      </c>
      <c r="Y369" s="174">
        <f>IF(AC369="Intr",G369,G369*Definitions!$B$55)</f>
        <v>21532.5</v>
      </c>
      <c r="Z369" s="174" t="s">
        <v>966</v>
      </c>
      <c r="AA369" s="174" t="s">
        <v>965</v>
      </c>
      <c r="AB369" s="174"/>
      <c r="AC369" s="169"/>
      <c r="AD369" s="169"/>
      <c r="AE369" s="169"/>
      <c r="AF369" s="169"/>
      <c r="AG369" s="175"/>
      <c r="AH369" s="475" t="s">
        <v>1130</v>
      </c>
      <c r="AI369" s="105"/>
      <c r="AJ369" s="105"/>
      <c r="AK369" s="105"/>
      <c r="AL369" s="105"/>
      <c r="AM369" s="105"/>
      <c r="AN369" s="105"/>
      <c r="AO369" s="105"/>
      <c r="AP369" s="105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5"/>
      <c r="BB369" s="105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5"/>
      <c r="BN369" s="105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5"/>
      <c r="BZ369" s="105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5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5"/>
      <c r="CX369" s="105"/>
      <c r="CY369" s="105"/>
      <c r="CZ369" s="105"/>
      <c r="DA369" s="105"/>
      <c r="DB369" s="105"/>
      <c r="DC369" s="105"/>
      <c r="DD369" s="105"/>
      <c r="DE369" s="105"/>
      <c r="DF369" s="105"/>
      <c r="DG369" s="105"/>
      <c r="DH369" s="105"/>
      <c r="DI369" s="105"/>
      <c r="DJ369" s="105"/>
      <c r="DK369" s="105"/>
      <c r="DL369" s="105"/>
      <c r="DM369" s="105"/>
      <c r="DN369" s="105"/>
      <c r="DO369" s="105"/>
      <c r="DP369" s="105"/>
      <c r="DQ369" s="105"/>
      <c r="DR369" s="105"/>
      <c r="DS369" s="105"/>
      <c r="DT369" s="105"/>
      <c r="DU369" s="105"/>
      <c r="DV369" s="105"/>
      <c r="DW369" s="105"/>
      <c r="DX369" s="105"/>
      <c r="DY369" s="105"/>
      <c r="DZ369" s="105"/>
      <c r="EA369" s="105"/>
      <c r="EB369" s="105"/>
      <c r="EC369" s="105"/>
      <c r="ED369" s="105"/>
      <c r="EE369" s="105"/>
      <c r="EF369" s="105"/>
      <c r="EG369" s="105"/>
      <c r="EH369" s="105"/>
      <c r="EI369" s="105"/>
      <c r="EJ369" s="105"/>
      <c r="EK369" s="105"/>
      <c r="EL369" s="105"/>
      <c r="EM369" s="105"/>
      <c r="EN369" s="105"/>
      <c r="EO369" s="105"/>
      <c r="EP369" s="105"/>
      <c r="EQ369" s="105"/>
      <c r="ER369" s="105"/>
      <c r="ES369" s="105"/>
      <c r="ET369" s="105"/>
      <c r="EU369" s="105"/>
      <c r="EV369" s="105"/>
      <c r="EW369" s="105"/>
      <c r="EX369" s="105"/>
      <c r="EY369" s="105"/>
      <c r="EZ369" s="105"/>
      <c r="FA369" s="105"/>
      <c r="FB369" s="105"/>
      <c r="FC369" s="105"/>
      <c r="FD369" s="105"/>
      <c r="FE369" s="105"/>
      <c r="FF369" s="105"/>
      <c r="FG369" s="105"/>
      <c r="FH369" s="105"/>
      <c r="FI369" s="105"/>
      <c r="FJ369" s="105"/>
      <c r="FK369" s="105"/>
      <c r="FL369" s="105"/>
      <c r="FM369" s="105"/>
      <c r="FN369" s="105"/>
      <c r="FO369" s="105"/>
      <c r="FP369" s="105"/>
      <c r="FQ369" s="105"/>
      <c r="FR369" s="105"/>
      <c r="FS369" s="105"/>
      <c r="FT369" s="105"/>
      <c r="FU369" s="105"/>
      <c r="FV369" s="105"/>
      <c r="FW369" s="105"/>
      <c r="FX369" s="105"/>
      <c r="FY369" s="105"/>
      <c r="FZ369" s="105"/>
      <c r="GA369" s="105"/>
      <c r="GB369" s="105"/>
      <c r="GC369" s="105"/>
      <c r="GD369" s="105"/>
      <c r="GE369" s="105"/>
      <c r="GF369" s="105"/>
      <c r="GG369" s="105"/>
      <c r="GH369" s="105"/>
      <c r="GI369" s="105"/>
      <c r="GJ369" s="105"/>
      <c r="GK369" s="105"/>
      <c r="GL369" s="105"/>
      <c r="GM369" s="105"/>
      <c r="GN369" s="105"/>
      <c r="GO369" s="105"/>
      <c r="GP369" s="105"/>
      <c r="GQ369" s="105"/>
      <c r="GR369" s="105"/>
      <c r="GS369" s="105"/>
      <c r="GT369" s="105"/>
      <c r="GU369" s="105"/>
      <c r="GV369" s="105"/>
      <c r="GW369" s="105"/>
      <c r="GX369" s="105"/>
      <c r="GY369" s="105"/>
      <c r="GZ369" s="105"/>
      <c r="HA369" s="105"/>
      <c r="HB369" s="105"/>
      <c r="HC369" s="105"/>
      <c r="HD369" s="105"/>
      <c r="HE369" s="105"/>
      <c r="HF369" s="105"/>
      <c r="HG369" s="105"/>
      <c r="HH369" s="105"/>
      <c r="HI369" s="105"/>
      <c r="HJ369" s="105"/>
      <c r="HK369" s="105"/>
      <c r="HL369" s="105"/>
      <c r="HM369" s="105"/>
      <c r="HN369" s="105"/>
      <c r="HO369" s="105"/>
      <c r="HP369" s="105"/>
      <c r="HQ369" s="105"/>
      <c r="HR369" s="105"/>
      <c r="HS369" s="105"/>
      <c r="HT369" s="105"/>
      <c r="HU369" s="105"/>
      <c r="HV369" s="105"/>
      <c r="HW369" s="105"/>
      <c r="HX369" s="105"/>
      <c r="HY369" s="105"/>
      <c r="HZ369" s="105"/>
      <c r="IA369" s="105"/>
      <c r="IB369" s="105"/>
      <c r="IC369" s="105"/>
      <c r="ID369" s="105"/>
      <c r="IE369" s="105"/>
      <c r="IF369" s="105"/>
      <c r="IG369" s="105"/>
      <c r="IH369" s="105"/>
      <c r="II369" s="105"/>
      <c r="IJ369" s="105"/>
      <c r="IK369" s="105"/>
      <c r="IL369" s="105"/>
      <c r="IM369" s="105"/>
      <c r="IN369" s="105"/>
      <c r="IO369" s="105"/>
      <c r="IP369" s="105"/>
      <c r="IQ369" s="105"/>
      <c r="IR369" s="105"/>
      <c r="IS369" s="105"/>
      <c r="IT369" s="105"/>
      <c r="IU369" s="105"/>
      <c r="IV369" s="105"/>
    </row>
    <row r="370" spans="1:256" s="390" customFormat="1" x14ac:dyDescent="0.2">
      <c r="A370" s="168">
        <v>44398</v>
      </c>
      <c r="B370" s="169" t="s">
        <v>238</v>
      </c>
      <c r="C370" s="169">
        <v>2021</v>
      </c>
      <c r="D370" s="169" t="s">
        <v>7</v>
      </c>
      <c r="E370" s="170">
        <v>-1.1000000000000001</v>
      </c>
      <c r="F370" s="170" t="s">
        <v>32</v>
      </c>
      <c r="G370" s="463">
        <f>-(E370*80000)</f>
        <v>88000</v>
      </c>
      <c r="H370" s="172">
        <v>231</v>
      </c>
      <c r="I370" s="170" t="s">
        <v>80</v>
      </c>
      <c r="J370" s="170" t="s">
        <v>38</v>
      </c>
      <c r="K370" s="462">
        <v>0.24</v>
      </c>
      <c r="L370" s="464" t="s">
        <v>793</v>
      </c>
      <c r="M370" s="462" t="s">
        <v>794</v>
      </c>
      <c r="N370" s="464" t="s">
        <v>795</v>
      </c>
      <c r="O370" s="465"/>
      <c r="P370" s="465" t="s">
        <v>143</v>
      </c>
      <c r="Q370" s="783">
        <v>39.894840000000002</v>
      </c>
      <c r="R370" s="860">
        <v>-86.266040000000004</v>
      </c>
      <c r="S370" s="465" t="s">
        <v>61</v>
      </c>
      <c r="T370" s="169"/>
      <c r="U370" s="169" t="s">
        <v>51</v>
      </c>
      <c r="V370" s="168"/>
      <c r="W370" s="174">
        <f>IF(AC370="Intr",0,G370*Definitions!$B$53)</f>
        <v>13200</v>
      </c>
      <c r="X370" s="174">
        <f>IF(AC370="Intr",0,G370*Definitions!$B$54)</f>
        <v>61599.999999999993</v>
      </c>
      <c r="Y370" s="174">
        <f>IF(AC370="Intr",G370,G370*Definitions!$B$55)</f>
        <v>13200</v>
      </c>
      <c r="Z370" s="174" t="s">
        <v>966</v>
      </c>
      <c r="AA370" s="174" t="s">
        <v>965</v>
      </c>
      <c r="AB370" s="174"/>
      <c r="AC370" s="169"/>
      <c r="AD370" s="169"/>
      <c r="AE370" s="169"/>
      <c r="AF370" s="169"/>
      <c r="AG370" s="175"/>
      <c r="AH370" s="475" t="s">
        <v>797</v>
      </c>
      <c r="AI370" s="105"/>
      <c r="AJ370" s="105"/>
      <c r="AK370" s="105"/>
      <c r="AL370" s="105"/>
      <c r="AM370" s="105"/>
      <c r="AN370" s="105"/>
      <c r="AO370" s="105"/>
      <c r="AP370" s="105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5"/>
      <c r="BB370" s="105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5"/>
      <c r="BN370" s="105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5"/>
      <c r="BZ370" s="105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5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5"/>
      <c r="CX370" s="105"/>
      <c r="CY370" s="105"/>
      <c r="CZ370" s="105"/>
      <c r="DA370" s="105"/>
      <c r="DB370" s="105"/>
      <c r="DC370" s="105"/>
      <c r="DD370" s="105"/>
      <c r="DE370" s="105"/>
      <c r="DF370" s="105"/>
      <c r="DG370" s="105"/>
      <c r="DH370" s="105"/>
      <c r="DI370" s="105"/>
      <c r="DJ370" s="105"/>
      <c r="DK370" s="105"/>
      <c r="DL370" s="105"/>
      <c r="DM370" s="105"/>
      <c r="DN370" s="105"/>
      <c r="DO370" s="105"/>
      <c r="DP370" s="105"/>
      <c r="DQ370" s="105"/>
      <c r="DR370" s="105"/>
      <c r="DS370" s="105"/>
      <c r="DT370" s="105"/>
      <c r="DU370" s="105"/>
      <c r="DV370" s="105"/>
      <c r="DW370" s="105"/>
      <c r="DX370" s="105"/>
      <c r="DY370" s="105"/>
      <c r="DZ370" s="105"/>
      <c r="EA370" s="105"/>
      <c r="EB370" s="105"/>
      <c r="EC370" s="105"/>
      <c r="ED370" s="105"/>
      <c r="EE370" s="105"/>
      <c r="EF370" s="105"/>
      <c r="EG370" s="105"/>
      <c r="EH370" s="105"/>
      <c r="EI370" s="105"/>
      <c r="EJ370" s="105"/>
      <c r="EK370" s="105"/>
      <c r="EL370" s="105"/>
      <c r="EM370" s="105"/>
      <c r="EN370" s="105"/>
      <c r="EO370" s="105"/>
      <c r="EP370" s="105"/>
      <c r="EQ370" s="105"/>
      <c r="ER370" s="105"/>
      <c r="ES370" s="105"/>
      <c r="ET370" s="105"/>
      <c r="EU370" s="105"/>
      <c r="EV370" s="105"/>
      <c r="EW370" s="105"/>
      <c r="EX370" s="105"/>
      <c r="EY370" s="105"/>
      <c r="EZ370" s="105"/>
      <c r="FA370" s="105"/>
      <c r="FB370" s="105"/>
      <c r="FC370" s="105"/>
      <c r="FD370" s="105"/>
      <c r="FE370" s="105"/>
      <c r="FF370" s="105"/>
      <c r="FG370" s="105"/>
      <c r="FH370" s="105"/>
      <c r="FI370" s="105"/>
      <c r="FJ370" s="105"/>
      <c r="FK370" s="105"/>
      <c r="FL370" s="105"/>
      <c r="FM370" s="105"/>
      <c r="FN370" s="105"/>
      <c r="FO370" s="105"/>
      <c r="FP370" s="105"/>
      <c r="FQ370" s="105"/>
      <c r="FR370" s="105"/>
      <c r="FS370" s="105"/>
      <c r="FT370" s="105"/>
      <c r="FU370" s="105"/>
      <c r="FV370" s="105"/>
      <c r="FW370" s="105"/>
      <c r="FX370" s="105"/>
      <c r="FY370" s="105"/>
      <c r="FZ370" s="105"/>
      <c r="GA370" s="105"/>
      <c r="GB370" s="105"/>
      <c r="GC370" s="105"/>
      <c r="GD370" s="105"/>
      <c r="GE370" s="105"/>
      <c r="GF370" s="105"/>
      <c r="GG370" s="105"/>
      <c r="GH370" s="105"/>
      <c r="GI370" s="105"/>
      <c r="GJ370" s="105"/>
      <c r="GK370" s="105"/>
      <c r="GL370" s="105"/>
      <c r="GM370" s="105"/>
      <c r="GN370" s="105"/>
      <c r="GO370" s="105"/>
      <c r="GP370" s="105"/>
      <c r="GQ370" s="105"/>
      <c r="GR370" s="105"/>
      <c r="GS370" s="105"/>
      <c r="GT370" s="105"/>
      <c r="GU370" s="105"/>
      <c r="GV370" s="105"/>
      <c r="GW370" s="105"/>
      <c r="GX370" s="105"/>
      <c r="GY370" s="105"/>
      <c r="GZ370" s="105"/>
      <c r="HA370" s="105"/>
      <c r="HB370" s="105"/>
      <c r="HC370" s="105"/>
      <c r="HD370" s="105"/>
      <c r="HE370" s="105"/>
      <c r="HF370" s="105"/>
      <c r="HG370" s="105"/>
      <c r="HH370" s="105"/>
      <c r="HI370" s="105"/>
      <c r="HJ370" s="105"/>
      <c r="HK370" s="105"/>
      <c r="HL370" s="105"/>
      <c r="HM370" s="105"/>
      <c r="HN370" s="105"/>
      <c r="HO370" s="105"/>
      <c r="HP370" s="105"/>
      <c r="HQ370" s="105"/>
      <c r="HR370" s="105"/>
      <c r="HS370" s="105"/>
      <c r="HT370" s="105"/>
      <c r="HU370" s="105"/>
      <c r="HV370" s="105"/>
      <c r="HW370" s="105"/>
      <c r="HX370" s="105"/>
      <c r="HY370" s="105"/>
      <c r="HZ370" s="105"/>
      <c r="IA370" s="105"/>
      <c r="IB370" s="105"/>
      <c r="IC370" s="105"/>
      <c r="ID370" s="105"/>
      <c r="IE370" s="105"/>
      <c r="IF370" s="105"/>
      <c r="IG370" s="105"/>
      <c r="IH370" s="105"/>
      <c r="II370" s="105"/>
      <c r="IJ370" s="105"/>
      <c r="IK370" s="105"/>
      <c r="IL370" s="105"/>
      <c r="IM370" s="105"/>
      <c r="IN370" s="105"/>
      <c r="IO370" s="105"/>
      <c r="IP370" s="105"/>
      <c r="IQ370" s="105"/>
      <c r="IR370" s="105"/>
      <c r="IS370" s="105"/>
      <c r="IT370" s="105"/>
      <c r="IU370" s="105"/>
      <c r="IV370" s="105"/>
    </row>
    <row r="371" spans="1:256" s="390" customFormat="1" x14ac:dyDescent="0.2">
      <c r="A371" s="307">
        <v>44404</v>
      </c>
      <c r="B371" s="308" t="s">
        <v>238</v>
      </c>
      <c r="C371" s="308">
        <v>2021</v>
      </c>
      <c r="D371" s="308" t="s">
        <v>8</v>
      </c>
      <c r="E371" s="516">
        <v>-0.37</v>
      </c>
      <c r="F371" s="309" t="s">
        <v>32</v>
      </c>
      <c r="G371" s="517">
        <v>29600</v>
      </c>
      <c r="H371" s="516">
        <v>220</v>
      </c>
      <c r="I371" s="309" t="s">
        <v>80</v>
      </c>
      <c r="J371" s="309" t="s">
        <v>36</v>
      </c>
      <c r="K371" s="516">
        <v>0.154</v>
      </c>
      <c r="L371" s="518" t="s">
        <v>802</v>
      </c>
      <c r="M371" s="516" t="s">
        <v>803</v>
      </c>
      <c r="N371" s="518" t="s">
        <v>804</v>
      </c>
      <c r="O371" s="519"/>
      <c r="P371" s="519" t="s">
        <v>121</v>
      </c>
      <c r="Q371" s="789">
        <v>39.924570000000003</v>
      </c>
      <c r="R371" s="864">
        <v>-85.692149999999998</v>
      </c>
      <c r="S371" s="519" t="s">
        <v>63</v>
      </c>
      <c r="T371" s="520"/>
      <c r="U371" s="308" t="s">
        <v>51</v>
      </c>
      <c r="V371" s="307"/>
      <c r="W371" s="313">
        <f>IF(AC371="Intr",0,G371*Definitions!$B$53)</f>
        <v>4440</v>
      </c>
      <c r="X371" s="313">
        <f>IF(AC371="Intr",0,G371*Definitions!$B$54)</f>
        <v>20720</v>
      </c>
      <c r="Y371" s="313">
        <f>IF(AC371="Intr",G371,G371*Definitions!$B$55)</f>
        <v>4440</v>
      </c>
      <c r="Z371" s="313" t="s">
        <v>966</v>
      </c>
      <c r="AA371" s="313" t="s">
        <v>965</v>
      </c>
      <c r="AB371" s="313"/>
      <c r="AC371" s="308"/>
      <c r="AD371" s="308"/>
      <c r="AE371" s="308"/>
      <c r="AF371" s="308"/>
      <c r="AG371" s="314"/>
      <c r="AH371" s="520" t="s">
        <v>805</v>
      </c>
      <c r="AI371" s="105"/>
      <c r="AJ371" s="105"/>
      <c r="AK371" s="105"/>
      <c r="AL371" s="105"/>
      <c r="AM371" s="105"/>
      <c r="AN371" s="105"/>
      <c r="AO371" s="105"/>
      <c r="AP371" s="105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5"/>
      <c r="BB371" s="105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5"/>
      <c r="BN371" s="105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5"/>
      <c r="BZ371" s="105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5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5"/>
      <c r="CX371" s="105"/>
      <c r="CY371" s="105"/>
      <c r="CZ371" s="105"/>
      <c r="DA371" s="105"/>
      <c r="DB371" s="105"/>
      <c r="DC371" s="105"/>
      <c r="DD371" s="105"/>
      <c r="DE371" s="105"/>
      <c r="DF371" s="105"/>
      <c r="DG371" s="105"/>
      <c r="DH371" s="105"/>
      <c r="DI371" s="105"/>
      <c r="DJ371" s="105"/>
      <c r="DK371" s="105"/>
      <c r="DL371" s="105"/>
      <c r="DM371" s="105"/>
      <c r="DN371" s="105"/>
      <c r="DO371" s="105"/>
      <c r="DP371" s="105"/>
      <c r="DQ371" s="105"/>
      <c r="DR371" s="105"/>
      <c r="DS371" s="105"/>
      <c r="DT371" s="105"/>
      <c r="DU371" s="105"/>
      <c r="DV371" s="105"/>
      <c r="DW371" s="105"/>
      <c r="DX371" s="105"/>
      <c r="DY371" s="105"/>
      <c r="DZ371" s="105"/>
      <c r="EA371" s="105"/>
      <c r="EB371" s="105"/>
      <c r="EC371" s="105"/>
      <c r="ED371" s="105"/>
      <c r="EE371" s="105"/>
      <c r="EF371" s="105"/>
      <c r="EG371" s="105"/>
      <c r="EH371" s="105"/>
      <c r="EI371" s="105"/>
      <c r="EJ371" s="105"/>
      <c r="EK371" s="105"/>
      <c r="EL371" s="105"/>
      <c r="EM371" s="105"/>
      <c r="EN371" s="105"/>
      <c r="EO371" s="105"/>
      <c r="EP371" s="105"/>
      <c r="EQ371" s="105"/>
      <c r="ER371" s="105"/>
      <c r="ES371" s="105"/>
      <c r="ET371" s="105"/>
      <c r="EU371" s="105"/>
      <c r="EV371" s="105"/>
      <c r="EW371" s="105"/>
      <c r="EX371" s="105"/>
      <c r="EY371" s="105"/>
      <c r="EZ371" s="105"/>
      <c r="FA371" s="105"/>
      <c r="FB371" s="105"/>
      <c r="FC371" s="105"/>
      <c r="FD371" s="105"/>
      <c r="FE371" s="105"/>
      <c r="FF371" s="105"/>
      <c r="FG371" s="105"/>
      <c r="FH371" s="105"/>
      <c r="FI371" s="105"/>
      <c r="FJ371" s="105"/>
      <c r="FK371" s="105"/>
      <c r="FL371" s="105"/>
      <c r="FM371" s="105"/>
      <c r="FN371" s="105"/>
      <c r="FO371" s="105"/>
      <c r="FP371" s="105"/>
      <c r="FQ371" s="105"/>
      <c r="FR371" s="105"/>
      <c r="FS371" s="105"/>
      <c r="FT371" s="105"/>
      <c r="FU371" s="105"/>
      <c r="FV371" s="105"/>
      <c r="FW371" s="105"/>
      <c r="FX371" s="105"/>
      <c r="FY371" s="105"/>
      <c r="FZ371" s="105"/>
      <c r="GA371" s="105"/>
      <c r="GB371" s="105"/>
      <c r="GC371" s="105"/>
      <c r="GD371" s="105"/>
      <c r="GE371" s="105"/>
      <c r="GF371" s="105"/>
      <c r="GG371" s="105"/>
      <c r="GH371" s="105"/>
      <c r="GI371" s="105"/>
      <c r="GJ371" s="105"/>
      <c r="GK371" s="105"/>
      <c r="GL371" s="105"/>
      <c r="GM371" s="105"/>
      <c r="GN371" s="105"/>
      <c r="GO371" s="105"/>
      <c r="GP371" s="105"/>
      <c r="GQ371" s="105"/>
      <c r="GR371" s="105"/>
      <c r="GS371" s="105"/>
      <c r="GT371" s="105"/>
      <c r="GU371" s="105"/>
      <c r="GV371" s="105"/>
      <c r="GW371" s="105"/>
      <c r="GX371" s="105"/>
      <c r="GY371" s="105"/>
      <c r="GZ371" s="105"/>
      <c r="HA371" s="105"/>
      <c r="HB371" s="105"/>
      <c r="HC371" s="105"/>
      <c r="HD371" s="105"/>
      <c r="HE371" s="105"/>
      <c r="HF371" s="105"/>
      <c r="HG371" s="105"/>
      <c r="HH371" s="105"/>
      <c r="HI371" s="105"/>
      <c r="HJ371" s="105"/>
      <c r="HK371" s="105"/>
      <c r="HL371" s="105"/>
      <c r="HM371" s="105"/>
      <c r="HN371" s="105"/>
      <c r="HO371" s="105"/>
      <c r="HP371" s="105"/>
      <c r="HQ371" s="105"/>
      <c r="HR371" s="105"/>
      <c r="HS371" s="105"/>
      <c r="HT371" s="105"/>
      <c r="HU371" s="105"/>
      <c r="HV371" s="105"/>
      <c r="HW371" s="105"/>
      <c r="HX371" s="105"/>
      <c r="HY371" s="105"/>
      <c r="HZ371" s="105"/>
      <c r="IA371" s="105"/>
      <c r="IB371" s="105"/>
      <c r="IC371" s="105"/>
      <c r="ID371" s="105"/>
      <c r="IE371" s="105"/>
      <c r="IF371" s="105"/>
      <c r="IG371" s="105"/>
      <c r="IH371" s="105"/>
      <c r="II371" s="105"/>
      <c r="IJ371" s="105"/>
      <c r="IK371" s="105"/>
      <c r="IL371" s="105"/>
      <c r="IM371" s="105"/>
      <c r="IN371" s="105"/>
      <c r="IO371" s="105"/>
      <c r="IP371" s="105"/>
      <c r="IQ371" s="105"/>
      <c r="IR371" s="105"/>
      <c r="IS371" s="105"/>
      <c r="IT371" s="105"/>
      <c r="IU371" s="105"/>
      <c r="IV371" s="105"/>
    </row>
    <row r="372" spans="1:256" x14ac:dyDescent="0.2">
      <c r="A372" s="307">
        <v>44404</v>
      </c>
      <c r="B372" s="308" t="s">
        <v>238</v>
      </c>
      <c r="C372" s="308">
        <v>2021</v>
      </c>
      <c r="D372" s="308" t="s">
        <v>8</v>
      </c>
      <c r="E372" s="516">
        <v>-0.1</v>
      </c>
      <c r="F372" s="309" t="s">
        <v>32</v>
      </c>
      <c r="G372" s="517">
        <v>8000</v>
      </c>
      <c r="H372" s="516">
        <v>220</v>
      </c>
      <c r="I372" s="309" t="s">
        <v>80</v>
      </c>
      <c r="J372" s="309" t="s">
        <v>38</v>
      </c>
      <c r="K372" s="516">
        <v>2.9000000000000001E-2</v>
      </c>
      <c r="L372" s="518" t="s">
        <v>802</v>
      </c>
      <c r="M372" s="516" t="s">
        <v>803</v>
      </c>
      <c r="N372" s="518" t="s">
        <v>804</v>
      </c>
      <c r="O372" s="519"/>
      <c r="P372" s="519" t="s">
        <v>121</v>
      </c>
      <c r="Q372" s="789">
        <v>39.924570000000003</v>
      </c>
      <c r="R372" s="686">
        <v>-85.692149999999998</v>
      </c>
      <c r="S372" s="519" t="s">
        <v>63</v>
      </c>
      <c r="T372" s="520"/>
      <c r="U372" s="308" t="s">
        <v>51</v>
      </c>
      <c r="V372" s="307"/>
      <c r="W372" s="313">
        <f>IF(AC372="Intr",0,G372*Definitions!$B$53)</f>
        <v>1200</v>
      </c>
      <c r="X372" s="313">
        <f>IF(AC372="Intr",0,G372*Definitions!$B$54)</f>
        <v>5600</v>
      </c>
      <c r="Y372" s="313">
        <f>IF(AC372="Intr",G372,G372*Definitions!$B$55)</f>
        <v>1200</v>
      </c>
      <c r="Z372" s="313" t="s">
        <v>966</v>
      </c>
      <c r="AA372" s="313" t="s">
        <v>965</v>
      </c>
      <c r="AB372" s="313"/>
      <c r="AC372" s="308"/>
      <c r="AD372" s="308"/>
      <c r="AE372" s="308"/>
      <c r="AF372" s="308"/>
      <c r="AG372" s="314"/>
      <c r="AH372" s="520" t="s">
        <v>806</v>
      </c>
    </row>
    <row r="373" spans="1:256" s="406" customFormat="1" x14ac:dyDescent="0.2">
      <c r="A373" s="176">
        <v>44415</v>
      </c>
      <c r="B373" s="38" t="s">
        <v>249</v>
      </c>
      <c r="C373" s="38">
        <v>2021</v>
      </c>
      <c r="D373" s="38" t="s">
        <v>9</v>
      </c>
      <c r="E373" s="177">
        <v>-408</v>
      </c>
      <c r="F373" s="177" t="s">
        <v>33</v>
      </c>
      <c r="G373" s="178">
        <v>163200</v>
      </c>
      <c r="H373" s="179">
        <v>229</v>
      </c>
      <c r="I373" s="177" t="s">
        <v>80</v>
      </c>
      <c r="J373" s="177" t="s">
        <v>40</v>
      </c>
      <c r="K373" s="177">
        <v>340</v>
      </c>
      <c r="L373" s="177" t="s">
        <v>811</v>
      </c>
      <c r="M373" s="233" t="s">
        <v>809</v>
      </c>
      <c r="N373" s="235" t="s">
        <v>810</v>
      </c>
      <c r="O373" s="236"/>
      <c r="P373" s="236" t="s">
        <v>236</v>
      </c>
      <c r="Q373" s="780">
        <v>39.196618999999998</v>
      </c>
      <c r="R373" s="861">
        <v>-86.575967000000006</v>
      </c>
      <c r="S373" s="236" t="s">
        <v>61</v>
      </c>
      <c r="T373" s="38"/>
      <c r="U373" s="38" t="s">
        <v>51</v>
      </c>
      <c r="V373" s="37"/>
      <c r="W373" s="180">
        <f>IF(AC373="Intr",0,G373*Definitions!$B$53)</f>
        <v>24480</v>
      </c>
      <c r="X373" s="180">
        <f>IF(AC373="Intr",0,G373*Definitions!$B$54)</f>
        <v>114240</v>
      </c>
      <c r="Y373" s="180">
        <f>IF(AC373="Intr",G373,G373*Definitions!$B$55)</f>
        <v>24480</v>
      </c>
      <c r="Z373" s="180" t="s">
        <v>966</v>
      </c>
      <c r="AA373" s="180" t="s">
        <v>965</v>
      </c>
      <c r="AB373" s="180"/>
      <c r="AC373" s="38"/>
      <c r="AD373" s="38"/>
      <c r="AE373" s="38"/>
      <c r="AF373" s="38"/>
      <c r="AG373" s="40"/>
      <c r="AH373" s="38"/>
      <c r="AI373" s="105"/>
      <c r="AJ373" s="105"/>
      <c r="AK373" s="105"/>
      <c r="AL373" s="105"/>
      <c r="AM373" s="105"/>
      <c r="AN373" s="105"/>
      <c r="AO373" s="105"/>
      <c r="AP373" s="105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5"/>
      <c r="BB373" s="105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5"/>
      <c r="BN373" s="105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5"/>
      <c r="BZ373" s="105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5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5"/>
      <c r="CX373" s="105"/>
      <c r="CY373" s="105"/>
      <c r="CZ373" s="105"/>
      <c r="DA373" s="105"/>
      <c r="DB373" s="105"/>
      <c r="DC373" s="105"/>
      <c r="DD373" s="105"/>
      <c r="DE373" s="105"/>
      <c r="DF373" s="105"/>
      <c r="DG373" s="105"/>
      <c r="DH373" s="105"/>
      <c r="DI373" s="105"/>
      <c r="DJ373" s="105"/>
      <c r="DK373" s="105"/>
      <c r="DL373" s="105"/>
      <c r="DM373" s="105"/>
      <c r="DN373" s="105"/>
      <c r="DO373" s="105"/>
      <c r="DP373" s="105"/>
      <c r="DQ373" s="105"/>
      <c r="DR373" s="105"/>
      <c r="DS373" s="105"/>
      <c r="DT373" s="105"/>
      <c r="DU373" s="105"/>
      <c r="DV373" s="105"/>
      <c r="DW373" s="105"/>
      <c r="DX373" s="105"/>
      <c r="DY373" s="105"/>
      <c r="DZ373" s="105"/>
      <c r="EA373" s="105"/>
      <c r="EB373" s="105"/>
      <c r="EC373" s="105"/>
      <c r="ED373" s="105"/>
      <c r="EE373" s="105"/>
      <c r="EF373" s="105"/>
      <c r="EG373" s="105"/>
      <c r="EH373" s="105"/>
      <c r="EI373" s="105"/>
      <c r="EJ373" s="105"/>
      <c r="EK373" s="105"/>
      <c r="EL373" s="105"/>
      <c r="EM373" s="105"/>
      <c r="EN373" s="105"/>
      <c r="EO373" s="105"/>
      <c r="EP373" s="105"/>
      <c r="EQ373" s="105"/>
      <c r="ER373" s="105"/>
      <c r="ES373" s="105"/>
      <c r="ET373" s="105"/>
      <c r="EU373" s="105"/>
      <c r="EV373" s="105"/>
      <c r="EW373" s="105"/>
      <c r="EX373" s="105"/>
      <c r="EY373" s="105"/>
      <c r="EZ373" s="105"/>
      <c r="FA373" s="105"/>
      <c r="FB373" s="105"/>
      <c r="FC373" s="105"/>
      <c r="FD373" s="105"/>
      <c r="FE373" s="105"/>
      <c r="FF373" s="105"/>
      <c r="FG373" s="105"/>
      <c r="FH373" s="105"/>
      <c r="FI373" s="105"/>
      <c r="FJ373" s="105"/>
      <c r="FK373" s="105"/>
      <c r="FL373" s="105"/>
      <c r="FM373" s="105"/>
      <c r="FN373" s="105"/>
      <c r="FO373" s="105"/>
      <c r="FP373" s="105"/>
      <c r="FQ373" s="105"/>
      <c r="FR373" s="105"/>
      <c r="FS373" s="105"/>
      <c r="FT373" s="105"/>
      <c r="FU373" s="105"/>
      <c r="FV373" s="105"/>
      <c r="FW373" s="105"/>
      <c r="FX373" s="105"/>
      <c r="FY373" s="105"/>
      <c r="FZ373" s="105"/>
      <c r="GA373" s="105"/>
      <c r="GB373" s="105"/>
      <c r="GC373" s="105"/>
      <c r="GD373" s="105"/>
      <c r="GE373" s="105"/>
      <c r="GF373" s="105"/>
      <c r="GG373" s="105"/>
      <c r="GH373" s="105"/>
      <c r="GI373" s="105"/>
      <c r="GJ373" s="105"/>
      <c r="GK373" s="105"/>
      <c r="GL373" s="105"/>
      <c r="GM373" s="105"/>
      <c r="GN373" s="105"/>
      <c r="GO373" s="105"/>
      <c r="GP373" s="105"/>
      <c r="GQ373" s="105"/>
      <c r="GR373" s="105"/>
      <c r="GS373" s="105"/>
      <c r="GT373" s="105"/>
      <c r="GU373" s="105"/>
      <c r="GV373" s="105"/>
      <c r="GW373" s="105"/>
      <c r="GX373" s="105"/>
      <c r="GY373" s="105"/>
      <c r="GZ373" s="105"/>
      <c r="HA373" s="105"/>
      <c r="HB373" s="105"/>
      <c r="HC373" s="105"/>
      <c r="HD373" s="105"/>
      <c r="HE373" s="105"/>
      <c r="HF373" s="105"/>
      <c r="HG373" s="105"/>
      <c r="HH373" s="105"/>
      <c r="HI373" s="105"/>
      <c r="HJ373" s="105"/>
      <c r="HK373" s="105"/>
      <c r="HL373" s="105"/>
      <c r="HM373" s="105"/>
      <c r="HN373" s="105"/>
      <c r="HO373" s="105"/>
      <c r="HP373" s="105"/>
      <c r="HQ373" s="105"/>
      <c r="HR373" s="105"/>
      <c r="HS373" s="105"/>
      <c r="HT373" s="105"/>
      <c r="HU373" s="105"/>
      <c r="HV373" s="105"/>
      <c r="HW373" s="105"/>
      <c r="HX373" s="105"/>
      <c r="HY373" s="105"/>
      <c r="HZ373" s="105"/>
      <c r="IA373" s="105"/>
      <c r="IB373" s="105"/>
      <c r="IC373" s="105"/>
      <c r="ID373" s="105"/>
      <c r="IE373" s="105"/>
      <c r="IF373" s="105"/>
      <c r="IG373" s="105"/>
      <c r="IH373" s="105"/>
      <c r="II373" s="105"/>
      <c r="IJ373" s="105"/>
      <c r="IK373" s="105"/>
      <c r="IL373" s="105"/>
      <c r="IM373" s="105"/>
      <c r="IN373" s="105"/>
      <c r="IO373" s="105"/>
      <c r="IP373" s="105"/>
      <c r="IQ373" s="105"/>
      <c r="IR373" s="105"/>
      <c r="IS373" s="105"/>
      <c r="IT373" s="105"/>
      <c r="IU373" s="105"/>
      <c r="IV373" s="105"/>
    </row>
    <row r="374" spans="1:256" s="406" customFormat="1" x14ac:dyDescent="0.2">
      <c r="A374" s="45">
        <v>44418</v>
      </c>
      <c r="B374" s="46" t="s">
        <v>249</v>
      </c>
      <c r="C374" s="46">
        <v>2021</v>
      </c>
      <c r="D374" s="46" t="s">
        <v>1</v>
      </c>
      <c r="E374" s="246">
        <v>-1.476</v>
      </c>
      <c r="F374" s="181" t="s">
        <v>32</v>
      </c>
      <c r="G374" s="247">
        <f>-(E374*95000)</f>
        <v>140220</v>
      </c>
      <c r="H374" s="246">
        <v>233</v>
      </c>
      <c r="I374" s="181" t="s">
        <v>80</v>
      </c>
      <c r="J374" s="181" t="s">
        <v>36</v>
      </c>
      <c r="K374" s="246">
        <v>25.08</v>
      </c>
      <c r="L374" s="248" t="s">
        <v>408</v>
      </c>
      <c r="M374" s="246" t="s">
        <v>814</v>
      </c>
      <c r="N374" s="248" t="s">
        <v>815</v>
      </c>
      <c r="O374" s="249"/>
      <c r="P374" s="249" t="s">
        <v>816</v>
      </c>
      <c r="Q374" s="761">
        <v>41.58399</v>
      </c>
      <c r="R374" s="865">
        <v>-87.299000000000007</v>
      </c>
      <c r="S374" s="46" t="s">
        <v>62</v>
      </c>
      <c r="T374" s="46"/>
      <c r="U374" s="46" t="s">
        <v>51</v>
      </c>
      <c r="V374" s="45"/>
      <c r="W374" s="47">
        <f>IF(AC374="Intr",0,G374*Definitions!$B$53)</f>
        <v>21033</v>
      </c>
      <c r="X374" s="47">
        <f>IF(AC374="Intr",0,G374*Definitions!$B$54)</f>
        <v>98154</v>
      </c>
      <c r="Y374" s="47">
        <f>IF(AC374="Intr",G374,G374*Definitions!$B$55)</f>
        <v>21033</v>
      </c>
      <c r="Z374" s="47" t="s">
        <v>967</v>
      </c>
      <c r="AA374" s="47" t="s">
        <v>965</v>
      </c>
      <c r="AB374" s="47"/>
      <c r="AC374" s="46"/>
      <c r="AD374" s="46"/>
      <c r="AE374" s="46"/>
      <c r="AF374" s="46"/>
      <c r="AG374" s="48"/>
      <c r="AH374" s="46" t="s">
        <v>817</v>
      </c>
      <c r="AI374" s="105"/>
      <c r="AJ374" s="105"/>
      <c r="AK374" s="105"/>
      <c r="AL374" s="105"/>
      <c r="AM374" s="105"/>
      <c r="AN374" s="105"/>
      <c r="AO374" s="105"/>
      <c r="AP374" s="105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5"/>
      <c r="BB374" s="105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5"/>
      <c r="BN374" s="105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5"/>
      <c r="BZ374" s="105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5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5"/>
      <c r="CX374" s="105"/>
      <c r="CY374" s="105"/>
      <c r="CZ374" s="105"/>
      <c r="DA374" s="105"/>
      <c r="DB374" s="105"/>
      <c r="DC374" s="105"/>
      <c r="DD374" s="105"/>
      <c r="DE374" s="105"/>
      <c r="DF374" s="105"/>
      <c r="DG374" s="105"/>
      <c r="DH374" s="105"/>
      <c r="DI374" s="105"/>
      <c r="DJ374" s="105"/>
      <c r="DK374" s="105"/>
      <c r="DL374" s="105"/>
      <c r="DM374" s="105"/>
      <c r="DN374" s="105"/>
      <c r="DO374" s="105"/>
      <c r="DP374" s="105"/>
      <c r="DQ374" s="105"/>
      <c r="DR374" s="105"/>
      <c r="DS374" s="105"/>
      <c r="DT374" s="105"/>
      <c r="DU374" s="105"/>
      <c r="DV374" s="105"/>
      <c r="DW374" s="105"/>
      <c r="DX374" s="105"/>
      <c r="DY374" s="105"/>
      <c r="DZ374" s="105"/>
      <c r="EA374" s="105"/>
      <c r="EB374" s="105"/>
      <c r="EC374" s="105"/>
      <c r="ED374" s="105"/>
      <c r="EE374" s="105"/>
      <c r="EF374" s="105"/>
      <c r="EG374" s="105"/>
      <c r="EH374" s="105"/>
      <c r="EI374" s="105"/>
      <c r="EJ374" s="105"/>
      <c r="EK374" s="105"/>
      <c r="EL374" s="105"/>
      <c r="EM374" s="105"/>
      <c r="EN374" s="105"/>
      <c r="EO374" s="105"/>
      <c r="EP374" s="105"/>
      <c r="EQ374" s="105"/>
      <c r="ER374" s="105"/>
      <c r="ES374" s="105"/>
      <c r="ET374" s="105"/>
      <c r="EU374" s="105"/>
      <c r="EV374" s="105"/>
      <c r="EW374" s="105"/>
      <c r="EX374" s="105"/>
      <c r="EY374" s="105"/>
      <c r="EZ374" s="105"/>
      <c r="FA374" s="105"/>
      <c r="FB374" s="105"/>
      <c r="FC374" s="105"/>
      <c r="FD374" s="105"/>
      <c r="FE374" s="105"/>
      <c r="FF374" s="105"/>
      <c r="FG374" s="105"/>
      <c r="FH374" s="105"/>
      <c r="FI374" s="105"/>
      <c r="FJ374" s="105"/>
      <c r="FK374" s="105"/>
      <c r="FL374" s="105"/>
      <c r="FM374" s="105"/>
      <c r="FN374" s="105"/>
      <c r="FO374" s="105"/>
      <c r="FP374" s="105"/>
      <c r="FQ374" s="105"/>
      <c r="FR374" s="105"/>
      <c r="FS374" s="105"/>
      <c r="FT374" s="105"/>
      <c r="FU374" s="105"/>
      <c r="FV374" s="105"/>
      <c r="FW374" s="105"/>
      <c r="FX374" s="105"/>
      <c r="FY374" s="105"/>
      <c r="FZ374" s="105"/>
      <c r="GA374" s="105"/>
      <c r="GB374" s="105"/>
      <c r="GC374" s="105"/>
      <c r="GD374" s="105"/>
      <c r="GE374" s="105"/>
      <c r="GF374" s="105"/>
      <c r="GG374" s="105"/>
      <c r="GH374" s="105"/>
      <c r="GI374" s="105"/>
      <c r="GJ374" s="105"/>
      <c r="GK374" s="105"/>
      <c r="GL374" s="105"/>
      <c r="GM374" s="105"/>
      <c r="GN374" s="105"/>
      <c r="GO374" s="105"/>
      <c r="GP374" s="105"/>
      <c r="GQ374" s="105"/>
      <c r="GR374" s="105"/>
      <c r="GS374" s="105"/>
      <c r="GT374" s="105"/>
      <c r="GU374" s="105"/>
      <c r="GV374" s="105"/>
      <c r="GW374" s="105"/>
      <c r="GX374" s="105"/>
      <c r="GY374" s="105"/>
      <c r="GZ374" s="105"/>
      <c r="HA374" s="105"/>
      <c r="HB374" s="105"/>
      <c r="HC374" s="105"/>
      <c r="HD374" s="105"/>
      <c r="HE374" s="105"/>
      <c r="HF374" s="105"/>
      <c r="HG374" s="105"/>
      <c r="HH374" s="105"/>
      <c r="HI374" s="105"/>
      <c r="HJ374" s="105"/>
      <c r="HK374" s="105"/>
      <c r="HL374" s="105"/>
      <c r="HM374" s="105"/>
      <c r="HN374" s="105"/>
      <c r="HO374" s="105"/>
      <c r="HP374" s="105"/>
      <c r="HQ374" s="105"/>
      <c r="HR374" s="105"/>
      <c r="HS374" s="105"/>
      <c r="HT374" s="105"/>
      <c r="HU374" s="105"/>
      <c r="HV374" s="105"/>
      <c r="HW374" s="105"/>
      <c r="HX374" s="105"/>
      <c r="HY374" s="105"/>
      <c r="HZ374" s="105"/>
      <c r="IA374" s="105"/>
      <c r="IB374" s="105"/>
      <c r="IC374" s="105"/>
      <c r="ID374" s="105"/>
      <c r="IE374" s="105"/>
      <c r="IF374" s="105"/>
      <c r="IG374" s="105"/>
      <c r="IH374" s="105"/>
      <c r="II374" s="105"/>
      <c r="IJ374" s="105"/>
      <c r="IK374" s="105"/>
      <c r="IL374" s="105"/>
      <c r="IM374" s="105"/>
      <c r="IN374" s="105"/>
      <c r="IO374" s="105"/>
      <c r="IP374" s="105"/>
      <c r="IQ374" s="105"/>
      <c r="IR374" s="105"/>
      <c r="IS374" s="105"/>
      <c r="IT374" s="105"/>
      <c r="IU374" s="105"/>
      <c r="IV374" s="105"/>
    </row>
    <row r="375" spans="1:256" s="384" customFormat="1" x14ac:dyDescent="0.2">
      <c r="A375" s="45">
        <v>44418</v>
      </c>
      <c r="B375" s="46" t="s">
        <v>249</v>
      </c>
      <c r="C375" s="46">
        <v>2021</v>
      </c>
      <c r="D375" s="584" t="s">
        <v>1</v>
      </c>
      <c r="E375" s="246">
        <v>-0.216</v>
      </c>
      <c r="F375" s="181" t="s">
        <v>32</v>
      </c>
      <c r="G375" s="247">
        <f>-(E375*95000)</f>
        <v>20520</v>
      </c>
      <c r="H375" s="246">
        <v>233</v>
      </c>
      <c r="I375" s="181" t="s">
        <v>80</v>
      </c>
      <c r="J375" s="181" t="s">
        <v>37</v>
      </c>
      <c r="K375" s="246">
        <v>0.73</v>
      </c>
      <c r="L375" s="248" t="s">
        <v>408</v>
      </c>
      <c r="M375" s="246" t="s">
        <v>814</v>
      </c>
      <c r="N375" s="248" t="s">
        <v>815</v>
      </c>
      <c r="O375" s="249"/>
      <c r="P375" s="249" t="s">
        <v>816</v>
      </c>
      <c r="Q375" s="761">
        <v>41.58399</v>
      </c>
      <c r="R375" s="866">
        <v>-87.299000000000007</v>
      </c>
      <c r="S375" s="46" t="s">
        <v>62</v>
      </c>
      <c r="T375" s="46"/>
      <c r="U375" s="46" t="s">
        <v>51</v>
      </c>
      <c r="V375" s="45"/>
      <c r="W375" s="47">
        <f>IF(AC375="Intr",0,G375*Definitions!$B$53)</f>
        <v>3078</v>
      </c>
      <c r="X375" s="47">
        <f>IF(AC375="Intr",0,G375*Definitions!$B$54)</f>
        <v>14363.999999999998</v>
      </c>
      <c r="Y375" s="47">
        <f>IF(AC375="Intr",G375,G375*Definitions!$B$55)</f>
        <v>3078</v>
      </c>
      <c r="Z375" s="47" t="s">
        <v>967</v>
      </c>
      <c r="AA375" s="47" t="s">
        <v>965</v>
      </c>
      <c r="AB375" s="47"/>
      <c r="AC375" s="46"/>
      <c r="AD375" s="46"/>
      <c r="AE375" s="46"/>
      <c r="AF375" s="46"/>
      <c r="AG375" s="48"/>
      <c r="AH375" s="46" t="s">
        <v>817</v>
      </c>
      <c r="AI375" s="105"/>
      <c r="AJ375" s="105"/>
      <c r="AK375" s="105"/>
      <c r="AL375" s="105"/>
      <c r="AM375" s="105"/>
      <c r="AN375" s="105"/>
      <c r="AO375" s="105"/>
      <c r="AP375" s="105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5"/>
      <c r="BB375" s="105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5"/>
      <c r="BN375" s="105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5"/>
      <c r="BZ375" s="105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5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5"/>
      <c r="CX375" s="105"/>
      <c r="CY375" s="105"/>
      <c r="CZ375" s="105"/>
      <c r="DA375" s="105"/>
      <c r="DB375" s="105"/>
      <c r="DC375" s="105"/>
      <c r="DD375" s="105"/>
      <c r="DE375" s="105"/>
      <c r="DF375" s="105"/>
      <c r="DG375" s="105"/>
      <c r="DH375" s="105"/>
      <c r="DI375" s="105"/>
      <c r="DJ375" s="105"/>
      <c r="DK375" s="105"/>
      <c r="DL375" s="105"/>
      <c r="DM375" s="105"/>
      <c r="DN375" s="105"/>
      <c r="DO375" s="105"/>
      <c r="DP375" s="105"/>
      <c r="DQ375" s="105"/>
      <c r="DR375" s="105"/>
      <c r="DS375" s="105"/>
      <c r="DT375" s="105"/>
      <c r="DU375" s="105"/>
      <c r="DV375" s="105"/>
      <c r="DW375" s="105"/>
      <c r="DX375" s="105"/>
      <c r="DY375" s="105"/>
      <c r="DZ375" s="105"/>
      <c r="EA375" s="105"/>
      <c r="EB375" s="105"/>
      <c r="EC375" s="105"/>
      <c r="ED375" s="105"/>
      <c r="EE375" s="105"/>
      <c r="EF375" s="105"/>
      <c r="EG375" s="105"/>
      <c r="EH375" s="105"/>
      <c r="EI375" s="105"/>
      <c r="EJ375" s="105"/>
      <c r="EK375" s="105"/>
      <c r="EL375" s="105"/>
      <c r="EM375" s="105"/>
      <c r="EN375" s="105"/>
      <c r="EO375" s="105"/>
      <c r="EP375" s="105"/>
      <c r="EQ375" s="105"/>
      <c r="ER375" s="105"/>
      <c r="ES375" s="105"/>
      <c r="ET375" s="105"/>
      <c r="EU375" s="105"/>
      <c r="EV375" s="105"/>
      <c r="EW375" s="105"/>
      <c r="EX375" s="105"/>
      <c r="EY375" s="105"/>
      <c r="EZ375" s="105"/>
      <c r="FA375" s="105"/>
      <c r="FB375" s="105"/>
      <c r="FC375" s="105"/>
      <c r="FD375" s="105"/>
      <c r="FE375" s="105"/>
      <c r="FF375" s="105"/>
      <c r="FG375" s="105"/>
      <c r="FH375" s="105"/>
      <c r="FI375" s="105"/>
      <c r="FJ375" s="105"/>
      <c r="FK375" s="105"/>
      <c r="FL375" s="105"/>
      <c r="FM375" s="105"/>
      <c r="FN375" s="105"/>
      <c r="FO375" s="105"/>
      <c r="FP375" s="105"/>
      <c r="FQ375" s="105"/>
      <c r="FR375" s="105"/>
      <c r="FS375" s="105"/>
      <c r="FT375" s="105"/>
      <c r="FU375" s="105"/>
      <c r="FV375" s="105"/>
      <c r="FW375" s="105"/>
      <c r="FX375" s="105"/>
      <c r="FY375" s="105"/>
      <c r="FZ375" s="105"/>
      <c r="GA375" s="105"/>
      <c r="GB375" s="105"/>
      <c r="GC375" s="105"/>
      <c r="GD375" s="105"/>
      <c r="GE375" s="105"/>
      <c r="GF375" s="105"/>
      <c r="GG375" s="105"/>
      <c r="GH375" s="105"/>
      <c r="GI375" s="105"/>
      <c r="GJ375" s="105"/>
      <c r="GK375" s="105"/>
      <c r="GL375" s="105"/>
      <c r="GM375" s="105"/>
      <c r="GN375" s="105"/>
      <c r="GO375" s="105"/>
      <c r="GP375" s="105"/>
      <c r="GQ375" s="105"/>
      <c r="GR375" s="105"/>
      <c r="GS375" s="105"/>
      <c r="GT375" s="105"/>
      <c r="GU375" s="105"/>
      <c r="GV375" s="105"/>
      <c r="GW375" s="105"/>
      <c r="GX375" s="105"/>
      <c r="GY375" s="105"/>
      <c r="GZ375" s="105"/>
      <c r="HA375" s="105"/>
      <c r="HB375" s="105"/>
      <c r="HC375" s="105"/>
      <c r="HD375" s="105"/>
      <c r="HE375" s="105"/>
      <c r="HF375" s="105"/>
      <c r="HG375" s="105"/>
      <c r="HH375" s="105"/>
      <c r="HI375" s="105"/>
      <c r="HJ375" s="105"/>
      <c r="HK375" s="105"/>
      <c r="HL375" s="105"/>
      <c r="HM375" s="105"/>
      <c r="HN375" s="105"/>
      <c r="HO375" s="105"/>
      <c r="HP375" s="105"/>
      <c r="HQ375" s="105"/>
      <c r="HR375" s="105"/>
      <c r="HS375" s="105"/>
      <c r="HT375" s="105"/>
      <c r="HU375" s="105"/>
      <c r="HV375" s="105"/>
      <c r="HW375" s="105"/>
      <c r="HX375" s="105"/>
      <c r="HY375" s="105"/>
      <c r="HZ375" s="105"/>
      <c r="IA375" s="105"/>
      <c r="IB375" s="105"/>
      <c r="IC375" s="105"/>
      <c r="ID375" s="105"/>
      <c r="IE375" s="105"/>
      <c r="IF375" s="105"/>
      <c r="IG375" s="105"/>
      <c r="IH375" s="105"/>
      <c r="II375" s="105"/>
      <c r="IJ375" s="105"/>
      <c r="IK375" s="105"/>
      <c r="IL375" s="105"/>
      <c r="IM375" s="105"/>
      <c r="IN375" s="105"/>
      <c r="IO375" s="105"/>
      <c r="IP375" s="105"/>
      <c r="IQ375" s="105"/>
      <c r="IR375" s="105"/>
      <c r="IS375" s="105"/>
      <c r="IT375" s="105"/>
      <c r="IU375" s="105"/>
      <c r="IV375" s="105"/>
    </row>
    <row r="376" spans="1:256" s="384" customFormat="1" x14ac:dyDescent="0.2">
      <c r="A376" s="45">
        <v>44418</v>
      </c>
      <c r="B376" s="46" t="s">
        <v>249</v>
      </c>
      <c r="C376" s="46">
        <v>2021</v>
      </c>
      <c r="D376" s="46" t="s">
        <v>1</v>
      </c>
      <c r="E376" s="246">
        <v>-0.13800000000000001</v>
      </c>
      <c r="F376" s="181" t="s">
        <v>32</v>
      </c>
      <c r="G376" s="247">
        <f>-(E376*95000)</f>
        <v>13110.000000000002</v>
      </c>
      <c r="H376" s="246">
        <v>233</v>
      </c>
      <c r="I376" s="181" t="s">
        <v>80</v>
      </c>
      <c r="J376" s="181" t="s">
        <v>38</v>
      </c>
      <c r="K376" s="246">
        <v>0.23</v>
      </c>
      <c r="L376" s="248" t="s">
        <v>408</v>
      </c>
      <c r="M376" s="246" t="s">
        <v>814</v>
      </c>
      <c r="N376" s="248" t="s">
        <v>815</v>
      </c>
      <c r="O376" s="249"/>
      <c r="P376" s="249" t="s">
        <v>816</v>
      </c>
      <c r="Q376" s="761">
        <v>41.58399</v>
      </c>
      <c r="R376" s="866">
        <v>-87.299000000000007</v>
      </c>
      <c r="S376" s="46" t="s">
        <v>62</v>
      </c>
      <c r="T376" s="46"/>
      <c r="U376" s="46" t="s">
        <v>51</v>
      </c>
      <c r="V376" s="45"/>
      <c r="W376" s="47">
        <f>IF(AC376="Intr",0,G376*Definitions!$B$53)</f>
        <v>1966.5000000000002</v>
      </c>
      <c r="X376" s="47">
        <f>IF(AC376="Intr",0,G376*Definitions!$B$54)</f>
        <v>9177</v>
      </c>
      <c r="Y376" s="47">
        <f>IF(AC376="Intr",G376,G376*Definitions!$B$55)</f>
        <v>1966.5000000000002</v>
      </c>
      <c r="Z376" s="47" t="s">
        <v>967</v>
      </c>
      <c r="AA376" s="47" t="s">
        <v>965</v>
      </c>
      <c r="AB376" s="47"/>
      <c r="AC376" s="46"/>
      <c r="AD376" s="46"/>
      <c r="AE376" s="46"/>
      <c r="AF376" s="46"/>
      <c r="AG376" s="48"/>
      <c r="AH376" s="46" t="s">
        <v>817</v>
      </c>
      <c r="AI376" s="105"/>
      <c r="AJ376" s="105"/>
      <c r="AK376" s="105"/>
      <c r="AL376" s="105"/>
      <c r="AM376" s="105"/>
      <c r="AN376" s="105"/>
      <c r="AO376" s="105"/>
      <c r="AP376" s="105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5"/>
      <c r="BB376" s="105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5"/>
      <c r="BN376" s="105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5"/>
      <c r="BZ376" s="105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5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5"/>
      <c r="CX376" s="105"/>
      <c r="CY376" s="105"/>
      <c r="CZ376" s="105"/>
      <c r="DA376" s="105"/>
      <c r="DB376" s="105"/>
      <c r="DC376" s="105"/>
      <c r="DD376" s="105"/>
      <c r="DE376" s="105"/>
      <c r="DF376" s="105"/>
      <c r="DG376" s="105"/>
      <c r="DH376" s="105"/>
      <c r="DI376" s="105"/>
      <c r="DJ376" s="105"/>
      <c r="DK376" s="105"/>
      <c r="DL376" s="105"/>
      <c r="DM376" s="105"/>
      <c r="DN376" s="105"/>
      <c r="DO376" s="105"/>
      <c r="DP376" s="105"/>
      <c r="DQ376" s="105"/>
      <c r="DR376" s="105"/>
      <c r="DS376" s="105"/>
      <c r="DT376" s="105"/>
      <c r="DU376" s="105"/>
      <c r="DV376" s="105"/>
      <c r="DW376" s="105"/>
      <c r="DX376" s="105"/>
      <c r="DY376" s="105"/>
      <c r="DZ376" s="105"/>
      <c r="EA376" s="105"/>
      <c r="EB376" s="105"/>
      <c r="EC376" s="105"/>
      <c r="ED376" s="105"/>
      <c r="EE376" s="105"/>
      <c r="EF376" s="105"/>
      <c r="EG376" s="105"/>
      <c r="EH376" s="105"/>
      <c r="EI376" s="105"/>
      <c r="EJ376" s="105"/>
      <c r="EK376" s="105"/>
      <c r="EL376" s="105"/>
      <c r="EM376" s="105"/>
      <c r="EN376" s="105"/>
      <c r="EO376" s="105"/>
      <c r="EP376" s="105"/>
      <c r="EQ376" s="105"/>
      <c r="ER376" s="105"/>
      <c r="ES376" s="105"/>
      <c r="ET376" s="105"/>
      <c r="EU376" s="105"/>
      <c r="EV376" s="105"/>
      <c r="EW376" s="105"/>
      <c r="EX376" s="105"/>
      <c r="EY376" s="105"/>
      <c r="EZ376" s="105"/>
      <c r="FA376" s="105"/>
      <c r="FB376" s="105"/>
      <c r="FC376" s="105"/>
      <c r="FD376" s="105"/>
      <c r="FE376" s="105"/>
      <c r="FF376" s="105"/>
      <c r="FG376" s="105"/>
      <c r="FH376" s="105"/>
      <c r="FI376" s="105"/>
      <c r="FJ376" s="105"/>
      <c r="FK376" s="105"/>
      <c r="FL376" s="105"/>
      <c r="FM376" s="105"/>
      <c r="FN376" s="105"/>
      <c r="FO376" s="105"/>
      <c r="FP376" s="105"/>
      <c r="FQ376" s="105"/>
      <c r="FR376" s="105"/>
      <c r="FS376" s="105"/>
      <c r="FT376" s="105"/>
      <c r="FU376" s="105"/>
      <c r="FV376" s="105"/>
      <c r="FW376" s="105"/>
      <c r="FX376" s="105"/>
      <c r="FY376" s="105"/>
      <c r="FZ376" s="105"/>
      <c r="GA376" s="105"/>
      <c r="GB376" s="105"/>
      <c r="GC376" s="105"/>
      <c r="GD376" s="105"/>
      <c r="GE376" s="105"/>
      <c r="GF376" s="105"/>
      <c r="GG376" s="105"/>
      <c r="GH376" s="105"/>
      <c r="GI376" s="105"/>
      <c r="GJ376" s="105"/>
      <c r="GK376" s="105"/>
      <c r="GL376" s="105"/>
      <c r="GM376" s="105"/>
      <c r="GN376" s="105"/>
      <c r="GO376" s="105"/>
      <c r="GP376" s="105"/>
      <c r="GQ376" s="105"/>
      <c r="GR376" s="105"/>
      <c r="GS376" s="105"/>
      <c r="GT376" s="105"/>
      <c r="GU376" s="105"/>
      <c r="GV376" s="105"/>
      <c r="GW376" s="105"/>
      <c r="GX376" s="105"/>
      <c r="GY376" s="105"/>
      <c r="GZ376" s="105"/>
      <c r="HA376" s="105"/>
      <c r="HB376" s="105"/>
      <c r="HC376" s="105"/>
      <c r="HD376" s="105"/>
      <c r="HE376" s="105"/>
      <c r="HF376" s="105"/>
      <c r="HG376" s="105"/>
      <c r="HH376" s="105"/>
      <c r="HI376" s="105"/>
      <c r="HJ376" s="105"/>
      <c r="HK376" s="105"/>
      <c r="HL376" s="105"/>
      <c r="HM376" s="105"/>
      <c r="HN376" s="105"/>
      <c r="HO376" s="105"/>
      <c r="HP376" s="105"/>
      <c r="HQ376" s="105"/>
      <c r="HR376" s="105"/>
      <c r="HS376" s="105"/>
      <c r="HT376" s="105"/>
      <c r="HU376" s="105"/>
      <c r="HV376" s="105"/>
      <c r="HW376" s="105"/>
      <c r="HX376" s="105"/>
      <c r="HY376" s="105"/>
      <c r="HZ376" s="105"/>
      <c r="IA376" s="105"/>
      <c r="IB376" s="105"/>
      <c r="IC376" s="105"/>
      <c r="ID376" s="105"/>
      <c r="IE376" s="105"/>
      <c r="IF376" s="105"/>
      <c r="IG376" s="105"/>
      <c r="IH376" s="105"/>
      <c r="II376" s="105"/>
      <c r="IJ376" s="105"/>
      <c r="IK376" s="105"/>
      <c r="IL376" s="105"/>
      <c r="IM376" s="105"/>
      <c r="IN376" s="105"/>
      <c r="IO376" s="105"/>
      <c r="IP376" s="105"/>
      <c r="IQ376" s="105"/>
      <c r="IR376" s="105"/>
      <c r="IS376" s="105"/>
      <c r="IT376" s="105"/>
      <c r="IU376" s="105"/>
      <c r="IV376" s="105"/>
    </row>
    <row r="377" spans="1:256" x14ac:dyDescent="0.2">
      <c r="A377" s="176">
        <v>44432</v>
      </c>
      <c r="B377" s="38" t="s">
        <v>249</v>
      </c>
      <c r="C377" s="38">
        <v>2021</v>
      </c>
      <c r="D377" s="38" t="s">
        <v>4</v>
      </c>
      <c r="E377" s="177">
        <v>-0.96</v>
      </c>
      <c r="F377" s="177" t="s">
        <v>32</v>
      </c>
      <c r="G377" s="215">
        <f>-(E377*80000)</f>
        <v>76800</v>
      </c>
      <c r="H377" s="177">
        <v>235</v>
      </c>
      <c r="I377" s="177" t="s">
        <v>80</v>
      </c>
      <c r="J377" s="177" t="s">
        <v>38</v>
      </c>
      <c r="K377" s="177">
        <v>0.24</v>
      </c>
      <c r="L377" s="70" t="s">
        <v>819</v>
      </c>
      <c r="M377" s="177" t="s">
        <v>820</v>
      </c>
      <c r="N377" s="70" t="s">
        <v>821</v>
      </c>
      <c r="O377" s="38"/>
      <c r="P377" s="38" t="s">
        <v>310</v>
      </c>
      <c r="Q377" s="790">
        <v>41.484231999999999</v>
      </c>
      <c r="R377" s="687">
        <v>-84.836512999999997</v>
      </c>
      <c r="S377" s="38" t="s">
        <v>62</v>
      </c>
      <c r="T377" s="38"/>
      <c r="U377" s="38" t="s">
        <v>51</v>
      </c>
      <c r="V377" s="37"/>
      <c r="W377" s="180">
        <f>IF(AC377="Intr",0,G377*Definitions!$B$53)</f>
        <v>11520</v>
      </c>
      <c r="X377" s="180">
        <f>IF(AC377="Intr",0,G377*Definitions!$B$54)</f>
        <v>53760</v>
      </c>
      <c r="Y377" s="180">
        <f>IF(AC377="Intr",G377,G377*Definitions!$B$55)</f>
        <v>11520</v>
      </c>
      <c r="Z377" s="180" t="s">
        <v>964</v>
      </c>
      <c r="AA377" s="180" t="s">
        <v>965</v>
      </c>
      <c r="AB377" s="180"/>
      <c r="AC377" s="38"/>
      <c r="AD377" s="38"/>
      <c r="AE377" s="38"/>
      <c r="AF377" s="38"/>
      <c r="AG377" s="40"/>
      <c r="AH377" s="38"/>
    </row>
    <row r="378" spans="1:256" s="407" customFormat="1" ht="14.25" customHeight="1" x14ac:dyDescent="0.2">
      <c r="A378" s="476">
        <v>44432</v>
      </c>
      <c r="B378" s="477" t="s">
        <v>249</v>
      </c>
      <c r="C378" s="477">
        <v>2021</v>
      </c>
      <c r="D378" s="477" t="s">
        <v>7</v>
      </c>
      <c r="E378" s="478">
        <v>-7.4999999999999997E-2</v>
      </c>
      <c r="F378" s="478" t="s">
        <v>32</v>
      </c>
      <c r="G378" s="479">
        <f>-(E378*80000)</f>
        <v>6000</v>
      </c>
      <c r="H378" s="478">
        <v>236</v>
      </c>
      <c r="I378" s="478" t="s">
        <v>81</v>
      </c>
      <c r="J378" s="478" t="s">
        <v>38</v>
      </c>
      <c r="K378" s="478">
        <v>0.03</v>
      </c>
      <c r="L378" s="480" t="s">
        <v>793</v>
      </c>
      <c r="M378" s="462" t="s">
        <v>729</v>
      </c>
      <c r="N378" s="480" t="s">
        <v>818</v>
      </c>
      <c r="O378" s="477"/>
      <c r="P378" s="477" t="s">
        <v>143</v>
      </c>
      <c r="Q378" s="791">
        <v>39.894840000000002</v>
      </c>
      <c r="R378" s="688">
        <v>-86.266040000000004</v>
      </c>
      <c r="S378" s="30" t="s">
        <v>61</v>
      </c>
      <c r="T378" s="477"/>
      <c r="U378" s="477" t="s">
        <v>51</v>
      </c>
      <c r="V378" s="476"/>
      <c r="W378" s="481">
        <f>IF(AC378="Intr",0,G378*Definitions!$B$53)</f>
        <v>900</v>
      </c>
      <c r="X378" s="481">
        <f>IF(AC378="Intr",0,G378*Definitions!$B$54)</f>
        <v>4200</v>
      </c>
      <c r="Y378" s="481">
        <f>IF(AC378="Intr",G378,G378*Definitions!$B$55)</f>
        <v>900</v>
      </c>
      <c r="Z378" s="481" t="s">
        <v>966</v>
      </c>
      <c r="AA378" s="481" t="s">
        <v>968</v>
      </c>
      <c r="AB378" s="481" t="s">
        <v>971</v>
      </c>
      <c r="AC378" s="477"/>
      <c r="AD378" s="477"/>
      <c r="AE378" s="477"/>
      <c r="AF378" s="477"/>
      <c r="AG378" s="482"/>
      <c r="AH378" s="483" t="s">
        <v>1131</v>
      </c>
      <c r="AI378" s="105"/>
      <c r="AJ378" s="105"/>
      <c r="AK378" s="105"/>
      <c r="AL378" s="105"/>
      <c r="AM378" s="105"/>
      <c r="AN378" s="105"/>
      <c r="AO378" s="105"/>
      <c r="AP378" s="105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5"/>
      <c r="BB378" s="105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5"/>
      <c r="BN378" s="105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5"/>
      <c r="BZ378" s="105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5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5"/>
      <c r="CX378" s="105"/>
      <c r="CY378" s="105"/>
      <c r="CZ378" s="105"/>
      <c r="DA378" s="105"/>
      <c r="DB378" s="105"/>
      <c r="DC378" s="105"/>
      <c r="DD378" s="105"/>
      <c r="DE378" s="105"/>
      <c r="DF378" s="105"/>
      <c r="DG378" s="105"/>
      <c r="DH378" s="105"/>
      <c r="DI378" s="105"/>
      <c r="DJ378" s="105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5"/>
      <c r="DV378" s="105"/>
      <c r="DW378" s="105"/>
      <c r="DX378" s="105"/>
      <c r="DY378" s="105"/>
      <c r="DZ378" s="105"/>
      <c r="EA378" s="105"/>
      <c r="EB378" s="105"/>
      <c r="EC378" s="105"/>
      <c r="ED378" s="105"/>
      <c r="EE378" s="105"/>
      <c r="EF378" s="105"/>
      <c r="EG378" s="105"/>
      <c r="EH378" s="105"/>
      <c r="EI378" s="105"/>
      <c r="EJ378" s="105"/>
      <c r="EK378" s="105"/>
      <c r="EL378" s="105"/>
      <c r="EM378" s="105"/>
      <c r="EN378" s="105"/>
      <c r="EO378" s="105"/>
      <c r="EP378" s="105"/>
      <c r="EQ378" s="105"/>
      <c r="ER378" s="105"/>
      <c r="ES378" s="105"/>
      <c r="ET378" s="105"/>
      <c r="EU378" s="105"/>
      <c r="EV378" s="105"/>
      <c r="EW378" s="105"/>
      <c r="EX378" s="105"/>
      <c r="EY378" s="105"/>
      <c r="EZ378" s="105"/>
      <c r="FA378" s="105"/>
      <c r="FB378" s="105"/>
      <c r="FC378" s="105"/>
      <c r="FD378" s="105"/>
      <c r="FE378" s="105"/>
      <c r="FF378" s="105"/>
      <c r="FG378" s="105"/>
      <c r="FH378" s="105"/>
      <c r="FI378" s="105"/>
      <c r="FJ378" s="105"/>
      <c r="FK378" s="105"/>
      <c r="FL378" s="105"/>
      <c r="FM378" s="105"/>
      <c r="FN378" s="105"/>
      <c r="FO378" s="105"/>
      <c r="FP378" s="105"/>
      <c r="FQ378" s="105"/>
      <c r="FR378" s="105"/>
      <c r="FS378" s="105"/>
      <c r="FT378" s="105"/>
      <c r="FU378" s="105"/>
      <c r="FV378" s="105"/>
      <c r="FW378" s="105"/>
      <c r="FX378" s="105"/>
      <c r="FY378" s="105"/>
      <c r="FZ378" s="105"/>
      <c r="GA378" s="105"/>
      <c r="GB378" s="105"/>
      <c r="GC378" s="105"/>
      <c r="GD378" s="105"/>
      <c r="GE378" s="105"/>
      <c r="GF378" s="105"/>
      <c r="GG378" s="105"/>
      <c r="GH378" s="105"/>
      <c r="GI378" s="105"/>
      <c r="GJ378" s="105"/>
      <c r="GK378" s="105"/>
      <c r="GL378" s="105"/>
      <c r="GM378" s="105"/>
      <c r="GN378" s="105"/>
      <c r="GO378" s="105"/>
      <c r="GP378" s="105"/>
      <c r="GQ378" s="105"/>
      <c r="GR378" s="105"/>
      <c r="GS378" s="105"/>
      <c r="GT378" s="105"/>
      <c r="GU378" s="105"/>
      <c r="GV378" s="105"/>
      <c r="GW378" s="105"/>
      <c r="GX378" s="105"/>
      <c r="GY378" s="105"/>
      <c r="GZ378" s="105"/>
      <c r="HA378" s="105"/>
      <c r="HB378" s="105"/>
      <c r="HC378" s="105"/>
      <c r="HD378" s="105"/>
      <c r="HE378" s="105"/>
      <c r="HF378" s="105"/>
      <c r="HG378" s="105"/>
      <c r="HH378" s="105"/>
      <c r="HI378" s="105"/>
      <c r="HJ378" s="105"/>
      <c r="HK378" s="105"/>
      <c r="HL378" s="105"/>
      <c r="HM378" s="105"/>
      <c r="HN378" s="105"/>
      <c r="HO378" s="105"/>
      <c r="HP378" s="105"/>
      <c r="HQ378" s="105"/>
      <c r="HR378" s="105"/>
      <c r="HS378" s="105"/>
      <c r="HT378" s="105"/>
      <c r="HU378" s="105"/>
      <c r="HV378" s="105"/>
      <c r="HW378" s="105"/>
      <c r="HX378" s="105"/>
      <c r="HY378" s="105"/>
      <c r="HZ378" s="105"/>
      <c r="IA378" s="105"/>
      <c r="IB378" s="105"/>
      <c r="IC378" s="105"/>
      <c r="ID378" s="105"/>
      <c r="IE378" s="105"/>
      <c r="IF378" s="105"/>
      <c r="IG378" s="105"/>
      <c r="IH378" s="105"/>
      <c r="II378" s="105"/>
      <c r="IJ378" s="105"/>
      <c r="IK378" s="105"/>
      <c r="IL378" s="105"/>
      <c r="IM378" s="105"/>
      <c r="IN378" s="105"/>
      <c r="IO378" s="105"/>
      <c r="IP378" s="105"/>
      <c r="IQ378" s="105"/>
      <c r="IR378" s="105"/>
      <c r="IS378" s="105"/>
      <c r="IT378" s="105"/>
      <c r="IU378" s="105"/>
      <c r="IV378" s="105"/>
    </row>
    <row r="379" spans="1:256" s="407" customFormat="1" x14ac:dyDescent="0.2">
      <c r="A379" s="88">
        <v>44446</v>
      </c>
      <c r="B379" s="89" t="s">
        <v>96</v>
      </c>
      <c r="C379" s="89">
        <v>2021</v>
      </c>
      <c r="D379" s="89" t="s">
        <v>2</v>
      </c>
      <c r="E379" s="90">
        <v>-215</v>
      </c>
      <c r="F379" s="90" t="s">
        <v>33</v>
      </c>
      <c r="G379" s="91">
        <v>107500</v>
      </c>
      <c r="H379" s="90">
        <v>179</v>
      </c>
      <c r="I379" s="90" t="s">
        <v>80</v>
      </c>
      <c r="J379" s="90" t="s">
        <v>40</v>
      </c>
      <c r="K379" s="90">
        <v>289</v>
      </c>
      <c r="L379" s="93" t="s">
        <v>726</v>
      </c>
      <c r="M379" s="90" t="s">
        <v>823</v>
      </c>
      <c r="N379" s="93" t="s">
        <v>824</v>
      </c>
      <c r="O379" s="89"/>
      <c r="P379" s="89" t="s">
        <v>385</v>
      </c>
      <c r="Q379" s="792">
        <v>41.420140000000004</v>
      </c>
      <c r="R379" s="689">
        <v>-87.201599999999999</v>
      </c>
      <c r="S379" s="89" t="s">
        <v>63</v>
      </c>
      <c r="T379" s="89"/>
      <c r="U379" s="89" t="s">
        <v>51</v>
      </c>
      <c r="V379" s="88"/>
      <c r="W379" s="95">
        <f>IF(AC379="Intr",0,G379*Definitions!$B$53)</f>
        <v>16125</v>
      </c>
      <c r="X379" s="95">
        <f>IF(AC379="Intr",0,G379*Definitions!$B$54)</f>
        <v>75250</v>
      </c>
      <c r="Y379" s="95">
        <f>IF(AC379="Intr",G379,G379*Definitions!$B$55)</f>
        <v>16125</v>
      </c>
      <c r="Z379" s="95" t="s">
        <v>967</v>
      </c>
      <c r="AA379" s="95" t="s">
        <v>965</v>
      </c>
      <c r="AB379" s="95"/>
      <c r="AC379" s="89"/>
      <c r="AD379" s="89"/>
      <c r="AE379" s="89"/>
      <c r="AF379" s="89"/>
      <c r="AG379" s="96"/>
      <c r="AH379" s="94" t="s">
        <v>825</v>
      </c>
      <c r="AI379" s="105"/>
      <c r="AJ379" s="105"/>
      <c r="AK379" s="105"/>
      <c r="AL379" s="105"/>
      <c r="AM379" s="105"/>
      <c r="AN379" s="105"/>
      <c r="AO379" s="105"/>
      <c r="AP379" s="105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5"/>
      <c r="BB379" s="105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5"/>
      <c r="BN379" s="105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5"/>
      <c r="BZ379" s="105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5"/>
      <c r="CM379" s="105"/>
      <c r="CN379" s="105"/>
      <c r="CO379" s="105"/>
      <c r="CP379" s="105"/>
      <c r="CQ379" s="105"/>
      <c r="CR379" s="105"/>
      <c r="CS379" s="105"/>
      <c r="CT379" s="105"/>
      <c r="CU379" s="105"/>
      <c r="CV379" s="105"/>
      <c r="CW379" s="105"/>
      <c r="CX379" s="105"/>
      <c r="CY379" s="105"/>
      <c r="CZ379" s="105"/>
      <c r="DA379" s="105"/>
      <c r="DB379" s="105"/>
      <c r="DC379" s="105"/>
      <c r="DD379" s="105"/>
      <c r="DE379" s="105"/>
      <c r="DF379" s="105"/>
      <c r="DG379" s="105"/>
      <c r="DH379" s="105"/>
      <c r="DI379" s="105"/>
      <c r="DJ379" s="105"/>
      <c r="DK379" s="105"/>
      <c r="DL379" s="105"/>
      <c r="DM379" s="105"/>
      <c r="DN379" s="105"/>
      <c r="DO379" s="105"/>
      <c r="DP379" s="105"/>
      <c r="DQ379" s="105"/>
      <c r="DR379" s="105"/>
      <c r="DS379" s="105"/>
      <c r="DT379" s="105"/>
      <c r="DU379" s="105"/>
      <c r="DV379" s="105"/>
      <c r="DW379" s="105"/>
      <c r="DX379" s="105"/>
      <c r="DY379" s="105"/>
      <c r="DZ379" s="105"/>
      <c r="EA379" s="105"/>
      <c r="EB379" s="105"/>
      <c r="EC379" s="105"/>
      <c r="ED379" s="105"/>
      <c r="EE379" s="105"/>
      <c r="EF379" s="105"/>
      <c r="EG379" s="105"/>
      <c r="EH379" s="105"/>
      <c r="EI379" s="105"/>
      <c r="EJ379" s="105"/>
      <c r="EK379" s="105"/>
      <c r="EL379" s="105"/>
      <c r="EM379" s="105"/>
      <c r="EN379" s="105"/>
      <c r="EO379" s="105"/>
      <c r="EP379" s="105"/>
      <c r="EQ379" s="105"/>
      <c r="ER379" s="105"/>
      <c r="ES379" s="105"/>
      <c r="ET379" s="105"/>
      <c r="EU379" s="105"/>
      <c r="EV379" s="105"/>
      <c r="EW379" s="105"/>
      <c r="EX379" s="105"/>
      <c r="EY379" s="105"/>
      <c r="EZ379" s="105"/>
      <c r="FA379" s="105"/>
      <c r="FB379" s="105"/>
      <c r="FC379" s="105"/>
      <c r="FD379" s="105"/>
      <c r="FE379" s="105"/>
      <c r="FF379" s="105"/>
      <c r="FG379" s="105"/>
      <c r="FH379" s="105"/>
      <c r="FI379" s="105"/>
      <c r="FJ379" s="105"/>
      <c r="FK379" s="105"/>
      <c r="FL379" s="105"/>
      <c r="FM379" s="105"/>
      <c r="FN379" s="105"/>
      <c r="FO379" s="105"/>
      <c r="FP379" s="105"/>
      <c r="FQ379" s="105"/>
      <c r="FR379" s="105"/>
      <c r="FS379" s="105"/>
      <c r="FT379" s="105"/>
      <c r="FU379" s="105"/>
      <c r="FV379" s="105"/>
      <c r="FW379" s="105"/>
      <c r="FX379" s="105"/>
      <c r="FY379" s="105"/>
      <c r="FZ379" s="105"/>
      <c r="GA379" s="105"/>
      <c r="GB379" s="105"/>
      <c r="GC379" s="105"/>
      <c r="GD379" s="105"/>
      <c r="GE379" s="105"/>
      <c r="GF379" s="105"/>
      <c r="GG379" s="105"/>
      <c r="GH379" s="105"/>
      <c r="GI379" s="105"/>
      <c r="GJ379" s="105"/>
      <c r="GK379" s="105"/>
      <c r="GL379" s="105"/>
      <c r="GM379" s="105"/>
      <c r="GN379" s="105"/>
      <c r="GO379" s="105"/>
      <c r="GP379" s="105"/>
      <c r="GQ379" s="105"/>
      <c r="GR379" s="105"/>
      <c r="GS379" s="105"/>
      <c r="GT379" s="105"/>
      <c r="GU379" s="105"/>
      <c r="GV379" s="105"/>
      <c r="GW379" s="105"/>
      <c r="GX379" s="105"/>
      <c r="GY379" s="105"/>
      <c r="GZ379" s="105"/>
      <c r="HA379" s="105"/>
      <c r="HB379" s="105"/>
      <c r="HC379" s="105"/>
      <c r="HD379" s="105"/>
      <c r="HE379" s="105"/>
      <c r="HF379" s="105"/>
      <c r="HG379" s="105"/>
      <c r="HH379" s="105"/>
      <c r="HI379" s="105"/>
      <c r="HJ379" s="105"/>
      <c r="HK379" s="105"/>
      <c r="HL379" s="105"/>
      <c r="HM379" s="105"/>
      <c r="HN379" s="105"/>
      <c r="HO379" s="105"/>
      <c r="HP379" s="105"/>
      <c r="HQ379" s="105"/>
      <c r="HR379" s="105"/>
      <c r="HS379" s="105"/>
      <c r="HT379" s="105"/>
      <c r="HU379" s="105"/>
      <c r="HV379" s="105"/>
      <c r="HW379" s="105"/>
      <c r="HX379" s="105"/>
      <c r="HY379" s="105"/>
      <c r="HZ379" s="105"/>
      <c r="IA379" s="105"/>
      <c r="IB379" s="105"/>
      <c r="IC379" s="105"/>
      <c r="ID379" s="105"/>
      <c r="IE379" s="105"/>
      <c r="IF379" s="105"/>
      <c r="IG379" s="105"/>
      <c r="IH379" s="105"/>
      <c r="II379" s="105"/>
      <c r="IJ379" s="105"/>
      <c r="IK379" s="105"/>
      <c r="IL379" s="105"/>
      <c r="IM379" s="105"/>
      <c r="IN379" s="105"/>
      <c r="IO379" s="105"/>
      <c r="IP379" s="105"/>
      <c r="IQ379" s="105"/>
      <c r="IR379" s="105"/>
      <c r="IS379" s="105"/>
      <c r="IT379" s="105"/>
      <c r="IU379" s="105"/>
      <c r="IV379" s="105"/>
    </row>
    <row r="380" spans="1:256" s="407" customFormat="1" x14ac:dyDescent="0.2">
      <c r="A380" s="88">
        <v>44446</v>
      </c>
      <c r="B380" s="89" t="s">
        <v>96</v>
      </c>
      <c r="C380" s="89">
        <v>2021</v>
      </c>
      <c r="D380" s="89" t="s">
        <v>2</v>
      </c>
      <c r="E380" s="90">
        <v>-0.24640000000000001</v>
      </c>
      <c r="F380" s="90" t="s">
        <v>32</v>
      </c>
      <c r="G380" s="91">
        <v>23408</v>
      </c>
      <c r="H380" s="90">
        <v>179</v>
      </c>
      <c r="I380" s="90" t="s">
        <v>80</v>
      </c>
      <c r="J380" s="90" t="s">
        <v>37</v>
      </c>
      <c r="K380" s="90">
        <v>9.4E-2</v>
      </c>
      <c r="L380" s="93" t="s">
        <v>726</v>
      </c>
      <c r="M380" s="90" t="s">
        <v>823</v>
      </c>
      <c r="N380" s="93" t="s">
        <v>824</v>
      </c>
      <c r="O380" s="89"/>
      <c r="P380" s="89" t="s">
        <v>385</v>
      </c>
      <c r="Q380" s="792">
        <v>41.420140000000004</v>
      </c>
      <c r="R380" s="689">
        <v>-87.201599999999999</v>
      </c>
      <c r="S380" s="89" t="s">
        <v>63</v>
      </c>
      <c r="T380" s="89"/>
      <c r="U380" s="89" t="s">
        <v>51</v>
      </c>
      <c r="V380" s="88"/>
      <c r="W380" s="95">
        <f>IF(AC380="Intr",0,G380*Definitions!$B$53)</f>
        <v>3511.2</v>
      </c>
      <c r="X380" s="95">
        <f>IF(AC380="Intr",0,G380*Definitions!$B$54)</f>
        <v>16385.599999999999</v>
      </c>
      <c r="Y380" s="95">
        <f>IF(AC380="Intr",G380,G380*Definitions!$B$55)</f>
        <v>3511.2</v>
      </c>
      <c r="Z380" s="95" t="s">
        <v>967</v>
      </c>
      <c r="AA380" s="95" t="s">
        <v>965</v>
      </c>
      <c r="AB380" s="95"/>
      <c r="AC380" s="89"/>
      <c r="AD380" s="89"/>
      <c r="AE380" s="89"/>
      <c r="AF380" s="89"/>
      <c r="AG380" s="96"/>
      <c r="AH380" s="94" t="s">
        <v>825</v>
      </c>
      <c r="AI380" s="105"/>
      <c r="AJ380" s="105"/>
      <c r="AK380" s="105"/>
      <c r="AL380" s="105"/>
      <c r="AM380" s="105"/>
      <c r="AN380" s="105"/>
      <c r="AO380" s="105"/>
      <c r="AP380" s="105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5"/>
      <c r="BB380" s="105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5"/>
      <c r="BN380" s="105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5"/>
      <c r="BZ380" s="105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5"/>
      <c r="CM380" s="105"/>
      <c r="CN380" s="105"/>
      <c r="CO380" s="105"/>
      <c r="CP380" s="105"/>
      <c r="CQ380" s="105"/>
      <c r="CR380" s="105"/>
      <c r="CS380" s="105"/>
      <c r="CT380" s="105"/>
      <c r="CU380" s="105"/>
      <c r="CV380" s="105"/>
      <c r="CW380" s="105"/>
      <c r="CX380" s="105"/>
      <c r="CY380" s="105"/>
      <c r="CZ380" s="105"/>
      <c r="DA380" s="105"/>
      <c r="DB380" s="105"/>
      <c r="DC380" s="105"/>
      <c r="DD380" s="105"/>
      <c r="DE380" s="105"/>
      <c r="DF380" s="105"/>
      <c r="DG380" s="105"/>
      <c r="DH380" s="105"/>
      <c r="DI380" s="105"/>
      <c r="DJ380" s="105"/>
      <c r="DK380" s="105"/>
      <c r="DL380" s="105"/>
      <c r="DM380" s="105"/>
      <c r="DN380" s="105"/>
      <c r="DO380" s="105"/>
      <c r="DP380" s="105"/>
      <c r="DQ380" s="105"/>
      <c r="DR380" s="105"/>
      <c r="DS380" s="105"/>
      <c r="DT380" s="105"/>
      <c r="DU380" s="105"/>
      <c r="DV380" s="105"/>
      <c r="DW380" s="105"/>
      <c r="DX380" s="105"/>
      <c r="DY380" s="105"/>
      <c r="DZ380" s="105"/>
      <c r="EA380" s="105"/>
      <c r="EB380" s="105"/>
      <c r="EC380" s="105"/>
      <c r="ED380" s="105"/>
      <c r="EE380" s="105"/>
      <c r="EF380" s="105"/>
      <c r="EG380" s="105"/>
      <c r="EH380" s="105"/>
      <c r="EI380" s="105"/>
      <c r="EJ380" s="105"/>
      <c r="EK380" s="105"/>
      <c r="EL380" s="105"/>
      <c r="EM380" s="105"/>
      <c r="EN380" s="105"/>
      <c r="EO380" s="105"/>
      <c r="EP380" s="105"/>
      <c r="EQ380" s="105"/>
      <c r="ER380" s="105"/>
      <c r="ES380" s="105"/>
      <c r="ET380" s="105"/>
      <c r="EU380" s="105"/>
      <c r="EV380" s="105"/>
      <c r="EW380" s="105"/>
      <c r="EX380" s="105"/>
      <c r="EY380" s="105"/>
      <c r="EZ380" s="105"/>
      <c r="FA380" s="105"/>
      <c r="FB380" s="105"/>
      <c r="FC380" s="105"/>
      <c r="FD380" s="105"/>
      <c r="FE380" s="105"/>
      <c r="FF380" s="105"/>
      <c r="FG380" s="105"/>
      <c r="FH380" s="105"/>
      <c r="FI380" s="105"/>
      <c r="FJ380" s="105"/>
      <c r="FK380" s="105"/>
      <c r="FL380" s="105"/>
      <c r="FM380" s="105"/>
      <c r="FN380" s="105"/>
      <c r="FO380" s="105"/>
      <c r="FP380" s="105"/>
      <c r="FQ380" s="105"/>
      <c r="FR380" s="105"/>
      <c r="FS380" s="105"/>
      <c r="FT380" s="105"/>
      <c r="FU380" s="105"/>
      <c r="FV380" s="105"/>
      <c r="FW380" s="105"/>
      <c r="FX380" s="105"/>
      <c r="FY380" s="105"/>
      <c r="FZ380" s="105"/>
      <c r="GA380" s="105"/>
      <c r="GB380" s="105"/>
      <c r="GC380" s="105"/>
      <c r="GD380" s="105"/>
      <c r="GE380" s="105"/>
      <c r="GF380" s="105"/>
      <c r="GG380" s="105"/>
      <c r="GH380" s="105"/>
      <c r="GI380" s="105"/>
      <c r="GJ380" s="105"/>
      <c r="GK380" s="105"/>
      <c r="GL380" s="105"/>
      <c r="GM380" s="105"/>
      <c r="GN380" s="105"/>
      <c r="GO380" s="105"/>
      <c r="GP380" s="105"/>
      <c r="GQ380" s="105"/>
      <c r="GR380" s="105"/>
      <c r="GS380" s="105"/>
      <c r="GT380" s="105"/>
      <c r="GU380" s="105"/>
      <c r="GV380" s="105"/>
      <c r="GW380" s="105"/>
      <c r="GX380" s="105"/>
      <c r="GY380" s="105"/>
      <c r="GZ380" s="105"/>
      <c r="HA380" s="105"/>
      <c r="HB380" s="105"/>
      <c r="HC380" s="105"/>
      <c r="HD380" s="105"/>
      <c r="HE380" s="105"/>
      <c r="HF380" s="105"/>
      <c r="HG380" s="105"/>
      <c r="HH380" s="105"/>
      <c r="HI380" s="105"/>
      <c r="HJ380" s="105"/>
      <c r="HK380" s="105"/>
      <c r="HL380" s="105"/>
      <c r="HM380" s="105"/>
      <c r="HN380" s="105"/>
      <c r="HO380" s="105"/>
      <c r="HP380" s="105"/>
      <c r="HQ380" s="105"/>
      <c r="HR380" s="105"/>
      <c r="HS380" s="105"/>
      <c r="HT380" s="105"/>
      <c r="HU380" s="105"/>
      <c r="HV380" s="105"/>
      <c r="HW380" s="105"/>
      <c r="HX380" s="105"/>
      <c r="HY380" s="105"/>
      <c r="HZ380" s="105"/>
      <c r="IA380" s="105"/>
      <c r="IB380" s="105"/>
      <c r="IC380" s="105"/>
      <c r="ID380" s="105"/>
      <c r="IE380" s="105"/>
      <c r="IF380" s="105"/>
      <c r="IG380" s="105"/>
      <c r="IH380" s="105"/>
      <c r="II380" s="105"/>
      <c r="IJ380" s="105"/>
      <c r="IK380" s="105"/>
      <c r="IL380" s="105"/>
      <c r="IM380" s="105"/>
      <c r="IN380" s="105"/>
      <c r="IO380" s="105"/>
      <c r="IP380" s="105"/>
      <c r="IQ380" s="105"/>
      <c r="IR380" s="105"/>
      <c r="IS380" s="105"/>
      <c r="IT380" s="105"/>
      <c r="IU380" s="105"/>
      <c r="IV380" s="105"/>
    </row>
    <row r="381" spans="1:256" s="408" customFormat="1" x14ac:dyDescent="0.2">
      <c r="A381" s="88">
        <v>44446</v>
      </c>
      <c r="B381" s="89" t="s">
        <v>96</v>
      </c>
      <c r="C381" s="89">
        <v>2021</v>
      </c>
      <c r="D381" s="89" t="s">
        <v>2</v>
      </c>
      <c r="E381" s="90">
        <v>-0.10920000000000001</v>
      </c>
      <c r="F381" s="90" t="s">
        <v>32</v>
      </c>
      <c r="G381" s="91">
        <v>10374</v>
      </c>
      <c r="H381" s="90">
        <v>179</v>
      </c>
      <c r="I381" s="90" t="s">
        <v>80</v>
      </c>
      <c r="J381" s="90" t="s">
        <v>38</v>
      </c>
      <c r="K381" s="90">
        <v>2.5999999999999999E-2</v>
      </c>
      <c r="L381" s="93" t="s">
        <v>726</v>
      </c>
      <c r="M381" s="90" t="s">
        <v>823</v>
      </c>
      <c r="N381" s="93" t="s">
        <v>824</v>
      </c>
      <c r="O381" s="89"/>
      <c r="P381" s="89" t="s">
        <v>385</v>
      </c>
      <c r="Q381" s="792">
        <v>41.420140000000004</v>
      </c>
      <c r="R381" s="867">
        <v>-87.201599999999999</v>
      </c>
      <c r="S381" s="89" t="s">
        <v>63</v>
      </c>
      <c r="T381" s="89"/>
      <c r="U381" s="89" t="s">
        <v>51</v>
      </c>
      <c r="V381" s="88"/>
      <c r="W381" s="95">
        <f>IF(AC381="Intr",0,G381*Definitions!$B$53)</f>
        <v>1556.1</v>
      </c>
      <c r="X381" s="95">
        <f>IF(AC381="Intr",0,G381*Definitions!$B$54)</f>
        <v>7261.7999999999993</v>
      </c>
      <c r="Y381" s="95">
        <f>IF(AC381="Intr",G381,G381*Definitions!$B$55)</f>
        <v>1556.1</v>
      </c>
      <c r="Z381" s="95" t="s">
        <v>967</v>
      </c>
      <c r="AA381" s="95" t="s">
        <v>965</v>
      </c>
      <c r="AB381" s="95"/>
      <c r="AC381" s="89"/>
      <c r="AD381" s="89"/>
      <c r="AE381" s="89"/>
      <c r="AF381" s="89"/>
      <c r="AG381" s="96"/>
      <c r="AH381" s="94" t="s">
        <v>825</v>
      </c>
      <c r="AI381" s="589"/>
      <c r="AJ381" s="589"/>
      <c r="AK381" s="589"/>
      <c r="AL381" s="589"/>
      <c r="AM381" s="589"/>
      <c r="AN381" s="589"/>
      <c r="AO381" s="589"/>
      <c r="AP381" s="589"/>
      <c r="AQ381" s="589"/>
      <c r="AR381" s="589"/>
      <c r="AS381" s="589"/>
      <c r="AT381" s="589"/>
      <c r="AU381" s="589"/>
      <c r="AV381" s="589"/>
      <c r="AW381" s="589"/>
      <c r="AX381" s="589"/>
      <c r="AY381" s="589"/>
      <c r="AZ381" s="589"/>
      <c r="BA381" s="589"/>
      <c r="BB381" s="589"/>
      <c r="BC381" s="589"/>
      <c r="BD381" s="589"/>
      <c r="BE381" s="589"/>
      <c r="BF381" s="589"/>
      <c r="BG381" s="589"/>
      <c r="BH381" s="589"/>
      <c r="BI381" s="589"/>
      <c r="BJ381" s="589"/>
      <c r="BK381" s="589"/>
      <c r="BL381" s="589"/>
      <c r="BM381" s="589"/>
      <c r="BN381" s="589"/>
      <c r="BO381" s="589"/>
      <c r="BP381" s="589"/>
      <c r="BQ381" s="589"/>
      <c r="BR381" s="589"/>
      <c r="BS381" s="589"/>
      <c r="BT381" s="589"/>
      <c r="BU381" s="589"/>
      <c r="BV381" s="589"/>
      <c r="BW381" s="589"/>
      <c r="BX381" s="589"/>
      <c r="BY381" s="589"/>
      <c r="BZ381" s="589"/>
      <c r="CA381" s="589"/>
      <c r="CB381" s="589"/>
      <c r="CC381" s="589"/>
      <c r="CD381" s="589"/>
      <c r="CE381" s="589"/>
      <c r="CF381" s="589"/>
      <c r="CG381" s="589"/>
      <c r="CH381" s="589"/>
      <c r="CI381" s="589"/>
      <c r="CJ381" s="589"/>
      <c r="CK381" s="589"/>
      <c r="CL381" s="589"/>
      <c r="CM381" s="589"/>
      <c r="CN381" s="589"/>
      <c r="CO381" s="589"/>
      <c r="CP381" s="589"/>
      <c r="CQ381" s="589"/>
      <c r="CR381" s="589"/>
      <c r="CS381" s="589"/>
      <c r="CT381" s="589"/>
      <c r="CU381" s="589"/>
      <c r="CV381" s="589"/>
      <c r="CW381" s="589"/>
      <c r="CX381" s="589"/>
      <c r="CY381" s="589"/>
      <c r="CZ381" s="589"/>
      <c r="DA381" s="589"/>
      <c r="DB381" s="589"/>
      <c r="DC381" s="589"/>
      <c r="DD381" s="589"/>
      <c r="DE381" s="589"/>
      <c r="DF381" s="589"/>
      <c r="DG381" s="589"/>
      <c r="DH381" s="589"/>
      <c r="DI381" s="589"/>
      <c r="DJ381" s="589"/>
      <c r="DK381" s="589"/>
      <c r="DL381" s="589"/>
      <c r="DM381" s="589"/>
      <c r="DN381" s="589"/>
      <c r="DO381" s="589"/>
      <c r="DP381" s="589"/>
      <c r="DQ381" s="589"/>
      <c r="DR381" s="589"/>
      <c r="DS381" s="589"/>
      <c r="DT381" s="589"/>
      <c r="DU381" s="589"/>
      <c r="DV381" s="589"/>
      <c r="DW381" s="589"/>
      <c r="DX381" s="589"/>
      <c r="DY381" s="589"/>
      <c r="DZ381" s="589"/>
      <c r="EA381" s="589"/>
      <c r="EB381" s="589"/>
      <c r="EC381" s="589"/>
      <c r="ED381" s="589"/>
      <c r="EE381" s="589"/>
      <c r="EF381" s="589"/>
      <c r="EG381" s="589"/>
      <c r="EH381" s="589"/>
      <c r="EI381" s="589"/>
      <c r="EJ381" s="589"/>
      <c r="EK381" s="589"/>
      <c r="EL381" s="589"/>
      <c r="EM381" s="589"/>
      <c r="EN381" s="589"/>
      <c r="EO381" s="589"/>
      <c r="EP381" s="589"/>
      <c r="EQ381" s="589"/>
      <c r="ER381" s="589"/>
      <c r="ES381" s="589"/>
      <c r="ET381" s="589"/>
      <c r="EU381" s="589"/>
      <c r="EV381" s="589"/>
      <c r="EW381" s="589"/>
      <c r="EX381" s="589"/>
      <c r="EY381" s="589"/>
      <c r="EZ381" s="589"/>
      <c r="FA381" s="589"/>
      <c r="FB381" s="589"/>
      <c r="FC381" s="589"/>
      <c r="FD381" s="589"/>
      <c r="FE381" s="589"/>
      <c r="FF381" s="589"/>
      <c r="FG381" s="589"/>
      <c r="FH381" s="589"/>
      <c r="FI381" s="589"/>
      <c r="FJ381" s="589"/>
      <c r="FK381" s="589"/>
      <c r="FL381" s="589"/>
      <c r="FM381" s="589"/>
      <c r="FN381" s="589"/>
      <c r="FO381" s="589"/>
      <c r="FP381" s="589"/>
      <c r="FQ381" s="589"/>
      <c r="FR381" s="589"/>
      <c r="FS381" s="589"/>
      <c r="FT381" s="589"/>
      <c r="FU381" s="589"/>
      <c r="FV381" s="589"/>
      <c r="FW381" s="589"/>
      <c r="FX381" s="589"/>
      <c r="FY381" s="589"/>
      <c r="FZ381" s="589"/>
      <c r="GA381" s="589"/>
      <c r="GB381" s="589"/>
      <c r="GC381" s="589"/>
      <c r="GD381" s="589"/>
      <c r="GE381" s="589"/>
      <c r="GF381" s="589"/>
      <c r="GG381" s="589"/>
      <c r="GH381" s="589"/>
      <c r="GI381" s="589"/>
      <c r="GJ381" s="589"/>
      <c r="GK381" s="589"/>
      <c r="GL381" s="589"/>
      <c r="GM381" s="589"/>
      <c r="GN381" s="589"/>
      <c r="GO381" s="589"/>
      <c r="GP381" s="589"/>
      <c r="GQ381" s="589"/>
      <c r="GR381" s="589"/>
      <c r="GS381" s="589"/>
      <c r="GT381" s="589"/>
      <c r="GU381" s="589"/>
      <c r="GV381" s="589"/>
      <c r="GW381" s="589"/>
      <c r="GX381" s="589"/>
      <c r="GY381" s="589"/>
      <c r="GZ381" s="589"/>
      <c r="HA381" s="589"/>
      <c r="HB381" s="589"/>
      <c r="HC381" s="589"/>
      <c r="HD381" s="589"/>
      <c r="HE381" s="589"/>
      <c r="HF381" s="589"/>
      <c r="HG381" s="589"/>
      <c r="HH381" s="589"/>
      <c r="HI381" s="589"/>
      <c r="HJ381" s="589"/>
      <c r="HK381" s="589"/>
      <c r="HL381" s="589"/>
      <c r="HM381" s="589"/>
      <c r="HN381" s="589"/>
      <c r="HO381" s="589"/>
      <c r="HP381" s="589"/>
      <c r="HQ381" s="589"/>
      <c r="HR381" s="589"/>
      <c r="HS381" s="589"/>
      <c r="HT381" s="589"/>
      <c r="HU381" s="589"/>
      <c r="HV381" s="589"/>
      <c r="HW381" s="589"/>
      <c r="HX381" s="589"/>
      <c r="HY381" s="589"/>
      <c r="HZ381" s="589"/>
      <c r="IA381" s="589"/>
      <c r="IB381" s="589"/>
      <c r="IC381" s="589"/>
      <c r="ID381" s="589"/>
      <c r="IE381" s="589"/>
      <c r="IF381" s="589"/>
      <c r="IG381" s="589"/>
      <c r="IH381" s="589"/>
      <c r="II381" s="589"/>
      <c r="IJ381" s="589"/>
      <c r="IK381" s="589"/>
      <c r="IL381" s="589"/>
      <c r="IM381" s="589"/>
      <c r="IN381" s="589"/>
      <c r="IO381" s="589"/>
      <c r="IP381" s="589"/>
      <c r="IQ381" s="589"/>
      <c r="IR381" s="589"/>
      <c r="IS381" s="589"/>
      <c r="IT381" s="589"/>
      <c r="IU381" s="589"/>
      <c r="IV381" s="589"/>
    </row>
    <row r="382" spans="1:256" x14ac:dyDescent="0.2">
      <c r="A382" s="37">
        <v>44454</v>
      </c>
      <c r="B382" s="38" t="s">
        <v>96</v>
      </c>
      <c r="C382" s="38">
        <v>2021</v>
      </c>
      <c r="D382" s="38" t="s">
        <v>1</v>
      </c>
      <c r="E382" s="177">
        <v>-0.7</v>
      </c>
      <c r="F382" s="177" t="s">
        <v>32</v>
      </c>
      <c r="G382" s="215">
        <f>-(E382*95000)</f>
        <v>66500</v>
      </c>
      <c r="H382" s="177">
        <v>247</v>
      </c>
      <c r="I382" s="177" t="s">
        <v>81</v>
      </c>
      <c r="J382" s="177" t="s">
        <v>38</v>
      </c>
      <c r="K382" s="177">
        <v>0.54</v>
      </c>
      <c r="L382" s="70" t="s">
        <v>491</v>
      </c>
      <c r="M382" s="177" t="s">
        <v>729</v>
      </c>
      <c r="N382" s="70" t="s">
        <v>826</v>
      </c>
      <c r="O382" s="38"/>
      <c r="P382" s="38" t="s">
        <v>227</v>
      </c>
      <c r="Q382" s="790">
        <v>41.412514999999999</v>
      </c>
      <c r="R382" s="868">
        <v>-87.261118999999994</v>
      </c>
      <c r="S382" s="38" t="s">
        <v>61</v>
      </c>
      <c r="T382" s="72"/>
      <c r="U382" s="38" t="s">
        <v>51</v>
      </c>
      <c r="V382" s="37"/>
      <c r="W382" s="39">
        <f>IF(AC382="Intr",0,G382*Definitions!$B$53)</f>
        <v>9975</v>
      </c>
      <c r="X382" s="39">
        <f>IF(AC382="Intr",0,G382*Definitions!$B$54)</f>
        <v>46550</v>
      </c>
      <c r="Y382" s="39">
        <f>IF(AC382="Intr",G382,G382*Definitions!$B$55)</f>
        <v>9975</v>
      </c>
      <c r="Z382" s="39" t="s">
        <v>967</v>
      </c>
      <c r="AA382" s="39" t="s">
        <v>963</v>
      </c>
      <c r="AB382" s="39" t="s">
        <v>971</v>
      </c>
      <c r="AC382" s="38"/>
      <c r="AD382" s="38"/>
      <c r="AE382" s="38"/>
      <c r="AF382" s="38"/>
      <c r="AG382" s="40"/>
      <c r="AH382" s="72" t="s">
        <v>827</v>
      </c>
    </row>
    <row r="383" spans="1:256" s="409" customFormat="1" x14ac:dyDescent="0.2">
      <c r="A383" s="152">
        <v>44462</v>
      </c>
      <c r="B383" s="153" t="s">
        <v>96</v>
      </c>
      <c r="C383" s="153">
        <v>2021</v>
      </c>
      <c r="D383" s="153" t="s">
        <v>5</v>
      </c>
      <c r="E383" s="154">
        <v>-7.4999999999999997E-3</v>
      </c>
      <c r="F383" s="154" t="s">
        <v>32</v>
      </c>
      <c r="G383" s="155">
        <f>-(E383*80000)</f>
        <v>600</v>
      </c>
      <c r="H383" s="154">
        <v>250</v>
      </c>
      <c r="I383" s="154" t="s">
        <v>81</v>
      </c>
      <c r="J383" s="154" t="s">
        <v>38</v>
      </c>
      <c r="K383" s="154">
        <v>3.0000000000000001E-3</v>
      </c>
      <c r="L383" s="154" t="s">
        <v>668</v>
      </c>
      <c r="M383" s="154" t="s">
        <v>729</v>
      </c>
      <c r="N383" s="157" t="s">
        <v>828</v>
      </c>
      <c r="O383" s="153"/>
      <c r="P383" s="153" t="s">
        <v>255</v>
      </c>
      <c r="Q383" s="793">
        <v>41.08502</v>
      </c>
      <c r="R383" s="690">
        <v>-85.295559999999995</v>
      </c>
      <c r="S383" s="153" t="s">
        <v>61</v>
      </c>
      <c r="T383" s="153"/>
      <c r="U383" s="153" t="s">
        <v>51</v>
      </c>
      <c r="V383" s="152"/>
      <c r="W383" s="158">
        <f>IF(AC383="Intr",0,G383*Definitions!$B$53)</f>
        <v>90</v>
      </c>
      <c r="X383" s="158">
        <f>IF(AC383="Intr",0,G383*Definitions!$B$54)</f>
        <v>420</v>
      </c>
      <c r="Y383" s="158">
        <f>IF(AC383="Intr",G383,G383*Definitions!$B$55)</f>
        <v>90</v>
      </c>
      <c r="Z383" s="158" t="s">
        <v>964</v>
      </c>
      <c r="AA383" s="158" t="s">
        <v>963</v>
      </c>
      <c r="AB383" s="158" t="s">
        <v>971</v>
      </c>
      <c r="AC383" s="153"/>
      <c r="AD383" s="153"/>
      <c r="AE383" s="153"/>
      <c r="AF383" s="153"/>
      <c r="AG383" s="159"/>
      <c r="AH383" s="413" t="s">
        <v>829</v>
      </c>
      <c r="AI383" s="105"/>
      <c r="AJ383" s="105"/>
      <c r="AK383" s="105"/>
      <c r="AL383" s="105"/>
      <c r="AM383" s="105"/>
      <c r="AN383" s="105"/>
      <c r="AO383" s="105"/>
      <c r="AP383" s="105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5"/>
      <c r="BB383" s="105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5"/>
      <c r="BN383" s="105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5"/>
      <c r="BZ383" s="105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5"/>
      <c r="CM383" s="105"/>
      <c r="CN383" s="105"/>
      <c r="CO383" s="105"/>
      <c r="CP383" s="105"/>
      <c r="CQ383" s="105"/>
      <c r="CR383" s="105"/>
      <c r="CS383" s="105"/>
      <c r="CT383" s="105"/>
      <c r="CU383" s="105"/>
      <c r="CV383" s="105"/>
      <c r="CW383" s="105"/>
      <c r="CX383" s="105"/>
      <c r="CY383" s="105"/>
      <c r="CZ383" s="105"/>
      <c r="DA383" s="105"/>
      <c r="DB383" s="105"/>
      <c r="DC383" s="105"/>
      <c r="DD383" s="105"/>
      <c r="DE383" s="105"/>
      <c r="DF383" s="105"/>
      <c r="DG383" s="105"/>
      <c r="DH383" s="105"/>
      <c r="DI383" s="105"/>
      <c r="DJ383" s="105"/>
      <c r="DK383" s="105"/>
      <c r="DL383" s="105"/>
      <c r="DM383" s="105"/>
      <c r="DN383" s="105"/>
      <c r="DO383" s="105"/>
      <c r="DP383" s="105"/>
      <c r="DQ383" s="105"/>
      <c r="DR383" s="105"/>
      <c r="DS383" s="105"/>
      <c r="DT383" s="105"/>
      <c r="DU383" s="105"/>
      <c r="DV383" s="105"/>
      <c r="DW383" s="105"/>
      <c r="DX383" s="105"/>
      <c r="DY383" s="105"/>
      <c r="DZ383" s="105"/>
      <c r="EA383" s="105"/>
      <c r="EB383" s="105"/>
      <c r="EC383" s="105"/>
      <c r="ED383" s="105"/>
      <c r="EE383" s="105"/>
      <c r="EF383" s="105"/>
      <c r="EG383" s="105"/>
      <c r="EH383" s="105"/>
      <c r="EI383" s="105"/>
      <c r="EJ383" s="105"/>
      <c r="EK383" s="105"/>
      <c r="EL383" s="105"/>
      <c r="EM383" s="105"/>
      <c r="EN383" s="105"/>
      <c r="EO383" s="105"/>
      <c r="EP383" s="105"/>
      <c r="EQ383" s="105"/>
      <c r="ER383" s="105"/>
      <c r="ES383" s="105"/>
      <c r="ET383" s="105"/>
      <c r="EU383" s="105"/>
      <c r="EV383" s="105"/>
      <c r="EW383" s="105"/>
      <c r="EX383" s="105"/>
      <c r="EY383" s="105"/>
      <c r="EZ383" s="105"/>
      <c r="FA383" s="105"/>
      <c r="FB383" s="105"/>
      <c r="FC383" s="105"/>
      <c r="FD383" s="105"/>
      <c r="FE383" s="105"/>
      <c r="FF383" s="105"/>
      <c r="FG383" s="105"/>
      <c r="FH383" s="105"/>
      <c r="FI383" s="105"/>
      <c r="FJ383" s="105"/>
      <c r="FK383" s="105"/>
      <c r="FL383" s="105"/>
      <c r="FM383" s="105"/>
      <c r="FN383" s="105"/>
      <c r="FO383" s="105"/>
      <c r="FP383" s="105"/>
      <c r="FQ383" s="105"/>
      <c r="FR383" s="105"/>
      <c r="FS383" s="105"/>
      <c r="FT383" s="105"/>
      <c r="FU383" s="105"/>
      <c r="FV383" s="105"/>
      <c r="FW383" s="105"/>
      <c r="FX383" s="105"/>
      <c r="FY383" s="105"/>
      <c r="FZ383" s="105"/>
      <c r="GA383" s="105"/>
      <c r="GB383" s="105"/>
      <c r="GC383" s="105"/>
      <c r="GD383" s="105"/>
      <c r="GE383" s="105"/>
      <c r="GF383" s="105"/>
      <c r="GG383" s="105"/>
      <c r="GH383" s="105"/>
      <c r="GI383" s="105"/>
      <c r="GJ383" s="105"/>
      <c r="GK383" s="105"/>
      <c r="GL383" s="105"/>
      <c r="GM383" s="105"/>
      <c r="GN383" s="105"/>
      <c r="GO383" s="105"/>
      <c r="GP383" s="105"/>
      <c r="GQ383" s="105"/>
      <c r="GR383" s="105"/>
      <c r="GS383" s="105"/>
      <c r="GT383" s="105"/>
      <c r="GU383" s="105"/>
      <c r="GV383" s="105"/>
      <c r="GW383" s="105"/>
      <c r="GX383" s="105"/>
      <c r="GY383" s="105"/>
      <c r="GZ383" s="105"/>
      <c r="HA383" s="105"/>
      <c r="HB383" s="105"/>
      <c r="HC383" s="105"/>
      <c r="HD383" s="105"/>
      <c r="HE383" s="105"/>
      <c r="HF383" s="105"/>
      <c r="HG383" s="105"/>
      <c r="HH383" s="105"/>
      <c r="HI383" s="105"/>
      <c r="HJ383" s="105"/>
      <c r="HK383" s="105"/>
      <c r="HL383" s="105"/>
      <c r="HM383" s="105"/>
      <c r="HN383" s="105"/>
      <c r="HO383" s="105"/>
      <c r="HP383" s="105"/>
      <c r="HQ383" s="105"/>
      <c r="HR383" s="105"/>
      <c r="HS383" s="105"/>
      <c r="HT383" s="105"/>
      <c r="HU383" s="105"/>
      <c r="HV383" s="105"/>
      <c r="HW383" s="105"/>
      <c r="HX383" s="105"/>
      <c r="HY383" s="105"/>
      <c r="HZ383" s="105"/>
      <c r="IA383" s="105"/>
      <c r="IB383" s="105"/>
      <c r="IC383" s="105"/>
      <c r="ID383" s="105"/>
      <c r="IE383" s="105"/>
      <c r="IF383" s="105"/>
      <c r="IG383" s="105"/>
      <c r="IH383" s="105"/>
      <c r="II383" s="105"/>
      <c r="IJ383" s="105"/>
      <c r="IK383" s="105"/>
      <c r="IL383" s="105"/>
      <c r="IM383" s="105"/>
      <c r="IN383" s="105"/>
      <c r="IO383" s="105"/>
      <c r="IP383" s="105"/>
      <c r="IQ383" s="105"/>
      <c r="IR383" s="105"/>
      <c r="IS383" s="105"/>
      <c r="IT383" s="105"/>
      <c r="IU383" s="105"/>
      <c r="IV383" s="105"/>
    </row>
    <row r="384" spans="1:256" s="409" customFormat="1" x14ac:dyDescent="0.2">
      <c r="A384" s="45">
        <v>44466</v>
      </c>
      <c r="B384" s="46" t="s">
        <v>96</v>
      </c>
      <c r="C384" s="46">
        <v>2021</v>
      </c>
      <c r="D384" s="46" t="s">
        <v>2</v>
      </c>
      <c r="E384" s="76">
        <v>-1.2E-2</v>
      </c>
      <c r="F384" s="181" t="s">
        <v>32</v>
      </c>
      <c r="G384" s="77">
        <f>-(E384*95000)</f>
        <v>1140</v>
      </c>
      <c r="H384" s="76">
        <v>251</v>
      </c>
      <c r="I384" s="76" t="s">
        <v>80</v>
      </c>
      <c r="J384" s="181" t="s">
        <v>36</v>
      </c>
      <c r="K384" s="76">
        <v>0.02</v>
      </c>
      <c r="L384" s="76" t="s">
        <v>942</v>
      </c>
      <c r="M384" s="76" t="s">
        <v>943</v>
      </c>
      <c r="N384" s="76" t="s">
        <v>944</v>
      </c>
      <c r="O384" s="76"/>
      <c r="P384" s="78" t="s">
        <v>227</v>
      </c>
      <c r="Q384" s="794">
        <v>41.315891999999998</v>
      </c>
      <c r="R384" s="691">
        <v>-87.387343000000001</v>
      </c>
      <c r="S384" s="78" t="s">
        <v>61</v>
      </c>
      <c r="T384" s="46"/>
      <c r="U384" s="46" t="s">
        <v>51</v>
      </c>
      <c r="V384" s="45"/>
      <c r="W384" s="47">
        <f>IF(AC384="Intr",0,G384*Definitions!$B$53)</f>
        <v>171</v>
      </c>
      <c r="X384" s="47">
        <f>IF(AC384="Intr",0,G384*Definitions!$B$54)</f>
        <v>798</v>
      </c>
      <c r="Y384" s="47">
        <f>IF(AC384="Intr",G384,G384*Definitions!$B$55)</f>
        <v>171</v>
      </c>
      <c r="Z384" s="47" t="s">
        <v>967</v>
      </c>
      <c r="AA384" s="47" t="s">
        <v>968</v>
      </c>
      <c r="AB384" s="47"/>
      <c r="AC384" s="46"/>
      <c r="AD384" s="46"/>
      <c r="AE384" s="46"/>
      <c r="AF384" s="46"/>
      <c r="AG384" s="48"/>
      <c r="AH384" s="78" t="s">
        <v>1133</v>
      </c>
      <c r="AI384" s="105"/>
      <c r="AJ384" s="105"/>
      <c r="AK384" s="105"/>
      <c r="AL384" s="105"/>
      <c r="AM384" s="105"/>
      <c r="AN384" s="105"/>
      <c r="AO384" s="105"/>
      <c r="AP384" s="105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5"/>
      <c r="BB384" s="105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5"/>
      <c r="BN384" s="105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5"/>
      <c r="BZ384" s="105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5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5"/>
      <c r="CX384" s="105"/>
      <c r="CY384" s="105"/>
      <c r="CZ384" s="105"/>
      <c r="DA384" s="105"/>
      <c r="DB384" s="105"/>
      <c r="DC384" s="105"/>
      <c r="DD384" s="105"/>
      <c r="DE384" s="105"/>
      <c r="DF384" s="105"/>
      <c r="DG384" s="105"/>
      <c r="DH384" s="105"/>
      <c r="DI384" s="105"/>
      <c r="DJ384" s="105"/>
      <c r="DK384" s="105"/>
      <c r="DL384" s="105"/>
      <c r="DM384" s="105"/>
      <c r="DN384" s="105"/>
      <c r="DO384" s="105"/>
      <c r="DP384" s="105"/>
      <c r="DQ384" s="105"/>
      <c r="DR384" s="105"/>
      <c r="DS384" s="105"/>
      <c r="DT384" s="105"/>
      <c r="DU384" s="105"/>
      <c r="DV384" s="105"/>
      <c r="DW384" s="105"/>
      <c r="DX384" s="105"/>
      <c r="DY384" s="105"/>
      <c r="DZ384" s="105"/>
      <c r="EA384" s="105"/>
      <c r="EB384" s="105"/>
      <c r="EC384" s="105"/>
      <c r="ED384" s="105"/>
      <c r="EE384" s="105"/>
      <c r="EF384" s="105"/>
      <c r="EG384" s="105"/>
      <c r="EH384" s="105"/>
      <c r="EI384" s="105"/>
      <c r="EJ384" s="105"/>
      <c r="EK384" s="105"/>
      <c r="EL384" s="105"/>
      <c r="EM384" s="105"/>
      <c r="EN384" s="105"/>
      <c r="EO384" s="105"/>
      <c r="EP384" s="105"/>
      <c r="EQ384" s="105"/>
      <c r="ER384" s="105"/>
      <c r="ES384" s="105"/>
      <c r="ET384" s="105"/>
      <c r="EU384" s="105"/>
      <c r="EV384" s="105"/>
      <c r="EW384" s="105"/>
      <c r="EX384" s="105"/>
      <c r="EY384" s="105"/>
      <c r="EZ384" s="105"/>
      <c r="FA384" s="105"/>
      <c r="FB384" s="105"/>
      <c r="FC384" s="105"/>
      <c r="FD384" s="105"/>
      <c r="FE384" s="105"/>
      <c r="FF384" s="105"/>
      <c r="FG384" s="105"/>
      <c r="FH384" s="105"/>
      <c r="FI384" s="105"/>
      <c r="FJ384" s="105"/>
      <c r="FK384" s="105"/>
      <c r="FL384" s="105"/>
      <c r="FM384" s="105"/>
      <c r="FN384" s="105"/>
      <c r="FO384" s="105"/>
      <c r="FP384" s="105"/>
      <c r="FQ384" s="105"/>
      <c r="FR384" s="105"/>
      <c r="FS384" s="105"/>
      <c r="FT384" s="105"/>
      <c r="FU384" s="105"/>
      <c r="FV384" s="105"/>
      <c r="FW384" s="105"/>
      <c r="FX384" s="105"/>
      <c r="FY384" s="105"/>
      <c r="FZ384" s="105"/>
      <c r="GA384" s="105"/>
      <c r="GB384" s="105"/>
      <c r="GC384" s="105"/>
      <c r="GD384" s="105"/>
      <c r="GE384" s="105"/>
      <c r="GF384" s="105"/>
      <c r="GG384" s="105"/>
      <c r="GH384" s="105"/>
      <c r="GI384" s="105"/>
      <c r="GJ384" s="105"/>
      <c r="GK384" s="105"/>
      <c r="GL384" s="105"/>
      <c r="GM384" s="105"/>
      <c r="GN384" s="105"/>
      <c r="GO384" s="105"/>
      <c r="GP384" s="105"/>
      <c r="GQ384" s="105"/>
      <c r="GR384" s="105"/>
      <c r="GS384" s="105"/>
      <c r="GT384" s="105"/>
      <c r="GU384" s="105"/>
      <c r="GV384" s="105"/>
      <c r="GW384" s="105"/>
      <c r="GX384" s="105"/>
      <c r="GY384" s="105"/>
      <c r="GZ384" s="105"/>
      <c r="HA384" s="105"/>
      <c r="HB384" s="105"/>
      <c r="HC384" s="105"/>
      <c r="HD384" s="105"/>
      <c r="HE384" s="105"/>
      <c r="HF384" s="105"/>
      <c r="HG384" s="105"/>
      <c r="HH384" s="105"/>
      <c r="HI384" s="105"/>
      <c r="HJ384" s="105"/>
      <c r="HK384" s="105"/>
      <c r="HL384" s="105"/>
      <c r="HM384" s="105"/>
      <c r="HN384" s="105"/>
      <c r="HO384" s="105"/>
      <c r="HP384" s="105"/>
      <c r="HQ384" s="105"/>
      <c r="HR384" s="105"/>
      <c r="HS384" s="105"/>
      <c r="HT384" s="105"/>
      <c r="HU384" s="105"/>
      <c r="HV384" s="105"/>
      <c r="HW384" s="105"/>
      <c r="HX384" s="105"/>
      <c r="HY384" s="105"/>
      <c r="HZ384" s="105"/>
      <c r="IA384" s="105"/>
      <c r="IB384" s="105"/>
      <c r="IC384" s="105"/>
      <c r="ID384" s="105"/>
      <c r="IE384" s="105"/>
      <c r="IF384" s="105"/>
      <c r="IG384" s="105"/>
      <c r="IH384" s="105"/>
      <c r="II384" s="105"/>
      <c r="IJ384" s="105"/>
      <c r="IK384" s="105"/>
      <c r="IL384" s="105"/>
      <c r="IM384" s="105"/>
      <c r="IN384" s="105"/>
      <c r="IO384" s="105"/>
      <c r="IP384" s="105"/>
      <c r="IQ384" s="105"/>
      <c r="IR384" s="105"/>
      <c r="IS384" s="105"/>
      <c r="IT384" s="105"/>
      <c r="IU384" s="105"/>
      <c r="IV384" s="105"/>
    </row>
    <row r="385" spans="1:256" s="409" customFormat="1" x14ac:dyDescent="0.2">
      <c r="A385" s="45">
        <v>44466</v>
      </c>
      <c r="B385" s="46" t="s">
        <v>96</v>
      </c>
      <c r="C385" s="46">
        <v>2021</v>
      </c>
      <c r="D385" s="46" t="s">
        <v>2</v>
      </c>
      <c r="E385" s="76">
        <v>-0.3</v>
      </c>
      <c r="F385" s="181" t="s">
        <v>32</v>
      </c>
      <c r="G385" s="77">
        <f>-(E385*95000)</f>
        <v>28500</v>
      </c>
      <c r="H385" s="76">
        <v>251</v>
      </c>
      <c r="I385" s="76" t="s">
        <v>80</v>
      </c>
      <c r="J385" s="181" t="s">
        <v>38</v>
      </c>
      <c r="K385" s="76">
        <v>0.63</v>
      </c>
      <c r="L385" s="76" t="s">
        <v>942</v>
      </c>
      <c r="M385" s="76" t="s">
        <v>943</v>
      </c>
      <c r="N385" s="76" t="s">
        <v>944</v>
      </c>
      <c r="O385" s="76"/>
      <c r="P385" s="78" t="s">
        <v>227</v>
      </c>
      <c r="Q385" s="794">
        <v>41.315891999999998</v>
      </c>
      <c r="R385" s="691">
        <v>-87.387343000000001</v>
      </c>
      <c r="S385" s="78" t="s">
        <v>61</v>
      </c>
      <c r="T385" s="46"/>
      <c r="U385" s="46" t="s">
        <v>51</v>
      </c>
      <c r="V385" s="45"/>
      <c r="W385" s="47">
        <f>IF(AC385="Intr",0,G385*Definitions!$B$53)</f>
        <v>4275</v>
      </c>
      <c r="X385" s="47">
        <f>IF(AC385="Intr",0,G385*Definitions!$B$54)</f>
        <v>19950</v>
      </c>
      <c r="Y385" s="47">
        <f>IF(AC385="Intr",G385,G385*Definitions!$B$55)</f>
        <v>4275</v>
      </c>
      <c r="Z385" s="47" t="s">
        <v>967</v>
      </c>
      <c r="AA385" s="47" t="s">
        <v>968</v>
      </c>
      <c r="AB385" s="47"/>
      <c r="AC385" s="46"/>
      <c r="AD385" s="46"/>
      <c r="AE385" s="46"/>
      <c r="AF385" s="46"/>
      <c r="AG385" s="48"/>
      <c r="AH385" s="78" t="s">
        <v>946</v>
      </c>
      <c r="AI385" s="105"/>
      <c r="AJ385" s="105"/>
      <c r="AK385" s="105"/>
      <c r="AL385" s="105"/>
      <c r="AM385" s="105"/>
      <c r="AN385" s="105"/>
      <c r="AO385" s="105"/>
      <c r="AP385" s="105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5"/>
      <c r="BB385" s="105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5"/>
      <c r="BN385" s="105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5"/>
      <c r="BZ385" s="105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5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5"/>
      <c r="CX385" s="105"/>
      <c r="CY385" s="105"/>
      <c r="CZ385" s="105"/>
      <c r="DA385" s="105"/>
      <c r="DB385" s="105"/>
      <c r="DC385" s="105"/>
      <c r="DD385" s="105"/>
      <c r="DE385" s="105"/>
      <c r="DF385" s="105"/>
      <c r="DG385" s="105"/>
      <c r="DH385" s="105"/>
      <c r="DI385" s="105"/>
      <c r="DJ385" s="105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5"/>
      <c r="DV385" s="105"/>
      <c r="DW385" s="105"/>
      <c r="DX385" s="105"/>
      <c r="DY385" s="105"/>
      <c r="DZ385" s="105"/>
      <c r="EA385" s="105"/>
      <c r="EB385" s="105"/>
      <c r="EC385" s="105"/>
      <c r="ED385" s="105"/>
      <c r="EE385" s="105"/>
      <c r="EF385" s="105"/>
      <c r="EG385" s="105"/>
      <c r="EH385" s="105"/>
      <c r="EI385" s="105"/>
      <c r="EJ385" s="105"/>
      <c r="EK385" s="105"/>
      <c r="EL385" s="105"/>
      <c r="EM385" s="105"/>
      <c r="EN385" s="105"/>
      <c r="EO385" s="105"/>
      <c r="EP385" s="105"/>
      <c r="EQ385" s="105"/>
      <c r="ER385" s="105"/>
      <c r="ES385" s="105"/>
      <c r="ET385" s="105"/>
      <c r="EU385" s="105"/>
      <c r="EV385" s="105"/>
      <c r="EW385" s="105"/>
      <c r="EX385" s="105"/>
      <c r="EY385" s="105"/>
      <c r="EZ385" s="105"/>
      <c r="FA385" s="105"/>
      <c r="FB385" s="105"/>
      <c r="FC385" s="105"/>
      <c r="FD385" s="105"/>
      <c r="FE385" s="105"/>
      <c r="FF385" s="105"/>
      <c r="FG385" s="105"/>
      <c r="FH385" s="105"/>
      <c r="FI385" s="105"/>
      <c r="FJ385" s="105"/>
      <c r="FK385" s="105"/>
      <c r="FL385" s="105"/>
      <c r="FM385" s="105"/>
      <c r="FN385" s="105"/>
      <c r="FO385" s="105"/>
      <c r="FP385" s="105"/>
      <c r="FQ385" s="105"/>
      <c r="FR385" s="105"/>
      <c r="FS385" s="105"/>
      <c r="FT385" s="105"/>
      <c r="FU385" s="105"/>
      <c r="FV385" s="105"/>
      <c r="FW385" s="105"/>
      <c r="FX385" s="105"/>
      <c r="FY385" s="105"/>
      <c r="FZ385" s="105"/>
      <c r="GA385" s="105"/>
      <c r="GB385" s="105"/>
      <c r="GC385" s="105"/>
      <c r="GD385" s="105"/>
      <c r="GE385" s="105"/>
      <c r="GF385" s="105"/>
      <c r="GG385" s="105"/>
      <c r="GH385" s="105"/>
      <c r="GI385" s="105"/>
      <c r="GJ385" s="105"/>
      <c r="GK385" s="105"/>
      <c r="GL385" s="105"/>
      <c r="GM385" s="105"/>
      <c r="GN385" s="105"/>
      <c r="GO385" s="105"/>
      <c r="GP385" s="105"/>
      <c r="GQ385" s="105"/>
      <c r="GR385" s="105"/>
      <c r="GS385" s="105"/>
      <c r="GT385" s="105"/>
      <c r="GU385" s="105"/>
      <c r="GV385" s="105"/>
      <c r="GW385" s="105"/>
      <c r="GX385" s="105"/>
      <c r="GY385" s="105"/>
      <c r="GZ385" s="105"/>
      <c r="HA385" s="105"/>
      <c r="HB385" s="105"/>
      <c r="HC385" s="105"/>
      <c r="HD385" s="105"/>
      <c r="HE385" s="105"/>
      <c r="HF385" s="105"/>
      <c r="HG385" s="105"/>
      <c r="HH385" s="105"/>
      <c r="HI385" s="105"/>
      <c r="HJ385" s="105"/>
      <c r="HK385" s="105"/>
      <c r="HL385" s="105"/>
      <c r="HM385" s="105"/>
      <c r="HN385" s="105"/>
      <c r="HO385" s="105"/>
      <c r="HP385" s="105"/>
      <c r="HQ385" s="105"/>
      <c r="HR385" s="105"/>
      <c r="HS385" s="105"/>
      <c r="HT385" s="105"/>
      <c r="HU385" s="105"/>
      <c r="HV385" s="105"/>
      <c r="HW385" s="105"/>
      <c r="HX385" s="105"/>
      <c r="HY385" s="105"/>
      <c r="HZ385" s="105"/>
      <c r="IA385" s="105"/>
      <c r="IB385" s="105"/>
      <c r="IC385" s="105"/>
      <c r="ID385" s="105"/>
      <c r="IE385" s="105"/>
      <c r="IF385" s="105"/>
      <c r="IG385" s="105"/>
      <c r="IH385" s="105"/>
      <c r="II385" s="105"/>
      <c r="IJ385" s="105"/>
      <c r="IK385" s="105"/>
      <c r="IL385" s="105"/>
      <c r="IM385" s="105"/>
      <c r="IN385" s="105"/>
      <c r="IO385" s="105"/>
      <c r="IP385" s="105"/>
      <c r="IQ385" s="105"/>
      <c r="IR385" s="105"/>
      <c r="IS385" s="105"/>
      <c r="IT385" s="105"/>
      <c r="IU385" s="105"/>
      <c r="IV385" s="105"/>
    </row>
    <row r="386" spans="1:256" x14ac:dyDescent="0.2">
      <c r="A386" s="45">
        <v>44466</v>
      </c>
      <c r="B386" s="46" t="s">
        <v>96</v>
      </c>
      <c r="C386" s="46">
        <v>2021</v>
      </c>
      <c r="D386" s="46" t="s">
        <v>2</v>
      </c>
      <c r="E386" s="76">
        <v>-0.05</v>
      </c>
      <c r="F386" s="181" t="s">
        <v>32</v>
      </c>
      <c r="G386" s="77">
        <f>-(E386*95000)</f>
        <v>4750</v>
      </c>
      <c r="H386" s="76">
        <v>251</v>
      </c>
      <c r="I386" s="76" t="s">
        <v>81</v>
      </c>
      <c r="J386" s="181" t="s">
        <v>38</v>
      </c>
      <c r="K386" s="76">
        <v>0.14000000000000001</v>
      </c>
      <c r="L386" s="76" t="s">
        <v>942</v>
      </c>
      <c r="M386" s="76" t="s">
        <v>729</v>
      </c>
      <c r="N386" s="76" t="s">
        <v>945</v>
      </c>
      <c r="O386" s="76"/>
      <c r="P386" s="78" t="s">
        <v>227</v>
      </c>
      <c r="Q386" s="794">
        <v>41.315891999999998</v>
      </c>
      <c r="R386" s="691">
        <v>-87.387343000000001</v>
      </c>
      <c r="S386" s="78" t="s">
        <v>61</v>
      </c>
      <c r="T386" s="46"/>
      <c r="U386" s="46" t="s">
        <v>51</v>
      </c>
      <c r="V386" s="45"/>
      <c r="W386" s="47">
        <f>IF(AC386="Intr",0,G386*Definitions!$B$53)</f>
        <v>712.5</v>
      </c>
      <c r="X386" s="47">
        <f>IF(AC386="Intr",0,G386*Definitions!$B$54)</f>
        <v>3325</v>
      </c>
      <c r="Y386" s="47">
        <f>IF(AC386="Intr",G386,G386*Definitions!$B$55)</f>
        <v>712.5</v>
      </c>
      <c r="Z386" s="47" t="s">
        <v>967</v>
      </c>
      <c r="AA386" s="47" t="s">
        <v>968</v>
      </c>
      <c r="AB386" s="47" t="s">
        <v>974</v>
      </c>
      <c r="AC386" s="46"/>
      <c r="AD386" s="46"/>
      <c r="AE386" s="46"/>
      <c r="AF386" s="46"/>
      <c r="AG386" s="48"/>
      <c r="AH386" s="78" t="s">
        <v>947</v>
      </c>
    </row>
    <row r="387" spans="1:256" s="111" customFormat="1" x14ac:dyDescent="0.2">
      <c r="A387" s="33">
        <v>44466</v>
      </c>
      <c r="B387" s="34" t="s">
        <v>96</v>
      </c>
      <c r="C387" s="34">
        <v>2021</v>
      </c>
      <c r="D387" s="34" t="s">
        <v>8</v>
      </c>
      <c r="E387" s="271">
        <v>-478</v>
      </c>
      <c r="F387" s="271" t="s">
        <v>33</v>
      </c>
      <c r="G387" s="272">
        <f>-(E387*400)</f>
        <v>191200</v>
      </c>
      <c r="H387" s="271">
        <v>237</v>
      </c>
      <c r="I387" s="271" t="s">
        <v>80</v>
      </c>
      <c r="J387" s="271" t="s">
        <v>39</v>
      </c>
      <c r="K387" s="271">
        <v>398</v>
      </c>
      <c r="L387" s="116" t="s">
        <v>830</v>
      </c>
      <c r="M387" s="271" t="s">
        <v>831</v>
      </c>
      <c r="N387" s="116" t="s">
        <v>832</v>
      </c>
      <c r="O387" s="34"/>
      <c r="P387" s="34" t="s">
        <v>125</v>
      </c>
      <c r="Q387" s="795">
        <v>39.144100000000002</v>
      </c>
      <c r="R387" s="692">
        <v>-85.944559999999996</v>
      </c>
      <c r="S387" s="34" t="s">
        <v>61</v>
      </c>
      <c r="T387" s="34"/>
      <c r="U387" s="34" t="s">
        <v>51</v>
      </c>
      <c r="V387" s="33"/>
      <c r="W387" s="35">
        <f>IF(AC387="Intr",0,G387*Definitions!$B$53)</f>
        <v>28680</v>
      </c>
      <c r="X387" s="35">
        <f>IF(AC387="Intr",0,G387*Definitions!$B$54)</f>
        <v>133840</v>
      </c>
      <c r="Y387" s="35">
        <f>IF(AC387="Intr",G387,G387*Definitions!$B$55)</f>
        <v>28680</v>
      </c>
      <c r="Z387" s="35" t="s">
        <v>966</v>
      </c>
      <c r="AA387" s="35" t="s">
        <v>968</v>
      </c>
      <c r="AB387" s="35"/>
      <c r="AC387" s="34"/>
      <c r="AD387" s="34"/>
      <c r="AE387" s="34"/>
      <c r="AF387" s="34"/>
      <c r="AG387" s="36"/>
      <c r="AH387" s="120" t="s">
        <v>834</v>
      </c>
      <c r="AI387" s="105"/>
      <c r="AJ387" s="105"/>
      <c r="AK387" s="105"/>
      <c r="AL387" s="105"/>
      <c r="AM387" s="105"/>
      <c r="AN387" s="105"/>
      <c r="AO387" s="105"/>
      <c r="AP387" s="105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5"/>
      <c r="BB387" s="105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5"/>
      <c r="BN387" s="105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5"/>
      <c r="BZ387" s="105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5"/>
      <c r="CM387" s="105"/>
      <c r="CN387" s="105"/>
      <c r="CO387" s="105"/>
      <c r="CP387" s="105"/>
      <c r="CQ387" s="105"/>
      <c r="CR387" s="105"/>
      <c r="CS387" s="105"/>
      <c r="CT387" s="105"/>
      <c r="CU387" s="105"/>
      <c r="CV387" s="105"/>
      <c r="CW387" s="105"/>
      <c r="CX387" s="105"/>
      <c r="CY387" s="105"/>
      <c r="CZ387" s="105"/>
      <c r="DA387" s="105"/>
      <c r="DB387" s="105"/>
      <c r="DC387" s="105"/>
      <c r="DD387" s="105"/>
      <c r="DE387" s="105"/>
      <c r="DF387" s="105"/>
      <c r="DG387" s="105"/>
      <c r="DH387" s="105"/>
      <c r="DI387" s="105"/>
      <c r="DJ387" s="105"/>
      <c r="DK387" s="105"/>
      <c r="DL387" s="105"/>
      <c r="DM387" s="105"/>
      <c r="DN387" s="105"/>
      <c r="DO387" s="105"/>
      <c r="DP387" s="105"/>
      <c r="DQ387" s="105"/>
      <c r="DR387" s="105"/>
      <c r="DS387" s="105"/>
      <c r="DT387" s="105"/>
      <c r="DU387" s="105"/>
      <c r="DV387" s="105"/>
      <c r="DW387" s="105"/>
      <c r="DX387" s="105"/>
      <c r="DY387" s="105"/>
      <c r="DZ387" s="105"/>
      <c r="EA387" s="105"/>
      <c r="EB387" s="105"/>
      <c r="EC387" s="105"/>
      <c r="ED387" s="105"/>
      <c r="EE387" s="105"/>
      <c r="EF387" s="105"/>
      <c r="EG387" s="105"/>
      <c r="EH387" s="105"/>
      <c r="EI387" s="105"/>
      <c r="EJ387" s="105"/>
      <c r="EK387" s="105"/>
      <c r="EL387" s="105"/>
      <c r="EM387" s="105"/>
      <c r="EN387" s="105"/>
      <c r="EO387" s="105"/>
      <c r="EP387" s="105"/>
      <c r="EQ387" s="105"/>
      <c r="ER387" s="105"/>
      <c r="ES387" s="105"/>
      <c r="ET387" s="105"/>
      <c r="EU387" s="105"/>
      <c r="EV387" s="105"/>
      <c r="EW387" s="105"/>
      <c r="EX387" s="105"/>
      <c r="EY387" s="105"/>
      <c r="EZ387" s="105"/>
      <c r="FA387" s="105"/>
      <c r="FB387" s="105"/>
      <c r="FC387" s="105"/>
      <c r="FD387" s="105"/>
      <c r="FE387" s="105"/>
      <c r="FF387" s="105"/>
      <c r="FG387" s="105"/>
      <c r="FH387" s="105"/>
      <c r="FI387" s="105"/>
      <c r="FJ387" s="105"/>
      <c r="FK387" s="105"/>
      <c r="FL387" s="105"/>
      <c r="FM387" s="105"/>
      <c r="FN387" s="105"/>
      <c r="FO387" s="105"/>
      <c r="FP387" s="105"/>
      <c r="FQ387" s="105"/>
      <c r="FR387" s="105"/>
      <c r="FS387" s="105"/>
      <c r="FT387" s="105"/>
      <c r="FU387" s="105"/>
      <c r="FV387" s="105"/>
      <c r="FW387" s="105"/>
      <c r="FX387" s="105"/>
      <c r="FY387" s="105"/>
      <c r="FZ387" s="105"/>
      <c r="GA387" s="105"/>
      <c r="GB387" s="105"/>
      <c r="GC387" s="105"/>
      <c r="GD387" s="105"/>
      <c r="GE387" s="105"/>
      <c r="GF387" s="105"/>
      <c r="GG387" s="105"/>
      <c r="GH387" s="105"/>
      <c r="GI387" s="105"/>
      <c r="GJ387" s="105"/>
      <c r="GK387" s="105"/>
      <c r="GL387" s="105"/>
      <c r="GM387" s="105"/>
      <c r="GN387" s="105"/>
      <c r="GO387" s="105"/>
      <c r="GP387" s="105"/>
      <c r="GQ387" s="105"/>
      <c r="GR387" s="105"/>
      <c r="GS387" s="105"/>
      <c r="GT387" s="105"/>
      <c r="GU387" s="105"/>
      <c r="GV387" s="105"/>
      <c r="GW387" s="105"/>
      <c r="GX387" s="105"/>
      <c r="GY387" s="105"/>
      <c r="GZ387" s="105"/>
      <c r="HA387" s="105"/>
      <c r="HB387" s="105"/>
      <c r="HC387" s="105"/>
      <c r="HD387" s="105"/>
      <c r="HE387" s="105"/>
      <c r="HF387" s="105"/>
      <c r="HG387" s="105"/>
      <c r="HH387" s="105"/>
      <c r="HI387" s="105"/>
      <c r="HJ387" s="105"/>
      <c r="HK387" s="105"/>
      <c r="HL387" s="105"/>
      <c r="HM387" s="105"/>
      <c r="HN387" s="105"/>
      <c r="HO387" s="105"/>
      <c r="HP387" s="105"/>
      <c r="HQ387" s="105"/>
      <c r="HR387" s="105"/>
      <c r="HS387" s="105"/>
      <c r="HT387" s="105"/>
      <c r="HU387" s="105"/>
      <c r="HV387" s="105"/>
      <c r="HW387" s="105"/>
      <c r="HX387" s="105"/>
      <c r="HY387" s="105"/>
      <c r="HZ387" s="105"/>
      <c r="IA387" s="105"/>
      <c r="IB387" s="105"/>
      <c r="IC387" s="105"/>
      <c r="ID387" s="105"/>
      <c r="IE387" s="105"/>
      <c r="IF387" s="105"/>
      <c r="IG387" s="105"/>
      <c r="IH387" s="105"/>
      <c r="II387" s="105"/>
      <c r="IJ387" s="105"/>
      <c r="IK387" s="105"/>
      <c r="IL387" s="105"/>
      <c r="IM387" s="105"/>
      <c r="IN387" s="105"/>
      <c r="IO387" s="105"/>
      <c r="IP387" s="105"/>
      <c r="IQ387" s="105"/>
      <c r="IR387" s="105"/>
      <c r="IS387" s="105"/>
      <c r="IT387" s="105"/>
      <c r="IU387" s="105"/>
      <c r="IV387" s="105"/>
    </row>
    <row r="388" spans="1:256" s="410" customFormat="1" x14ac:dyDescent="0.2">
      <c r="A388" s="33">
        <v>44466</v>
      </c>
      <c r="B388" s="34" t="s">
        <v>96</v>
      </c>
      <c r="C388" s="34">
        <v>2021</v>
      </c>
      <c r="D388" s="34" t="s">
        <v>8</v>
      </c>
      <c r="E388" s="271">
        <v>-1271</v>
      </c>
      <c r="F388" s="271" t="s">
        <v>33</v>
      </c>
      <c r="G388" s="272">
        <f>-(E388*400)</f>
        <v>508400</v>
      </c>
      <c r="H388" s="271">
        <v>237</v>
      </c>
      <c r="I388" s="271" t="s">
        <v>80</v>
      </c>
      <c r="J388" s="271" t="s">
        <v>40</v>
      </c>
      <c r="K388" s="271">
        <v>1059</v>
      </c>
      <c r="L388" s="116" t="s">
        <v>830</v>
      </c>
      <c r="M388" s="271" t="s">
        <v>831</v>
      </c>
      <c r="N388" s="116" t="s">
        <v>832</v>
      </c>
      <c r="O388" s="34"/>
      <c r="P388" s="34" t="s">
        <v>125</v>
      </c>
      <c r="Q388" s="795">
        <v>39.144100000000002</v>
      </c>
      <c r="R388" s="692">
        <v>-85.944559999999996</v>
      </c>
      <c r="S388" s="34" t="s">
        <v>61</v>
      </c>
      <c r="T388" s="34"/>
      <c r="U388" s="34" t="s">
        <v>51</v>
      </c>
      <c r="V388" s="33"/>
      <c r="W388" s="35">
        <f>IF(AC388="Intr",0,G388*Definitions!$B$53)</f>
        <v>76260</v>
      </c>
      <c r="X388" s="35">
        <f>IF(AC388="Intr",0,G388*Definitions!$B$54)</f>
        <v>355880</v>
      </c>
      <c r="Y388" s="35">
        <f>IF(AC388="Intr",G388,G388*Definitions!$B$55)</f>
        <v>76260</v>
      </c>
      <c r="Z388" s="35" t="s">
        <v>966</v>
      </c>
      <c r="AA388" s="35" t="s">
        <v>968</v>
      </c>
      <c r="AB388" s="35"/>
      <c r="AC388" s="34"/>
      <c r="AD388" s="34"/>
      <c r="AE388" s="34"/>
      <c r="AF388" s="34"/>
      <c r="AG388" s="36"/>
      <c r="AH388" s="120" t="s">
        <v>835</v>
      </c>
      <c r="AI388" s="105"/>
      <c r="AJ388" s="105"/>
      <c r="AK388" s="105"/>
      <c r="AL388" s="105"/>
      <c r="AM388" s="105"/>
      <c r="AN388" s="105"/>
      <c r="AO388" s="105"/>
      <c r="AP388" s="105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5"/>
      <c r="BB388" s="105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5"/>
      <c r="BN388" s="105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5"/>
      <c r="BZ388" s="105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5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5"/>
      <c r="CX388" s="105"/>
      <c r="CY388" s="105"/>
      <c r="CZ388" s="105"/>
      <c r="DA388" s="105"/>
      <c r="DB388" s="105"/>
      <c r="DC388" s="105"/>
      <c r="DD388" s="105"/>
      <c r="DE388" s="105"/>
      <c r="DF388" s="105"/>
      <c r="DG388" s="105"/>
      <c r="DH388" s="105"/>
      <c r="DI388" s="105"/>
      <c r="DJ388" s="105"/>
      <c r="DK388" s="105"/>
      <c r="DL388" s="105"/>
      <c r="DM388" s="105"/>
      <c r="DN388" s="105"/>
      <c r="DO388" s="105"/>
      <c r="DP388" s="105"/>
      <c r="DQ388" s="105"/>
      <c r="DR388" s="105"/>
      <c r="DS388" s="105"/>
      <c r="DT388" s="105"/>
      <c r="DU388" s="105"/>
      <c r="DV388" s="105"/>
      <c r="DW388" s="105"/>
      <c r="DX388" s="105"/>
      <c r="DY388" s="105"/>
      <c r="DZ388" s="105"/>
      <c r="EA388" s="105"/>
      <c r="EB388" s="105"/>
      <c r="EC388" s="105"/>
      <c r="ED388" s="105"/>
      <c r="EE388" s="105"/>
      <c r="EF388" s="105"/>
      <c r="EG388" s="105"/>
      <c r="EH388" s="105"/>
      <c r="EI388" s="105"/>
      <c r="EJ388" s="105"/>
      <c r="EK388" s="105"/>
      <c r="EL388" s="105"/>
      <c r="EM388" s="105"/>
      <c r="EN388" s="105"/>
      <c r="EO388" s="105"/>
      <c r="EP388" s="105"/>
      <c r="EQ388" s="105"/>
      <c r="ER388" s="105"/>
      <c r="ES388" s="105"/>
      <c r="ET388" s="105"/>
      <c r="EU388" s="105"/>
      <c r="EV388" s="105"/>
      <c r="EW388" s="105"/>
      <c r="EX388" s="105"/>
      <c r="EY388" s="105"/>
      <c r="EZ388" s="105"/>
      <c r="FA388" s="105"/>
      <c r="FB388" s="105"/>
      <c r="FC388" s="105"/>
      <c r="FD388" s="105"/>
      <c r="FE388" s="105"/>
      <c r="FF388" s="105"/>
      <c r="FG388" s="105"/>
      <c r="FH388" s="105"/>
      <c r="FI388" s="105"/>
      <c r="FJ388" s="105"/>
      <c r="FK388" s="105"/>
      <c r="FL388" s="105"/>
      <c r="FM388" s="105"/>
      <c r="FN388" s="105"/>
      <c r="FO388" s="105"/>
      <c r="FP388" s="105"/>
      <c r="FQ388" s="105"/>
      <c r="FR388" s="105"/>
      <c r="FS388" s="105"/>
      <c r="FT388" s="105"/>
      <c r="FU388" s="105"/>
      <c r="FV388" s="105"/>
      <c r="FW388" s="105"/>
      <c r="FX388" s="105"/>
      <c r="FY388" s="105"/>
      <c r="FZ388" s="105"/>
      <c r="GA388" s="105"/>
      <c r="GB388" s="105"/>
      <c r="GC388" s="105"/>
      <c r="GD388" s="105"/>
      <c r="GE388" s="105"/>
      <c r="GF388" s="105"/>
      <c r="GG388" s="105"/>
      <c r="GH388" s="105"/>
      <c r="GI388" s="105"/>
      <c r="GJ388" s="105"/>
      <c r="GK388" s="105"/>
      <c r="GL388" s="105"/>
      <c r="GM388" s="105"/>
      <c r="GN388" s="105"/>
      <c r="GO388" s="105"/>
      <c r="GP388" s="105"/>
      <c r="GQ388" s="105"/>
      <c r="GR388" s="105"/>
      <c r="GS388" s="105"/>
      <c r="GT388" s="105"/>
      <c r="GU388" s="105"/>
      <c r="GV388" s="105"/>
      <c r="GW388" s="105"/>
      <c r="GX388" s="105"/>
      <c r="GY388" s="105"/>
      <c r="GZ388" s="105"/>
      <c r="HA388" s="105"/>
      <c r="HB388" s="105"/>
      <c r="HC388" s="105"/>
      <c r="HD388" s="105"/>
      <c r="HE388" s="105"/>
      <c r="HF388" s="105"/>
      <c r="HG388" s="105"/>
      <c r="HH388" s="105"/>
      <c r="HI388" s="105"/>
      <c r="HJ388" s="105"/>
      <c r="HK388" s="105"/>
      <c r="HL388" s="105"/>
      <c r="HM388" s="105"/>
      <c r="HN388" s="105"/>
      <c r="HO388" s="105"/>
      <c r="HP388" s="105"/>
      <c r="HQ388" s="105"/>
      <c r="HR388" s="105"/>
      <c r="HS388" s="105"/>
      <c r="HT388" s="105"/>
      <c r="HU388" s="105"/>
      <c r="HV388" s="105"/>
      <c r="HW388" s="105"/>
      <c r="HX388" s="105"/>
      <c r="HY388" s="105"/>
      <c r="HZ388" s="105"/>
      <c r="IA388" s="105"/>
      <c r="IB388" s="105"/>
      <c r="IC388" s="105"/>
      <c r="ID388" s="105"/>
      <c r="IE388" s="105"/>
      <c r="IF388" s="105"/>
      <c r="IG388" s="105"/>
      <c r="IH388" s="105"/>
      <c r="II388" s="105"/>
      <c r="IJ388" s="105"/>
      <c r="IK388" s="105"/>
      <c r="IL388" s="105"/>
      <c r="IM388" s="105"/>
      <c r="IN388" s="105"/>
      <c r="IO388" s="105"/>
      <c r="IP388" s="105"/>
      <c r="IQ388" s="105"/>
      <c r="IR388" s="105"/>
      <c r="IS388" s="105"/>
      <c r="IT388" s="105"/>
      <c r="IU388" s="105"/>
      <c r="IV388" s="105"/>
    </row>
    <row r="389" spans="1:256" s="410" customFormat="1" x14ac:dyDescent="0.2">
      <c r="A389" s="33">
        <v>44466</v>
      </c>
      <c r="B389" s="34" t="s">
        <v>96</v>
      </c>
      <c r="C389" s="34">
        <v>2021</v>
      </c>
      <c r="D389" s="34" t="s">
        <v>8</v>
      </c>
      <c r="E389" s="271">
        <v>-0.61719999999999997</v>
      </c>
      <c r="F389" s="271" t="s">
        <v>32</v>
      </c>
      <c r="G389" s="272">
        <f>-(E389*80000)</f>
        <v>49376</v>
      </c>
      <c r="H389" s="271">
        <v>237</v>
      </c>
      <c r="I389" s="271" t="s">
        <v>80</v>
      </c>
      <c r="J389" s="271" t="s">
        <v>38</v>
      </c>
      <c r="K389" s="271">
        <v>0.15429999999999999</v>
      </c>
      <c r="L389" s="116" t="s">
        <v>830</v>
      </c>
      <c r="M389" s="271" t="s">
        <v>831</v>
      </c>
      <c r="N389" s="116" t="s">
        <v>832</v>
      </c>
      <c r="O389" s="34"/>
      <c r="P389" s="34" t="s">
        <v>125</v>
      </c>
      <c r="Q389" s="795">
        <v>39.144100000000002</v>
      </c>
      <c r="R389" s="692">
        <v>-85.944559999999996</v>
      </c>
      <c r="S389" s="34" t="s">
        <v>61</v>
      </c>
      <c r="T389" s="34"/>
      <c r="U389" s="34" t="s">
        <v>51</v>
      </c>
      <c r="V389" s="33"/>
      <c r="W389" s="35">
        <f>IF(AC389="Intr",0,G389*Definitions!$B$53)</f>
        <v>7406.4</v>
      </c>
      <c r="X389" s="35">
        <f>IF(AC389="Intr",0,G389*Definitions!$B$54)</f>
        <v>34563.199999999997</v>
      </c>
      <c r="Y389" s="35">
        <f>IF(AC389="Intr",G389,G389*Definitions!$B$55)</f>
        <v>7406.4</v>
      </c>
      <c r="Z389" s="35" t="s">
        <v>966</v>
      </c>
      <c r="AA389" s="35" t="s">
        <v>968</v>
      </c>
      <c r="AB389" s="35"/>
      <c r="AC389" s="34"/>
      <c r="AD389" s="34"/>
      <c r="AE389" s="34"/>
      <c r="AF389" s="34"/>
      <c r="AG389" s="36"/>
      <c r="AH389" s="120" t="s">
        <v>836</v>
      </c>
      <c r="AI389" s="105"/>
      <c r="AJ389" s="105"/>
      <c r="AK389" s="105"/>
      <c r="AL389" s="105"/>
      <c r="AM389" s="105"/>
      <c r="AN389" s="105"/>
      <c r="AO389" s="105"/>
      <c r="AP389" s="105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5"/>
      <c r="BB389" s="105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5"/>
      <c r="BN389" s="105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5"/>
      <c r="BZ389" s="105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5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5"/>
      <c r="CX389" s="105"/>
      <c r="CY389" s="105"/>
      <c r="CZ389" s="105"/>
      <c r="DA389" s="105"/>
      <c r="DB389" s="105"/>
      <c r="DC389" s="105"/>
      <c r="DD389" s="105"/>
      <c r="DE389" s="105"/>
      <c r="DF389" s="105"/>
      <c r="DG389" s="105"/>
      <c r="DH389" s="105"/>
      <c r="DI389" s="105"/>
      <c r="DJ389" s="105"/>
      <c r="DK389" s="105"/>
      <c r="DL389" s="105"/>
      <c r="DM389" s="105"/>
      <c r="DN389" s="105"/>
      <c r="DO389" s="105"/>
      <c r="DP389" s="105"/>
      <c r="DQ389" s="105"/>
      <c r="DR389" s="105"/>
      <c r="DS389" s="105"/>
      <c r="DT389" s="105"/>
      <c r="DU389" s="105"/>
      <c r="DV389" s="105"/>
      <c r="DW389" s="105"/>
      <c r="DX389" s="105"/>
      <c r="DY389" s="105"/>
      <c r="DZ389" s="105"/>
      <c r="EA389" s="105"/>
      <c r="EB389" s="105"/>
      <c r="EC389" s="105"/>
      <c r="ED389" s="105"/>
      <c r="EE389" s="105"/>
      <c r="EF389" s="105"/>
      <c r="EG389" s="105"/>
      <c r="EH389" s="105"/>
      <c r="EI389" s="105"/>
      <c r="EJ389" s="105"/>
      <c r="EK389" s="105"/>
      <c r="EL389" s="105"/>
      <c r="EM389" s="105"/>
      <c r="EN389" s="105"/>
      <c r="EO389" s="105"/>
      <c r="EP389" s="105"/>
      <c r="EQ389" s="105"/>
      <c r="ER389" s="105"/>
      <c r="ES389" s="105"/>
      <c r="ET389" s="105"/>
      <c r="EU389" s="105"/>
      <c r="EV389" s="105"/>
      <c r="EW389" s="105"/>
      <c r="EX389" s="105"/>
      <c r="EY389" s="105"/>
      <c r="EZ389" s="105"/>
      <c r="FA389" s="105"/>
      <c r="FB389" s="105"/>
      <c r="FC389" s="105"/>
      <c r="FD389" s="105"/>
      <c r="FE389" s="105"/>
      <c r="FF389" s="105"/>
      <c r="FG389" s="105"/>
      <c r="FH389" s="105"/>
      <c r="FI389" s="105"/>
      <c r="FJ389" s="105"/>
      <c r="FK389" s="105"/>
      <c r="FL389" s="105"/>
      <c r="FM389" s="105"/>
      <c r="FN389" s="105"/>
      <c r="FO389" s="105"/>
      <c r="FP389" s="105"/>
      <c r="FQ389" s="105"/>
      <c r="FR389" s="105"/>
      <c r="FS389" s="105"/>
      <c r="FT389" s="105"/>
      <c r="FU389" s="105"/>
      <c r="FV389" s="105"/>
      <c r="FW389" s="105"/>
      <c r="FX389" s="105"/>
      <c r="FY389" s="105"/>
      <c r="FZ389" s="105"/>
      <c r="GA389" s="105"/>
      <c r="GB389" s="105"/>
      <c r="GC389" s="105"/>
      <c r="GD389" s="105"/>
      <c r="GE389" s="105"/>
      <c r="GF389" s="105"/>
      <c r="GG389" s="105"/>
      <c r="GH389" s="105"/>
      <c r="GI389" s="105"/>
      <c r="GJ389" s="105"/>
      <c r="GK389" s="105"/>
      <c r="GL389" s="105"/>
      <c r="GM389" s="105"/>
      <c r="GN389" s="105"/>
      <c r="GO389" s="105"/>
      <c r="GP389" s="105"/>
      <c r="GQ389" s="105"/>
      <c r="GR389" s="105"/>
      <c r="GS389" s="105"/>
      <c r="GT389" s="105"/>
      <c r="GU389" s="105"/>
      <c r="GV389" s="105"/>
      <c r="GW389" s="105"/>
      <c r="GX389" s="105"/>
      <c r="GY389" s="105"/>
      <c r="GZ389" s="105"/>
      <c r="HA389" s="105"/>
      <c r="HB389" s="105"/>
      <c r="HC389" s="105"/>
      <c r="HD389" s="105"/>
      <c r="HE389" s="105"/>
      <c r="HF389" s="105"/>
      <c r="HG389" s="105"/>
      <c r="HH389" s="105"/>
      <c r="HI389" s="105"/>
      <c r="HJ389" s="105"/>
      <c r="HK389" s="105"/>
      <c r="HL389" s="105"/>
      <c r="HM389" s="105"/>
      <c r="HN389" s="105"/>
      <c r="HO389" s="105"/>
      <c r="HP389" s="105"/>
      <c r="HQ389" s="105"/>
      <c r="HR389" s="105"/>
      <c r="HS389" s="105"/>
      <c r="HT389" s="105"/>
      <c r="HU389" s="105"/>
      <c r="HV389" s="105"/>
      <c r="HW389" s="105"/>
      <c r="HX389" s="105"/>
      <c r="HY389" s="105"/>
      <c r="HZ389" s="105"/>
      <c r="IA389" s="105"/>
      <c r="IB389" s="105"/>
      <c r="IC389" s="105"/>
      <c r="ID389" s="105"/>
      <c r="IE389" s="105"/>
      <c r="IF389" s="105"/>
      <c r="IG389" s="105"/>
      <c r="IH389" s="105"/>
      <c r="II389" s="105"/>
      <c r="IJ389" s="105"/>
      <c r="IK389" s="105"/>
      <c r="IL389" s="105"/>
      <c r="IM389" s="105"/>
      <c r="IN389" s="105"/>
      <c r="IO389" s="105"/>
      <c r="IP389" s="105"/>
      <c r="IQ389" s="105"/>
      <c r="IR389" s="105"/>
      <c r="IS389" s="105"/>
      <c r="IT389" s="105"/>
      <c r="IU389" s="105"/>
      <c r="IV389" s="105"/>
    </row>
    <row r="390" spans="1:256" s="410" customFormat="1" x14ac:dyDescent="0.2">
      <c r="A390" s="33">
        <v>44466</v>
      </c>
      <c r="B390" s="34" t="s">
        <v>96</v>
      </c>
      <c r="C390" s="34">
        <v>2021</v>
      </c>
      <c r="D390" s="34" t="s">
        <v>8</v>
      </c>
      <c r="E390" s="271">
        <v>-0.30549999999999999</v>
      </c>
      <c r="F390" s="271" t="s">
        <v>32</v>
      </c>
      <c r="G390" s="272">
        <f>-(E390*80000)</f>
        <v>24440</v>
      </c>
      <c r="H390" s="271">
        <v>237</v>
      </c>
      <c r="I390" s="271" t="s">
        <v>81</v>
      </c>
      <c r="J390" s="271" t="s">
        <v>38</v>
      </c>
      <c r="K390" s="271">
        <v>0.1222</v>
      </c>
      <c r="L390" s="116" t="s">
        <v>830</v>
      </c>
      <c r="M390" s="271" t="s">
        <v>831</v>
      </c>
      <c r="N390" s="116" t="s">
        <v>833</v>
      </c>
      <c r="O390" s="34"/>
      <c r="P390" s="34" t="s">
        <v>125</v>
      </c>
      <c r="Q390" s="795">
        <v>39.144100000000002</v>
      </c>
      <c r="R390" s="692">
        <v>-85.944559999999996</v>
      </c>
      <c r="S390" s="34" t="s">
        <v>61</v>
      </c>
      <c r="T390" s="34"/>
      <c r="U390" s="34" t="s">
        <v>51</v>
      </c>
      <c r="V390" s="33"/>
      <c r="W390" s="35">
        <f>IF(AC390="Intr",0,G390*Definitions!$B$53)</f>
        <v>3666</v>
      </c>
      <c r="X390" s="35">
        <f>IF(AC390="Intr",0,G390*Definitions!$B$54)</f>
        <v>17108</v>
      </c>
      <c r="Y390" s="35">
        <f>IF(AC390="Intr",G390,G390*Definitions!$B$55)</f>
        <v>3666</v>
      </c>
      <c r="Z390" s="35" t="s">
        <v>966</v>
      </c>
      <c r="AA390" s="35" t="s">
        <v>968</v>
      </c>
      <c r="AB390" s="35" t="s">
        <v>974</v>
      </c>
      <c r="AC390" s="34"/>
      <c r="AD390" s="34"/>
      <c r="AE390" s="34"/>
      <c r="AF390" s="34"/>
      <c r="AG390" s="36"/>
      <c r="AH390" s="120" t="s">
        <v>837</v>
      </c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5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5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5"/>
      <c r="CX390" s="105"/>
      <c r="CY390" s="105"/>
      <c r="CZ390" s="105"/>
      <c r="DA390" s="105"/>
      <c r="DB390" s="105"/>
      <c r="DC390" s="105"/>
      <c r="DD390" s="105"/>
      <c r="DE390" s="105"/>
      <c r="DF390" s="105"/>
      <c r="DG390" s="105"/>
      <c r="DH390" s="105"/>
      <c r="DI390" s="105"/>
      <c r="DJ390" s="105"/>
      <c r="DK390" s="105"/>
      <c r="DL390" s="105"/>
      <c r="DM390" s="105"/>
      <c r="DN390" s="105"/>
      <c r="DO390" s="105"/>
      <c r="DP390" s="105"/>
      <c r="DQ390" s="105"/>
      <c r="DR390" s="105"/>
      <c r="DS390" s="105"/>
      <c r="DT390" s="105"/>
      <c r="DU390" s="105"/>
      <c r="DV390" s="105"/>
      <c r="DW390" s="105"/>
      <c r="DX390" s="105"/>
      <c r="DY390" s="105"/>
      <c r="DZ390" s="105"/>
      <c r="EA390" s="105"/>
      <c r="EB390" s="105"/>
      <c r="EC390" s="105"/>
      <c r="ED390" s="105"/>
      <c r="EE390" s="105"/>
      <c r="EF390" s="105"/>
      <c r="EG390" s="105"/>
      <c r="EH390" s="105"/>
      <c r="EI390" s="105"/>
      <c r="EJ390" s="105"/>
      <c r="EK390" s="105"/>
      <c r="EL390" s="105"/>
      <c r="EM390" s="105"/>
      <c r="EN390" s="105"/>
      <c r="EO390" s="105"/>
      <c r="EP390" s="105"/>
      <c r="EQ390" s="105"/>
      <c r="ER390" s="105"/>
      <c r="ES390" s="105"/>
      <c r="ET390" s="105"/>
      <c r="EU390" s="105"/>
      <c r="EV390" s="105"/>
      <c r="EW390" s="105"/>
      <c r="EX390" s="105"/>
      <c r="EY390" s="105"/>
      <c r="EZ390" s="105"/>
      <c r="FA390" s="105"/>
      <c r="FB390" s="105"/>
      <c r="FC390" s="105"/>
      <c r="FD390" s="105"/>
      <c r="FE390" s="105"/>
      <c r="FF390" s="105"/>
      <c r="FG390" s="105"/>
      <c r="FH390" s="105"/>
      <c r="FI390" s="105"/>
      <c r="FJ390" s="105"/>
      <c r="FK390" s="105"/>
      <c r="FL390" s="105"/>
      <c r="FM390" s="105"/>
      <c r="FN390" s="105"/>
      <c r="FO390" s="105"/>
      <c r="FP390" s="105"/>
      <c r="FQ390" s="105"/>
      <c r="FR390" s="105"/>
      <c r="FS390" s="105"/>
      <c r="FT390" s="105"/>
      <c r="FU390" s="105"/>
      <c r="FV390" s="105"/>
      <c r="FW390" s="105"/>
      <c r="FX390" s="105"/>
      <c r="FY390" s="105"/>
      <c r="FZ390" s="105"/>
      <c r="GA390" s="105"/>
      <c r="GB390" s="105"/>
      <c r="GC390" s="105"/>
      <c r="GD390" s="105"/>
      <c r="GE390" s="105"/>
      <c r="GF390" s="105"/>
      <c r="GG390" s="105"/>
      <c r="GH390" s="105"/>
      <c r="GI390" s="105"/>
      <c r="GJ390" s="105"/>
      <c r="GK390" s="105"/>
      <c r="GL390" s="105"/>
      <c r="GM390" s="105"/>
      <c r="GN390" s="105"/>
      <c r="GO390" s="105"/>
      <c r="GP390" s="105"/>
      <c r="GQ390" s="105"/>
      <c r="GR390" s="105"/>
      <c r="GS390" s="105"/>
      <c r="GT390" s="105"/>
      <c r="GU390" s="105"/>
      <c r="GV390" s="105"/>
      <c r="GW390" s="105"/>
      <c r="GX390" s="105"/>
      <c r="GY390" s="105"/>
      <c r="GZ390" s="105"/>
      <c r="HA390" s="105"/>
      <c r="HB390" s="105"/>
      <c r="HC390" s="105"/>
      <c r="HD390" s="105"/>
      <c r="HE390" s="105"/>
      <c r="HF390" s="105"/>
      <c r="HG390" s="105"/>
      <c r="HH390" s="105"/>
      <c r="HI390" s="105"/>
      <c r="HJ390" s="105"/>
      <c r="HK390" s="105"/>
      <c r="HL390" s="105"/>
      <c r="HM390" s="105"/>
      <c r="HN390" s="105"/>
      <c r="HO390" s="105"/>
      <c r="HP390" s="105"/>
      <c r="HQ390" s="105"/>
      <c r="HR390" s="105"/>
      <c r="HS390" s="105"/>
      <c r="HT390" s="105"/>
      <c r="HU390" s="105"/>
      <c r="HV390" s="105"/>
      <c r="HW390" s="105"/>
      <c r="HX390" s="105"/>
      <c r="HY390" s="105"/>
      <c r="HZ390" s="105"/>
      <c r="IA390" s="105"/>
      <c r="IB390" s="105"/>
      <c r="IC390" s="105"/>
      <c r="ID390" s="105"/>
      <c r="IE390" s="105"/>
      <c r="IF390" s="105"/>
      <c r="IG390" s="105"/>
      <c r="IH390" s="105"/>
      <c r="II390" s="105"/>
      <c r="IJ390" s="105"/>
      <c r="IK390" s="105"/>
      <c r="IL390" s="105"/>
      <c r="IM390" s="105"/>
      <c r="IN390" s="105"/>
      <c r="IO390" s="105"/>
      <c r="IP390" s="105"/>
      <c r="IQ390" s="105"/>
      <c r="IR390" s="105"/>
      <c r="IS390" s="105"/>
      <c r="IT390" s="105"/>
      <c r="IU390" s="105"/>
      <c r="IV390" s="105"/>
    </row>
    <row r="391" spans="1:256" s="410" customFormat="1" x14ac:dyDescent="0.2">
      <c r="A391" s="274">
        <v>44469</v>
      </c>
      <c r="B391" s="275" t="s">
        <v>96</v>
      </c>
      <c r="C391" s="275">
        <v>2021</v>
      </c>
      <c r="D391" s="275" t="s">
        <v>10</v>
      </c>
      <c r="E391" s="276">
        <v>-0.29799999999999999</v>
      </c>
      <c r="F391" s="276" t="s">
        <v>32</v>
      </c>
      <c r="G391" s="277">
        <f>-(E391*80000)</f>
        <v>23840</v>
      </c>
      <c r="H391" s="276">
        <v>252</v>
      </c>
      <c r="I391" s="276" t="s">
        <v>80</v>
      </c>
      <c r="J391" s="276" t="s">
        <v>36</v>
      </c>
      <c r="K391" s="276">
        <v>0.10100000000000001</v>
      </c>
      <c r="L391" s="276" t="s">
        <v>841</v>
      </c>
      <c r="M391" s="276" t="s">
        <v>842</v>
      </c>
      <c r="N391" s="279" t="s">
        <v>843</v>
      </c>
      <c r="O391" s="275"/>
      <c r="P391" s="275" t="s">
        <v>129</v>
      </c>
      <c r="Q391" s="796">
        <v>38.355286</v>
      </c>
      <c r="R391" s="693" t="s">
        <v>845</v>
      </c>
      <c r="S391" s="275" t="s">
        <v>61</v>
      </c>
      <c r="T391" s="275"/>
      <c r="U391" s="275" t="s">
        <v>51</v>
      </c>
      <c r="V391" s="274"/>
      <c r="W391" s="280">
        <f>IF(AC391="Intr",0,G391*Definitions!$B$53)</f>
        <v>3576</v>
      </c>
      <c r="X391" s="280">
        <f>IF(AC391="Intr",0,G391*Definitions!$B$54)</f>
        <v>16688</v>
      </c>
      <c r="Y391" s="280">
        <f>IF(AC391="Intr",G391,G391*Definitions!$B$55)</f>
        <v>3576</v>
      </c>
      <c r="Z391" s="280" t="s">
        <v>966</v>
      </c>
      <c r="AA391" s="280" t="s">
        <v>965</v>
      </c>
      <c r="AB391" s="280"/>
      <c r="AC391" s="275"/>
      <c r="AD391" s="275"/>
      <c r="AE391" s="275"/>
      <c r="AF391" s="275"/>
      <c r="AG391" s="281"/>
      <c r="AH391" s="346" t="s">
        <v>844</v>
      </c>
      <c r="AI391" s="105"/>
      <c r="AJ391" s="105"/>
      <c r="AK391" s="105"/>
      <c r="AL391" s="105"/>
      <c r="AM391" s="105"/>
      <c r="AN391" s="105"/>
      <c r="AO391" s="105"/>
      <c r="AP391" s="105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5"/>
      <c r="BB391" s="105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5"/>
      <c r="BN391" s="105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5"/>
      <c r="BZ391" s="105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5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5"/>
      <c r="CX391" s="105"/>
      <c r="CY391" s="105"/>
      <c r="CZ391" s="105"/>
      <c r="DA391" s="105"/>
      <c r="DB391" s="105"/>
      <c r="DC391" s="105"/>
      <c r="DD391" s="105"/>
      <c r="DE391" s="105"/>
      <c r="DF391" s="105"/>
      <c r="DG391" s="105"/>
      <c r="DH391" s="105"/>
      <c r="DI391" s="105"/>
      <c r="DJ391" s="105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5"/>
      <c r="DV391" s="105"/>
      <c r="DW391" s="105"/>
      <c r="DX391" s="105"/>
      <c r="DY391" s="105"/>
      <c r="DZ391" s="105"/>
      <c r="EA391" s="105"/>
      <c r="EB391" s="105"/>
      <c r="EC391" s="105"/>
      <c r="ED391" s="105"/>
      <c r="EE391" s="105"/>
      <c r="EF391" s="105"/>
      <c r="EG391" s="105"/>
      <c r="EH391" s="105"/>
      <c r="EI391" s="105"/>
      <c r="EJ391" s="105"/>
      <c r="EK391" s="105"/>
      <c r="EL391" s="105"/>
      <c r="EM391" s="105"/>
      <c r="EN391" s="105"/>
      <c r="EO391" s="105"/>
      <c r="EP391" s="105"/>
      <c r="EQ391" s="105"/>
      <c r="ER391" s="105"/>
      <c r="ES391" s="105"/>
      <c r="ET391" s="105"/>
      <c r="EU391" s="105"/>
      <c r="EV391" s="105"/>
      <c r="EW391" s="105"/>
      <c r="EX391" s="105"/>
      <c r="EY391" s="105"/>
      <c r="EZ391" s="105"/>
      <c r="FA391" s="105"/>
      <c r="FB391" s="105"/>
      <c r="FC391" s="105"/>
      <c r="FD391" s="105"/>
      <c r="FE391" s="105"/>
      <c r="FF391" s="105"/>
      <c r="FG391" s="105"/>
      <c r="FH391" s="105"/>
      <c r="FI391" s="105"/>
      <c r="FJ391" s="105"/>
      <c r="FK391" s="105"/>
      <c r="FL391" s="105"/>
      <c r="FM391" s="105"/>
      <c r="FN391" s="105"/>
      <c r="FO391" s="105"/>
      <c r="FP391" s="105"/>
      <c r="FQ391" s="105"/>
      <c r="FR391" s="105"/>
      <c r="FS391" s="105"/>
      <c r="FT391" s="105"/>
      <c r="FU391" s="105"/>
      <c r="FV391" s="105"/>
      <c r="FW391" s="105"/>
      <c r="FX391" s="105"/>
      <c r="FY391" s="105"/>
      <c r="FZ391" s="105"/>
      <c r="GA391" s="105"/>
      <c r="GB391" s="105"/>
      <c r="GC391" s="105"/>
      <c r="GD391" s="105"/>
      <c r="GE391" s="105"/>
      <c r="GF391" s="105"/>
      <c r="GG391" s="105"/>
      <c r="GH391" s="105"/>
      <c r="GI391" s="105"/>
      <c r="GJ391" s="105"/>
      <c r="GK391" s="105"/>
      <c r="GL391" s="105"/>
      <c r="GM391" s="105"/>
      <c r="GN391" s="105"/>
      <c r="GO391" s="105"/>
      <c r="GP391" s="105"/>
      <c r="GQ391" s="105"/>
      <c r="GR391" s="105"/>
      <c r="GS391" s="105"/>
      <c r="GT391" s="105"/>
      <c r="GU391" s="105"/>
      <c r="GV391" s="105"/>
      <c r="GW391" s="105"/>
      <c r="GX391" s="105"/>
      <c r="GY391" s="105"/>
      <c r="GZ391" s="105"/>
      <c r="HA391" s="105"/>
      <c r="HB391" s="105"/>
      <c r="HC391" s="105"/>
      <c r="HD391" s="105"/>
      <c r="HE391" s="105"/>
      <c r="HF391" s="105"/>
      <c r="HG391" s="105"/>
      <c r="HH391" s="105"/>
      <c r="HI391" s="105"/>
      <c r="HJ391" s="105"/>
      <c r="HK391" s="105"/>
      <c r="HL391" s="105"/>
      <c r="HM391" s="105"/>
      <c r="HN391" s="105"/>
      <c r="HO391" s="105"/>
      <c r="HP391" s="105"/>
      <c r="HQ391" s="105"/>
      <c r="HR391" s="105"/>
      <c r="HS391" s="105"/>
      <c r="HT391" s="105"/>
      <c r="HU391" s="105"/>
      <c r="HV391" s="105"/>
      <c r="HW391" s="105"/>
      <c r="HX391" s="105"/>
      <c r="HY391" s="105"/>
      <c r="HZ391" s="105"/>
      <c r="IA391" s="105"/>
      <c r="IB391" s="105"/>
      <c r="IC391" s="105"/>
      <c r="ID391" s="105"/>
      <c r="IE391" s="105"/>
      <c r="IF391" s="105"/>
      <c r="IG391" s="105"/>
      <c r="IH391" s="105"/>
      <c r="II391" s="105"/>
      <c r="IJ391" s="105"/>
      <c r="IK391" s="105"/>
      <c r="IL391" s="105"/>
      <c r="IM391" s="105"/>
      <c r="IN391" s="105"/>
      <c r="IO391" s="105"/>
      <c r="IP391" s="105"/>
      <c r="IQ391" s="105"/>
      <c r="IR391" s="105"/>
      <c r="IS391" s="105"/>
      <c r="IT391" s="105"/>
      <c r="IU391" s="105"/>
      <c r="IV391" s="105"/>
    </row>
    <row r="392" spans="1:256" x14ac:dyDescent="0.2">
      <c r="A392" s="274">
        <v>44469</v>
      </c>
      <c r="B392" s="275" t="s">
        <v>96</v>
      </c>
      <c r="C392" s="275">
        <v>2021</v>
      </c>
      <c r="D392" s="275" t="s">
        <v>10</v>
      </c>
      <c r="E392" s="276">
        <v>-0.38400000000000001</v>
      </c>
      <c r="F392" s="276" t="s">
        <v>32</v>
      </c>
      <c r="G392" s="277">
        <f>-(E392*80000)</f>
        <v>30720</v>
      </c>
      <c r="H392" s="276">
        <v>252</v>
      </c>
      <c r="I392" s="276" t="s">
        <v>80</v>
      </c>
      <c r="J392" s="276" t="s">
        <v>37</v>
      </c>
      <c r="K392" s="276">
        <v>0.10100000000000001</v>
      </c>
      <c r="L392" s="276" t="s">
        <v>841</v>
      </c>
      <c r="M392" s="276" t="s">
        <v>842</v>
      </c>
      <c r="N392" s="279" t="s">
        <v>843</v>
      </c>
      <c r="O392" s="275"/>
      <c r="P392" s="275" t="s">
        <v>129</v>
      </c>
      <c r="Q392" s="796">
        <v>38.355286</v>
      </c>
      <c r="R392" s="869" t="s">
        <v>845</v>
      </c>
      <c r="S392" s="275" t="s">
        <v>61</v>
      </c>
      <c r="T392" s="275"/>
      <c r="U392" s="275" t="s">
        <v>51</v>
      </c>
      <c r="V392" s="274"/>
      <c r="W392" s="280">
        <f>IF(AC392="Intr",0,G392*Definitions!$B$53)</f>
        <v>4608</v>
      </c>
      <c r="X392" s="280">
        <f>IF(AC392="Intr",0,G392*Definitions!$B$54)</f>
        <v>21504</v>
      </c>
      <c r="Y392" s="280">
        <f>IF(AC392="Intr",G392,G392*Definitions!$B$55)</f>
        <v>4608</v>
      </c>
      <c r="Z392" s="280" t="s">
        <v>966</v>
      </c>
      <c r="AA392" s="280" t="s">
        <v>965</v>
      </c>
      <c r="AB392" s="280"/>
      <c r="AC392" s="275"/>
      <c r="AD392" s="275"/>
      <c r="AE392" s="275"/>
      <c r="AF392" s="275"/>
      <c r="AG392" s="281"/>
      <c r="AH392" s="346" t="s">
        <v>846</v>
      </c>
    </row>
    <row r="393" spans="1:256" s="387" customFormat="1" x14ac:dyDescent="0.2">
      <c r="A393" s="274">
        <v>44469</v>
      </c>
      <c r="B393" s="275" t="s">
        <v>96</v>
      </c>
      <c r="C393" s="275">
        <v>2021</v>
      </c>
      <c r="D393" s="275" t="s">
        <v>10</v>
      </c>
      <c r="E393" s="276">
        <v>-0.22800000000000001</v>
      </c>
      <c r="F393" s="276" t="s">
        <v>32</v>
      </c>
      <c r="G393" s="277">
        <f>-(E393*80000)</f>
        <v>18240</v>
      </c>
      <c r="H393" s="276">
        <v>252</v>
      </c>
      <c r="I393" s="276" t="s">
        <v>80</v>
      </c>
      <c r="J393" s="276" t="s">
        <v>38</v>
      </c>
      <c r="K393" s="276">
        <v>0.10100000000000001</v>
      </c>
      <c r="L393" s="276" t="s">
        <v>841</v>
      </c>
      <c r="M393" s="276" t="s">
        <v>842</v>
      </c>
      <c r="N393" s="279" t="s">
        <v>843</v>
      </c>
      <c r="O393" s="275"/>
      <c r="P393" s="275" t="s">
        <v>129</v>
      </c>
      <c r="Q393" s="796">
        <v>38.355286</v>
      </c>
      <c r="R393" s="693" t="s">
        <v>845</v>
      </c>
      <c r="S393" s="275" t="s">
        <v>61</v>
      </c>
      <c r="T393" s="275"/>
      <c r="U393" s="275" t="s">
        <v>51</v>
      </c>
      <c r="V393" s="274"/>
      <c r="W393" s="280">
        <f>IF(AC393="Intr",0,G393*Definitions!$B$53)</f>
        <v>2736</v>
      </c>
      <c r="X393" s="280">
        <f>IF(AC393="Intr",0,G393*Definitions!$B$54)</f>
        <v>12768</v>
      </c>
      <c r="Y393" s="280">
        <f>IF(AC393="Intr",G393,G393*Definitions!$B$55)</f>
        <v>2736</v>
      </c>
      <c r="Z393" s="280" t="s">
        <v>966</v>
      </c>
      <c r="AA393" s="280" t="s">
        <v>965</v>
      </c>
      <c r="AB393" s="280"/>
      <c r="AC393" s="275"/>
      <c r="AD393" s="275"/>
      <c r="AE393" s="275"/>
      <c r="AF393" s="275"/>
      <c r="AG393" s="281"/>
      <c r="AH393" s="346" t="s">
        <v>847</v>
      </c>
      <c r="AI393" s="105"/>
      <c r="AJ393" s="105"/>
      <c r="AK393" s="105"/>
      <c r="AL393" s="105"/>
      <c r="AM393" s="105"/>
      <c r="AN393" s="105"/>
      <c r="AO393" s="105"/>
      <c r="AP393" s="105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5"/>
      <c r="BB393" s="105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5"/>
      <c r="BN393" s="105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5"/>
      <c r="BZ393" s="105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  <c r="CK393" s="105"/>
      <c r="CL393" s="105"/>
      <c r="CM393" s="105"/>
      <c r="CN393" s="105"/>
      <c r="CO393" s="105"/>
      <c r="CP393" s="105"/>
      <c r="CQ393" s="105"/>
      <c r="CR393" s="105"/>
      <c r="CS393" s="105"/>
      <c r="CT393" s="105"/>
      <c r="CU393" s="105"/>
      <c r="CV393" s="105"/>
      <c r="CW393" s="105"/>
      <c r="CX393" s="105"/>
      <c r="CY393" s="105"/>
      <c r="CZ393" s="105"/>
      <c r="DA393" s="105"/>
      <c r="DB393" s="105"/>
      <c r="DC393" s="105"/>
      <c r="DD393" s="105"/>
      <c r="DE393" s="105"/>
      <c r="DF393" s="105"/>
      <c r="DG393" s="105"/>
      <c r="DH393" s="105"/>
      <c r="DI393" s="105"/>
      <c r="DJ393" s="105"/>
      <c r="DK393" s="105"/>
      <c r="DL393" s="105"/>
      <c r="DM393" s="105"/>
      <c r="DN393" s="105"/>
      <c r="DO393" s="105"/>
      <c r="DP393" s="105"/>
      <c r="DQ393" s="105"/>
      <c r="DR393" s="105"/>
      <c r="DS393" s="105"/>
      <c r="DT393" s="105"/>
      <c r="DU393" s="105"/>
      <c r="DV393" s="105"/>
      <c r="DW393" s="105"/>
      <c r="DX393" s="105"/>
      <c r="DY393" s="105"/>
      <c r="DZ393" s="105"/>
      <c r="EA393" s="105"/>
      <c r="EB393" s="105"/>
      <c r="EC393" s="105"/>
      <c r="ED393" s="105"/>
      <c r="EE393" s="105"/>
      <c r="EF393" s="105"/>
      <c r="EG393" s="105"/>
      <c r="EH393" s="105"/>
      <c r="EI393" s="105"/>
      <c r="EJ393" s="105"/>
      <c r="EK393" s="105"/>
      <c r="EL393" s="105"/>
      <c r="EM393" s="105"/>
      <c r="EN393" s="105"/>
      <c r="EO393" s="105"/>
      <c r="EP393" s="105"/>
      <c r="EQ393" s="105"/>
      <c r="ER393" s="105"/>
      <c r="ES393" s="105"/>
      <c r="ET393" s="105"/>
      <c r="EU393" s="105"/>
      <c r="EV393" s="105"/>
      <c r="EW393" s="105"/>
      <c r="EX393" s="105"/>
      <c r="EY393" s="105"/>
      <c r="EZ393" s="105"/>
      <c r="FA393" s="105"/>
      <c r="FB393" s="105"/>
      <c r="FC393" s="105"/>
      <c r="FD393" s="105"/>
      <c r="FE393" s="105"/>
      <c r="FF393" s="105"/>
      <c r="FG393" s="105"/>
      <c r="FH393" s="105"/>
      <c r="FI393" s="105"/>
      <c r="FJ393" s="105"/>
      <c r="FK393" s="105"/>
      <c r="FL393" s="105"/>
      <c r="FM393" s="105"/>
      <c r="FN393" s="105"/>
      <c r="FO393" s="105"/>
      <c r="FP393" s="105"/>
      <c r="FQ393" s="105"/>
      <c r="FR393" s="105"/>
      <c r="FS393" s="105"/>
      <c r="FT393" s="105"/>
      <c r="FU393" s="105"/>
      <c r="FV393" s="105"/>
      <c r="FW393" s="105"/>
      <c r="FX393" s="105"/>
      <c r="FY393" s="105"/>
      <c r="FZ393" s="105"/>
      <c r="GA393" s="105"/>
      <c r="GB393" s="105"/>
      <c r="GC393" s="105"/>
      <c r="GD393" s="105"/>
      <c r="GE393" s="105"/>
      <c r="GF393" s="105"/>
      <c r="GG393" s="105"/>
      <c r="GH393" s="105"/>
      <c r="GI393" s="105"/>
      <c r="GJ393" s="105"/>
      <c r="GK393" s="105"/>
      <c r="GL393" s="105"/>
      <c r="GM393" s="105"/>
      <c r="GN393" s="105"/>
      <c r="GO393" s="105"/>
      <c r="GP393" s="105"/>
      <c r="GQ393" s="105"/>
      <c r="GR393" s="105"/>
      <c r="GS393" s="105"/>
      <c r="GT393" s="105"/>
      <c r="GU393" s="105"/>
      <c r="GV393" s="105"/>
      <c r="GW393" s="105"/>
      <c r="GX393" s="105"/>
      <c r="GY393" s="105"/>
      <c r="GZ393" s="105"/>
      <c r="HA393" s="105"/>
      <c r="HB393" s="105"/>
      <c r="HC393" s="105"/>
      <c r="HD393" s="105"/>
      <c r="HE393" s="105"/>
      <c r="HF393" s="105"/>
      <c r="HG393" s="105"/>
      <c r="HH393" s="105"/>
      <c r="HI393" s="105"/>
      <c r="HJ393" s="105"/>
      <c r="HK393" s="105"/>
      <c r="HL393" s="105"/>
      <c r="HM393" s="105"/>
      <c r="HN393" s="105"/>
      <c r="HO393" s="105"/>
      <c r="HP393" s="105"/>
      <c r="HQ393" s="105"/>
      <c r="HR393" s="105"/>
      <c r="HS393" s="105"/>
      <c r="HT393" s="105"/>
      <c r="HU393" s="105"/>
      <c r="HV393" s="105"/>
      <c r="HW393" s="105"/>
      <c r="HX393" s="105"/>
      <c r="HY393" s="105"/>
      <c r="HZ393" s="105"/>
      <c r="IA393" s="105"/>
      <c r="IB393" s="105"/>
      <c r="IC393" s="105"/>
      <c r="ID393" s="105"/>
      <c r="IE393" s="105"/>
      <c r="IF393" s="105"/>
      <c r="IG393" s="105"/>
      <c r="IH393" s="105"/>
      <c r="II393" s="105"/>
      <c r="IJ393" s="105"/>
      <c r="IK393" s="105"/>
      <c r="IL393" s="105"/>
      <c r="IM393" s="105"/>
      <c r="IN393" s="105"/>
      <c r="IO393" s="105"/>
      <c r="IP393" s="105"/>
      <c r="IQ393" s="105"/>
      <c r="IR393" s="105"/>
      <c r="IS393" s="105"/>
      <c r="IT393" s="105"/>
      <c r="IU393" s="105"/>
      <c r="IV393" s="105"/>
    </row>
    <row r="394" spans="1:256" s="387" customFormat="1" x14ac:dyDescent="0.2">
      <c r="A394" s="176">
        <v>44469</v>
      </c>
      <c r="B394" s="38" t="s">
        <v>96</v>
      </c>
      <c r="C394" s="38">
        <v>2021</v>
      </c>
      <c r="D394" s="38" t="s">
        <v>7</v>
      </c>
      <c r="E394" s="177">
        <v>-0.34</v>
      </c>
      <c r="F394" s="177" t="s">
        <v>32</v>
      </c>
      <c r="G394" s="178">
        <v>27200</v>
      </c>
      <c r="H394" s="179">
        <v>204</v>
      </c>
      <c r="I394" s="177" t="s">
        <v>81</v>
      </c>
      <c r="J394" s="177" t="s">
        <v>36</v>
      </c>
      <c r="K394" s="177">
        <v>0.34</v>
      </c>
      <c r="L394" s="177" t="s">
        <v>726</v>
      </c>
      <c r="M394" s="177" t="s">
        <v>729</v>
      </c>
      <c r="N394" s="70" t="s">
        <v>838</v>
      </c>
      <c r="O394" s="38"/>
      <c r="P394" s="38" t="s">
        <v>839</v>
      </c>
      <c r="Q394" s="790">
        <v>40.289437</v>
      </c>
      <c r="R394" s="687">
        <v>-86.127049</v>
      </c>
      <c r="S394" s="38" t="s">
        <v>63</v>
      </c>
      <c r="T394" s="38"/>
      <c r="U394" s="38" t="s">
        <v>51</v>
      </c>
      <c r="V394" s="37"/>
      <c r="W394" s="180">
        <f>IF(AC394="Intr",0,G394*Definitions!$B$53)</f>
        <v>4080</v>
      </c>
      <c r="X394" s="180">
        <f>IF(AC394="Intr",0,G394*Definitions!$B$54)</f>
        <v>19040</v>
      </c>
      <c r="Y394" s="180">
        <f>IF(AC394="Intr",G394,G394*Definitions!$B$55)</f>
        <v>4080</v>
      </c>
      <c r="Z394" s="180" t="s">
        <v>966</v>
      </c>
      <c r="AA394" s="180" t="s">
        <v>963</v>
      </c>
      <c r="AB394" s="180" t="s">
        <v>975</v>
      </c>
      <c r="AC394" s="38"/>
      <c r="AD394" s="38"/>
      <c r="AE394" s="38"/>
      <c r="AF394" s="38"/>
      <c r="AG394" s="40"/>
      <c r="AH394" s="72" t="s">
        <v>840</v>
      </c>
      <c r="AI394" s="105"/>
      <c r="AJ394" s="105"/>
      <c r="AK394" s="105"/>
      <c r="AL394" s="105"/>
      <c r="AM394" s="105"/>
      <c r="AN394" s="105"/>
      <c r="AO394" s="105"/>
      <c r="AP394" s="105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5"/>
      <c r="BB394" s="105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5"/>
      <c r="BN394" s="105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5"/>
      <c r="BZ394" s="105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5"/>
      <c r="CM394" s="105"/>
      <c r="CN394" s="105"/>
      <c r="CO394" s="105"/>
      <c r="CP394" s="105"/>
      <c r="CQ394" s="105"/>
      <c r="CR394" s="105"/>
      <c r="CS394" s="105"/>
      <c r="CT394" s="105"/>
      <c r="CU394" s="105"/>
      <c r="CV394" s="105"/>
      <c r="CW394" s="105"/>
      <c r="CX394" s="105"/>
      <c r="CY394" s="105"/>
      <c r="CZ394" s="105"/>
      <c r="DA394" s="105"/>
      <c r="DB394" s="105"/>
      <c r="DC394" s="105"/>
      <c r="DD394" s="105"/>
      <c r="DE394" s="105"/>
      <c r="DF394" s="105"/>
      <c r="DG394" s="105"/>
      <c r="DH394" s="105"/>
      <c r="DI394" s="105"/>
      <c r="DJ394" s="105"/>
      <c r="DK394" s="105"/>
      <c r="DL394" s="105"/>
      <c r="DM394" s="105"/>
      <c r="DN394" s="105"/>
      <c r="DO394" s="105"/>
      <c r="DP394" s="105"/>
      <c r="DQ394" s="105"/>
      <c r="DR394" s="105"/>
      <c r="DS394" s="105"/>
      <c r="DT394" s="105"/>
      <c r="DU394" s="105"/>
      <c r="DV394" s="105"/>
      <c r="DW394" s="105"/>
      <c r="DX394" s="105"/>
      <c r="DY394" s="105"/>
      <c r="DZ394" s="105"/>
      <c r="EA394" s="105"/>
      <c r="EB394" s="105"/>
      <c r="EC394" s="105"/>
      <c r="ED394" s="105"/>
      <c r="EE394" s="105"/>
      <c r="EF394" s="105"/>
      <c r="EG394" s="105"/>
      <c r="EH394" s="105"/>
      <c r="EI394" s="105"/>
      <c r="EJ394" s="105"/>
      <c r="EK394" s="105"/>
      <c r="EL394" s="105"/>
      <c r="EM394" s="105"/>
      <c r="EN394" s="105"/>
      <c r="EO394" s="105"/>
      <c r="EP394" s="105"/>
      <c r="EQ394" s="105"/>
      <c r="ER394" s="105"/>
      <c r="ES394" s="105"/>
      <c r="ET394" s="105"/>
      <c r="EU394" s="105"/>
      <c r="EV394" s="105"/>
      <c r="EW394" s="105"/>
      <c r="EX394" s="105"/>
      <c r="EY394" s="105"/>
      <c r="EZ394" s="105"/>
      <c r="FA394" s="105"/>
      <c r="FB394" s="105"/>
      <c r="FC394" s="105"/>
      <c r="FD394" s="105"/>
      <c r="FE394" s="105"/>
      <c r="FF394" s="105"/>
      <c r="FG394" s="105"/>
      <c r="FH394" s="105"/>
      <c r="FI394" s="105"/>
      <c r="FJ394" s="105"/>
      <c r="FK394" s="105"/>
      <c r="FL394" s="105"/>
      <c r="FM394" s="105"/>
      <c r="FN394" s="105"/>
      <c r="FO394" s="105"/>
      <c r="FP394" s="105"/>
      <c r="FQ394" s="105"/>
      <c r="FR394" s="105"/>
      <c r="FS394" s="105"/>
      <c r="FT394" s="105"/>
      <c r="FU394" s="105"/>
      <c r="FV394" s="105"/>
      <c r="FW394" s="105"/>
      <c r="FX394" s="105"/>
      <c r="FY394" s="105"/>
      <c r="FZ394" s="105"/>
      <c r="GA394" s="105"/>
      <c r="GB394" s="105"/>
      <c r="GC394" s="105"/>
      <c r="GD394" s="105"/>
      <c r="GE394" s="105"/>
      <c r="GF394" s="105"/>
      <c r="GG394" s="105"/>
      <c r="GH394" s="105"/>
      <c r="GI394" s="105"/>
      <c r="GJ394" s="105"/>
      <c r="GK394" s="105"/>
      <c r="GL394" s="105"/>
      <c r="GM394" s="105"/>
      <c r="GN394" s="105"/>
      <c r="GO394" s="105"/>
      <c r="GP394" s="105"/>
      <c r="GQ394" s="105"/>
      <c r="GR394" s="105"/>
      <c r="GS394" s="105"/>
      <c r="GT394" s="105"/>
      <c r="GU394" s="105"/>
      <c r="GV394" s="105"/>
      <c r="GW394" s="105"/>
      <c r="GX394" s="105"/>
      <c r="GY394" s="105"/>
      <c r="GZ394" s="105"/>
      <c r="HA394" s="105"/>
      <c r="HB394" s="105"/>
      <c r="HC394" s="105"/>
      <c r="HD394" s="105"/>
      <c r="HE394" s="105"/>
      <c r="HF394" s="105"/>
      <c r="HG394" s="105"/>
      <c r="HH394" s="105"/>
      <c r="HI394" s="105"/>
      <c r="HJ394" s="105"/>
      <c r="HK394" s="105"/>
      <c r="HL394" s="105"/>
      <c r="HM394" s="105"/>
      <c r="HN394" s="105"/>
      <c r="HO394" s="105"/>
      <c r="HP394" s="105"/>
      <c r="HQ394" s="105"/>
      <c r="HR394" s="105"/>
      <c r="HS394" s="105"/>
      <c r="HT394" s="105"/>
      <c r="HU394" s="105"/>
      <c r="HV394" s="105"/>
      <c r="HW394" s="105"/>
      <c r="HX394" s="105"/>
      <c r="HY394" s="105"/>
      <c r="HZ394" s="105"/>
      <c r="IA394" s="105"/>
      <c r="IB394" s="105"/>
      <c r="IC394" s="105"/>
      <c r="ID394" s="105"/>
      <c r="IE394" s="105"/>
      <c r="IF394" s="105"/>
      <c r="IG394" s="105"/>
      <c r="IH394" s="105"/>
      <c r="II394" s="105"/>
      <c r="IJ394" s="105"/>
      <c r="IK394" s="105"/>
      <c r="IL394" s="105"/>
      <c r="IM394" s="105"/>
      <c r="IN394" s="105"/>
      <c r="IO394" s="105"/>
      <c r="IP394" s="105"/>
      <c r="IQ394" s="105"/>
      <c r="IR394" s="105"/>
      <c r="IS394" s="105"/>
      <c r="IT394" s="105"/>
      <c r="IU394" s="105"/>
      <c r="IV394" s="105"/>
    </row>
    <row r="395" spans="1:256" s="387" customFormat="1" x14ac:dyDescent="0.2">
      <c r="A395" s="207">
        <v>44475</v>
      </c>
      <c r="B395" s="208" t="s">
        <v>98</v>
      </c>
      <c r="C395" s="208">
        <v>2021</v>
      </c>
      <c r="D395" s="208" t="s">
        <v>2</v>
      </c>
      <c r="E395" s="209">
        <v>-0.99</v>
      </c>
      <c r="F395" s="209" t="s">
        <v>32</v>
      </c>
      <c r="G395" s="210">
        <f>-(E395*95000)</f>
        <v>94050</v>
      </c>
      <c r="H395" s="209">
        <v>239</v>
      </c>
      <c r="I395" s="209" t="s">
        <v>80</v>
      </c>
      <c r="J395" s="209" t="s">
        <v>38</v>
      </c>
      <c r="K395" s="209">
        <v>0.34100000000000003</v>
      </c>
      <c r="L395" s="212" t="s">
        <v>726</v>
      </c>
      <c r="M395" s="209" t="s">
        <v>856</v>
      </c>
      <c r="N395" s="212" t="s">
        <v>857</v>
      </c>
      <c r="O395" s="208"/>
      <c r="P395" s="208" t="s">
        <v>259</v>
      </c>
      <c r="Q395" s="797">
        <v>40.907580000000003</v>
      </c>
      <c r="R395" s="694">
        <v>-87.210695999999999</v>
      </c>
      <c r="S395" s="208" t="s">
        <v>63</v>
      </c>
      <c r="T395" s="208"/>
      <c r="U395" s="208" t="s">
        <v>51</v>
      </c>
      <c r="V395" s="207"/>
      <c r="W395" s="213">
        <f>IF(AC395="Intr",0,G395*Definitions!$B$53)</f>
        <v>14107.5</v>
      </c>
      <c r="X395" s="213">
        <f>IF(AC395="Intr",0,G395*Definitions!$B$54)</f>
        <v>65835</v>
      </c>
      <c r="Y395" s="213">
        <f>IF(AC395="Intr",G395,G395*Definitions!$B$55)</f>
        <v>14107.5</v>
      </c>
      <c r="Z395" s="213" t="s">
        <v>966</v>
      </c>
      <c r="AA395" s="213" t="s">
        <v>965</v>
      </c>
      <c r="AB395" s="213"/>
      <c r="AC395" s="208"/>
      <c r="AD395" s="208"/>
      <c r="AE395" s="208"/>
      <c r="AF395" s="208"/>
      <c r="AG395" s="214"/>
      <c r="AH395" s="304" t="s">
        <v>858</v>
      </c>
      <c r="AI395" s="105"/>
      <c r="AJ395" s="105"/>
      <c r="AK395" s="105"/>
      <c r="AL395" s="105"/>
      <c r="AM395" s="105"/>
      <c r="AN395" s="105"/>
      <c r="AO395" s="105"/>
      <c r="AP395" s="105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5"/>
      <c r="BB395" s="105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5"/>
      <c r="BN395" s="105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5"/>
      <c r="BZ395" s="105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5"/>
      <c r="CM395" s="105"/>
      <c r="CN395" s="105"/>
      <c r="CO395" s="105"/>
      <c r="CP395" s="105"/>
      <c r="CQ395" s="105"/>
      <c r="CR395" s="105"/>
      <c r="CS395" s="105"/>
      <c r="CT395" s="105"/>
      <c r="CU395" s="105"/>
      <c r="CV395" s="105"/>
      <c r="CW395" s="105"/>
      <c r="CX395" s="105"/>
      <c r="CY395" s="105"/>
      <c r="CZ395" s="105"/>
      <c r="DA395" s="105"/>
      <c r="DB395" s="105"/>
      <c r="DC395" s="105"/>
      <c r="DD395" s="105"/>
      <c r="DE395" s="105"/>
      <c r="DF395" s="105"/>
      <c r="DG395" s="105"/>
      <c r="DH395" s="105"/>
      <c r="DI395" s="105"/>
      <c r="DJ395" s="105"/>
      <c r="DK395" s="105"/>
      <c r="DL395" s="105"/>
      <c r="DM395" s="105"/>
      <c r="DN395" s="105"/>
      <c r="DO395" s="105"/>
      <c r="DP395" s="105"/>
      <c r="DQ395" s="105"/>
      <c r="DR395" s="105"/>
      <c r="DS395" s="105"/>
      <c r="DT395" s="105"/>
      <c r="DU395" s="105"/>
      <c r="DV395" s="105"/>
      <c r="DW395" s="105"/>
      <c r="DX395" s="105"/>
      <c r="DY395" s="105"/>
      <c r="DZ395" s="105"/>
      <c r="EA395" s="105"/>
      <c r="EB395" s="105"/>
      <c r="EC395" s="105"/>
      <c r="ED395" s="105"/>
      <c r="EE395" s="105"/>
      <c r="EF395" s="105"/>
      <c r="EG395" s="105"/>
      <c r="EH395" s="105"/>
      <c r="EI395" s="105"/>
      <c r="EJ395" s="105"/>
      <c r="EK395" s="105"/>
      <c r="EL395" s="105"/>
      <c r="EM395" s="105"/>
      <c r="EN395" s="105"/>
      <c r="EO395" s="105"/>
      <c r="EP395" s="105"/>
      <c r="EQ395" s="105"/>
      <c r="ER395" s="105"/>
      <c r="ES395" s="105"/>
      <c r="ET395" s="105"/>
      <c r="EU395" s="105"/>
      <c r="EV395" s="105"/>
      <c r="EW395" s="105"/>
      <c r="EX395" s="105"/>
      <c r="EY395" s="105"/>
      <c r="EZ395" s="105"/>
      <c r="FA395" s="105"/>
      <c r="FB395" s="105"/>
      <c r="FC395" s="105"/>
      <c r="FD395" s="105"/>
      <c r="FE395" s="105"/>
      <c r="FF395" s="105"/>
      <c r="FG395" s="105"/>
      <c r="FH395" s="105"/>
      <c r="FI395" s="105"/>
      <c r="FJ395" s="105"/>
      <c r="FK395" s="105"/>
      <c r="FL395" s="105"/>
      <c r="FM395" s="105"/>
      <c r="FN395" s="105"/>
      <c r="FO395" s="105"/>
      <c r="FP395" s="105"/>
      <c r="FQ395" s="105"/>
      <c r="FR395" s="105"/>
      <c r="FS395" s="105"/>
      <c r="FT395" s="105"/>
      <c r="FU395" s="105"/>
      <c r="FV395" s="105"/>
      <c r="FW395" s="105"/>
      <c r="FX395" s="105"/>
      <c r="FY395" s="105"/>
      <c r="FZ395" s="105"/>
      <c r="GA395" s="105"/>
      <c r="GB395" s="105"/>
      <c r="GC395" s="105"/>
      <c r="GD395" s="105"/>
      <c r="GE395" s="105"/>
      <c r="GF395" s="105"/>
      <c r="GG395" s="105"/>
      <c r="GH395" s="105"/>
      <c r="GI395" s="105"/>
      <c r="GJ395" s="105"/>
      <c r="GK395" s="105"/>
      <c r="GL395" s="105"/>
      <c r="GM395" s="105"/>
      <c r="GN395" s="105"/>
      <c r="GO395" s="105"/>
      <c r="GP395" s="105"/>
      <c r="GQ395" s="105"/>
      <c r="GR395" s="105"/>
      <c r="GS395" s="105"/>
      <c r="GT395" s="105"/>
      <c r="GU395" s="105"/>
      <c r="GV395" s="105"/>
      <c r="GW395" s="105"/>
      <c r="GX395" s="105"/>
      <c r="GY395" s="105"/>
      <c r="GZ395" s="105"/>
      <c r="HA395" s="105"/>
      <c r="HB395" s="105"/>
      <c r="HC395" s="105"/>
      <c r="HD395" s="105"/>
      <c r="HE395" s="105"/>
      <c r="HF395" s="105"/>
      <c r="HG395" s="105"/>
      <c r="HH395" s="105"/>
      <c r="HI395" s="105"/>
      <c r="HJ395" s="105"/>
      <c r="HK395" s="105"/>
      <c r="HL395" s="105"/>
      <c r="HM395" s="105"/>
      <c r="HN395" s="105"/>
      <c r="HO395" s="105"/>
      <c r="HP395" s="105"/>
      <c r="HQ395" s="105"/>
      <c r="HR395" s="105"/>
      <c r="HS395" s="105"/>
      <c r="HT395" s="105"/>
      <c r="HU395" s="105"/>
      <c r="HV395" s="105"/>
      <c r="HW395" s="105"/>
      <c r="HX395" s="105"/>
      <c r="HY395" s="105"/>
      <c r="HZ395" s="105"/>
      <c r="IA395" s="105"/>
      <c r="IB395" s="105"/>
      <c r="IC395" s="105"/>
      <c r="ID395" s="105"/>
      <c r="IE395" s="105"/>
      <c r="IF395" s="105"/>
      <c r="IG395" s="105"/>
      <c r="IH395" s="105"/>
      <c r="II395" s="105"/>
      <c r="IJ395" s="105"/>
      <c r="IK395" s="105"/>
      <c r="IL395" s="105"/>
      <c r="IM395" s="105"/>
      <c r="IN395" s="105"/>
      <c r="IO395" s="105"/>
      <c r="IP395" s="105"/>
      <c r="IQ395" s="105"/>
      <c r="IR395" s="105"/>
      <c r="IS395" s="105"/>
      <c r="IT395" s="105"/>
      <c r="IU395" s="105"/>
      <c r="IV395" s="105"/>
    </row>
    <row r="396" spans="1:256" s="404" customFormat="1" x14ac:dyDescent="0.2">
      <c r="A396" s="176">
        <v>44475</v>
      </c>
      <c r="B396" s="251" t="s">
        <v>98</v>
      </c>
      <c r="C396" s="251">
        <v>2021</v>
      </c>
      <c r="D396" s="251" t="s">
        <v>9</v>
      </c>
      <c r="E396" s="253">
        <v>-449.5</v>
      </c>
      <c r="F396" s="253" t="s">
        <v>33</v>
      </c>
      <c r="G396" s="178">
        <f>-(E396*400)</f>
        <v>179800</v>
      </c>
      <c r="H396" s="253">
        <v>241</v>
      </c>
      <c r="I396" s="253" t="s">
        <v>80</v>
      </c>
      <c r="J396" s="253" t="s">
        <v>40</v>
      </c>
      <c r="K396" s="253">
        <v>516.5</v>
      </c>
      <c r="L396" s="252" t="s">
        <v>726</v>
      </c>
      <c r="M396" s="253" t="s">
        <v>853</v>
      </c>
      <c r="N396" s="315" t="s">
        <v>854</v>
      </c>
      <c r="O396" s="251"/>
      <c r="P396" s="251" t="s">
        <v>200</v>
      </c>
      <c r="Q396" s="798">
        <v>38.867088000000003</v>
      </c>
      <c r="R396" s="695">
        <v>-87.250826000000004</v>
      </c>
      <c r="S396" s="251" t="s">
        <v>63</v>
      </c>
      <c r="T396" s="251"/>
      <c r="U396" s="251" t="s">
        <v>51</v>
      </c>
      <c r="V396" s="176"/>
      <c r="W396" s="256">
        <f>IF(AC396="Intr",0,G396*Definitions!$B$53)</f>
        <v>26970</v>
      </c>
      <c r="X396" s="256">
        <f>IF(AC396="Intr",0,G396*Definitions!$B$54)</f>
        <v>125859.99999999999</v>
      </c>
      <c r="Y396" s="256">
        <f>IF(AC396="Intr",G396,G396*Definitions!$B$55)</f>
        <v>26970</v>
      </c>
      <c r="Z396" s="256" t="s">
        <v>966</v>
      </c>
      <c r="AA396" s="256" t="s">
        <v>965</v>
      </c>
      <c r="AB396" s="256"/>
      <c r="AC396" s="251"/>
      <c r="AD396" s="251"/>
      <c r="AE396" s="251"/>
      <c r="AF396" s="251"/>
      <c r="AG396" s="257"/>
      <c r="AH396" s="255" t="s">
        <v>855</v>
      </c>
      <c r="AI396" s="105"/>
      <c r="AJ396" s="105"/>
      <c r="AK396" s="105"/>
      <c r="AL396" s="105"/>
      <c r="AM396" s="105"/>
      <c r="AN396" s="105"/>
      <c r="AO396" s="105"/>
      <c r="AP396" s="105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5"/>
      <c r="BB396" s="105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5"/>
      <c r="BN396" s="105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5"/>
      <c r="BZ396" s="105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5"/>
      <c r="CM396" s="105"/>
      <c r="CN396" s="105"/>
      <c r="CO396" s="105"/>
      <c r="CP396" s="105"/>
      <c r="CQ396" s="105"/>
      <c r="CR396" s="105"/>
      <c r="CS396" s="105"/>
      <c r="CT396" s="105"/>
      <c r="CU396" s="105"/>
      <c r="CV396" s="105"/>
      <c r="CW396" s="105"/>
      <c r="CX396" s="105"/>
      <c r="CY396" s="105"/>
      <c r="CZ396" s="105"/>
      <c r="DA396" s="105"/>
      <c r="DB396" s="105"/>
      <c r="DC396" s="105"/>
      <c r="DD396" s="105"/>
      <c r="DE396" s="105"/>
      <c r="DF396" s="105"/>
      <c r="DG396" s="105"/>
      <c r="DH396" s="105"/>
      <c r="DI396" s="105"/>
      <c r="DJ396" s="105"/>
      <c r="DK396" s="105"/>
      <c r="DL396" s="105"/>
      <c r="DM396" s="105"/>
      <c r="DN396" s="105"/>
      <c r="DO396" s="105"/>
      <c r="DP396" s="105"/>
      <c r="DQ396" s="105"/>
      <c r="DR396" s="105"/>
      <c r="DS396" s="105"/>
      <c r="DT396" s="105"/>
      <c r="DU396" s="105"/>
      <c r="DV396" s="105"/>
      <c r="DW396" s="105"/>
      <c r="DX396" s="105"/>
      <c r="DY396" s="105"/>
      <c r="DZ396" s="105"/>
      <c r="EA396" s="105"/>
      <c r="EB396" s="105"/>
      <c r="EC396" s="105"/>
      <c r="ED396" s="105"/>
      <c r="EE396" s="105"/>
      <c r="EF396" s="105"/>
      <c r="EG396" s="105"/>
      <c r="EH396" s="105"/>
      <c r="EI396" s="105"/>
      <c r="EJ396" s="105"/>
      <c r="EK396" s="105"/>
      <c r="EL396" s="105"/>
      <c r="EM396" s="105"/>
      <c r="EN396" s="105"/>
      <c r="EO396" s="105"/>
      <c r="EP396" s="105"/>
      <c r="EQ396" s="105"/>
      <c r="ER396" s="105"/>
      <c r="ES396" s="105"/>
      <c r="ET396" s="105"/>
      <c r="EU396" s="105"/>
      <c r="EV396" s="105"/>
      <c r="EW396" s="105"/>
      <c r="EX396" s="105"/>
      <c r="EY396" s="105"/>
      <c r="EZ396" s="105"/>
      <c r="FA396" s="105"/>
      <c r="FB396" s="105"/>
      <c r="FC396" s="105"/>
      <c r="FD396" s="105"/>
      <c r="FE396" s="105"/>
      <c r="FF396" s="105"/>
      <c r="FG396" s="105"/>
      <c r="FH396" s="105"/>
      <c r="FI396" s="105"/>
      <c r="FJ396" s="105"/>
      <c r="FK396" s="105"/>
      <c r="FL396" s="105"/>
      <c r="FM396" s="105"/>
      <c r="FN396" s="105"/>
      <c r="FO396" s="105"/>
      <c r="FP396" s="105"/>
      <c r="FQ396" s="105"/>
      <c r="FR396" s="105"/>
      <c r="FS396" s="105"/>
      <c r="FT396" s="105"/>
      <c r="FU396" s="105"/>
      <c r="FV396" s="105"/>
      <c r="FW396" s="105"/>
      <c r="FX396" s="105"/>
      <c r="FY396" s="105"/>
      <c r="FZ396" s="105"/>
      <c r="GA396" s="105"/>
      <c r="GB396" s="105"/>
      <c r="GC396" s="105"/>
      <c r="GD396" s="105"/>
      <c r="GE396" s="105"/>
      <c r="GF396" s="105"/>
      <c r="GG396" s="105"/>
      <c r="GH396" s="105"/>
      <c r="GI396" s="105"/>
      <c r="GJ396" s="105"/>
      <c r="GK396" s="105"/>
      <c r="GL396" s="105"/>
      <c r="GM396" s="105"/>
      <c r="GN396" s="105"/>
      <c r="GO396" s="105"/>
      <c r="GP396" s="105"/>
      <c r="GQ396" s="105"/>
      <c r="GR396" s="105"/>
      <c r="GS396" s="105"/>
      <c r="GT396" s="105"/>
      <c r="GU396" s="105"/>
      <c r="GV396" s="105"/>
      <c r="GW396" s="105"/>
      <c r="GX396" s="105"/>
      <c r="GY396" s="105"/>
      <c r="GZ396" s="105"/>
      <c r="HA396" s="105"/>
      <c r="HB396" s="105"/>
      <c r="HC396" s="105"/>
      <c r="HD396" s="105"/>
      <c r="HE396" s="105"/>
      <c r="HF396" s="105"/>
      <c r="HG396" s="105"/>
      <c r="HH396" s="105"/>
      <c r="HI396" s="105"/>
      <c r="HJ396" s="105"/>
      <c r="HK396" s="105"/>
      <c r="HL396" s="105"/>
      <c r="HM396" s="105"/>
      <c r="HN396" s="105"/>
      <c r="HO396" s="105"/>
      <c r="HP396" s="105"/>
      <c r="HQ396" s="105"/>
      <c r="HR396" s="105"/>
      <c r="HS396" s="105"/>
      <c r="HT396" s="105"/>
      <c r="HU396" s="105"/>
      <c r="HV396" s="105"/>
      <c r="HW396" s="105"/>
      <c r="HX396" s="105"/>
      <c r="HY396" s="105"/>
      <c r="HZ396" s="105"/>
      <c r="IA396" s="105"/>
      <c r="IB396" s="105"/>
      <c r="IC396" s="105"/>
      <c r="ID396" s="105"/>
      <c r="IE396" s="105"/>
      <c r="IF396" s="105"/>
      <c r="IG396" s="105"/>
      <c r="IH396" s="105"/>
      <c r="II396" s="105"/>
      <c r="IJ396" s="105"/>
      <c r="IK396" s="105"/>
      <c r="IL396" s="105"/>
      <c r="IM396" s="105"/>
      <c r="IN396" s="105"/>
      <c r="IO396" s="105"/>
      <c r="IP396" s="105"/>
      <c r="IQ396" s="105"/>
      <c r="IR396" s="105"/>
      <c r="IS396" s="105"/>
      <c r="IT396" s="105"/>
      <c r="IU396" s="105"/>
      <c r="IV396" s="105"/>
    </row>
    <row r="397" spans="1:256" s="404" customFormat="1" x14ac:dyDescent="0.2">
      <c r="A397" s="176">
        <v>44475</v>
      </c>
      <c r="B397" s="251" t="s">
        <v>98</v>
      </c>
      <c r="C397" s="251">
        <v>2021</v>
      </c>
      <c r="D397" s="251" t="s">
        <v>9</v>
      </c>
      <c r="E397" s="253">
        <v>-89.5</v>
      </c>
      <c r="F397" s="253" t="s">
        <v>33</v>
      </c>
      <c r="G397" s="178">
        <f>-(E397*400)</f>
        <v>35800</v>
      </c>
      <c r="H397" s="253">
        <v>241</v>
      </c>
      <c r="I397" s="253" t="s">
        <v>80</v>
      </c>
      <c r="J397" s="253" t="s">
        <v>39</v>
      </c>
      <c r="K397" s="253">
        <v>33</v>
      </c>
      <c r="L397" s="252" t="s">
        <v>987</v>
      </c>
      <c r="M397" s="253" t="s">
        <v>853</v>
      </c>
      <c r="N397" s="315" t="s">
        <v>854</v>
      </c>
      <c r="O397" s="251"/>
      <c r="P397" s="251" t="s">
        <v>200</v>
      </c>
      <c r="Q397" s="798">
        <v>38.867088000000003</v>
      </c>
      <c r="R397" s="695">
        <v>-87.250826000000004</v>
      </c>
      <c r="S397" s="251" t="s">
        <v>63</v>
      </c>
      <c r="T397" s="251"/>
      <c r="U397" s="251" t="s">
        <v>51</v>
      </c>
      <c r="V397" s="176"/>
      <c r="W397" s="256">
        <f>IF(AC397="Intr",0,G397*Definitions!$B$53)</f>
        <v>5370</v>
      </c>
      <c r="X397" s="256">
        <f>IF(AC397="Intr",0,G397*Definitions!$B$54)</f>
        <v>25060</v>
      </c>
      <c r="Y397" s="256">
        <f>IF(AC397="Intr",G397,G397*Definitions!$B$55)</f>
        <v>5370</v>
      </c>
      <c r="Z397" s="256" t="s">
        <v>966</v>
      </c>
      <c r="AA397" s="256" t="s">
        <v>965</v>
      </c>
      <c r="AB397" s="256"/>
      <c r="AC397" s="251"/>
      <c r="AD397" s="251"/>
      <c r="AE397" s="251"/>
      <c r="AF397" s="251"/>
      <c r="AG397" s="257"/>
      <c r="AH397" s="255" t="s">
        <v>855</v>
      </c>
      <c r="AI397" s="105"/>
      <c r="AJ397" s="105"/>
      <c r="AK397" s="105"/>
      <c r="AL397" s="105"/>
      <c r="AM397" s="105"/>
      <c r="AN397" s="105"/>
      <c r="AO397" s="105"/>
      <c r="AP397" s="105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5"/>
      <c r="BB397" s="105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5"/>
      <c r="BN397" s="105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5"/>
      <c r="BZ397" s="105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5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5"/>
      <c r="CX397" s="105"/>
      <c r="CY397" s="105"/>
      <c r="CZ397" s="105"/>
      <c r="DA397" s="105"/>
      <c r="DB397" s="105"/>
      <c r="DC397" s="105"/>
      <c r="DD397" s="105"/>
      <c r="DE397" s="105"/>
      <c r="DF397" s="105"/>
      <c r="DG397" s="105"/>
      <c r="DH397" s="105"/>
      <c r="DI397" s="105"/>
      <c r="DJ397" s="105"/>
      <c r="DK397" s="105"/>
      <c r="DL397" s="105"/>
      <c r="DM397" s="105"/>
      <c r="DN397" s="105"/>
      <c r="DO397" s="105"/>
      <c r="DP397" s="105"/>
      <c r="DQ397" s="105"/>
      <c r="DR397" s="105"/>
      <c r="DS397" s="105"/>
      <c r="DT397" s="105"/>
      <c r="DU397" s="105"/>
      <c r="DV397" s="105"/>
      <c r="DW397" s="105"/>
      <c r="DX397" s="105"/>
      <c r="DY397" s="105"/>
      <c r="DZ397" s="105"/>
      <c r="EA397" s="105"/>
      <c r="EB397" s="105"/>
      <c r="EC397" s="105"/>
      <c r="ED397" s="105"/>
      <c r="EE397" s="105"/>
      <c r="EF397" s="105"/>
      <c r="EG397" s="105"/>
      <c r="EH397" s="105"/>
      <c r="EI397" s="105"/>
      <c r="EJ397" s="105"/>
      <c r="EK397" s="105"/>
      <c r="EL397" s="105"/>
      <c r="EM397" s="105"/>
      <c r="EN397" s="105"/>
      <c r="EO397" s="105"/>
      <c r="EP397" s="105"/>
      <c r="EQ397" s="105"/>
      <c r="ER397" s="105"/>
      <c r="ES397" s="105"/>
      <c r="ET397" s="105"/>
      <c r="EU397" s="105"/>
      <c r="EV397" s="105"/>
      <c r="EW397" s="105"/>
      <c r="EX397" s="105"/>
      <c r="EY397" s="105"/>
      <c r="EZ397" s="105"/>
      <c r="FA397" s="105"/>
      <c r="FB397" s="105"/>
      <c r="FC397" s="105"/>
      <c r="FD397" s="105"/>
      <c r="FE397" s="105"/>
      <c r="FF397" s="105"/>
      <c r="FG397" s="105"/>
      <c r="FH397" s="105"/>
      <c r="FI397" s="105"/>
      <c r="FJ397" s="105"/>
      <c r="FK397" s="105"/>
      <c r="FL397" s="105"/>
      <c r="FM397" s="105"/>
      <c r="FN397" s="105"/>
      <c r="FO397" s="105"/>
      <c r="FP397" s="105"/>
      <c r="FQ397" s="105"/>
      <c r="FR397" s="105"/>
      <c r="FS397" s="105"/>
      <c r="FT397" s="105"/>
      <c r="FU397" s="105"/>
      <c r="FV397" s="105"/>
      <c r="FW397" s="105"/>
      <c r="FX397" s="105"/>
      <c r="FY397" s="105"/>
      <c r="FZ397" s="105"/>
      <c r="GA397" s="105"/>
      <c r="GB397" s="105"/>
      <c r="GC397" s="105"/>
      <c r="GD397" s="105"/>
      <c r="GE397" s="105"/>
      <c r="GF397" s="105"/>
      <c r="GG397" s="105"/>
      <c r="GH397" s="105"/>
      <c r="GI397" s="105"/>
      <c r="GJ397" s="105"/>
      <c r="GK397" s="105"/>
      <c r="GL397" s="105"/>
      <c r="GM397" s="105"/>
      <c r="GN397" s="105"/>
      <c r="GO397" s="105"/>
      <c r="GP397" s="105"/>
      <c r="GQ397" s="105"/>
      <c r="GR397" s="105"/>
      <c r="GS397" s="105"/>
      <c r="GT397" s="105"/>
      <c r="GU397" s="105"/>
      <c r="GV397" s="105"/>
      <c r="GW397" s="105"/>
      <c r="GX397" s="105"/>
      <c r="GY397" s="105"/>
      <c r="GZ397" s="105"/>
      <c r="HA397" s="105"/>
      <c r="HB397" s="105"/>
      <c r="HC397" s="105"/>
      <c r="HD397" s="105"/>
      <c r="HE397" s="105"/>
      <c r="HF397" s="105"/>
      <c r="HG397" s="105"/>
      <c r="HH397" s="105"/>
      <c r="HI397" s="105"/>
      <c r="HJ397" s="105"/>
      <c r="HK397" s="105"/>
      <c r="HL397" s="105"/>
      <c r="HM397" s="105"/>
      <c r="HN397" s="105"/>
      <c r="HO397" s="105"/>
      <c r="HP397" s="105"/>
      <c r="HQ397" s="105"/>
      <c r="HR397" s="105"/>
      <c r="HS397" s="105"/>
      <c r="HT397" s="105"/>
      <c r="HU397" s="105"/>
      <c r="HV397" s="105"/>
      <c r="HW397" s="105"/>
      <c r="HX397" s="105"/>
      <c r="HY397" s="105"/>
      <c r="HZ397" s="105"/>
      <c r="IA397" s="105"/>
      <c r="IB397" s="105"/>
      <c r="IC397" s="105"/>
      <c r="ID397" s="105"/>
      <c r="IE397" s="105"/>
      <c r="IF397" s="105"/>
      <c r="IG397" s="105"/>
      <c r="IH397" s="105"/>
      <c r="II397" s="105"/>
      <c r="IJ397" s="105"/>
      <c r="IK397" s="105"/>
      <c r="IL397" s="105"/>
      <c r="IM397" s="105"/>
      <c r="IN397" s="105"/>
      <c r="IO397" s="105"/>
      <c r="IP397" s="105"/>
      <c r="IQ397" s="105"/>
      <c r="IR397" s="105"/>
      <c r="IS397" s="105"/>
      <c r="IT397" s="105"/>
      <c r="IU397" s="105"/>
      <c r="IV397" s="105"/>
    </row>
    <row r="398" spans="1:256" s="414" customFormat="1" x14ac:dyDescent="0.2">
      <c r="A398" s="160">
        <v>44475</v>
      </c>
      <c r="B398" s="161" t="s">
        <v>98</v>
      </c>
      <c r="C398" s="161">
        <v>2021</v>
      </c>
      <c r="D398" s="161" t="s">
        <v>8</v>
      </c>
      <c r="E398" s="162">
        <v>-1.36</v>
      </c>
      <c r="F398" s="162" t="s">
        <v>32</v>
      </c>
      <c r="G398" s="163">
        <f>-(E398*80000)</f>
        <v>108800.00000000001</v>
      </c>
      <c r="H398" s="164">
        <v>244</v>
      </c>
      <c r="I398" s="162" t="s">
        <v>80</v>
      </c>
      <c r="J398" s="162" t="s">
        <v>36</v>
      </c>
      <c r="K398" s="162">
        <v>0.56569999999999998</v>
      </c>
      <c r="L398" s="165" t="s">
        <v>726</v>
      </c>
      <c r="M398" s="162" t="s">
        <v>848</v>
      </c>
      <c r="N398" s="165" t="s">
        <v>849</v>
      </c>
      <c r="O398" s="161"/>
      <c r="P398" s="161" t="s">
        <v>107</v>
      </c>
      <c r="Q398" s="799">
        <v>39.588799999999999</v>
      </c>
      <c r="R398" s="696">
        <v>-85.828999999999994</v>
      </c>
      <c r="S398" s="161" t="s">
        <v>63</v>
      </c>
      <c r="T398" s="161"/>
      <c r="U398" s="161" t="s">
        <v>51</v>
      </c>
      <c r="V398" s="160"/>
      <c r="W398" s="166">
        <f>IF(AC398="Intr",0,G398*Definitions!$B$53)</f>
        <v>16320.000000000002</v>
      </c>
      <c r="X398" s="166">
        <f>IF(AC398="Intr",0,G398*Definitions!$B$54)</f>
        <v>76160</v>
      </c>
      <c r="Y398" s="166">
        <f>IF(AC398="Intr",G398,G398*Definitions!$B$55)</f>
        <v>16320.000000000002</v>
      </c>
      <c r="Z398" s="166" t="s">
        <v>966</v>
      </c>
      <c r="AA398" s="166" t="s">
        <v>968</v>
      </c>
      <c r="AB398" s="166"/>
      <c r="AC398" s="161"/>
      <c r="AD398" s="161"/>
      <c r="AE398" s="161"/>
      <c r="AF398" s="161"/>
      <c r="AG398" s="167"/>
      <c r="AH398" s="572" t="s">
        <v>851</v>
      </c>
      <c r="AI398" s="105"/>
      <c r="AJ398" s="105"/>
      <c r="AK398" s="105"/>
      <c r="AL398" s="105"/>
      <c r="AM398" s="105"/>
      <c r="AN398" s="105"/>
      <c r="AO398" s="105"/>
      <c r="AP398" s="105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5"/>
      <c r="BB398" s="105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5"/>
      <c r="BN398" s="105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5"/>
      <c r="BZ398" s="105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5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5"/>
      <c r="CX398" s="105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5"/>
      <c r="DJ398" s="105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5"/>
      <c r="DV398" s="105"/>
      <c r="DW398" s="105"/>
      <c r="DX398" s="105"/>
      <c r="DY398" s="105"/>
      <c r="DZ398" s="105"/>
      <c r="EA398" s="105"/>
      <c r="EB398" s="105"/>
      <c r="EC398" s="105"/>
      <c r="ED398" s="105"/>
      <c r="EE398" s="105"/>
      <c r="EF398" s="105"/>
      <c r="EG398" s="105"/>
      <c r="EH398" s="105"/>
      <c r="EI398" s="105"/>
      <c r="EJ398" s="105"/>
      <c r="EK398" s="105"/>
      <c r="EL398" s="105"/>
      <c r="EM398" s="105"/>
      <c r="EN398" s="105"/>
      <c r="EO398" s="105"/>
      <c r="EP398" s="105"/>
      <c r="EQ398" s="105"/>
      <c r="ER398" s="105"/>
      <c r="ES398" s="105"/>
      <c r="ET398" s="105"/>
      <c r="EU398" s="105"/>
      <c r="EV398" s="105"/>
      <c r="EW398" s="105"/>
      <c r="EX398" s="105"/>
      <c r="EY398" s="105"/>
      <c r="EZ398" s="105"/>
      <c r="FA398" s="105"/>
      <c r="FB398" s="105"/>
      <c r="FC398" s="105"/>
      <c r="FD398" s="105"/>
      <c r="FE398" s="105"/>
      <c r="FF398" s="105"/>
      <c r="FG398" s="105"/>
      <c r="FH398" s="105"/>
      <c r="FI398" s="105"/>
      <c r="FJ398" s="105"/>
      <c r="FK398" s="105"/>
      <c r="FL398" s="105"/>
      <c r="FM398" s="105"/>
      <c r="FN398" s="105"/>
      <c r="FO398" s="105"/>
      <c r="FP398" s="105"/>
      <c r="FQ398" s="105"/>
      <c r="FR398" s="105"/>
      <c r="FS398" s="105"/>
      <c r="FT398" s="105"/>
      <c r="FU398" s="105"/>
      <c r="FV398" s="105"/>
      <c r="FW398" s="105"/>
      <c r="FX398" s="105"/>
      <c r="FY398" s="105"/>
      <c r="FZ398" s="105"/>
      <c r="GA398" s="105"/>
      <c r="GB398" s="105"/>
      <c r="GC398" s="105"/>
      <c r="GD398" s="105"/>
      <c r="GE398" s="105"/>
      <c r="GF398" s="105"/>
      <c r="GG398" s="105"/>
      <c r="GH398" s="105"/>
      <c r="GI398" s="105"/>
      <c r="GJ398" s="105"/>
      <c r="GK398" s="105"/>
      <c r="GL398" s="105"/>
      <c r="GM398" s="105"/>
      <c r="GN398" s="105"/>
      <c r="GO398" s="105"/>
      <c r="GP398" s="105"/>
      <c r="GQ398" s="105"/>
      <c r="GR398" s="105"/>
      <c r="GS398" s="105"/>
      <c r="GT398" s="105"/>
      <c r="GU398" s="105"/>
      <c r="GV398" s="105"/>
      <c r="GW398" s="105"/>
      <c r="GX398" s="105"/>
      <c r="GY398" s="105"/>
      <c r="GZ398" s="105"/>
      <c r="HA398" s="105"/>
      <c r="HB398" s="105"/>
      <c r="HC398" s="105"/>
      <c r="HD398" s="105"/>
      <c r="HE398" s="105"/>
      <c r="HF398" s="105"/>
      <c r="HG398" s="105"/>
      <c r="HH398" s="105"/>
      <c r="HI398" s="105"/>
      <c r="HJ398" s="105"/>
      <c r="HK398" s="105"/>
      <c r="HL398" s="105"/>
      <c r="HM398" s="105"/>
      <c r="HN398" s="105"/>
      <c r="HO398" s="105"/>
      <c r="HP398" s="105"/>
      <c r="HQ398" s="105"/>
      <c r="HR398" s="105"/>
      <c r="HS398" s="105"/>
      <c r="HT398" s="105"/>
      <c r="HU398" s="105"/>
      <c r="HV398" s="105"/>
      <c r="HW398" s="105"/>
      <c r="HX398" s="105"/>
      <c r="HY398" s="105"/>
      <c r="HZ398" s="105"/>
      <c r="IA398" s="105"/>
      <c r="IB398" s="105"/>
      <c r="IC398" s="105"/>
      <c r="ID398" s="105"/>
      <c r="IE398" s="105"/>
      <c r="IF398" s="105"/>
      <c r="IG398" s="105"/>
      <c r="IH398" s="105"/>
      <c r="II398" s="105"/>
      <c r="IJ398" s="105"/>
      <c r="IK398" s="105"/>
      <c r="IL398" s="105"/>
      <c r="IM398" s="105"/>
      <c r="IN398" s="105"/>
      <c r="IO398" s="105"/>
      <c r="IP398" s="105"/>
      <c r="IQ398" s="105"/>
      <c r="IR398" s="105"/>
      <c r="IS398" s="105"/>
      <c r="IT398" s="105"/>
      <c r="IU398" s="105"/>
      <c r="IV398" s="105"/>
    </row>
    <row r="399" spans="1:256" s="414" customFormat="1" x14ac:dyDescent="0.2">
      <c r="A399" s="160">
        <v>44475</v>
      </c>
      <c r="B399" s="161" t="s">
        <v>98</v>
      </c>
      <c r="C399" s="161">
        <v>2021</v>
      </c>
      <c r="D399" s="161" t="s">
        <v>8</v>
      </c>
      <c r="E399" s="162">
        <v>-0.29799999999999999</v>
      </c>
      <c r="F399" s="162" t="s">
        <v>32</v>
      </c>
      <c r="G399" s="163">
        <f>-(E399*80000)</f>
        <v>23840</v>
      </c>
      <c r="H399" s="164">
        <v>244</v>
      </c>
      <c r="I399" s="162" t="s">
        <v>81</v>
      </c>
      <c r="J399" s="162" t="s">
        <v>36</v>
      </c>
      <c r="K399" s="162">
        <v>0.29799999999999999</v>
      </c>
      <c r="L399" s="165" t="s">
        <v>726</v>
      </c>
      <c r="M399" s="162" t="s">
        <v>848</v>
      </c>
      <c r="N399" s="165" t="s">
        <v>850</v>
      </c>
      <c r="O399" s="161"/>
      <c r="P399" s="161" t="s">
        <v>107</v>
      </c>
      <c r="Q399" s="799">
        <v>39.588799999999999</v>
      </c>
      <c r="R399" s="696">
        <v>-85.828999999999994</v>
      </c>
      <c r="S399" s="161" t="s">
        <v>63</v>
      </c>
      <c r="T399" s="161"/>
      <c r="U399" s="161" t="s">
        <v>51</v>
      </c>
      <c r="V399" s="160"/>
      <c r="W399" s="166">
        <f>IF(AC399="Intr",0,G399*Definitions!$B$53)</f>
        <v>3576</v>
      </c>
      <c r="X399" s="166">
        <f>IF(AC399="Intr",0,G399*Definitions!$B$54)</f>
        <v>16688</v>
      </c>
      <c r="Y399" s="166">
        <f>IF(AC399="Intr",G399,G399*Definitions!$B$55)</f>
        <v>3576</v>
      </c>
      <c r="Z399" s="166" t="s">
        <v>966</v>
      </c>
      <c r="AA399" s="166" t="s">
        <v>968</v>
      </c>
      <c r="AB399" s="166" t="s">
        <v>969</v>
      </c>
      <c r="AC399" s="161"/>
      <c r="AD399" s="161"/>
      <c r="AE399" s="161"/>
      <c r="AF399" s="161"/>
      <c r="AG399" s="167"/>
      <c r="AH399" s="572" t="s">
        <v>851</v>
      </c>
      <c r="AI399" s="105"/>
      <c r="AJ399" s="105"/>
      <c r="AK399" s="105"/>
      <c r="AL399" s="105"/>
      <c r="AM399" s="105"/>
      <c r="AN399" s="105"/>
      <c r="AO399" s="105"/>
      <c r="AP399" s="105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5"/>
      <c r="BB399" s="105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5"/>
      <c r="BN399" s="105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5"/>
      <c r="BZ399" s="105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5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5"/>
      <c r="CX399" s="105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5"/>
      <c r="DJ399" s="105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5"/>
      <c r="DV399" s="105"/>
      <c r="DW399" s="105"/>
      <c r="DX399" s="105"/>
      <c r="DY399" s="105"/>
      <c r="DZ399" s="105"/>
      <c r="EA399" s="105"/>
      <c r="EB399" s="105"/>
      <c r="EC399" s="105"/>
      <c r="ED399" s="105"/>
      <c r="EE399" s="105"/>
      <c r="EF399" s="105"/>
      <c r="EG399" s="105"/>
      <c r="EH399" s="105"/>
      <c r="EI399" s="105"/>
      <c r="EJ399" s="105"/>
      <c r="EK399" s="105"/>
      <c r="EL399" s="105"/>
      <c r="EM399" s="105"/>
      <c r="EN399" s="105"/>
      <c r="EO399" s="105"/>
      <c r="EP399" s="105"/>
      <c r="EQ399" s="105"/>
      <c r="ER399" s="105"/>
      <c r="ES399" s="105"/>
      <c r="ET399" s="105"/>
      <c r="EU399" s="105"/>
      <c r="EV399" s="105"/>
      <c r="EW399" s="105"/>
      <c r="EX399" s="105"/>
      <c r="EY399" s="105"/>
      <c r="EZ399" s="105"/>
      <c r="FA399" s="105"/>
      <c r="FB399" s="105"/>
      <c r="FC399" s="105"/>
      <c r="FD399" s="105"/>
      <c r="FE399" s="105"/>
      <c r="FF399" s="105"/>
      <c r="FG399" s="105"/>
      <c r="FH399" s="105"/>
      <c r="FI399" s="105"/>
      <c r="FJ399" s="105"/>
      <c r="FK399" s="105"/>
      <c r="FL399" s="105"/>
      <c r="FM399" s="105"/>
      <c r="FN399" s="105"/>
      <c r="FO399" s="105"/>
      <c r="FP399" s="105"/>
      <c r="FQ399" s="105"/>
      <c r="FR399" s="105"/>
      <c r="FS399" s="105"/>
      <c r="FT399" s="105"/>
      <c r="FU399" s="105"/>
      <c r="FV399" s="105"/>
      <c r="FW399" s="105"/>
      <c r="FX399" s="105"/>
      <c r="FY399" s="105"/>
      <c r="FZ399" s="105"/>
      <c r="GA399" s="105"/>
      <c r="GB399" s="105"/>
      <c r="GC399" s="105"/>
      <c r="GD399" s="105"/>
      <c r="GE399" s="105"/>
      <c r="GF399" s="105"/>
      <c r="GG399" s="105"/>
      <c r="GH399" s="105"/>
      <c r="GI399" s="105"/>
      <c r="GJ399" s="105"/>
      <c r="GK399" s="105"/>
      <c r="GL399" s="105"/>
      <c r="GM399" s="105"/>
      <c r="GN399" s="105"/>
      <c r="GO399" s="105"/>
      <c r="GP399" s="105"/>
      <c r="GQ399" s="105"/>
      <c r="GR399" s="105"/>
      <c r="GS399" s="105"/>
      <c r="GT399" s="105"/>
      <c r="GU399" s="105"/>
      <c r="GV399" s="105"/>
      <c r="GW399" s="105"/>
      <c r="GX399" s="105"/>
      <c r="GY399" s="105"/>
      <c r="GZ399" s="105"/>
      <c r="HA399" s="105"/>
      <c r="HB399" s="105"/>
      <c r="HC399" s="105"/>
      <c r="HD399" s="105"/>
      <c r="HE399" s="105"/>
      <c r="HF399" s="105"/>
      <c r="HG399" s="105"/>
      <c r="HH399" s="105"/>
      <c r="HI399" s="105"/>
      <c r="HJ399" s="105"/>
      <c r="HK399" s="105"/>
      <c r="HL399" s="105"/>
      <c r="HM399" s="105"/>
      <c r="HN399" s="105"/>
      <c r="HO399" s="105"/>
      <c r="HP399" s="105"/>
      <c r="HQ399" s="105"/>
      <c r="HR399" s="105"/>
      <c r="HS399" s="105"/>
      <c r="HT399" s="105"/>
      <c r="HU399" s="105"/>
      <c r="HV399" s="105"/>
      <c r="HW399" s="105"/>
      <c r="HX399" s="105"/>
      <c r="HY399" s="105"/>
      <c r="HZ399" s="105"/>
      <c r="IA399" s="105"/>
      <c r="IB399" s="105"/>
      <c r="IC399" s="105"/>
      <c r="ID399" s="105"/>
      <c r="IE399" s="105"/>
      <c r="IF399" s="105"/>
      <c r="IG399" s="105"/>
      <c r="IH399" s="105"/>
      <c r="II399" s="105"/>
      <c r="IJ399" s="105"/>
      <c r="IK399" s="105"/>
      <c r="IL399" s="105"/>
      <c r="IM399" s="105"/>
      <c r="IN399" s="105"/>
      <c r="IO399" s="105"/>
      <c r="IP399" s="105"/>
      <c r="IQ399" s="105"/>
      <c r="IR399" s="105"/>
      <c r="IS399" s="105"/>
      <c r="IT399" s="105"/>
      <c r="IU399" s="105"/>
      <c r="IV399" s="105"/>
    </row>
    <row r="400" spans="1:256" s="415" customFormat="1" x14ac:dyDescent="0.2">
      <c r="A400" s="282">
        <v>44475</v>
      </c>
      <c r="B400" s="114" t="s">
        <v>98</v>
      </c>
      <c r="C400" s="114">
        <v>2021</v>
      </c>
      <c r="D400" s="114" t="s">
        <v>8</v>
      </c>
      <c r="E400" s="270">
        <v>-4</v>
      </c>
      <c r="F400" s="270" t="s">
        <v>33</v>
      </c>
      <c r="G400" s="283">
        <f>-(E400*400)</f>
        <v>1600</v>
      </c>
      <c r="H400" s="284">
        <v>242</v>
      </c>
      <c r="I400" s="270" t="s">
        <v>80</v>
      </c>
      <c r="J400" s="270" t="s">
        <v>39</v>
      </c>
      <c r="K400" s="270">
        <v>300.3</v>
      </c>
      <c r="L400" s="285" t="s">
        <v>726</v>
      </c>
      <c r="M400" s="270" t="s">
        <v>807</v>
      </c>
      <c r="N400" s="285" t="s">
        <v>808</v>
      </c>
      <c r="O400" s="114"/>
      <c r="P400" s="114" t="s">
        <v>125</v>
      </c>
      <c r="Q400" s="800">
        <v>39.141649999999998</v>
      </c>
      <c r="R400" s="697">
        <v>-85.957999999999998</v>
      </c>
      <c r="S400" s="114" t="s">
        <v>63</v>
      </c>
      <c r="T400" s="114"/>
      <c r="U400" s="114" t="s">
        <v>51</v>
      </c>
      <c r="V400" s="282"/>
      <c r="W400" s="286">
        <f>IF(AC400="Intr",0,G400*Definitions!$B$53)</f>
        <v>240</v>
      </c>
      <c r="X400" s="286">
        <f>IF(AC400="Intr",0,G400*Definitions!$B$54)</f>
        <v>1120</v>
      </c>
      <c r="Y400" s="286">
        <f>IF(AC400="Intr",G400,G400*Definitions!$B$55)</f>
        <v>240</v>
      </c>
      <c r="Z400" s="286" t="s">
        <v>966</v>
      </c>
      <c r="AA400" s="286" t="s">
        <v>968</v>
      </c>
      <c r="AB400" s="286"/>
      <c r="AC400" s="114"/>
      <c r="AD400" s="114"/>
      <c r="AE400" s="114"/>
      <c r="AF400" s="114"/>
      <c r="AG400" s="287"/>
      <c r="AH400" s="521" t="s">
        <v>1633</v>
      </c>
      <c r="AI400" s="105"/>
      <c r="AJ400" s="105"/>
      <c r="AK400" s="105"/>
      <c r="AL400" s="105"/>
      <c r="AM400" s="105"/>
      <c r="AN400" s="105"/>
      <c r="AO400" s="105"/>
      <c r="AP400" s="105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5"/>
      <c r="BB400" s="105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5"/>
      <c r="BN400" s="105"/>
      <c r="BO400" s="105"/>
      <c r="BP400" s="105"/>
      <c r="BQ400" s="105"/>
      <c r="BR400" s="105"/>
      <c r="BS400" s="105"/>
      <c r="BT400" s="105"/>
      <c r="BU400" s="105"/>
      <c r="BV400" s="105"/>
      <c r="BW400" s="105"/>
      <c r="BX400" s="105"/>
      <c r="BY400" s="105"/>
      <c r="BZ400" s="105"/>
      <c r="CA400" s="105"/>
      <c r="CB400" s="105"/>
      <c r="CC400" s="105"/>
      <c r="CD400" s="105"/>
      <c r="CE400" s="105"/>
      <c r="CF400" s="105"/>
      <c r="CG400" s="105"/>
      <c r="CH400" s="105"/>
      <c r="CI400" s="105"/>
      <c r="CJ400" s="105"/>
      <c r="CK400" s="105"/>
      <c r="CL400" s="105"/>
      <c r="CM400" s="105"/>
      <c r="CN400" s="105"/>
      <c r="CO400" s="105"/>
      <c r="CP400" s="105"/>
      <c r="CQ400" s="105"/>
      <c r="CR400" s="105"/>
      <c r="CS400" s="105"/>
      <c r="CT400" s="105"/>
      <c r="CU400" s="105"/>
      <c r="CV400" s="105"/>
      <c r="CW400" s="105"/>
      <c r="CX400" s="105"/>
      <c r="CY400" s="105"/>
      <c r="CZ400" s="105"/>
      <c r="DA400" s="105"/>
      <c r="DB400" s="105"/>
      <c r="DC400" s="105"/>
      <c r="DD400" s="105"/>
      <c r="DE400" s="105"/>
      <c r="DF400" s="105"/>
      <c r="DG400" s="105"/>
      <c r="DH400" s="105"/>
      <c r="DI400" s="105"/>
      <c r="DJ400" s="105"/>
      <c r="DK400" s="105"/>
      <c r="DL400" s="105"/>
      <c r="DM400" s="105"/>
      <c r="DN400" s="105"/>
      <c r="DO400" s="105"/>
      <c r="DP400" s="105"/>
      <c r="DQ400" s="105"/>
      <c r="DR400" s="105"/>
      <c r="DS400" s="105"/>
      <c r="DT400" s="105"/>
      <c r="DU400" s="105"/>
      <c r="DV400" s="105"/>
      <c r="DW400" s="105"/>
      <c r="DX400" s="105"/>
      <c r="DY400" s="105"/>
      <c r="DZ400" s="105"/>
      <c r="EA400" s="105"/>
      <c r="EB400" s="105"/>
      <c r="EC400" s="105"/>
      <c r="ED400" s="105"/>
      <c r="EE400" s="105"/>
      <c r="EF400" s="105"/>
      <c r="EG400" s="105"/>
      <c r="EH400" s="105"/>
      <c r="EI400" s="105"/>
      <c r="EJ400" s="105"/>
      <c r="EK400" s="105"/>
      <c r="EL400" s="105"/>
      <c r="EM400" s="105"/>
      <c r="EN400" s="105"/>
      <c r="EO400" s="105"/>
      <c r="EP400" s="105"/>
      <c r="EQ400" s="105"/>
      <c r="ER400" s="105"/>
      <c r="ES400" s="105"/>
      <c r="ET400" s="105"/>
      <c r="EU400" s="105"/>
      <c r="EV400" s="105"/>
      <c r="EW400" s="105"/>
      <c r="EX400" s="105"/>
      <c r="EY400" s="105"/>
      <c r="EZ400" s="105"/>
      <c r="FA400" s="105"/>
      <c r="FB400" s="105"/>
      <c r="FC400" s="105"/>
      <c r="FD400" s="105"/>
      <c r="FE400" s="105"/>
      <c r="FF400" s="105"/>
      <c r="FG400" s="105"/>
      <c r="FH400" s="105"/>
      <c r="FI400" s="105"/>
      <c r="FJ400" s="105"/>
      <c r="FK400" s="105"/>
      <c r="FL400" s="105"/>
      <c r="FM400" s="105"/>
      <c r="FN400" s="105"/>
      <c r="FO400" s="105"/>
      <c r="FP400" s="105"/>
      <c r="FQ400" s="105"/>
      <c r="FR400" s="105"/>
      <c r="FS400" s="105"/>
      <c r="FT400" s="105"/>
      <c r="FU400" s="105"/>
      <c r="FV400" s="105"/>
      <c r="FW400" s="105"/>
      <c r="FX400" s="105"/>
      <c r="FY400" s="105"/>
      <c r="FZ400" s="105"/>
      <c r="GA400" s="105"/>
      <c r="GB400" s="105"/>
      <c r="GC400" s="105"/>
      <c r="GD400" s="105"/>
      <c r="GE400" s="105"/>
      <c r="GF400" s="105"/>
      <c r="GG400" s="105"/>
      <c r="GH400" s="105"/>
      <c r="GI400" s="105"/>
      <c r="GJ400" s="105"/>
      <c r="GK400" s="105"/>
      <c r="GL400" s="105"/>
      <c r="GM400" s="105"/>
      <c r="GN400" s="105"/>
      <c r="GO400" s="105"/>
      <c r="GP400" s="105"/>
      <c r="GQ400" s="105"/>
      <c r="GR400" s="105"/>
      <c r="GS400" s="105"/>
      <c r="GT400" s="105"/>
      <c r="GU400" s="105"/>
      <c r="GV400" s="105"/>
      <c r="GW400" s="105"/>
      <c r="GX400" s="105"/>
      <c r="GY400" s="105"/>
      <c r="GZ400" s="105"/>
      <c r="HA400" s="105"/>
      <c r="HB400" s="105"/>
      <c r="HC400" s="105"/>
      <c r="HD400" s="105"/>
      <c r="HE400" s="105"/>
      <c r="HF400" s="105"/>
      <c r="HG400" s="105"/>
      <c r="HH400" s="105"/>
      <c r="HI400" s="105"/>
      <c r="HJ400" s="105"/>
      <c r="HK400" s="105"/>
      <c r="HL400" s="105"/>
      <c r="HM400" s="105"/>
      <c r="HN400" s="105"/>
      <c r="HO400" s="105"/>
      <c r="HP400" s="105"/>
      <c r="HQ400" s="105"/>
      <c r="HR400" s="105"/>
      <c r="HS400" s="105"/>
      <c r="HT400" s="105"/>
      <c r="HU400" s="105"/>
      <c r="HV400" s="105"/>
      <c r="HW400" s="105"/>
      <c r="HX400" s="105"/>
      <c r="HY400" s="105"/>
      <c r="HZ400" s="105"/>
      <c r="IA400" s="105"/>
      <c r="IB400" s="105"/>
      <c r="IC400" s="105"/>
      <c r="ID400" s="105"/>
      <c r="IE400" s="105"/>
      <c r="IF400" s="105"/>
      <c r="IG400" s="105"/>
      <c r="IH400" s="105"/>
      <c r="II400" s="105"/>
      <c r="IJ400" s="105"/>
      <c r="IK400" s="105"/>
      <c r="IL400" s="105"/>
      <c r="IM400" s="105"/>
      <c r="IN400" s="105"/>
      <c r="IO400" s="105"/>
      <c r="IP400" s="105"/>
      <c r="IQ400" s="105"/>
      <c r="IR400" s="105"/>
      <c r="IS400" s="105"/>
      <c r="IT400" s="105"/>
      <c r="IU400" s="105"/>
      <c r="IV400" s="105"/>
    </row>
    <row r="401" spans="1:256" s="415" customFormat="1" x14ac:dyDescent="0.2">
      <c r="A401" s="282">
        <v>44475</v>
      </c>
      <c r="B401" s="114" t="s">
        <v>98</v>
      </c>
      <c r="C401" s="114">
        <v>2021</v>
      </c>
      <c r="D401" s="114" t="s">
        <v>8</v>
      </c>
      <c r="E401" s="270">
        <v>-0.98</v>
      </c>
      <c r="F401" s="270" t="s">
        <v>32</v>
      </c>
      <c r="G401" s="283">
        <f>-(E401*80000)</f>
        <v>78400</v>
      </c>
      <c r="H401" s="284">
        <v>242</v>
      </c>
      <c r="I401" s="270" t="s">
        <v>81</v>
      </c>
      <c r="J401" s="270" t="s">
        <v>36</v>
      </c>
      <c r="K401" s="270">
        <v>0.06</v>
      </c>
      <c r="L401" s="285" t="s">
        <v>987</v>
      </c>
      <c r="M401" s="270" t="s">
        <v>807</v>
      </c>
      <c r="N401" s="285" t="s">
        <v>852</v>
      </c>
      <c r="O401" s="114"/>
      <c r="P401" s="114" t="s">
        <v>125</v>
      </c>
      <c r="Q401" s="800">
        <v>39.141649999999998</v>
      </c>
      <c r="R401" s="697">
        <v>-85.957999999999998</v>
      </c>
      <c r="S401" s="114" t="s">
        <v>63</v>
      </c>
      <c r="T401" s="114"/>
      <c r="U401" s="114" t="s">
        <v>51</v>
      </c>
      <c r="V401" s="282"/>
      <c r="W401" s="286">
        <f>IF(AC401="Intr",0,G401*Definitions!$B$53)</f>
        <v>11760</v>
      </c>
      <c r="X401" s="286">
        <f>IF(AC401="Intr",0,G401*Definitions!$B$54)</f>
        <v>54880</v>
      </c>
      <c r="Y401" s="286">
        <f>IF(AC401="Intr",G401,G401*Definitions!$B$55)</f>
        <v>11760</v>
      </c>
      <c r="Z401" s="286" t="s">
        <v>966</v>
      </c>
      <c r="AA401" s="286" t="s">
        <v>968</v>
      </c>
      <c r="AB401" s="286" t="s">
        <v>969</v>
      </c>
      <c r="AC401" s="114"/>
      <c r="AD401" s="114"/>
      <c r="AE401" s="114"/>
      <c r="AF401" s="114"/>
      <c r="AG401" s="287"/>
      <c r="AH401" s="521" t="s">
        <v>1633</v>
      </c>
      <c r="AI401" s="105"/>
      <c r="AJ401" s="105"/>
      <c r="AK401" s="105"/>
      <c r="AL401" s="105"/>
      <c r="AM401" s="105"/>
      <c r="AN401" s="105"/>
      <c r="AO401" s="105"/>
      <c r="AP401" s="105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5"/>
      <c r="BB401" s="105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5"/>
      <c r="BN401" s="105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5"/>
      <c r="BZ401" s="105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5"/>
      <c r="CM401" s="105"/>
      <c r="CN401" s="105"/>
      <c r="CO401" s="105"/>
      <c r="CP401" s="105"/>
      <c r="CQ401" s="105"/>
      <c r="CR401" s="105"/>
      <c r="CS401" s="105"/>
      <c r="CT401" s="105"/>
      <c r="CU401" s="105"/>
      <c r="CV401" s="105"/>
      <c r="CW401" s="105"/>
      <c r="CX401" s="105"/>
      <c r="CY401" s="105"/>
      <c r="CZ401" s="105"/>
      <c r="DA401" s="105"/>
      <c r="DB401" s="105"/>
      <c r="DC401" s="105"/>
      <c r="DD401" s="105"/>
      <c r="DE401" s="105"/>
      <c r="DF401" s="105"/>
      <c r="DG401" s="105"/>
      <c r="DH401" s="105"/>
      <c r="DI401" s="105"/>
      <c r="DJ401" s="105"/>
      <c r="DK401" s="105"/>
      <c r="DL401" s="105"/>
      <c r="DM401" s="105"/>
      <c r="DN401" s="105"/>
      <c r="DO401" s="105"/>
      <c r="DP401" s="105"/>
      <c r="DQ401" s="105"/>
      <c r="DR401" s="105"/>
      <c r="DS401" s="105"/>
      <c r="DT401" s="105"/>
      <c r="DU401" s="105"/>
      <c r="DV401" s="105"/>
      <c r="DW401" s="105"/>
      <c r="DX401" s="105"/>
      <c r="DY401" s="105"/>
      <c r="DZ401" s="105"/>
      <c r="EA401" s="105"/>
      <c r="EB401" s="105"/>
      <c r="EC401" s="105"/>
      <c r="ED401" s="105"/>
      <c r="EE401" s="105"/>
      <c r="EF401" s="105"/>
      <c r="EG401" s="105"/>
      <c r="EH401" s="105"/>
      <c r="EI401" s="105"/>
      <c r="EJ401" s="105"/>
      <c r="EK401" s="105"/>
      <c r="EL401" s="105"/>
      <c r="EM401" s="105"/>
      <c r="EN401" s="105"/>
      <c r="EO401" s="105"/>
      <c r="EP401" s="105"/>
      <c r="EQ401" s="105"/>
      <c r="ER401" s="105"/>
      <c r="ES401" s="105"/>
      <c r="ET401" s="105"/>
      <c r="EU401" s="105"/>
      <c r="EV401" s="105"/>
      <c r="EW401" s="105"/>
      <c r="EX401" s="105"/>
      <c r="EY401" s="105"/>
      <c r="EZ401" s="105"/>
      <c r="FA401" s="105"/>
      <c r="FB401" s="105"/>
      <c r="FC401" s="105"/>
      <c r="FD401" s="105"/>
      <c r="FE401" s="105"/>
      <c r="FF401" s="105"/>
      <c r="FG401" s="105"/>
      <c r="FH401" s="105"/>
      <c r="FI401" s="105"/>
      <c r="FJ401" s="105"/>
      <c r="FK401" s="105"/>
      <c r="FL401" s="105"/>
      <c r="FM401" s="105"/>
      <c r="FN401" s="105"/>
      <c r="FO401" s="105"/>
      <c r="FP401" s="105"/>
      <c r="FQ401" s="105"/>
      <c r="FR401" s="105"/>
      <c r="FS401" s="105"/>
      <c r="FT401" s="105"/>
      <c r="FU401" s="105"/>
      <c r="FV401" s="105"/>
      <c r="FW401" s="105"/>
      <c r="FX401" s="105"/>
      <c r="FY401" s="105"/>
      <c r="FZ401" s="105"/>
      <c r="GA401" s="105"/>
      <c r="GB401" s="105"/>
      <c r="GC401" s="105"/>
      <c r="GD401" s="105"/>
      <c r="GE401" s="105"/>
      <c r="GF401" s="105"/>
      <c r="GG401" s="105"/>
      <c r="GH401" s="105"/>
      <c r="GI401" s="105"/>
      <c r="GJ401" s="105"/>
      <c r="GK401" s="105"/>
      <c r="GL401" s="105"/>
      <c r="GM401" s="105"/>
      <c r="GN401" s="105"/>
      <c r="GO401" s="105"/>
      <c r="GP401" s="105"/>
      <c r="GQ401" s="105"/>
      <c r="GR401" s="105"/>
      <c r="GS401" s="105"/>
      <c r="GT401" s="105"/>
      <c r="GU401" s="105"/>
      <c r="GV401" s="105"/>
      <c r="GW401" s="105"/>
      <c r="GX401" s="105"/>
      <c r="GY401" s="105"/>
      <c r="GZ401" s="105"/>
      <c r="HA401" s="105"/>
      <c r="HB401" s="105"/>
      <c r="HC401" s="105"/>
      <c r="HD401" s="105"/>
      <c r="HE401" s="105"/>
      <c r="HF401" s="105"/>
      <c r="HG401" s="105"/>
      <c r="HH401" s="105"/>
      <c r="HI401" s="105"/>
      <c r="HJ401" s="105"/>
      <c r="HK401" s="105"/>
      <c r="HL401" s="105"/>
      <c r="HM401" s="105"/>
      <c r="HN401" s="105"/>
      <c r="HO401" s="105"/>
      <c r="HP401" s="105"/>
      <c r="HQ401" s="105"/>
      <c r="HR401" s="105"/>
      <c r="HS401" s="105"/>
      <c r="HT401" s="105"/>
      <c r="HU401" s="105"/>
      <c r="HV401" s="105"/>
      <c r="HW401" s="105"/>
      <c r="HX401" s="105"/>
      <c r="HY401" s="105"/>
      <c r="HZ401" s="105"/>
      <c r="IA401" s="105"/>
      <c r="IB401" s="105"/>
      <c r="IC401" s="105"/>
      <c r="ID401" s="105"/>
      <c r="IE401" s="105"/>
      <c r="IF401" s="105"/>
      <c r="IG401" s="105"/>
      <c r="IH401" s="105"/>
      <c r="II401" s="105"/>
      <c r="IJ401" s="105"/>
      <c r="IK401" s="105"/>
      <c r="IL401" s="105"/>
      <c r="IM401" s="105"/>
      <c r="IN401" s="105"/>
      <c r="IO401" s="105"/>
      <c r="IP401" s="105"/>
      <c r="IQ401" s="105"/>
      <c r="IR401" s="105"/>
      <c r="IS401" s="105"/>
      <c r="IT401" s="105"/>
      <c r="IU401" s="105"/>
      <c r="IV401" s="105"/>
    </row>
    <row r="402" spans="1:256" s="384" customFormat="1" x14ac:dyDescent="0.2">
      <c r="A402" s="176">
        <v>44487</v>
      </c>
      <c r="B402" s="38" t="s">
        <v>98</v>
      </c>
      <c r="C402" s="38">
        <v>2021</v>
      </c>
      <c r="D402" s="38" t="s">
        <v>9</v>
      </c>
      <c r="E402" s="177">
        <v>-114</v>
      </c>
      <c r="F402" s="177" t="s">
        <v>33</v>
      </c>
      <c r="G402" s="178">
        <v>45600</v>
      </c>
      <c r="H402" s="179">
        <v>215</v>
      </c>
      <c r="I402" s="177" t="s">
        <v>80</v>
      </c>
      <c r="J402" s="177" t="s">
        <v>39</v>
      </c>
      <c r="K402" s="177">
        <v>95</v>
      </c>
      <c r="L402" s="177" t="s">
        <v>726</v>
      </c>
      <c r="M402" s="70" t="s">
        <v>859</v>
      </c>
      <c r="N402" s="70" t="s">
        <v>860</v>
      </c>
      <c r="O402" s="72"/>
      <c r="P402" s="72" t="s">
        <v>321</v>
      </c>
      <c r="Q402" s="790" t="s">
        <v>861</v>
      </c>
      <c r="R402" s="687" t="s">
        <v>862</v>
      </c>
      <c r="S402" s="38" t="s">
        <v>63</v>
      </c>
      <c r="T402" s="38"/>
      <c r="U402" s="38" t="s">
        <v>51</v>
      </c>
      <c r="V402" s="37"/>
      <c r="W402" s="180">
        <f>IF(AC402="Intr",0,G402*Definitions!$B$53)</f>
        <v>6840</v>
      </c>
      <c r="X402" s="180">
        <f>IF(AC402="Intr",0,G402*Definitions!$B$54)</f>
        <v>31919.999999999996</v>
      </c>
      <c r="Y402" s="180">
        <f>IF(AC402="Intr",G402,G402*Definitions!$B$55)</f>
        <v>6840</v>
      </c>
      <c r="Z402" s="180" t="s">
        <v>966</v>
      </c>
      <c r="AA402" s="180" t="s">
        <v>965</v>
      </c>
      <c r="AB402" s="180"/>
      <c r="AC402" s="38"/>
      <c r="AD402" s="38"/>
      <c r="AE402" s="38"/>
      <c r="AF402" s="38"/>
      <c r="AG402" s="40"/>
      <c r="AH402" s="38" t="s">
        <v>863</v>
      </c>
      <c r="AI402" s="105"/>
      <c r="AJ402" s="105"/>
      <c r="AK402" s="105"/>
      <c r="AL402" s="105"/>
      <c r="AM402" s="105"/>
      <c r="AN402" s="105"/>
      <c r="AO402" s="105"/>
      <c r="AP402" s="105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5"/>
      <c r="BB402" s="105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5"/>
      <c r="BN402" s="105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5"/>
      <c r="BZ402" s="105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5"/>
      <c r="CM402" s="105"/>
      <c r="CN402" s="105"/>
      <c r="CO402" s="105"/>
      <c r="CP402" s="105"/>
      <c r="CQ402" s="105"/>
      <c r="CR402" s="105"/>
      <c r="CS402" s="105"/>
      <c r="CT402" s="105"/>
      <c r="CU402" s="105"/>
      <c r="CV402" s="105"/>
      <c r="CW402" s="105"/>
      <c r="CX402" s="105"/>
      <c r="CY402" s="105"/>
      <c r="CZ402" s="105"/>
      <c r="DA402" s="105"/>
      <c r="DB402" s="105"/>
      <c r="DC402" s="105"/>
      <c r="DD402" s="105"/>
      <c r="DE402" s="105"/>
      <c r="DF402" s="105"/>
      <c r="DG402" s="105"/>
      <c r="DH402" s="105"/>
      <c r="DI402" s="105"/>
      <c r="DJ402" s="105"/>
      <c r="DK402" s="105"/>
      <c r="DL402" s="105"/>
      <c r="DM402" s="105"/>
      <c r="DN402" s="105"/>
      <c r="DO402" s="105"/>
      <c r="DP402" s="105"/>
      <c r="DQ402" s="105"/>
      <c r="DR402" s="105"/>
      <c r="DS402" s="105"/>
      <c r="DT402" s="105"/>
      <c r="DU402" s="105"/>
      <c r="DV402" s="105"/>
      <c r="DW402" s="105"/>
      <c r="DX402" s="105"/>
      <c r="DY402" s="105"/>
      <c r="DZ402" s="105"/>
      <c r="EA402" s="105"/>
      <c r="EB402" s="105"/>
      <c r="EC402" s="105"/>
      <c r="ED402" s="105"/>
      <c r="EE402" s="105"/>
      <c r="EF402" s="105"/>
      <c r="EG402" s="105"/>
      <c r="EH402" s="105"/>
      <c r="EI402" s="105"/>
      <c r="EJ402" s="105"/>
      <c r="EK402" s="105"/>
      <c r="EL402" s="105"/>
      <c r="EM402" s="105"/>
      <c r="EN402" s="105"/>
      <c r="EO402" s="105"/>
      <c r="EP402" s="105"/>
      <c r="EQ402" s="105"/>
      <c r="ER402" s="105"/>
      <c r="ES402" s="105"/>
      <c r="ET402" s="105"/>
      <c r="EU402" s="105"/>
      <c r="EV402" s="105"/>
      <c r="EW402" s="105"/>
      <c r="EX402" s="105"/>
      <c r="EY402" s="105"/>
      <c r="EZ402" s="105"/>
      <c r="FA402" s="105"/>
      <c r="FB402" s="105"/>
      <c r="FC402" s="105"/>
      <c r="FD402" s="105"/>
      <c r="FE402" s="105"/>
      <c r="FF402" s="105"/>
      <c r="FG402" s="105"/>
      <c r="FH402" s="105"/>
      <c r="FI402" s="105"/>
      <c r="FJ402" s="105"/>
      <c r="FK402" s="105"/>
      <c r="FL402" s="105"/>
      <c r="FM402" s="105"/>
      <c r="FN402" s="105"/>
      <c r="FO402" s="105"/>
      <c r="FP402" s="105"/>
      <c r="FQ402" s="105"/>
      <c r="FR402" s="105"/>
      <c r="FS402" s="105"/>
      <c r="FT402" s="105"/>
      <c r="FU402" s="105"/>
      <c r="FV402" s="105"/>
      <c r="FW402" s="105"/>
      <c r="FX402" s="105"/>
      <c r="FY402" s="105"/>
      <c r="FZ402" s="105"/>
      <c r="GA402" s="105"/>
      <c r="GB402" s="105"/>
      <c r="GC402" s="105"/>
      <c r="GD402" s="105"/>
      <c r="GE402" s="105"/>
      <c r="GF402" s="105"/>
      <c r="GG402" s="105"/>
      <c r="GH402" s="105"/>
      <c r="GI402" s="105"/>
      <c r="GJ402" s="105"/>
      <c r="GK402" s="105"/>
      <c r="GL402" s="105"/>
      <c r="GM402" s="105"/>
      <c r="GN402" s="105"/>
      <c r="GO402" s="105"/>
      <c r="GP402" s="105"/>
      <c r="GQ402" s="105"/>
      <c r="GR402" s="105"/>
      <c r="GS402" s="105"/>
      <c r="GT402" s="105"/>
      <c r="GU402" s="105"/>
      <c r="GV402" s="105"/>
      <c r="GW402" s="105"/>
      <c r="GX402" s="105"/>
      <c r="GY402" s="105"/>
      <c r="GZ402" s="105"/>
      <c r="HA402" s="105"/>
      <c r="HB402" s="105"/>
      <c r="HC402" s="105"/>
      <c r="HD402" s="105"/>
      <c r="HE402" s="105"/>
      <c r="HF402" s="105"/>
      <c r="HG402" s="105"/>
      <c r="HH402" s="105"/>
      <c r="HI402" s="105"/>
      <c r="HJ402" s="105"/>
      <c r="HK402" s="105"/>
      <c r="HL402" s="105"/>
      <c r="HM402" s="105"/>
      <c r="HN402" s="105"/>
      <c r="HO402" s="105"/>
      <c r="HP402" s="105"/>
      <c r="HQ402" s="105"/>
      <c r="HR402" s="105"/>
      <c r="HS402" s="105"/>
      <c r="HT402" s="105"/>
      <c r="HU402" s="105"/>
      <c r="HV402" s="105"/>
      <c r="HW402" s="105"/>
      <c r="HX402" s="105"/>
      <c r="HY402" s="105"/>
      <c r="HZ402" s="105"/>
      <c r="IA402" s="105"/>
      <c r="IB402" s="105"/>
      <c r="IC402" s="105"/>
      <c r="ID402" s="105"/>
      <c r="IE402" s="105"/>
      <c r="IF402" s="105"/>
      <c r="IG402" s="105"/>
      <c r="IH402" s="105"/>
      <c r="II402" s="105"/>
      <c r="IJ402" s="105"/>
      <c r="IK402" s="105"/>
      <c r="IL402" s="105"/>
      <c r="IM402" s="105"/>
      <c r="IN402" s="105"/>
      <c r="IO402" s="105"/>
      <c r="IP402" s="105"/>
      <c r="IQ402" s="105"/>
      <c r="IR402" s="105"/>
      <c r="IS402" s="105"/>
      <c r="IT402" s="105"/>
      <c r="IU402" s="105"/>
      <c r="IV402" s="105"/>
    </row>
    <row r="403" spans="1:256" ht="14.25" customHeight="1" x14ac:dyDescent="0.2">
      <c r="A403" s="136">
        <v>44488</v>
      </c>
      <c r="B403" s="137" t="s">
        <v>98</v>
      </c>
      <c r="C403" s="137">
        <v>2021</v>
      </c>
      <c r="D403" s="137" t="s">
        <v>7</v>
      </c>
      <c r="E403" s="142">
        <v>-3.6669999999999998</v>
      </c>
      <c r="F403" s="139" t="s">
        <v>32</v>
      </c>
      <c r="G403" s="484">
        <f>-(E403*80000)</f>
        <v>293360</v>
      </c>
      <c r="H403" s="142">
        <v>256</v>
      </c>
      <c r="I403" s="139" t="s">
        <v>81</v>
      </c>
      <c r="J403" s="139" t="s">
        <v>38</v>
      </c>
      <c r="K403" s="142">
        <v>1.837</v>
      </c>
      <c r="L403" s="139" t="s">
        <v>864</v>
      </c>
      <c r="M403" s="142" t="s">
        <v>729</v>
      </c>
      <c r="N403" s="142" t="s">
        <v>865</v>
      </c>
      <c r="O403" s="485"/>
      <c r="P403" s="485" t="s">
        <v>866</v>
      </c>
      <c r="Q403" s="801">
        <v>39.623800000000003</v>
      </c>
      <c r="R403" s="698">
        <v>-86.468000000000004</v>
      </c>
      <c r="S403" s="137" t="s">
        <v>61</v>
      </c>
      <c r="T403" s="137"/>
      <c r="U403" s="137" t="s">
        <v>51</v>
      </c>
      <c r="V403" s="136"/>
      <c r="W403" s="143">
        <f>IF(AC403="Intr",0,G403*Definitions!$B$53)</f>
        <v>44004</v>
      </c>
      <c r="X403" s="143">
        <f>IF(AC403="Intr",0,G403*Definitions!$B$54)</f>
        <v>205352</v>
      </c>
      <c r="Y403" s="143">
        <f>IF(AC403="Intr",G403,G403*Definitions!$B$55)</f>
        <v>44004</v>
      </c>
      <c r="Z403" s="143" t="s">
        <v>966</v>
      </c>
      <c r="AA403" s="143" t="s">
        <v>963</v>
      </c>
      <c r="AB403" s="143" t="s">
        <v>971</v>
      </c>
      <c r="AC403" s="137"/>
      <c r="AD403" s="137"/>
      <c r="AE403" s="137"/>
      <c r="AF403" s="137"/>
      <c r="AG403" s="144"/>
      <c r="AH403" s="485" t="s">
        <v>867</v>
      </c>
    </row>
    <row r="404" spans="1:256" s="416" customFormat="1" ht="12.75" customHeight="1" x14ac:dyDescent="0.2">
      <c r="A404" s="136">
        <v>44488</v>
      </c>
      <c r="B404" s="137" t="s">
        <v>98</v>
      </c>
      <c r="C404" s="137">
        <v>2021</v>
      </c>
      <c r="D404" s="137" t="s">
        <v>7</v>
      </c>
      <c r="E404" s="142">
        <v>-1.115</v>
      </c>
      <c r="F404" s="139" t="s">
        <v>32</v>
      </c>
      <c r="G404" s="484">
        <f>-(E404*80000)</f>
        <v>89200</v>
      </c>
      <c r="H404" s="142">
        <v>256</v>
      </c>
      <c r="I404" s="139" t="s">
        <v>81</v>
      </c>
      <c r="J404" s="139" t="s">
        <v>37</v>
      </c>
      <c r="K404" s="142">
        <v>0.82699999999999996</v>
      </c>
      <c r="L404" s="139" t="s">
        <v>864</v>
      </c>
      <c r="M404" s="142" t="s">
        <v>729</v>
      </c>
      <c r="N404" s="142" t="s">
        <v>865</v>
      </c>
      <c r="O404" s="485"/>
      <c r="P404" s="485" t="s">
        <v>866</v>
      </c>
      <c r="Q404" s="801">
        <v>39.623800000000003</v>
      </c>
      <c r="R404" s="698">
        <v>-86.468000000000004</v>
      </c>
      <c r="S404" s="137" t="s">
        <v>61</v>
      </c>
      <c r="T404" s="137"/>
      <c r="U404" s="137" t="s">
        <v>51</v>
      </c>
      <c r="V404" s="136"/>
      <c r="W404" s="143">
        <f>IF(AC404="Intr",0,G404*Definitions!$B$53)</f>
        <v>13380</v>
      </c>
      <c r="X404" s="143">
        <f>IF(AC404="Intr",0,G404*Definitions!$B$54)</f>
        <v>62439.999999999993</v>
      </c>
      <c r="Y404" s="143">
        <f>IF(AC404="Intr",G404,G404*Definitions!$B$55)</f>
        <v>13380</v>
      </c>
      <c r="Z404" s="143" t="s">
        <v>966</v>
      </c>
      <c r="AA404" s="143" t="s">
        <v>963</v>
      </c>
      <c r="AB404" s="143" t="s">
        <v>976</v>
      </c>
      <c r="AC404" s="137"/>
      <c r="AD404" s="137"/>
      <c r="AE404" s="137"/>
      <c r="AF404" s="137"/>
      <c r="AG404" s="144"/>
      <c r="AH404" s="485" t="s">
        <v>867</v>
      </c>
      <c r="AI404" s="105"/>
      <c r="AJ404" s="105"/>
      <c r="AK404" s="105"/>
      <c r="AL404" s="105"/>
      <c r="AM404" s="105"/>
      <c r="AN404" s="105"/>
      <c r="AO404" s="105"/>
      <c r="AP404" s="105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5"/>
      <c r="BB404" s="105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5"/>
      <c r="BN404" s="105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5"/>
      <c r="BZ404" s="105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5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5"/>
      <c r="CX404" s="105"/>
      <c r="CY404" s="105"/>
      <c r="CZ404" s="105"/>
      <c r="DA404" s="105"/>
      <c r="DB404" s="105"/>
      <c r="DC404" s="105"/>
      <c r="DD404" s="105"/>
      <c r="DE404" s="105"/>
      <c r="DF404" s="105"/>
      <c r="DG404" s="105"/>
      <c r="DH404" s="105"/>
      <c r="DI404" s="105"/>
      <c r="DJ404" s="105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5"/>
      <c r="DV404" s="105"/>
      <c r="DW404" s="105"/>
      <c r="DX404" s="105"/>
      <c r="DY404" s="105"/>
      <c r="DZ404" s="105"/>
      <c r="EA404" s="105"/>
      <c r="EB404" s="105"/>
      <c r="EC404" s="105"/>
      <c r="ED404" s="105"/>
      <c r="EE404" s="105"/>
      <c r="EF404" s="105"/>
      <c r="EG404" s="105"/>
      <c r="EH404" s="105"/>
      <c r="EI404" s="105"/>
      <c r="EJ404" s="105"/>
      <c r="EK404" s="105"/>
      <c r="EL404" s="105"/>
      <c r="EM404" s="105"/>
      <c r="EN404" s="105"/>
      <c r="EO404" s="105"/>
      <c r="EP404" s="105"/>
      <c r="EQ404" s="105"/>
      <c r="ER404" s="105"/>
      <c r="ES404" s="105"/>
      <c r="ET404" s="105"/>
      <c r="EU404" s="105"/>
      <c r="EV404" s="105"/>
      <c r="EW404" s="105"/>
      <c r="EX404" s="105"/>
      <c r="EY404" s="105"/>
      <c r="EZ404" s="105"/>
      <c r="FA404" s="105"/>
      <c r="FB404" s="105"/>
      <c r="FC404" s="105"/>
      <c r="FD404" s="105"/>
      <c r="FE404" s="105"/>
      <c r="FF404" s="105"/>
      <c r="FG404" s="105"/>
      <c r="FH404" s="105"/>
      <c r="FI404" s="105"/>
      <c r="FJ404" s="105"/>
      <c r="FK404" s="105"/>
      <c r="FL404" s="105"/>
      <c r="FM404" s="105"/>
      <c r="FN404" s="105"/>
      <c r="FO404" s="105"/>
      <c r="FP404" s="105"/>
      <c r="FQ404" s="105"/>
      <c r="FR404" s="105"/>
      <c r="FS404" s="105"/>
      <c r="FT404" s="105"/>
      <c r="FU404" s="105"/>
      <c r="FV404" s="105"/>
      <c r="FW404" s="105"/>
      <c r="FX404" s="105"/>
      <c r="FY404" s="105"/>
      <c r="FZ404" s="105"/>
      <c r="GA404" s="105"/>
      <c r="GB404" s="105"/>
      <c r="GC404" s="105"/>
      <c r="GD404" s="105"/>
      <c r="GE404" s="105"/>
      <c r="GF404" s="105"/>
      <c r="GG404" s="105"/>
      <c r="GH404" s="105"/>
      <c r="GI404" s="105"/>
      <c r="GJ404" s="105"/>
      <c r="GK404" s="105"/>
      <c r="GL404" s="105"/>
      <c r="GM404" s="105"/>
      <c r="GN404" s="105"/>
      <c r="GO404" s="105"/>
      <c r="GP404" s="105"/>
      <c r="GQ404" s="105"/>
      <c r="GR404" s="105"/>
      <c r="GS404" s="105"/>
      <c r="GT404" s="105"/>
      <c r="GU404" s="105"/>
      <c r="GV404" s="105"/>
      <c r="GW404" s="105"/>
      <c r="GX404" s="105"/>
      <c r="GY404" s="105"/>
      <c r="GZ404" s="105"/>
      <c r="HA404" s="105"/>
      <c r="HB404" s="105"/>
      <c r="HC404" s="105"/>
      <c r="HD404" s="105"/>
      <c r="HE404" s="105"/>
      <c r="HF404" s="105"/>
      <c r="HG404" s="105"/>
      <c r="HH404" s="105"/>
      <c r="HI404" s="105"/>
      <c r="HJ404" s="105"/>
      <c r="HK404" s="105"/>
      <c r="HL404" s="105"/>
      <c r="HM404" s="105"/>
      <c r="HN404" s="105"/>
      <c r="HO404" s="105"/>
      <c r="HP404" s="105"/>
      <c r="HQ404" s="105"/>
      <c r="HR404" s="105"/>
      <c r="HS404" s="105"/>
      <c r="HT404" s="105"/>
      <c r="HU404" s="105"/>
      <c r="HV404" s="105"/>
      <c r="HW404" s="105"/>
      <c r="HX404" s="105"/>
      <c r="HY404" s="105"/>
      <c r="HZ404" s="105"/>
      <c r="IA404" s="105"/>
      <c r="IB404" s="105"/>
      <c r="IC404" s="105"/>
      <c r="ID404" s="105"/>
      <c r="IE404" s="105"/>
      <c r="IF404" s="105"/>
      <c r="IG404" s="105"/>
      <c r="IH404" s="105"/>
      <c r="II404" s="105"/>
      <c r="IJ404" s="105"/>
      <c r="IK404" s="105"/>
      <c r="IL404" s="105"/>
      <c r="IM404" s="105"/>
      <c r="IN404" s="105"/>
      <c r="IO404" s="105"/>
      <c r="IP404" s="105"/>
      <c r="IQ404" s="105"/>
      <c r="IR404" s="105"/>
      <c r="IS404" s="105"/>
      <c r="IT404" s="105"/>
      <c r="IU404" s="105"/>
      <c r="IV404" s="105"/>
    </row>
    <row r="405" spans="1:256" s="416" customFormat="1" x14ac:dyDescent="0.2">
      <c r="A405" s="145">
        <v>44488</v>
      </c>
      <c r="B405" s="112" t="s">
        <v>98</v>
      </c>
      <c r="C405" s="112">
        <v>2021</v>
      </c>
      <c r="D405" s="112" t="s">
        <v>7</v>
      </c>
      <c r="E405" s="149">
        <v>-0.83</v>
      </c>
      <c r="F405" s="146" t="s">
        <v>32</v>
      </c>
      <c r="G405" s="448">
        <f>-(E405*80000)</f>
        <v>66400</v>
      </c>
      <c r="H405" s="149">
        <v>249</v>
      </c>
      <c r="I405" s="146" t="s">
        <v>80</v>
      </c>
      <c r="J405" s="146" t="s">
        <v>38</v>
      </c>
      <c r="K405" s="149">
        <v>0.23</v>
      </c>
      <c r="L405" s="149" t="s">
        <v>626</v>
      </c>
      <c r="M405" s="149" t="s">
        <v>868</v>
      </c>
      <c r="N405" s="149" t="s">
        <v>869</v>
      </c>
      <c r="O405" s="342"/>
      <c r="P405" s="342" t="s">
        <v>143</v>
      </c>
      <c r="Q405" s="802">
        <v>39.887799999999999</v>
      </c>
      <c r="R405" s="699">
        <v>86.300210000000007</v>
      </c>
      <c r="S405" s="112" t="s">
        <v>60</v>
      </c>
      <c r="T405" s="112"/>
      <c r="U405" s="112" t="s">
        <v>51</v>
      </c>
      <c r="V405" s="145"/>
      <c r="W405" s="150">
        <f>IF(AC405="Intr",0,G405*Definitions!$B$53)</f>
        <v>9960</v>
      </c>
      <c r="X405" s="150">
        <f>IF(AC405="Intr",0,G405*Definitions!$B$54)</f>
        <v>46480</v>
      </c>
      <c r="Y405" s="150">
        <f>IF(AC405="Intr",G405,G405*Definitions!$B$55)</f>
        <v>9960</v>
      </c>
      <c r="Z405" s="150" t="s">
        <v>966</v>
      </c>
      <c r="AA405" s="150" t="s">
        <v>965</v>
      </c>
      <c r="AB405" s="150"/>
      <c r="AC405" s="112"/>
      <c r="AD405" s="112"/>
      <c r="AE405" s="112"/>
      <c r="AF405" s="112"/>
      <c r="AG405" s="151"/>
      <c r="AH405" s="342" t="s">
        <v>870</v>
      </c>
      <c r="AI405" s="105"/>
      <c r="AJ405" s="105"/>
      <c r="AK405" s="105"/>
      <c r="AL405" s="105"/>
      <c r="AM405" s="105"/>
      <c r="AN405" s="105"/>
      <c r="AO405" s="105"/>
      <c r="AP405" s="105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5"/>
      <c r="BB405" s="105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5"/>
      <c r="BN405" s="105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5"/>
      <c r="BZ405" s="105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5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5"/>
      <c r="CX405" s="105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5"/>
      <c r="DJ405" s="105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5"/>
      <c r="DV405" s="105"/>
      <c r="DW405" s="105"/>
      <c r="DX405" s="105"/>
      <c r="DY405" s="105"/>
      <c r="DZ405" s="105"/>
      <c r="EA405" s="105"/>
      <c r="EB405" s="105"/>
      <c r="EC405" s="105"/>
      <c r="ED405" s="105"/>
      <c r="EE405" s="105"/>
      <c r="EF405" s="105"/>
      <c r="EG405" s="105"/>
      <c r="EH405" s="105"/>
      <c r="EI405" s="105"/>
      <c r="EJ405" s="105"/>
      <c r="EK405" s="105"/>
      <c r="EL405" s="105"/>
      <c r="EM405" s="105"/>
      <c r="EN405" s="105"/>
      <c r="EO405" s="105"/>
      <c r="EP405" s="105"/>
      <c r="EQ405" s="105"/>
      <c r="ER405" s="105"/>
      <c r="ES405" s="105"/>
      <c r="ET405" s="105"/>
      <c r="EU405" s="105"/>
      <c r="EV405" s="105"/>
      <c r="EW405" s="105"/>
      <c r="EX405" s="105"/>
      <c r="EY405" s="105"/>
      <c r="EZ405" s="105"/>
      <c r="FA405" s="105"/>
      <c r="FB405" s="105"/>
      <c r="FC405" s="105"/>
      <c r="FD405" s="105"/>
      <c r="FE405" s="105"/>
      <c r="FF405" s="105"/>
      <c r="FG405" s="105"/>
      <c r="FH405" s="105"/>
      <c r="FI405" s="105"/>
      <c r="FJ405" s="105"/>
      <c r="FK405" s="105"/>
      <c r="FL405" s="105"/>
      <c r="FM405" s="105"/>
      <c r="FN405" s="105"/>
      <c r="FO405" s="105"/>
      <c r="FP405" s="105"/>
      <c r="FQ405" s="105"/>
      <c r="FR405" s="105"/>
      <c r="FS405" s="105"/>
      <c r="FT405" s="105"/>
      <c r="FU405" s="105"/>
      <c r="FV405" s="105"/>
      <c r="FW405" s="105"/>
      <c r="FX405" s="105"/>
      <c r="FY405" s="105"/>
      <c r="FZ405" s="105"/>
      <c r="GA405" s="105"/>
      <c r="GB405" s="105"/>
      <c r="GC405" s="105"/>
      <c r="GD405" s="105"/>
      <c r="GE405" s="105"/>
      <c r="GF405" s="105"/>
      <c r="GG405" s="105"/>
      <c r="GH405" s="105"/>
      <c r="GI405" s="105"/>
      <c r="GJ405" s="105"/>
      <c r="GK405" s="105"/>
      <c r="GL405" s="105"/>
      <c r="GM405" s="105"/>
      <c r="GN405" s="105"/>
      <c r="GO405" s="105"/>
      <c r="GP405" s="105"/>
      <c r="GQ405" s="105"/>
      <c r="GR405" s="105"/>
      <c r="GS405" s="105"/>
      <c r="GT405" s="105"/>
      <c r="GU405" s="105"/>
      <c r="GV405" s="105"/>
      <c r="GW405" s="105"/>
      <c r="GX405" s="105"/>
      <c r="GY405" s="105"/>
      <c r="GZ405" s="105"/>
      <c r="HA405" s="105"/>
      <c r="HB405" s="105"/>
      <c r="HC405" s="105"/>
      <c r="HD405" s="105"/>
      <c r="HE405" s="105"/>
      <c r="HF405" s="105"/>
      <c r="HG405" s="105"/>
      <c r="HH405" s="105"/>
      <c r="HI405" s="105"/>
      <c r="HJ405" s="105"/>
      <c r="HK405" s="105"/>
      <c r="HL405" s="105"/>
      <c r="HM405" s="105"/>
      <c r="HN405" s="105"/>
      <c r="HO405" s="105"/>
      <c r="HP405" s="105"/>
      <c r="HQ405" s="105"/>
      <c r="HR405" s="105"/>
      <c r="HS405" s="105"/>
      <c r="HT405" s="105"/>
      <c r="HU405" s="105"/>
      <c r="HV405" s="105"/>
      <c r="HW405" s="105"/>
      <c r="HX405" s="105"/>
      <c r="HY405" s="105"/>
      <c r="HZ405" s="105"/>
      <c r="IA405" s="105"/>
      <c r="IB405" s="105"/>
      <c r="IC405" s="105"/>
      <c r="ID405" s="105"/>
      <c r="IE405" s="105"/>
      <c r="IF405" s="105"/>
      <c r="IG405" s="105"/>
      <c r="IH405" s="105"/>
      <c r="II405" s="105"/>
      <c r="IJ405" s="105"/>
      <c r="IK405" s="105"/>
      <c r="IL405" s="105"/>
      <c r="IM405" s="105"/>
      <c r="IN405" s="105"/>
      <c r="IO405" s="105"/>
      <c r="IP405" s="105"/>
      <c r="IQ405" s="105"/>
      <c r="IR405" s="105"/>
      <c r="IS405" s="105"/>
      <c r="IT405" s="105"/>
      <c r="IU405" s="105"/>
      <c r="IV405" s="105"/>
    </row>
    <row r="406" spans="1:256" s="388" customFormat="1" x14ac:dyDescent="0.2">
      <c r="A406" s="145">
        <v>44488</v>
      </c>
      <c r="B406" s="112" t="s">
        <v>98</v>
      </c>
      <c r="C406" s="112">
        <v>2021</v>
      </c>
      <c r="D406" s="112" t="s">
        <v>7</v>
      </c>
      <c r="E406" s="149">
        <v>-0.98</v>
      </c>
      <c r="F406" s="146" t="s">
        <v>32</v>
      </c>
      <c r="G406" s="448">
        <f>-(E406*80000)</f>
        <v>78400</v>
      </c>
      <c r="H406" s="149">
        <v>249</v>
      </c>
      <c r="I406" s="146" t="s">
        <v>80</v>
      </c>
      <c r="J406" s="146" t="s">
        <v>36</v>
      </c>
      <c r="K406" s="149">
        <v>0.41</v>
      </c>
      <c r="L406" s="149" t="s">
        <v>626</v>
      </c>
      <c r="M406" s="149" t="s">
        <v>868</v>
      </c>
      <c r="N406" s="149" t="s">
        <v>869</v>
      </c>
      <c r="O406" s="342"/>
      <c r="P406" s="342" t="s">
        <v>143</v>
      </c>
      <c r="Q406" s="802">
        <v>39.887799999999999</v>
      </c>
      <c r="R406" s="699">
        <v>86.300210000000007</v>
      </c>
      <c r="S406" s="112" t="s">
        <v>60</v>
      </c>
      <c r="T406" s="112"/>
      <c r="U406" s="112" t="s">
        <v>51</v>
      </c>
      <c r="V406" s="145"/>
      <c r="W406" s="150">
        <f>IF(AC406="Intr",0,G406*Definitions!$B$53)</f>
        <v>11760</v>
      </c>
      <c r="X406" s="150">
        <f>IF(AC406="Intr",0,G406*Definitions!$B$54)</f>
        <v>54880</v>
      </c>
      <c r="Y406" s="150">
        <f>IF(AC406="Intr",G406,G406*Definitions!$B$55)</f>
        <v>11760</v>
      </c>
      <c r="Z406" s="150" t="s">
        <v>966</v>
      </c>
      <c r="AA406" s="150" t="s">
        <v>965</v>
      </c>
      <c r="AB406" s="150"/>
      <c r="AC406" s="112"/>
      <c r="AD406" s="112"/>
      <c r="AE406" s="112"/>
      <c r="AF406" s="112"/>
      <c r="AG406" s="151"/>
      <c r="AH406" s="342" t="s">
        <v>870</v>
      </c>
      <c r="AI406" s="105"/>
      <c r="AJ406" s="105"/>
      <c r="AK406" s="105"/>
      <c r="AL406" s="105"/>
      <c r="AM406" s="105"/>
      <c r="AN406" s="105"/>
      <c r="AO406" s="105"/>
      <c r="AP406" s="105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5"/>
      <c r="BB406" s="105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5"/>
      <c r="BN406" s="105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5"/>
      <c r="BZ406" s="105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5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5"/>
      <c r="CX406" s="105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5"/>
      <c r="DJ406" s="105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5"/>
      <c r="DV406" s="105"/>
      <c r="DW406" s="105"/>
      <c r="DX406" s="105"/>
      <c r="DY406" s="105"/>
      <c r="DZ406" s="105"/>
      <c r="EA406" s="105"/>
      <c r="EB406" s="105"/>
      <c r="EC406" s="105"/>
      <c r="ED406" s="105"/>
      <c r="EE406" s="105"/>
      <c r="EF406" s="105"/>
      <c r="EG406" s="105"/>
      <c r="EH406" s="105"/>
      <c r="EI406" s="105"/>
      <c r="EJ406" s="105"/>
      <c r="EK406" s="105"/>
      <c r="EL406" s="105"/>
      <c r="EM406" s="105"/>
      <c r="EN406" s="105"/>
      <c r="EO406" s="105"/>
      <c r="EP406" s="105"/>
      <c r="EQ406" s="105"/>
      <c r="ER406" s="105"/>
      <c r="ES406" s="105"/>
      <c r="ET406" s="105"/>
      <c r="EU406" s="105"/>
      <c r="EV406" s="105"/>
      <c r="EW406" s="105"/>
      <c r="EX406" s="105"/>
      <c r="EY406" s="105"/>
      <c r="EZ406" s="105"/>
      <c r="FA406" s="105"/>
      <c r="FB406" s="105"/>
      <c r="FC406" s="105"/>
      <c r="FD406" s="105"/>
      <c r="FE406" s="105"/>
      <c r="FF406" s="105"/>
      <c r="FG406" s="105"/>
      <c r="FH406" s="105"/>
      <c r="FI406" s="105"/>
      <c r="FJ406" s="105"/>
      <c r="FK406" s="105"/>
      <c r="FL406" s="105"/>
      <c r="FM406" s="105"/>
      <c r="FN406" s="105"/>
      <c r="FO406" s="105"/>
      <c r="FP406" s="105"/>
      <c r="FQ406" s="105"/>
      <c r="FR406" s="105"/>
      <c r="FS406" s="105"/>
      <c r="FT406" s="105"/>
      <c r="FU406" s="105"/>
      <c r="FV406" s="105"/>
      <c r="FW406" s="105"/>
      <c r="FX406" s="105"/>
      <c r="FY406" s="105"/>
      <c r="FZ406" s="105"/>
      <c r="GA406" s="105"/>
      <c r="GB406" s="105"/>
      <c r="GC406" s="105"/>
      <c r="GD406" s="105"/>
      <c r="GE406" s="105"/>
      <c r="GF406" s="105"/>
      <c r="GG406" s="105"/>
      <c r="GH406" s="105"/>
      <c r="GI406" s="105"/>
      <c r="GJ406" s="105"/>
      <c r="GK406" s="105"/>
      <c r="GL406" s="105"/>
      <c r="GM406" s="105"/>
      <c r="GN406" s="105"/>
      <c r="GO406" s="105"/>
      <c r="GP406" s="105"/>
      <c r="GQ406" s="105"/>
      <c r="GR406" s="105"/>
      <c r="GS406" s="105"/>
      <c r="GT406" s="105"/>
      <c r="GU406" s="105"/>
      <c r="GV406" s="105"/>
      <c r="GW406" s="105"/>
      <c r="GX406" s="105"/>
      <c r="GY406" s="105"/>
      <c r="GZ406" s="105"/>
      <c r="HA406" s="105"/>
      <c r="HB406" s="105"/>
      <c r="HC406" s="105"/>
      <c r="HD406" s="105"/>
      <c r="HE406" s="105"/>
      <c r="HF406" s="105"/>
      <c r="HG406" s="105"/>
      <c r="HH406" s="105"/>
      <c r="HI406" s="105"/>
      <c r="HJ406" s="105"/>
      <c r="HK406" s="105"/>
      <c r="HL406" s="105"/>
      <c r="HM406" s="105"/>
      <c r="HN406" s="105"/>
      <c r="HO406" s="105"/>
      <c r="HP406" s="105"/>
      <c r="HQ406" s="105"/>
      <c r="HR406" s="105"/>
      <c r="HS406" s="105"/>
      <c r="HT406" s="105"/>
      <c r="HU406" s="105"/>
      <c r="HV406" s="105"/>
      <c r="HW406" s="105"/>
      <c r="HX406" s="105"/>
      <c r="HY406" s="105"/>
      <c r="HZ406" s="105"/>
      <c r="IA406" s="105"/>
      <c r="IB406" s="105"/>
      <c r="IC406" s="105"/>
      <c r="ID406" s="105"/>
      <c r="IE406" s="105"/>
      <c r="IF406" s="105"/>
      <c r="IG406" s="105"/>
      <c r="IH406" s="105"/>
      <c r="II406" s="105"/>
      <c r="IJ406" s="105"/>
      <c r="IK406" s="105"/>
      <c r="IL406" s="105"/>
      <c r="IM406" s="105"/>
      <c r="IN406" s="105"/>
      <c r="IO406" s="105"/>
      <c r="IP406" s="105"/>
      <c r="IQ406" s="105"/>
      <c r="IR406" s="105"/>
      <c r="IS406" s="105"/>
      <c r="IT406" s="105"/>
      <c r="IU406" s="105"/>
      <c r="IV406" s="105"/>
    </row>
    <row r="407" spans="1:256" s="388" customFormat="1" x14ac:dyDescent="0.2">
      <c r="A407" s="176">
        <v>44491</v>
      </c>
      <c r="B407" s="38" t="s">
        <v>98</v>
      </c>
      <c r="C407" s="38">
        <v>2021</v>
      </c>
      <c r="D407" s="38" t="s">
        <v>3</v>
      </c>
      <c r="E407" s="177">
        <v>-0.84</v>
      </c>
      <c r="F407" s="177" t="s">
        <v>32</v>
      </c>
      <c r="G407" s="71">
        <v>100800</v>
      </c>
      <c r="H407" s="70">
        <v>218</v>
      </c>
      <c r="I407" s="177" t="s">
        <v>80</v>
      </c>
      <c r="J407" s="177" t="s">
        <v>36</v>
      </c>
      <c r="K407" s="177">
        <v>0.21</v>
      </c>
      <c r="L407" s="177" t="s">
        <v>726</v>
      </c>
      <c r="M407" s="70" t="s">
        <v>871</v>
      </c>
      <c r="N407" s="70" t="s">
        <v>872</v>
      </c>
      <c r="O407" s="72"/>
      <c r="P407" s="72" t="s">
        <v>468</v>
      </c>
      <c r="Q407" s="790">
        <v>41.697600000000001</v>
      </c>
      <c r="R407" s="687">
        <v>-85.581199999999995</v>
      </c>
      <c r="S407" s="38" t="s">
        <v>63</v>
      </c>
      <c r="T407" s="38"/>
      <c r="U407" s="38" t="s">
        <v>51</v>
      </c>
      <c r="V407" s="37"/>
      <c r="W407" s="180">
        <f>IF(AC407="Intr",0,G407*Definitions!$B$53)</f>
        <v>15120</v>
      </c>
      <c r="X407" s="180">
        <f>IF(AC407="Intr",0,G407*Definitions!$B$54)</f>
        <v>70560</v>
      </c>
      <c r="Y407" s="180">
        <f>IF(AC407="Intr",G407,G407*Definitions!$B$55)</f>
        <v>15120</v>
      </c>
      <c r="Z407" s="180" t="s">
        <v>964</v>
      </c>
      <c r="AA407" s="180" t="s">
        <v>965</v>
      </c>
      <c r="AB407" s="180"/>
      <c r="AC407" s="38"/>
      <c r="AD407" s="38"/>
      <c r="AE407" s="38"/>
      <c r="AF407" s="38"/>
      <c r="AG407" s="40"/>
      <c r="AH407" s="38"/>
      <c r="AI407" s="105"/>
      <c r="AJ407" s="105"/>
      <c r="AK407" s="105"/>
      <c r="AL407" s="105"/>
      <c r="AM407" s="105"/>
      <c r="AN407" s="105"/>
      <c r="AO407" s="105"/>
      <c r="AP407" s="105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5"/>
      <c r="BB407" s="105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5"/>
      <c r="BN407" s="105"/>
      <c r="BO407" s="105"/>
      <c r="BP407" s="105"/>
      <c r="BQ407" s="105"/>
      <c r="BR407" s="105"/>
      <c r="BS407" s="105"/>
      <c r="BT407" s="105"/>
      <c r="BU407" s="105"/>
      <c r="BV407" s="105"/>
      <c r="BW407" s="105"/>
      <c r="BX407" s="105"/>
      <c r="BY407" s="105"/>
      <c r="BZ407" s="105"/>
      <c r="CA407" s="105"/>
      <c r="CB407" s="105"/>
      <c r="CC407" s="105"/>
      <c r="CD407" s="105"/>
      <c r="CE407" s="105"/>
      <c r="CF407" s="105"/>
      <c r="CG407" s="105"/>
      <c r="CH407" s="105"/>
      <c r="CI407" s="105"/>
      <c r="CJ407" s="105"/>
      <c r="CK407" s="105"/>
      <c r="CL407" s="105"/>
      <c r="CM407" s="105"/>
      <c r="CN407" s="105"/>
      <c r="CO407" s="105"/>
      <c r="CP407" s="105"/>
      <c r="CQ407" s="105"/>
      <c r="CR407" s="105"/>
      <c r="CS407" s="105"/>
      <c r="CT407" s="105"/>
      <c r="CU407" s="105"/>
      <c r="CV407" s="105"/>
      <c r="CW407" s="105"/>
      <c r="CX407" s="105"/>
      <c r="CY407" s="105"/>
      <c r="CZ407" s="105"/>
      <c r="DA407" s="105"/>
      <c r="DB407" s="105"/>
      <c r="DC407" s="105"/>
      <c r="DD407" s="105"/>
      <c r="DE407" s="105"/>
      <c r="DF407" s="105"/>
      <c r="DG407" s="105"/>
      <c r="DH407" s="105"/>
      <c r="DI407" s="105"/>
      <c r="DJ407" s="105"/>
      <c r="DK407" s="105"/>
      <c r="DL407" s="105"/>
      <c r="DM407" s="105"/>
      <c r="DN407" s="105"/>
      <c r="DO407" s="105"/>
      <c r="DP407" s="105"/>
      <c r="DQ407" s="105"/>
      <c r="DR407" s="105"/>
      <c r="DS407" s="105"/>
      <c r="DT407" s="105"/>
      <c r="DU407" s="105"/>
      <c r="DV407" s="105"/>
      <c r="DW407" s="105"/>
      <c r="DX407" s="105"/>
      <c r="DY407" s="105"/>
      <c r="DZ407" s="105"/>
      <c r="EA407" s="105"/>
      <c r="EB407" s="105"/>
      <c r="EC407" s="105"/>
      <c r="ED407" s="105"/>
      <c r="EE407" s="105"/>
      <c r="EF407" s="105"/>
      <c r="EG407" s="105"/>
      <c r="EH407" s="105"/>
      <c r="EI407" s="105"/>
      <c r="EJ407" s="105"/>
      <c r="EK407" s="105"/>
      <c r="EL407" s="105"/>
      <c r="EM407" s="105"/>
      <c r="EN407" s="105"/>
      <c r="EO407" s="105"/>
      <c r="EP407" s="105"/>
      <c r="EQ407" s="105"/>
      <c r="ER407" s="105"/>
      <c r="ES407" s="105"/>
      <c r="ET407" s="105"/>
      <c r="EU407" s="105"/>
      <c r="EV407" s="105"/>
      <c r="EW407" s="105"/>
      <c r="EX407" s="105"/>
      <c r="EY407" s="105"/>
      <c r="EZ407" s="105"/>
      <c r="FA407" s="105"/>
      <c r="FB407" s="105"/>
      <c r="FC407" s="105"/>
      <c r="FD407" s="105"/>
      <c r="FE407" s="105"/>
      <c r="FF407" s="105"/>
      <c r="FG407" s="105"/>
      <c r="FH407" s="105"/>
      <c r="FI407" s="105"/>
      <c r="FJ407" s="105"/>
      <c r="FK407" s="105"/>
      <c r="FL407" s="105"/>
      <c r="FM407" s="105"/>
      <c r="FN407" s="105"/>
      <c r="FO407" s="105"/>
      <c r="FP407" s="105"/>
      <c r="FQ407" s="105"/>
      <c r="FR407" s="105"/>
      <c r="FS407" s="105"/>
      <c r="FT407" s="105"/>
      <c r="FU407" s="105"/>
      <c r="FV407" s="105"/>
      <c r="FW407" s="105"/>
      <c r="FX407" s="105"/>
      <c r="FY407" s="105"/>
      <c r="FZ407" s="105"/>
      <c r="GA407" s="105"/>
      <c r="GB407" s="105"/>
      <c r="GC407" s="105"/>
      <c r="GD407" s="105"/>
      <c r="GE407" s="105"/>
      <c r="GF407" s="105"/>
      <c r="GG407" s="105"/>
      <c r="GH407" s="105"/>
      <c r="GI407" s="105"/>
      <c r="GJ407" s="105"/>
      <c r="GK407" s="105"/>
      <c r="GL407" s="105"/>
      <c r="GM407" s="105"/>
      <c r="GN407" s="105"/>
      <c r="GO407" s="105"/>
      <c r="GP407" s="105"/>
      <c r="GQ407" s="105"/>
      <c r="GR407" s="105"/>
      <c r="GS407" s="105"/>
      <c r="GT407" s="105"/>
      <c r="GU407" s="105"/>
      <c r="GV407" s="105"/>
      <c r="GW407" s="105"/>
      <c r="GX407" s="105"/>
      <c r="GY407" s="105"/>
      <c r="GZ407" s="105"/>
      <c r="HA407" s="105"/>
      <c r="HB407" s="105"/>
      <c r="HC407" s="105"/>
      <c r="HD407" s="105"/>
      <c r="HE407" s="105"/>
      <c r="HF407" s="105"/>
      <c r="HG407" s="105"/>
      <c r="HH407" s="105"/>
      <c r="HI407" s="105"/>
      <c r="HJ407" s="105"/>
      <c r="HK407" s="105"/>
      <c r="HL407" s="105"/>
      <c r="HM407" s="105"/>
      <c r="HN407" s="105"/>
      <c r="HO407" s="105"/>
      <c r="HP407" s="105"/>
      <c r="HQ407" s="105"/>
      <c r="HR407" s="105"/>
      <c r="HS407" s="105"/>
      <c r="HT407" s="105"/>
      <c r="HU407" s="105"/>
      <c r="HV407" s="105"/>
      <c r="HW407" s="105"/>
      <c r="HX407" s="105"/>
      <c r="HY407" s="105"/>
      <c r="HZ407" s="105"/>
      <c r="IA407" s="105"/>
      <c r="IB407" s="105"/>
      <c r="IC407" s="105"/>
      <c r="ID407" s="105"/>
      <c r="IE407" s="105"/>
      <c r="IF407" s="105"/>
      <c r="IG407" s="105"/>
      <c r="IH407" s="105"/>
      <c r="II407" s="105"/>
      <c r="IJ407" s="105"/>
      <c r="IK407" s="105"/>
      <c r="IL407" s="105"/>
      <c r="IM407" s="105"/>
      <c r="IN407" s="105"/>
      <c r="IO407" s="105"/>
      <c r="IP407" s="105"/>
      <c r="IQ407" s="105"/>
      <c r="IR407" s="105"/>
      <c r="IS407" s="105"/>
      <c r="IT407" s="105"/>
      <c r="IU407" s="105"/>
      <c r="IV407" s="105"/>
    </row>
    <row r="408" spans="1:256" x14ac:dyDescent="0.2">
      <c r="A408" s="176">
        <v>44494</v>
      </c>
      <c r="B408" s="38" t="s">
        <v>98</v>
      </c>
      <c r="C408" s="38">
        <v>2021</v>
      </c>
      <c r="D408" s="38" t="s">
        <v>1</v>
      </c>
      <c r="E408" s="70">
        <v>-0.27600000000000002</v>
      </c>
      <c r="F408" s="177" t="s">
        <v>32</v>
      </c>
      <c r="G408" s="71">
        <f>-(E408*95000)</f>
        <v>26220.000000000004</v>
      </c>
      <c r="H408" s="70">
        <v>246</v>
      </c>
      <c r="I408" s="177" t="s">
        <v>80</v>
      </c>
      <c r="J408" s="177" t="s">
        <v>36</v>
      </c>
      <c r="K408" s="177">
        <v>0.15</v>
      </c>
      <c r="L408" s="250" t="s">
        <v>880</v>
      </c>
      <c r="M408" s="70" t="s">
        <v>881</v>
      </c>
      <c r="N408" s="70" t="s">
        <v>882</v>
      </c>
      <c r="O408" s="72"/>
      <c r="P408" s="72" t="s">
        <v>385</v>
      </c>
      <c r="Q408" s="790">
        <v>41.447586000000001</v>
      </c>
      <c r="R408" s="687">
        <v>-87.052993999999998</v>
      </c>
      <c r="S408" s="72" t="s">
        <v>61</v>
      </c>
      <c r="T408" s="38"/>
      <c r="U408" s="38" t="s">
        <v>51</v>
      </c>
      <c r="V408" s="37"/>
      <c r="W408" s="180">
        <f>IF(AC408="Intr",0,G408*Definitions!$B$53)</f>
        <v>3933.0000000000005</v>
      </c>
      <c r="X408" s="180">
        <f>IF(AC408="Intr",0,G408*Definitions!$B$54)</f>
        <v>18354</v>
      </c>
      <c r="Y408" s="180">
        <f>IF(AC408="Intr",G408,G408*Definitions!$B$55)</f>
        <v>3933.0000000000005</v>
      </c>
      <c r="Z408" s="180" t="s">
        <v>967</v>
      </c>
      <c r="AA408" s="180" t="s">
        <v>965</v>
      </c>
      <c r="AB408" s="180"/>
      <c r="AC408" s="38"/>
      <c r="AD408" s="38"/>
      <c r="AE408" s="38"/>
      <c r="AF408" s="38"/>
      <c r="AG408" s="40"/>
      <c r="AH408" s="72" t="s">
        <v>883</v>
      </c>
    </row>
    <row r="409" spans="1:256" x14ac:dyDescent="0.2">
      <c r="A409" s="176">
        <v>44494</v>
      </c>
      <c r="B409" s="38" t="s">
        <v>98</v>
      </c>
      <c r="C409" s="38">
        <v>2021</v>
      </c>
      <c r="D409" s="38" t="s">
        <v>9</v>
      </c>
      <c r="E409" s="177">
        <v>-0.25</v>
      </c>
      <c r="F409" s="177" t="s">
        <v>32</v>
      </c>
      <c r="G409" s="71">
        <f>-(E409*80000)</f>
        <v>20000</v>
      </c>
      <c r="H409" s="70">
        <v>234</v>
      </c>
      <c r="I409" s="177" t="s">
        <v>80</v>
      </c>
      <c r="J409" s="177" t="s">
        <v>36</v>
      </c>
      <c r="K409" s="177">
        <v>0.25</v>
      </c>
      <c r="L409" s="70" t="s">
        <v>873</v>
      </c>
      <c r="M409" s="70" t="s">
        <v>729</v>
      </c>
      <c r="N409" s="70" t="s">
        <v>874</v>
      </c>
      <c r="O409" s="72"/>
      <c r="P409" s="72" t="s">
        <v>236</v>
      </c>
      <c r="Q409" s="790">
        <v>39.198</v>
      </c>
      <c r="R409" s="687">
        <v>-86.513000000000005</v>
      </c>
      <c r="S409" s="38" t="s">
        <v>63</v>
      </c>
      <c r="T409" s="38"/>
      <c r="U409" s="38" t="s">
        <v>51</v>
      </c>
      <c r="V409" s="37"/>
      <c r="W409" s="180">
        <f>IF(AC409="Intr",0,G409*Definitions!$B$53)</f>
        <v>3000</v>
      </c>
      <c r="X409" s="180">
        <f>IF(AC409="Intr",0,G409*Definitions!$B$54)</f>
        <v>14000</v>
      </c>
      <c r="Y409" s="180">
        <f>IF(AC409="Intr",G409,G409*Definitions!$B$55)</f>
        <v>3000</v>
      </c>
      <c r="Z409" s="180" t="s">
        <v>966</v>
      </c>
      <c r="AA409" s="180" t="s">
        <v>965</v>
      </c>
      <c r="AB409" s="180"/>
      <c r="AC409" s="38"/>
      <c r="AD409" s="38"/>
      <c r="AE409" s="38"/>
      <c r="AF409" s="38"/>
      <c r="AG409" s="40"/>
      <c r="AH409" s="38" t="s">
        <v>875</v>
      </c>
    </row>
    <row r="410" spans="1:256" x14ac:dyDescent="0.2">
      <c r="A410" s="176">
        <v>44494</v>
      </c>
      <c r="B410" s="38" t="s">
        <v>98</v>
      </c>
      <c r="C410" s="38">
        <v>2021</v>
      </c>
      <c r="D410" s="38" t="s">
        <v>9</v>
      </c>
      <c r="E410" s="70">
        <v>-740</v>
      </c>
      <c r="F410" s="177" t="s">
        <v>33</v>
      </c>
      <c r="G410" s="71">
        <f>-(E410*400)</f>
        <v>296000</v>
      </c>
      <c r="H410" s="70">
        <v>259</v>
      </c>
      <c r="I410" s="177" t="s">
        <v>80</v>
      </c>
      <c r="J410" s="70" t="s">
        <v>738</v>
      </c>
      <c r="K410" s="70">
        <v>1369</v>
      </c>
      <c r="L410" s="70" t="s">
        <v>1830</v>
      </c>
      <c r="M410" s="70" t="s">
        <v>876</v>
      </c>
      <c r="N410" s="70" t="s">
        <v>877</v>
      </c>
      <c r="O410" s="38"/>
      <c r="P410" s="72" t="s">
        <v>236</v>
      </c>
      <c r="Q410" s="790" t="s">
        <v>878</v>
      </c>
      <c r="R410" s="687">
        <v>-86.51088</v>
      </c>
      <c r="S410" s="72" t="s">
        <v>63</v>
      </c>
      <c r="T410" s="38"/>
      <c r="U410" s="38" t="s">
        <v>51</v>
      </c>
      <c r="V410" s="37"/>
      <c r="W410" s="180">
        <f>IF(AC410="Intr",0,G410*Definitions!$B$53)</f>
        <v>44400</v>
      </c>
      <c r="X410" s="180">
        <f>IF(AC410="Intr",0,G410*Definitions!$B$54)</f>
        <v>207200</v>
      </c>
      <c r="Y410" s="180">
        <f>IF(AC410="Intr",G410,G410*Definitions!$B$55)</f>
        <v>44400</v>
      </c>
      <c r="Z410" s="180" t="s">
        <v>966</v>
      </c>
      <c r="AA410" s="180" t="s">
        <v>965</v>
      </c>
      <c r="AB410" s="180"/>
      <c r="AC410" s="38"/>
      <c r="AD410" s="38"/>
      <c r="AE410" s="38"/>
      <c r="AF410" s="38"/>
      <c r="AG410" s="40"/>
      <c r="AH410" s="38" t="s">
        <v>879</v>
      </c>
    </row>
    <row r="411" spans="1:256" x14ac:dyDescent="0.2">
      <c r="A411" s="176">
        <v>44517</v>
      </c>
      <c r="B411" s="251" t="s">
        <v>884</v>
      </c>
      <c r="C411" s="251">
        <v>2021</v>
      </c>
      <c r="D411" s="251" t="s">
        <v>1</v>
      </c>
      <c r="E411" s="252">
        <v>-0.11</v>
      </c>
      <c r="F411" s="253" t="s">
        <v>32</v>
      </c>
      <c r="G411" s="254">
        <f>-(E411*95000)</f>
        <v>10450</v>
      </c>
      <c r="H411" s="252">
        <v>189</v>
      </c>
      <c r="I411" s="253" t="s">
        <v>81</v>
      </c>
      <c r="J411" s="253" t="s">
        <v>36</v>
      </c>
      <c r="K411" s="252">
        <v>0.11</v>
      </c>
      <c r="L411" s="252" t="s">
        <v>902</v>
      </c>
      <c r="M411" s="252" t="s">
        <v>729</v>
      </c>
      <c r="N411" s="315" t="s">
        <v>958</v>
      </c>
      <c r="O411" s="252"/>
      <c r="P411" s="255" t="s">
        <v>227</v>
      </c>
      <c r="Q411" s="798">
        <v>41.47925</v>
      </c>
      <c r="R411" s="695">
        <v>-87.358260000000001</v>
      </c>
      <c r="S411" s="255" t="s">
        <v>61</v>
      </c>
      <c r="T411" s="251"/>
      <c r="U411" s="251" t="s">
        <v>51</v>
      </c>
      <c r="V411" s="176"/>
      <c r="W411" s="256">
        <f>IF(AC411="Intr",0,G411*Definitions!$B$53)</f>
        <v>1567.5</v>
      </c>
      <c r="X411" s="256">
        <f>IF(AC411="Intr",0,G411*Definitions!$B$54)</f>
        <v>7314.9999999999991</v>
      </c>
      <c r="Y411" s="256">
        <f>IF(AC411="Intr",G411,G411*Definitions!$B$55)</f>
        <v>1567.5</v>
      </c>
      <c r="Z411" s="256" t="s">
        <v>967</v>
      </c>
      <c r="AA411" s="256" t="s">
        <v>963</v>
      </c>
      <c r="AB411" s="256" t="s">
        <v>969</v>
      </c>
      <c r="AC411" s="251"/>
      <c r="AD411" s="251"/>
      <c r="AE411" s="251"/>
      <c r="AF411" s="251"/>
      <c r="AG411" s="257"/>
      <c r="AH411" s="251" t="s">
        <v>1132</v>
      </c>
    </row>
    <row r="412" spans="1:256" s="418" customFormat="1" x14ac:dyDescent="0.2">
      <c r="A412" s="45">
        <v>44517</v>
      </c>
      <c r="B412" s="46" t="s">
        <v>884</v>
      </c>
      <c r="C412" s="46">
        <v>2021</v>
      </c>
      <c r="D412" s="46" t="s">
        <v>9</v>
      </c>
      <c r="E412" s="76">
        <v>-115.5</v>
      </c>
      <c r="F412" s="181" t="s">
        <v>33</v>
      </c>
      <c r="G412" s="77">
        <f>-(E412*400)</f>
        <v>46200</v>
      </c>
      <c r="H412" s="76">
        <v>255</v>
      </c>
      <c r="I412" s="181" t="s">
        <v>80</v>
      </c>
      <c r="J412" s="76" t="s">
        <v>738</v>
      </c>
      <c r="K412" s="76">
        <v>345</v>
      </c>
      <c r="L412" s="76" t="s">
        <v>726</v>
      </c>
      <c r="M412" s="76" t="s">
        <v>894</v>
      </c>
      <c r="N412" s="76" t="s">
        <v>895</v>
      </c>
      <c r="O412" s="76"/>
      <c r="P412" s="78" t="s">
        <v>896</v>
      </c>
      <c r="Q412" s="794">
        <v>39.015700000000002</v>
      </c>
      <c r="R412" s="870">
        <v>-87.213310000000007</v>
      </c>
      <c r="S412" s="78" t="s">
        <v>63</v>
      </c>
      <c r="T412" s="46"/>
      <c r="U412" s="45" t="s">
        <v>51</v>
      </c>
      <c r="V412" s="45"/>
      <c r="W412" s="47">
        <f>IF(AC412="Intr",0,G412*Definitions!$B$53)</f>
        <v>6930</v>
      </c>
      <c r="X412" s="47">
        <f>IF(AC412="Intr",0,G412*Definitions!$B$54)</f>
        <v>32339.999999999996</v>
      </c>
      <c r="Y412" s="47">
        <f>IF(AC412="Intr",G412,G412*Definitions!$B$55)</f>
        <v>6930</v>
      </c>
      <c r="Z412" s="47" t="s">
        <v>966</v>
      </c>
      <c r="AA412" s="47" t="s">
        <v>965</v>
      </c>
      <c r="AB412" s="47"/>
      <c r="AC412" s="46"/>
      <c r="AD412" s="46"/>
      <c r="AE412" s="46"/>
      <c r="AF412" s="46"/>
      <c r="AG412" s="48"/>
      <c r="AH412" s="78" t="s">
        <v>897</v>
      </c>
      <c r="AI412" s="105"/>
      <c r="AJ412" s="105"/>
      <c r="AK412" s="105"/>
      <c r="AL412" s="105"/>
      <c r="AM412" s="105"/>
      <c r="AN412" s="105"/>
      <c r="AO412" s="105"/>
      <c r="AP412" s="105"/>
      <c r="AQ412" s="105"/>
      <c r="AR412" s="105"/>
      <c r="AS412" s="105"/>
      <c r="AT412" s="105"/>
      <c r="AU412" s="105"/>
      <c r="AV412" s="105"/>
      <c r="AW412" s="105"/>
      <c r="AX412" s="105"/>
      <c r="AY412" s="105"/>
      <c r="AZ412" s="105"/>
      <c r="BA412" s="105"/>
      <c r="BB412" s="105"/>
      <c r="BC412" s="105"/>
      <c r="BD412" s="105"/>
      <c r="BE412" s="105"/>
      <c r="BF412" s="105"/>
      <c r="BG412" s="105"/>
      <c r="BH412" s="105"/>
      <c r="BI412" s="105"/>
      <c r="BJ412" s="105"/>
      <c r="BK412" s="105"/>
      <c r="BL412" s="105"/>
      <c r="BM412" s="105"/>
      <c r="BN412" s="105"/>
      <c r="BO412" s="105"/>
      <c r="BP412" s="105"/>
      <c r="BQ412" s="105"/>
      <c r="BR412" s="105"/>
      <c r="BS412" s="105"/>
      <c r="BT412" s="105"/>
      <c r="BU412" s="105"/>
      <c r="BV412" s="105"/>
      <c r="BW412" s="105"/>
      <c r="BX412" s="105"/>
      <c r="BY412" s="105"/>
      <c r="BZ412" s="105"/>
      <c r="CA412" s="105"/>
      <c r="CB412" s="105"/>
      <c r="CC412" s="105"/>
      <c r="CD412" s="105"/>
      <c r="CE412" s="105"/>
      <c r="CF412" s="105"/>
      <c r="CG412" s="105"/>
      <c r="CH412" s="105"/>
      <c r="CI412" s="105"/>
      <c r="CJ412" s="105"/>
      <c r="CK412" s="105"/>
      <c r="CL412" s="105"/>
      <c r="CM412" s="105"/>
      <c r="CN412" s="105"/>
      <c r="CO412" s="105"/>
      <c r="CP412" s="105"/>
      <c r="CQ412" s="105"/>
      <c r="CR412" s="105"/>
      <c r="CS412" s="105"/>
      <c r="CT412" s="105"/>
      <c r="CU412" s="105"/>
      <c r="CV412" s="105"/>
      <c r="CW412" s="105"/>
      <c r="CX412" s="105"/>
      <c r="CY412" s="105"/>
      <c r="CZ412" s="105"/>
      <c r="DA412" s="105"/>
      <c r="DB412" s="105"/>
      <c r="DC412" s="105"/>
      <c r="DD412" s="105"/>
      <c r="DE412" s="105"/>
      <c r="DF412" s="105"/>
      <c r="DG412" s="105"/>
      <c r="DH412" s="105"/>
      <c r="DI412" s="105"/>
      <c r="DJ412" s="105"/>
      <c r="DK412" s="105"/>
      <c r="DL412" s="105"/>
      <c r="DM412" s="105"/>
      <c r="DN412" s="105"/>
      <c r="DO412" s="105"/>
      <c r="DP412" s="105"/>
      <c r="DQ412" s="105"/>
      <c r="DR412" s="105"/>
      <c r="DS412" s="105"/>
      <c r="DT412" s="105"/>
      <c r="DU412" s="105"/>
      <c r="DV412" s="105"/>
      <c r="DW412" s="105"/>
      <c r="DX412" s="105"/>
      <c r="DY412" s="105"/>
      <c r="DZ412" s="105"/>
      <c r="EA412" s="105"/>
      <c r="EB412" s="105"/>
      <c r="EC412" s="105"/>
      <c r="ED412" s="105"/>
      <c r="EE412" s="105"/>
      <c r="EF412" s="105"/>
      <c r="EG412" s="105"/>
      <c r="EH412" s="105"/>
      <c r="EI412" s="105"/>
      <c r="EJ412" s="105"/>
      <c r="EK412" s="105"/>
      <c r="EL412" s="105"/>
      <c r="EM412" s="105"/>
      <c r="EN412" s="105"/>
      <c r="EO412" s="105"/>
      <c r="EP412" s="105"/>
      <c r="EQ412" s="105"/>
      <c r="ER412" s="105"/>
      <c r="ES412" s="105"/>
      <c r="ET412" s="105"/>
      <c r="EU412" s="105"/>
      <c r="EV412" s="105"/>
      <c r="EW412" s="105"/>
      <c r="EX412" s="105"/>
      <c r="EY412" s="105"/>
      <c r="EZ412" s="105"/>
      <c r="FA412" s="105"/>
      <c r="FB412" s="105"/>
      <c r="FC412" s="105"/>
      <c r="FD412" s="105"/>
      <c r="FE412" s="105"/>
      <c r="FF412" s="105"/>
      <c r="FG412" s="105"/>
      <c r="FH412" s="105"/>
      <c r="FI412" s="105"/>
      <c r="FJ412" s="105"/>
      <c r="FK412" s="105"/>
      <c r="FL412" s="105"/>
      <c r="FM412" s="105"/>
      <c r="FN412" s="105"/>
      <c r="FO412" s="105"/>
      <c r="FP412" s="105"/>
      <c r="FQ412" s="105"/>
      <c r="FR412" s="105"/>
      <c r="FS412" s="105"/>
      <c r="FT412" s="105"/>
      <c r="FU412" s="105"/>
      <c r="FV412" s="105"/>
      <c r="FW412" s="105"/>
      <c r="FX412" s="105"/>
      <c r="FY412" s="105"/>
      <c r="FZ412" s="105"/>
      <c r="GA412" s="105"/>
      <c r="GB412" s="105"/>
      <c r="GC412" s="105"/>
      <c r="GD412" s="105"/>
      <c r="GE412" s="105"/>
      <c r="GF412" s="105"/>
      <c r="GG412" s="105"/>
      <c r="GH412" s="105"/>
      <c r="GI412" s="105"/>
      <c r="GJ412" s="105"/>
      <c r="GK412" s="105"/>
      <c r="GL412" s="105"/>
      <c r="GM412" s="105"/>
      <c r="GN412" s="105"/>
      <c r="GO412" s="105"/>
      <c r="GP412" s="105"/>
      <c r="GQ412" s="105"/>
      <c r="GR412" s="105"/>
      <c r="GS412" s="105"/>
      <c r="GT412" s="105"/>
      <c r="GU412" s="105"/>
      <c r="GV412" s="105"/>
      <c r="GW412" s="105"/>
      <c r="GX412" s="105"/>
      <c r="GY412" s="105"/>
      <c r="GZ412" s="105"/>
      <c r="HA412" s="105"/>
      <c r="HB412" s="105"/>
      <c r="HC412" s="105"/>
      <c r="HD412" s="105"/>
      <c r="HE412" s="105"/>
      <c r="HF412" s="105"/>
      <c r="HG412" s="105"/>
      <c r="HH412" s="105"/>
      <c r="HI412" s="105"/>
      <c r="HJ412" s="105"/>
      <c r="HK412" s="105"/>
      <c r="HL412" s="105"/>
      <c r="HM412" s="105"/>
      <c r="HN412" s="105"/>
      <c r="HO412" s="105"/>
      <c r="HP412" s="105"/>
      <c r="HQ412" s="105"/>
      <c r="HR412" s="105"/>
      <c r="HS412" s="105"/>
      <c r="HT412" s="105"/>
      <c r="HU412" s="105"/>
      <c r="HV412" s="105"/>
      <c r="HW412" s="105"/>
      <c r="HX412" s="105"/>
      <c r="HY412" s="105"/>
      <c r="HZ412" s="105"/>
      <c r="IA412" s="105"/>
      <c r="IB412" s="105"/>
      <c r="IC412" s="105"/>
      <c r="ID412" s="105"/>
      <c r="IE412" s="105"/>
      <c r="IF412" s="105"/>
      <c r="IG412" s="105"/>
      <c r="IH412" s="105"/>
      <c r="II412" s="105"/>
      <c r="IJ412" s="105"/>
      <c r="IK412" s="105"/>
      <c r="IL412" s="105"/>
      <c r="IM412" s="105"/>
      <c r="IN412" s="105"/>
      <c r="IO412" s="105"/>
      <c r="IP412" s="105"/>
      <c r="IQ412" s="105"/>
      <c r="IR412" s="105"/>
      <c r="IS412" s="105"/>
      <c r="IT412" s="105"/>
      <c r="IU412" s="105"/>
      <c r="IV412" s="105"/>
    </row>
    <row r="413" spans="1:256" s="418" customFormat="1" x14ac:dyDescent="0.2">
      <c r="A413" s="45">
        <v>44517</v>
      </c>
      <c r="B413" s="46" t="s">
        <v>884</v>
      </c>
      <c r="C413" s="46">
        <v>2021</v>
      </c>
      <c r="D413" s="46" t="s">
        <v>9</v>
      </c>
      <c r="E413" s="76">
        <v>-71</v>
      </c>
      <c r="F413" s="181" t="s">
        <v>33</v>
      </c>
      <c r="G413" s="77">
        <f>-(E413*400)</f>
        <v>28400</v>
      </c>
      <c r="H413" s="76">
        <v>255</v>
      </c>
      <c r="I413" s="181" t="s">
        <v>80</v>
      </c>
      <c r="J413" s="76" t="s">
        <v>725</v>
      </c>
      <c r="K413" s="76">
        <v>209.5</v>
      </c>
      <c r="L413" s="76" t="s">
        <v>726</v>
      </c>
      <c r="M413" s="76" t="s">
        <v>894</v>
      </c>
      <c r="N413" s="76" t="s">
        <v>895</v>
      </c>
      <c r="O413" s="76"/>
      <c r="P413" s="78" t="s">
        <v>896</v>
      </c>
      <c r="Q413" s="794">
        <v>39.015700000000002</v>
      </c>
      <c r="R413" s="870">
        <v>-87.213310000000007</v>
      </c>
      <c r="S413" s="78" t="s">
        <v>63</v>
      </c>
      <c r="T413" s="46"/>
      <c r="U413" s="45" t="s">
        <v>51</v>
      </c>
      <c r="V413" s="45"/>
      <c r="W413" s="47">
        <f>IF(AC413="Intr",0,G413*Definitions!$B$53)</f>
        <v>4260</v>
      </c>
      <c r="X413" s="47">
        <f>IF(AC413="Intr",0,G413*Definitions!$B$54)</f>
        <v>19880</v>
      </c>
      <c r="Y413" s="47">
        <f>IF(AC413="Intr",G413,G413*Definitions!$B$55)</f>
        <v>4260</v>
      </c>
      <c r="Z413" s="47" t="s">
        <v>966</v>
      </c>
      <c r="AA413" s="47" t="s">
        <v>965</v>
      </c>
      <c r="AB413" s="47"/>
      <c r="AC413" s="46"/>
      <c r="AD413" s="46"/>
      <c r="AE413" s="46"/>
      <c r="AF413" s="46"/>
      <c r="AG413" s="48"/>
      <c r="AH413" s="78" t="s">
        <v>897</v>
      </c>
      <c r="AI413" s="105"/>
      <c r="AJ413" s="105"/>
      <c r="AK413" s="105"/>
      <c r="AL413" s="105"/>
      <c r="AM413" s="105"/>
      <c r="AN413" s="105"/>
      <c r="AO413" s="105"/>
      <c r="AP413" s="105"/>
      <c r="AQ413" s="105"/>
      <c r="AR413" s="105"/>
      <c r="AS413" s="105"/>
      <c r="AT413" s="105"/>
      <c r="AU413" s="105"/>
      <c r="AV413" s="105"/>
      <c r="AW413" s="105"/>
      <c r="AX413" s="105"/>
      <c r="AY413" s="105"/>
      <c r="AZ413" s="105"/>
      <c r="BA413" s="105"/>
      <c r="BB413" s="105"/>
      <c r="BC413" s="105"/>
      <c r="BD413" s="105"/>
      <c r="BE413" s="105"/>
      <c r="BF413" s="105"/>
      <c r="BG413" s="105"/>
      <c r="BH413" s="105"/>
      <c r="BI413" s="105"/>
      <c r="BJ413" s="105"/>
      <c r="BK413" s="105"/>
      <c r="BL413" s="105"/>
      <c r="BM413" s="105"/>
      <c r="BN413" s="105"/>
      <c r="BO413" s="105"/>
      <c r="BP413" s="105"/>
      <c r="BQ413" s="105"/>
      <c r="BR413" s="105"/>
      <c r="BS413" s="105"/>
      <c r="BT413" s="105"/>
      <c r="BU413" s="105"/>
      <c r="BV413" s="105"/>
      <c r="BW413" s="105"/>
      <c r="BX413" s="105"/>
      <c r="BY413" s="105"/>
      <c r="BZ413" s="105"/>
      <c r="CA413" s="105"/>
      <c r="CB413" s="105"/>
      <c r="CC413" s="105"/>
      <c r="CD413" s="105"/>
      <c r="CE413" s="105"/>
      <c r="CF413" s="105"/>
      <c r="CG413" s="105"/>
      <c r="CH413" s="105"/>
      <c r="CI413" s="105"/>
      <c r="CJ413" s="105"/>
      <c r="CK413" s="105"/>
      <c r="CL413" s="105"/>
      <c r="CM413" s="105"/>
      <c r="CN413" s="105"/>
      <c r="CO413" s="105"/>
      <c r="CP413" s="105"/>
      <c r="CQ413" s="105"/>
      <c r="CR413" s="105"/>
      <c r="CS413" s="105"/>
      <c r="CT413" s="105"/>
      <c r="CU413" s="105"/>
      <c r="CV413" s="105"/>
      <c r="CW413" s="105"/>
      <c r="CX413" s="105"/>
      <c r="CY413" s="105"/>
      <c r="CZ413" s="105"/>
      <c r="DA413" s="105"/>
      <c r="DB413" s="105"/>
      <c r="DC413" s="105"/>
      <c r="DD413" s="105"/>
      <c r="DE413" s="105"/>
      <c r="DF413" s="105"/>
      <c r="DG413" s="105"/>
      <c r="DH413" s="105"/>
      <c r="DI413" s="105"/>
      <c r="DJ413" s="105"/>
      <c r="DK413" s="105"/>
      <c r="DL413" s="105"/>
      <c r="DM413" s="105"/>
      <c r="DN413" s="105"/>
      <c r="DO413" s="105"/>
      <c r="DP413" s="105"/>
      <c r="DQ413" s="105"/>
      <c r="DR413" s="105"/>
      <c r="DS413" s="105"/>
      <c r="DT413" s="105"/>
      <c r="DU413" s="105"/>
      <c r="DV413" s="105"/>
      <c r="DW413" s="105"/>
      <c r="DX413" s="105"/>
      <c r="DY413" s="105"/>
      <c r="DZ413" s="105"/>
      <c r="EA413" s="105"/>
      <c r="EB413" s="105"/>
      <c r="EC413" s="105"/>
      <c r="ED413" s="105"/>
      <c r="EE413" s="105"/>
      <c r="EF413" s="105"/>
      <c r="EG413" s="105"/>
      <c r="EH413" s="105"/>
      <c r="EI413" s="105"/>
      <c r="EJ413" s="105"/>
      <c r="EK413" s="105"/>
      <c r="EL413" s="105"/>
      <c r="EM413" s="105"/>
      <c r="EN413" s="105"/>
      <c r="EO413" s="105"/>
      <c r="EP413" s="105"/>
      <c r="EQ413" s="105"/>
      <c r="ER413" s="105"/>
      <c r="ES413" s="105"/>
      <c r="ET413" s="105"/>
      <c r="EU413" s="105"/>
      <c r="EV413" s="105"/>
      <c r="EW413" s="105"/>
      <c r="EX413" s="105"/>
      <c r="EY413" s="105"/>
      <c r="EZ413" s="105"/>
      <c r="FA413" s="105"/>
      <c r="FB413" s="105"/>
      <c r="FC413" s="105"/>
      <c r="FD413" s="105"/>
      <c r="FE413" s="105"/>
      <c r="FF413" s="105"/>
      <c r="FG413" s="105"/>
      <c r="FH413" s="105"/>
      <c r="FI413" s="105"/>
      <c r="FJ413" s="105"/>
      <c r="FK413" s="105"/>
      <c r="FL413" s="105"/>
      <c r="FM413" s="105"/>
      <c r="FN413" s="105"/>
      <c r="FO413" s="105"/>
      <c r="FP413" s="105"/>
      <c r="FQ413" s="105"/>
      <c r="FR413" s="105"/>
      <c r="FS413" s="105"/>
      <c r="FT413" s="105"/>
      <c r="FU413" s="105"/>
      <c r="FV413" s="105"/>
      <c r="FW413" s="105"/>
      <c r="FX413" s="105"/>
      <c r="FY413" s="105"/>
      <c r="FZ413" s="105"/>
      <c r="GA413" s="105"/>
      <c r="GB413" s="105"/>
      <c r="GC413" s="105"/>
      <c r="GD413" s="105"/>
      <c r="GE413" s="105"/>
      <c r="GF413" s="105"/>
      <c r="GG413" s="105"/>
      <c r="GH413" s="105"/>
      <c r="GI413" s="105"/>
      <c r="GJ413" s="105"/>
      <c r="GK413" s="105"/>
      <c r="GL413" s="105"/>
      <c r="GM413" s="105"/>
      <c r="GN413" s="105"/>
      <c r="GO413" s="105"/>
      <c r="GP413" s="105"/>
      <c r="GQ413" s="105"/>
      <c r="GR413" s="105"/>
      <c r="GS413" s="105"/>
      <c r="GT413" s="105"/>
      <c r="GU413" s="105"/>
      <c r="GV413" s="105"/>
      <c r="GW413" s="105"/>
      <c r="GX413" s="105"/>
      <c r="GY413" s="105"/>
      <c r="GZ413" s="105"/>
      <c r="HA413" s="105"/>
      <c r="HB413" s="105"/>
      <c r="HC413" s="105"/>
      <c r="HD413" s="105"/>
      <c r="HE413" s="105"/>
      <c r="HF413" s="105"/>
      <c r="HG413" s="105"/>
      <c r="HH413" s="105"/>
      <c r="HI413" s="105"/>
      <c r="HJ413" s="105"/>
      <c r="HK413" s="105"/>
      <c r="HL413" s="105"/>
      <c r="HM413" s="105"/>
      <c r="HN413" s="105"/>
      <c r="HO413" s="105"/>
      <c r="HP413" s="105"/>
      <c r="HQ413" s="105"/>
      <c r="HR413" s="105"/>
      <c r="HS413" s="105"/>
      <c r="HT413" s="105"/>
      <c r="HU413" s="105"/>
      <c r="HV413" s="105"/>
      <c r="HW413" s="105"/>
      <c r="HX413" s="105"/>
      <c r="HY413" s="105"/>
      <c r="HZ413" s="105"/>
      <c r="IA413" s="105"/>
      <c r="IB413" s="105"/>
      <c r="IC413" s="105"/>
      <c r="ID413" s="105"/>
      <c r="IE413" s="105"/>
      <c r="IF413" s="105"/>
      <c r="IG413" s="105"/>
      <c r="IH413" s="105"/>
      <c r="II413" s="105"/>
      <c r="IJ413" s="105"/>
      <c r="IK413" s="105"/>
      <c r="IL413" s="105"/>
      <c r="IM413" s="105"/>
      <c r="IN413" s="105"/>
      <c r="IO413" s="105"/>
      <c r="IP413" s="105"/>
      <c r="IQ413" s="105"/>
      <c r="IR413" s="105"/>
      <c r="IS413" s="105"/>
      <c r="IT413" s="105"/>
      <c r="IU413" s="105"/>
      <c r="IV413" s="105"/>
    </row>
    <row r="414" spans="1:256" s="418" customFormat="1" x14ac:dyDescent="0.2">
      <c r="A414" s="45">
        <v>44517</v>
      </c>
      <c r="B414" s="46" t="s">
        <v>884</v>
      </c>
      <c r="C414" s="46">
        <v>2021</v>
      </c>
      <c r="D414" s="46" t="s">
        <v>9</v>
      </c>
      <c r="E414" s="76">
        <v>-0.1</v>
      </c>
      <c r="F414" s="181" t="s">
        <v>32</v>
      </c>
      <c r="G414" s="77">
        <f>-(E414*80000)</f>
        <v>8000</v>
      </c>
      <c r="H414" s="76">
        <v>255</v>
      </c>
      <c r="I414" s="181" t="s">
        <v>80</v>
      </c>
      <c r="J414" s="76" t="s">
        <v>36</v>
      </c>
      <c r="K414" s="76">
        <v>0.05</v>
      </c>
      <c r="L414" s="76" t="s">
        <v>726</v>
      </c>
      <c r="M414" s="76" t="s">
        <v>894</v>
      </c>
      <c r="N414" s="76" t="s">
        <v>895</v>
      </c>
      <c r="O414" s="76"/>
      <c r="P414" s="78" t="s">
        <v>896</v>
      </c>
      <c r="Q414" s="794">
        <v>39.015700000000002</v>
      </c>
      <c r="R414" s="870">
        <v>-87.213310000000007</v>
      </c>
      <c r="S414" s="78" t="s">
        <v>63</v>
      </c>
      <c r="T414" s="46"/>
      <c r="U414" s="45" t="s">
        <v>51</v>
      </c>
      <c r="V414" s="45"/>
      <c r="W414" s="47">
        <f>IF(AC414="Intr",0,G414*Definitions!$B$53)</f>
        <v>1200</v>
      </c>
      <c r="X414" s="47">
        <f>IF(AC414="Intr",0,G414*Definitions!$B$54)</f>
        <v>5600</v>
      </c>
      <c r="Y414" s="47">
        <f>IF(AC414="Intr",G414,G414*Definitions!$B$55)</f>
        <v>1200</v>
      </c>
      <c r="Z414" s="47" t="s">
        <v>966</v>
      </c>
      <c r="AA414" s="47" t="s">
        <v>965</v>
      </c>
      <c r="AB414" s="47"/>
      <c r="AC414" s="46"/>
      <c r="AD414" s="46"/>
      <c r="AE414" s="46"/>
      <c r="AF414" s="46"/>
      <c r="AG414" s="48"/>
      <c r="AH414" s="78" t="s">
        <v>897</v>
      </c>
      <c r="AI414" s="105"/>
      <c r="AJ414" s="105"/>
      <c r="AK414" s="105"/>
      <c r="AL414" s="105"/>
      <c r="AM414" s="105"/>
      <c r="AN414" s="105"/>
      <c r="AO414" s="105"/>
      <c r="AP414" s="105"/>
      <c r="AQ414" s="105"/>
      <c r="AR414" s="105"/>
      <c r="AS414" s="105"/>
      <c r="AT414" s="105"/>
      <c r="AU414" s="105"/>
      <c r="AV414" s="105"/>
      <c r="AW414" s="105"/>
      <c r="AX414" s="105"/>
      <c r="AY414" s="105"/>
      <c r="AZ414" s="105"/>
      <c r="BA414" s="105"/>
      <c r="BB414" s="105"/>
      <c r="BC414" s="105"/>
      <c r="BD414" s="105"/>
      <c r="BE414" s="105"/>
      <c r="BF414" s="105"/>
      <c r="BG414" s="105"/>
      <c r="BH414" s="105"/>
      <c r="BI414" s="105"/>
      <c r="BJ414" s="105"/>
      <c r="BK414" s="105"/>
      <c r="BL414" s="105"/>
      <c r="BM414" s="105"/>
      <c r="BN414" s="105"/>
      <c r="BO414" s="105"/>
      <c r="BP414" s="105"/>
      <c r="BQ414" s="105"/>
      <c r="BR414" s="105"/>
      <c r="BS414" s="105"/>
      <c r="BT414" s="105"/>
      <c r="BU414" s="105"/>
      <c r="BV414" s="105"/>
      <c r="BW414" s="105"/>
      <c r="BX414" s="105"/>
      <c r="BY414" s="105"/>
      <c r="BZ414" s="105"/>
      <c r="CA414" s="105"/>
      <c r="CB414" s="105"/>
      <c r="CC414" s="105"/>
      <c r="CD414" s="105"/>
      <c r="CE414" s="105"/>
      <c r="CF414" s="105"/>
      <c r="CG414" s="105"/>
      <c r="CH414" s="105"/>
      <c r="CI414" s="105"/>
      <c r="CJ414" s="105"/>
      <c r="CK414" s="105"/>
      <c r="CL414" s="105"/>
      <c r="CM414" s="105"/>
      <c r="CN414" s="105"/>
      <c r="CO414" s="105"/>
      <c r="CP414" s="105"/>
      <c r="CQ414" s="105"/>
      <c r="CR414" s="105"/>
      <c r="CS414" s="105"/>
      <c r="CT414" s="105"/>
      <c r="CU414" s="105"/>
      <c r="CV414" s="105"/>
      <c r="CW414" s="105"/>
      <c r="CX414" s="105"/>
      <c r="CY414" s="105"/>
      <c r="CZ414" s="105"/>
      <c r="DA414" s="105"/>
      <c r="DB414" s="105"/>
      <c r="DC414" s="105"/>
      <c r="DD414" s="105"/>
      <c r="DE414" s="105"/>
      <c r="DF414" s="105"/>
      <c r="DG414" s="105"/>
      <c r="DH414" s="105"/>
      <c r="DI414" s="105"/>
      <c r="DJ414" s="105"/>
      <c r="DK414" s="105"/>
      <c r="DL414" s="105"/>
      <c r="DM414" s="105"/>
      <c r="DN414" s="105"/>
      <c r="DO414" s="105"/>
      <c r="DP414" s="105"/>
      <c r="DQ414" s="105"/>
      <c r="DR414" s="105"/>
      <c r="DS414" s="105"/>
      <c r="DT414" s="105"/>
      <c r="DU414" s="105"/>
      <c r="DV414" s="105"/>
      <c r="DW414" s="105"/>
      <c r="DX414" s="105"/>
      <c r="DY414" s="105"/>
      <c r="DZ414" s="105"/>
      <c r="EA414" s="105"/>
      <c r="EB414" s="105"/>
      <c r="EC414" s="105"/>
      <c r="ED414" s="105"/>
      <c r="EE414" s="105"/>
      <c r="EF414" s="105"/>
      <c r="EG414" s="105"/>
      <c r="EH414" s="105"/>
      <c r="EI414" s="105"/>
      <c r="EJ414" s="105"/>
      <c r="EK414" s="105"/>
      <c r="EL414" s="105"/>
      <c r="EM414" s="105"/>
      <c r="EN414" s="105"/>
      <c r="EO414" s="105"/>
      <c r="EP414" s="105"/>
      <c r="EQ414" s="105"/>
      <c r="ER414" s="105"/>
      <c r="ES414" s="105"/>
      <c r="ET414" s="105"/>
      <c r="EU414" s="105"/>
      <c r="EV414" s="105"/>
      <c r="EW414" s="105"/>
      <c r="EX414" s="105"/>
      <c r="EY414" s="105"/>
      <c r="EZ414" s="105"/>
      <c r="FA414" s="105"/>
      <c r="FB414" s="105"/>
      <c r="FC414" s="105"/>
      <c r="FD414" s="105"/>
      <c r="FE414" s="105"/>
      <c r="FF414" s="105"/>
      <c r="FG414" s="105"/>
      <c r="FH414" s="105"/>
      <c r="FI414" s="105"/>
      <c r="FJ414" s="105"/>
      <c r="FK414" s="105"/>
      <c r="FL414" s="105"/>
      <c r="FM414" s="105"/>
      <c r="FN414" s="105"/>
      <c r="FO414" s="105"/>
      <c r="FP414" s="105"/>
      <c r="FQ414" s="105"/>
      <c r="FR414" s="105"/>
      <c r="FS414" s="105"/>
      <c r="FT414" s="105"/>
      <c r="FU414" s="105"/>
      <c r="FV414" s="105"/>
      <c r="FW414" s="105"/>
      <c r="FX414" s="105"/>
      <c r="FY414" s="105"/>
      <c r="FZ414" s="105"/>
      <c r="GA414" s="105"/>
      <c r="GB414" s="105"/>
      <c r="GC414" s="105"/>
      <c r="GD414" s="105"/>
      <c r="GE414" s="105"/>
      <c r="GF414" s="105"/>
      <c r="GG414" s="105"/>
      <c r="GH414" s="105"/>
      <c r="GI414" s="105"/>
      <c r="GJ414" s="105"/>
      <c r="GK414" s="105"/>
      <c r="GL414" s="105"/>
      <c r="GM414" s="105"/>
      <c r="GN414" s="105"/>
      <c r="GO414" s="105"/>
      <c r="GP414" s="105"/>
      <c r="GQ414" s="105"/>
      <c r="GR414" s="105"/>
      <c r="GS414" s="105"/>
      <c r="GT414" s="105"/>
      <c r="GU414" s="105"/>
      <c r="GV414" s="105"/>
      <c r="GW414" s="105"/>
      <c r="GX414" s="105"/>
      <c r="GY414" s="105"/>
      <c r="GZ414" s="105"/>
      <c r="HA414" s="105"/>
      <c r="HB414" s="105"/>
      <c r="HC414" s="105"/>
      <c r="HD414" s="105"/>
      <c r="HE414" s="105"/>
      <c r="HF414" s="105"/>
      <c r="HG414" s="105"/>
      <c r="HH414" s="105"/>
      <c r="HI414" s="105"/>
      <c r="HJ414" s="105"/>
      <c r="HK414" s="105"/>
      <c r="HL414" s="105"/>
      <c r="HM414" s="105"/>
      <c r="HN414" s="105"/>
      <c r="HO414" s="105"/>
      <c r="HP414" s="105"/>
      <c r="HQ414" s="105"/>
      <c r="HR414" s="105"/>
      <c r="HS414" s="105"/>
      <c r="HT414" s="105"/>
      <c r="HU414" s="105"/>
      <c r="HV414" s="105"/>
      <c r="HW414" s="105"/>
      <c r="HX414" s="105"/>
      <c r="HY414" s="105"/>
      <c r="HZ414" s="105"/>
      <c r="IA414" s="105"/>
      <c r="IB414" s="105"/>
      <c r="IC414" s="105"/>
      <c r="ID414" s="105"/>
      <c r="IE414" s="105"/>
      <c r="IF414" s="105"/>
      <c r="IG414" s="105"/>
      <c r="IH414" s="105"/>
      <c r="II414" s="105"/>
      <c r="IJ414" s="105"/>
      <c r="IK414" s="105"/>
      <c r="IL414" s="105"/>
      <c r="IM414" s="105"/>
      <c r="IN414" s="105"/>
      <c r="IO414" s="105"/>
      <c r="IP414" s="105"/>
      <c r="IQ414" s="105"/>
      <c r="IR414" s="105"/>
      <c r="IS414" s="105"/>
      <c r="IT414" s="105"/>
      <c r="IU414" s="105"/>
      <c r="IV414" s="105"/>
    </row>
    <row r="415" spans="1:256" s="418" customFormat="1" x14ac:dyDescent="0.2">
      <c r="A415" s="45">
        <v>44517</v>
      </c>
      <c r="B415" s="46" t="s">
        <v>884</v>
      </c>
      <c r="C415" s="46">
        <v>2021</v>
      </c>
      <c r="D415" s="46" t="s">
        <v>9</v>
      </c>
      <c r="E415" s="76">
        <v>-0.08</v>
      </c>
      <c r="F415" s="181" t="s">
        <v>32</v>
      </c>
      <c r="G415" s="77">
        <f>-(E415*80000)</f>
        <v>6400</v>
      </c>
      <c r="H415" s="76">
        <v>255</v>
      </c>
      <c r="I415" s="181" t="s">
        <v>80</v>
      </c>
      <c r="J415" s="76" t="s">
        <v>38</v>
      </c>
      <c r="K415" s="76">
        <v>0.02</v>
      </c>
      <c r="L415" s="76" t="s">
        <v>726</v>
      </c>
      <c r="M415" s="450" t="s">
        <v>894</v>
      </c>
      <c r="N415" s="76" t="s">
        <v>895</v>
      </c>
      <c r="O415" s="76"/>
      <c r="P415" s="78" t="s">
        <v>896</v>
      </c>
      <c r="Q415" s="794">
        <v>39.015700000000002</v>
      </c>
      <c r="R415" s="870">
        <v>-87.213310000000007</v>
      </c>
      <c r="S415" s="78" t="s">
        <v>63</v>
      </c>
      <c r="T415" s="46"/>
      <c r="U415" s="45" t="s">
        <v>51</v>
      </c>
      <c r="V415" s="45"/>
      <c r="W415" s="47">
        <f>IF(AC415="Intr",0,G415*Definitions!$B$53)</f>
        <v>960</v>
      </c>
      <c r="X415" s="47">
        <f>IF(AC415="Intr",0,G415*Definitions!$B$54)</f>
        <v>4480</v>
      </c>
      <c r="Y415" s="47">
        <f>IF(AC415="Intr",G415,G415*Definitions!$B$55)</f>
        <v>960</v>
      </c>
      <c r="Z415" s="47" t="s">
        <v>966</v>
      </c>
      <c r="AA415" s="47" t="s">
        <v>965</v>
      </c>
      <c r="AB415" s="47"/>
      <c r="AC415" s="46"/>
      <c r="AD415" s="46"/>
      <c r="AE415" s="46"/>
      <c r="AF415" s="46"/>
      <c r="AG415" s="48"/>
      <c r="AH415" s="78" t="s">
        <v>897</v>
      </c>
      <c r="AI415" s="105"/>
      <c r="AJ415" s="105"/>
      <c r="AK415" s="105"/>
      <c r="AL415" s="105"/>
      <c r="AM415" s="105"/>
      <c r="AN415" s="105"/>
      <c r="AO415" s="105"/>
      <c r="AP415" s="105"/>
      <c r="AQ415" s="105"/>
      <c r="AR415" s="105"/>
      <c r="AS415" s="105"/>
      <c r="AT415" s="105"/>
      <c r="AU415" s="105"/>
      <c r="AV415" s="105"/>
      <c r="AW415" s="105"/>
      <c r="AX415" s="105"/>
      <c r="AY415" s="105"/>
      <c r="AZ415" s="105"/>
      <c r="BA415" s="105"/>
      <c r="BB415" s="105"/>
      <c r="BC415" s="105"/>
      <c r="BD415" s="105"/>
      <c r="BE415" s="105"/>
      <c r="BF415" s="105"/>
      <c r="BG415" s="105"/>
      <c r="BH415" s="105"/>
      <c r="BI415" s="105"/>
      <c r="BJ415" s="105"/>
      <c r="BK415" s="105"/>
      <c r="BL415" s="105"/>
      <c r="BM415" s="105"/>
      <c r="BN415" s="105"/>
      <c r="BO415" s="105"/>
      <c r="BP415" s="105"/>
      <c r="BQ415" s="105"/>
      <c r="BR415" s="105"/>
      <c r="BS415" s="105"/>
      <c r="BT415" s="105"/>
      <c r="BU415" s="105"/>
      <c r="BV415" s="105"/>
      <c r="BW415" s="105"/>
      <c r="BX415" s="105"/>
      <c r="BY415" s="105"/>
      <c r="BZ415" s="105"/>
      <c r="CA415" s="105"/>
      <c r="CB415" s="105"/>
      <c r="CC415" s="105"/>
      <c r="CD415" s="105"/>
      <c r="CE415" s="105"/>
      <c r="CF415" s="105"/>
      <c r="CG415" s="105"/>
      <c r="CH415" s="105"/>
      <c r="CI415" s="105"/>
      <c r="CJ415" s="105"/>
      <c r="CK415" s="105"/>
      <c r="CL415" s="105"/>
      <c r="CM415" s="105"/>
      <c r="CN415" s="105"/>
      <c r="CO415" s="105"/>
      <c r="CP415" s="105"/>
      <c r="CQ415" s="105"/>
      <c r="CR415" s="105"/>
      <c r="CS415" s="105"/>
      <c r="CT415" s="105"/>
      <c r="CU415" s="105"/>
      <c r="CV415" s="105"/>
      <c r="CW415" s="105"/>
      <c r="CX415" s="105"/>
      <c r="CY415" s="105"/>
      <c r="CZ415" s="105"/>
      <c r="DA415" s="105"/>
      <c r="DB415" s="105"/>
      <c r="DC415" s="105"/>
      <c r="DD415" s="105"/>
      <c r="DE415" s="105"/>
      <c r="DF415" s="105"/>
      <c r="DG415" s="105"/>
      <c r="DH415" s="105"/>
      <c r="DI415" s="105"/>
      <c r="DJ415" s="105"/>
      <c r="DK415" s="105"/>
      <c r="DL415" s="105"/>
      <c r="DM415" s="105"/>
      <c r="DN415" s="105"/>
      <c r="DO415" s="105"/>
      <c r="DP415" s="105"/>
      <c r="DQ415" s="105"/>
      <c r="DR415" s="105"/>
      <c r="DS415" s="105"/>
      <c r="DT415" s="105"/>
      <c r="DU415" s="105"/>
      <c r="DV415" s="105"/>
      <c r="DW415" s="105"/>
      <c r="DX415" s="105"/>
      <c r="DY415" s="105"/>
      <c r="DZ415" s="105"/>
      <c r="EA415" s="105"/>
      <c r="EB415" s="105"/>
      <c r="EC415" s="105"/>
      <c r="ED415" s="105"/>
      <c r="EE415" s="105"/>
      <c r="EF415" s="105"/>
      <c r="EG415" s="105"/>
      <c r="EH415" s="105"/>
      <c r="EI415" s="105"/>
      <c r="EJ415" s="105"/>
      <c r="EK415" s="105"/>
      <c r="EL415" s="105"/>
      <c r="EM415" s="105"/>
      <c r="EN415" s="105"/>
      <c r="EO415" s="105"/>
      <c r="EP415" s="105"/>
      <c r="EQ415" s="105"/>
      <c r="ER415" s="105"/>
      <c r="ES415" s="105"/>
      <c r="ET415" s="105"/>
      <c r="EU415" s="105"/>
      <c r="EV415" s="105"/>
      <c r="EW415" s="105"/>
      <c r="EX415" s="105"/>
      <c r="EY415" s="105"/>
      <c r="EZ415" s="105"/>
      <c r="FA415" s="105"/>
      <c r="FB415" s="105"/>
      <c r="FC415" s="105"/>
      <c r="FD415" s="105"/>
      <c r="FE415" s="105"/>
      <c r="FF415" s="105"/>
      <c r="FG415" s="105"/>
      <c r="FH415" s="105"/>
      <c r="FI415" s="105"/>
      <c r="FJ415" s="105"/>
      <c r="FK415" s="105"/>
      <c r="FL415" s="105"/>
      <c r="FM415" s="105"/>
      <c r="FN415" s="105"/>
      <c r="FO415" s="105"/>
      <c r="FP415" s="105"/>
      <c r="FQ415" s="105"/>
      <c r="FR415" s="105"/>
      <c r="FS415" s="105"/>
      <c r="FT415" s="105"/>
      <c r="FU415" s="105"/>
      <c r="FV415" s="105"/>
      <c r="FW415" s="105"/>
      <c r="FX415" s="105"/>
      <c r="FY415" s="105"/>
      <c r="FZ415" s="105"/>
      <c r="GA415" s="105"/>
      <c r="GB415" s="105"/>
      <c r="GC415" s="105"/>
      <c r="GD415" s="105"/>
      <c r="GE415" s="105"/>
      <c r="GF415" s="105"/>
      <c r="GG415" s="105"/>
      <c r="GH415" s="105"/>
      <c r="GI415" s="105"/>
      <c r="GJ415" s="105"/>
      <c r="GK415" s="105"/>
      <c r="GL415" s="105"/>
      <c r="GM415" s="105"/>
      <c r="GN415" s="105"/>
      <c r="GO415" s="105"/>
      <c r="GP415" s="105"/>
      <c r="GQ415" s="105"/>
      <c r="GR415" s="105"/>
      <c r="GS415" s="105"/>
      <c r="GT415" s="105"/>
      <c r="GU415" s="105"/>
      <c r="GV415" s="105"/>
      <c r="GW415" s="105"/>
      <c r="GX415" s="105"/>
      <c r="GY415" s="105"/>
      <c r="GZ415" s="105"/>
      <c r="HA415" s="105"/>
      <c r="HB415" s="105"/>
      <c r="HC415" s="105"/>
      <c r="HD415" s="105"/>
      <c r="HE415" s="105"/>
      <c r="HF415" s="105"/>
      <c r="HG415" s="105"/>
      <c r="HH415" s="105"/>
      <c r="HI415" s="105"/>
      <c r="HJ415" s="105"/>
      <c r="HK415" s="105"/>
      <c r="HL415" s="105"/>
      <c r="HM415" s="105"/>
      <c r="HN415" s="105"/>
      <c r="HO415" s="105"/>
      <c r="HP415" s="105"/>
      <c r="HQ415" s="105"/>
      <c r="HR415" s="105"/>
      <c r="HS415" s="105"/>
      <c r="HT415" s="105"/>
      <c r="HU415" s="105"/>
      <c r="HV415" s="105"/>
      <c r="HW415" s="105"/>
      <c r="HX415" s="105"/>
      <c r="HY415" s="105"/>
      <c r="HZ415" s="105"/>
      <c r="IA415" s="105"/>
      <c r="IB415" s="105"/>
      <c r="IC415" s="105"/>
      <c r="ID415" s="105"/>
      <c r="IE415" s="105"/>
      <c r="IF415" s="105"/>
      <c r="IG415" s="105"/>
      <c r="IH415" s="105"/>
      <c r="II415" s="105"/>
      <c r="IJ415" s="105"/>
      <c r="IK415" s="105"/>
      <c r="IL415" s="105"/>
      <c r="IM415" s="105"/>
      <c r="IN415" s="105"/>
      <c r="IO415" s="105"/>
      <c r="IP415" s="105"/>
      <c r="IQ415" s="105"/>
      <c r="IR415" s="105"/>
      <c r="IS415" s="105"/>
      <c r="IT415" s="105"/>
      <c r="IU415" s="105"/>
      <c r="IV415" s="105"/>
    </row>
    <row r="416" spans="1:256" s="419" customFormat="1" x14ac:dyDescent="0.2">
      <c r="A416" s="29">
        <v>44517</v>
      </c>
      <c r="B416" s="30" t="s">
        <v>884</v>
      </c>
      <c r="C416" s="30">
        <v>2021</v>
      </c>
      <c r="D416" s="30" t="s">
        <v>3</v>
      </c>
      <c r="E416" s="67">
        <v>-124</v>
      </c>
      <c r="F416" s="217" t="s">
        <v>33</v>
      </c>
      <c r="G416" s="68">
        <f>-(E416*600)</f>
        <v>74400</v>
      </c>
      <c r="H416" s="67">
        <v>253</v>
      </c>
      <c r="I416" s="217" t="s">
        <v>80</v>
      </c>
      <c r="J416" s="217" t="s">
        <v>39</v>
      </c>
      <c r="K416" s="67">
        <v>124</v>
      </c>
      <c r="L416" s="67" t="s">
        <v>726</v>
      </c>
      <c r="M416" s="67" t="s">
        <v>885</v>
      </c>
      <c r="N416" s="67" t="s">
        <v>886</v>
      </c>
      <c r="O416" s="30"/>
      <c r="P416" s="69" t="s">
        <v>270</v>
      </c>
      <c r="Q416" s="803">
        <v>41.654051000000003</v>
      </c>
      <c r="R416" s="700">
        <v>-85.670492999999993</v>
      </c>
      <c r="S416" s="69" t="s">
        <v>63</v>
      </c>
      <c r="T416" s="30"/>
      <c r="U416" s="30" t="s">
        <v>51</v>
      </c>
      <c r="V416" s="29"/>
      <c r="W416" s="31">
        <f>IF(AC416="Intr",0,G416*Definitions!$B$53)</f>
        <v>11160</v>
      </c>
      <c r="X416" s="31">
        <f>IF(AC416="Intr",0,G416*Definitions!$B$54)</f>
        <v>52080</v>
      </c>
      <c r="Y416" s="31">
        <f>IF(AC416="Intr",G416,G416*Definitions!$B$55)</f>
        <v>11160</v>
      </c>
      <c r="Z416" s="31" t="s">
        <v>964</v>
      </c>
      <c r="AA416" s="31" t="s">
        <v>965</v>
      </c>
      <c r="AB416" s="31"/>
      <c r="AC416" s="30"/>
      <c r="AD416" s="30"/>
      <c r="AE416" s="30"/>
      <c r="AF416" s="30"/>
      <c r="AG416" s="32"/>
      <c r="AH416" s="69" t="s">
        <v>887</v>
      </c>
      <c r="AI416" s="105"/>
      <c r="AJ416" s="105"/>
      <c r="AK416" s="105"/>
      <c r="AL416" s="105"/>
      <c r="AM416" s="105"/>
      <c r="AN416" s="105"/>
      <c r="AO416" s="105"/>
      <c r="AP416" s="105"/>
      <c r="AQ416" s="105"/>
      <c r="AR416" s="105"/>
      <c r="AS416" s="105"/>
      <c r="AT416" s="105"/>
      <c r="AU416" s="105"/>
      <c r="AV416" s="105"/>
      <c r="AW416" s="105"/>
      <c r="AX416" s="105"/>
      <c r="AY416" s="105"/>
      <c r="AZ416" s="105"/>
      <c r="BA416" s="105"/>
      <c r="BB416" s="105"/>
      <c r="BC416" s="105"/>
      <c r="BD416" s="105"/>
      <c r="BE416" s="105"/>
      <c r="BF416" s="105"/>
      <c r="BG416" s="105"/>
      <c r="BH416" s="105"/>
      <c r="BI416" s="105"/>
      <c r="BJ416" s="105"/>
      <c r="BK416" s="105"/>
      <c r="BL416" s="105"/>
      <c r="BM416" s="105"/>
      <c r="BN416" s="105"/>
      <c r="BO416" s="105"/>
      <c r="BP416" s="105"/>
      <c r="BQ416" s="105"/>
      <c r="BR416" s="105"/>
      <c r="BS416" s="105"/>
      <c r="BT416" s="105"/>
      <c r="BU416" s="105"/>
      <c r="BV416" s="105"/>
      <c r="BW416" s="105"/>
      <c r="BX416" s="105"/>
      <c r="BY416" s="105"/>
      <c r="BZ416" s="105"/>
      <c r="CA416" s="105"/>
      <c r="CB416" s="105"/>
      <c r="CC416" s="105"/>
      <c r="CD416" s="105"/>
      <c r="CE416" s="105"/>
      <c r="CF416" s="105"/>
      <c r="CG416" s="105"/>
      <c r="CH416" s="105"/>
      <c r="CI416" s="105"/>
      <c r="CJ416" s="105"/>
      <c r="CK416" s="105"/>
      <c r="CL416" s="105"/>
      <c r="CM416" s="105"/>
      <c r="CN416" s="105"/>
      <c r="CO416" s="105"/>
      <c r="CP416" s="105"/>
      <c r="CQ416" s="105"/>
      <c r="CR416" s="105"/>
      <c r="CS416" s="105"/>
      <c r="CT416" s="105"/>
      <c r="CU416" s="105"/>
      <c r="CV416" s="105"/>
      <c r="CW416" s="105"/>
      <c r="CX416" s="105"/>
      <c r="CY416" s="105"/>
      <c r="CZ416" s="105"/>
      <c r="DA416" s="105"/>
      <c r="DB416" s="105"/>
      <c r="DC416" s="105"/>
      <c r="DD416" s="105"/>
      <c r="DE416" s="105"/>
      <c r="DF416" s="105"/>
      <c r="DG416" s="105"/>
      <c r="DH416" s="105"/>
      <c r="DI416" s="105"/>
      <c r="DJ416" s="105"/>
      <c r="DK416" s="105"/>
      <c r="DL416" s="105"/>
      <c r="DM416" s="105"/>
      <c r="DN416" s="105"/>
      <c r="DO416" s="105"/>
      <c r="DP416" s="105"/>
      <c r="DQ416" s="105"/>
      <c r="DR416" s="105"/>
      <c r="DS416" s="105"/>
      <c r="DT416" s="105"/>
      <c r="DU416" s="105"/>
      <c r="DV416" s="105"/>
      <c r="DW416" s="105"/>
      <c r="DX416" s="105"/>
      <c r="DY416" s="105"/>
      <c r="DZ416" s="105"/>
      <c r="EA416" s="105"/>
      <c r="EB416" s="105"/>
      <c r="EC416" s="105"/>
      <c r="ED416" s="105"/>
      <c r="EE416" s="105"/>
      <c r="EF416" s="105"/>
      <c r="EG416" s="105"/>
      <c r="EH416" s="105"/>
      <c r="EI416" s="105"/>
      <c r="EJ416" s="105"/>
      <c r="EK416" s="105"/>
      <c r="EL416" s="105"/>
      <c r="EM416" s="105"/>
      <c r="EN416" s="105"/>
      <c r="EO416" s="105"/>
      <c r="EP416" s="105"/>
      <c r="EQ416" s="105"/>
      <c r="ER416" s="105"/>
      <c r="ES416" s="105"/>
      <c r="ET416" s="105"/>
      <c r="EU416" s="105"/>
      <c r="EV416" s="105"/>
      <c r="EW416" s="105"/>
      <c r="EX416" s="105"/>
      <c r="EY416" s="105"/>
      <c r="EZ416" s="105"/>
      <c r="FA416" s="105"/>
      <c r="FB416" s="105"/>
      <c r="FC416" s="105"/>
      <c r="FD416" s="105"/>
      <c r="FE416" s="105"/>
      <c r="FF416" s="105"/>
      <c r="FG416" s="105"/>
      <c r="FH416" s="105"/>
      <c r="FI416" s="105"/>
      <c r="FJ416" s="105"/>
      <c r="FK416" s="105"/>
      <c r="FL416" s="105"/>
      <c r="FM416" s="105"/>
      <c r="FN416" s="105"/>
      <c r="FO416" s="105"/>
      <c r="FP416" s="105"/>
      <c r="FQ416" s="105"/>
      <c r="FR416" s="105"/>
      <c r="FS416" s="105"/>
      <c r="FT416" s="105"/>
      <c r="FU416" s="105"/>
      <c r="FV416" s="105"/>
      <c r="FW416" s="105"/>
      <c r="FX416" s="105"/>
      <c r="FY416" s="105"/>
      <c r="FZ416" s="105"/>
      <c r="GA416" s="105"/>
      <c r="GB416" s="105"/>
      <c r="GC416" s="105"/>
      <c r="GD416" s="105"/>
      <c r="GE416" s="105"/>
      <c r="GF416" s="105"/>
      <c r="GG416" s="105"/>
      <c r="GH416" s="105"/>
      <c r="GI416" s="105"/>
      <c r="GJ416" s="105"/>
      <c r="GK416" s="105"/>
      <c r="GL416" s="105"/>
      <c r="GM416" s="105"/>
      <c r="GN416" s="105"/>
      <c r="GO416" s="105"/>
      <c r="GP416" s="105"/>
      <c r="GQ416" s="105"/>
      <c r="GR416" s="105"/>
      <c r="GS416" s="105"/>
      <c r="GT416" s="105"/>
      <c r="GU416" s="105"/>
      <c r="GV416" s="105"/>
      <c r="GW416" s="105"/>
      <c r="GX416" s="105"/>
      <c r="GY416" s="105"/>
      <c r="GZ416" s="105"/>
      <c r="HA416" s="105"/>
      <c r="HB416" s="105"/>
      <c r="HC416" s="105"/>
      <c r="HD416" s="105"/>
      <c r="HE416" s="105"/>
      <c r="HF416" s="105"/>
      <c r="HG416" s="105"/>
      <c r="HH416" s="105"/>
      <c r="HI416" s="105"/>
      <c r="HJ416" s="105"/>
      <c r="HK416" s="105"/>
      <c r="HL416" s="105"/>
      <c r="HM416" s="105"/>
      <c r="HN416" s="105"/>
      <c r="HO416" s="105"/>
      <c r="HP416" s="105"/>
      <c r="HQ416" s="105"/>
      <c r="HR416" s="105"/>
      <c r="HS416" s="105"/>
      <c r="HT416" s="105"/>
      <c r="HU416" s="105"/>
      <c r="HV416" s="105"/>
      <c r="HW416" s="105"/>
      <c r="HX416" s="105"/>
      <c r="HY416" s="105"/>
      <c r="HZ416" s="105"/>
      <c r="IA416" s="105"/>
      <c r="IB416" s="105"/>
      <c r="IC416" s="105"/>
      <c r="ID416" s="105"/>
      <c r="IE416" s="105"/>
      <c r="IF416" s="105"/>
      <c r="IG416" s="105"/>
      <c r="IH416" s="105"/>
      <c r="II416" s="105"/>
      <c r="IJ416" s="105"/>
      <c r="IK416" s="105"/>
      <c r="IL416" s="105"/>
      <c r="IM416" s="105"/>
      <c r="IN416" s="105"/>
      <c r="IO416" s="105"/>
      <c r="IP416" s="105"/>
      <c r="IQ416" s="105"/>
      <c r="IR416" s="105"/>
      <c r="IS416" s="105"/>
      <c r="IT416" s="105"/>
      <c r="IU416" s="105"/>
      <c r="IV416" s="105"/>
    </row>
    <row r="417" spans="1:256" s="419" customFormat="1" x14ac:dyDescent="0.2">
      <c r="A417" s="29">
        <v>44517</v>
      </c>
      <c r="B417" s="30" t="s">
        <v>884</v>
      </c>
      <c r="C417" s="30">
        <v>2021</v>
      </c>
      <c r="D417" s="30" t="s">
        <v>3</v>
      </c>
      <c r="E417" s="67">
        <v>-8.9999999999999993E-3</v>
      </c>
      <c r="F417" s="217" t="s">
        <v>32</v>
      </c>
      <c r="G417" s="68">
        <f>-(E417*120000)</f>
        <v>1080</v>
      </c>
      <c r="H417" s="67">
        <v>253</v>
      </c>
      <c r="I417" s="217" t="s">
        <v>80</v>
      </c>
      <c r="J417" s="217" t="s">
        <v>36</v>
      </c>
      <c r="K417" s="67">
        <v>4.4999999999999997E-3</v>
      </c>
      <c r="L417" s="67" t="s">
        <v>726</v>
      </c>
      <c r="M417" s="67" t="s">
        <v>885</v>
      </c>
      <c r="N417" s="67" t="s">
        <v>886</v>
      </c>
      <c r="O417" s="30"/>
      <c r="P417" s="69" t="s">
        <v>270</v>
      </c>
      <c r="Q417" s="803">
        <v>41.654051000000003</v>
      </c>
      <c r="R417" s="700">
        <v>-85.670492999999993</v>
      </c>
      <c r="S417" s="69" t="s">
        <v>63</v>
      </c>
      <c r="T417" s="30"/>
      <c r="U417" s="30" t="s">
        <v>51</v>
      </c>
      <c r="V417" s="29"/>
      <c r="W417" s="31">
        <f>IF(AC417="Intr",0,G417*Definitions!$B$53)</f>
        <v>162</v>
      </c>
      <c r="X417" s="31">
        <f>IF(AC417="Intr",0,G417*Definitions!$B$54)</f>
        <v>756</v>
      </c>
      <c r="Y417" s="31">
        <f>IF(AC417="Intr",G417,G417*Definitions!$B$55)</f>
        <v>162</v>
      </c>
      <c r="Z417" s="31" t="s">
        <v>964</v>
      </c>
      <c r="AA417" s="31" t="s">
        <v>965</v>
      </c>
      <c r="AB417" s="31"/>
      <c r="AC417" s="30"/>
      <c r="AD417" s="30"/>
      <c r="AE417" s="30"/>
      <c r="AF417" s="30"/>
      <c r="AG417" s="32"/>
      <c r="AH417" s="69" t="s">
        <v>888</v>
      </c>
      <c r="AI417" s="105"/>
      <c r="AJ417" s="105"/>
      <c r="AK417" s="105"/>
      <c r="AL417" s="105"/>
      <c r="AM417" s="105"/>
      <c r="AN417" s="105"/>
      <c r="AO417" s="105"/>
      <c r="AP417" s="105"/>
      <c r="AQ417" s="105"/>
      <c r="AR417" s="105"/>
      <c r="AS417" s="105"/>
      <c r="AT417" s="105"/>
      <c r="AU417" s="105"/>
      <c r="AV417" s="105"/>
      <c r="AW417" s="105"/>
      <c r="AX417" s="105"/>
      <c r="AY417" s="105"/>
      <c r="AZ417" s="105"/>
      <c r="BA417" s="105"/>
      <c r="BB417" s="105"/>
      <c r="BC417" s="105"/>
      <c r="BD417" s="105"/>
      <c r="BE417" s="105"/>
      <c r="BF417" s="105"/>
      <c r="BG417" s="105"/>
      <c r="BH417" s="105"/>
      <c r="BI417" s="105"/>
      <c r="BJ417" s="105"/>
      <c r="BK417" s="105"/>
      <c r="BL417" s="105"/>
      <c r="BM417" s="105"/>
      <c r="BN417" s="105"/>
      <c r="BO417" s="105"/>
      <c r="BP417" s="105"/>
      <c r="BQ417" s="105"/>
      <c r="BR417" s="105"/>
      <c r="BS417" s="105"/>
      <c r="BT417" s="105"/>
      <c r="BU417" s="105"/>
      <c r="BV417" s="105"/>
      <c r="BW417" s="105"/>
      <c r="BX417" s="105"/>
      <c r="BY417" s="105"/>
      <c r="BZ417" s="105"/>
      <c r="CA417" s="105"/>
      <c r="CB417" s="105"/>
      <c r="CC417" s="105"/>
      <c r="CD417" s="105"/>
      <c r="CE417" s="105"/>
      <c r="CF417" s="105"/>
      <c r="CG417" s="105"/>
      <c r="CH417" s="105"/>
      <c r="CI417" s="105"/>
      <c r="CJ417" s="105"/>
      <c r="CK417" s="105"/>
      <c r="CL417" s="105"/>
      <c r="CM417" s="105"/>
      <c r="CN417" s="105"/>
      <c r="CO417" s="105"/>
      <c r="CP417" s="105"/>
      <c r="CQ417" s="105"/>
      <c r="CR417" s="105"/>
      <c r="CS417" s="105"/>
      <c r="CT417" s="105"/>
      <c r="CU417" s="105"/>
      <c r="CV417" s="105"/>
      <c r="CW417" s="105"/>
      <c r="CX417" s="105"/>
      <c r="CY417" s="105"/>
      <c r="CZ417" s="105"/>
      <c r="DA417" s="105"/>
      <c r="DB417" s="105"/>
      <c r="DC417" s="105"/>
      <c r="DD417" s="105"/>
      <c r="DE417" s="105"/>
      <c r="DF417" s="105"/>
      <c r="DG417" s="105"/>
      <c r="DH417" s="105"/>
      <c r="DI417" s="105"/>
      <c r="DJ417" s="105"/>
      <c r="DK417" s="105"/>
      <c r="DL417" s="105"/>
      <c r="DM417" s="105"/>
      <c r="DN417" s="105"/>
      <c r="DO417" s="105"/>
      <c r="DP417" s="105"/>
      <c r="DQ417" s="105"/>
      <c r="DR417" s="105"/>
      <c r="DS417" s="105"/>
      <c r="DT417" s="105"/>
      <c r="DU417" s="105"/>
      <c r="DV417" s="105"/>
      <c r="DW417" s="105"/>
      <c r="DX417" s="105"/>
      <c r="DY417" s="105"/>
      <c r="DZ417" s="105"/>
      <c r="EA417" s="105"/>
      <c r="EB417" s="105"/>
      <c r="EC417" s="105"/>
      <c r="ED417" s="105"/>
      <c r="EE417" s="105"/>
      <c r="EF417" s="105"/>
      <c r="EG417" s="105"/>
      <c r="EH417" s="105"/>
      <c r="EI417" s="105"/>
      <c r="EJ417" s="105"/>
      <c r="EK417" s="105"/>
      <c r="EL417" s="105"/>
      <c r="EM417" s="105"/>
      <c r="EN417" s="105"/>
      <c r="EO417" s="105"/>
      <c r="EP417" s="105"/>
      <c r="EQ417" s="105"/>
      <c r="ER417" s="105"/>
      <c r="ES417" s="105"/>
      <c r="ET417" s="105"/>
      <c r="EU417" s="105"/>
      <c r="EV417" s="105"/>
      <c r="EW417" s="105"/>
      <c r="EX417" s="105"/>
      <c r="EY417" s="105"/>
      <c r="EZ417" s="105"/>
      <c r="FA417" s="105"/>
      <c r="FB417" s="105"/>
      <c r="FC417" s="105"/>
      <c r="FD417" s="105"/>
      <c r="FE417" s="105"/>
      <c r="FF417" s="105"/>
      <c r="FG417" s="105"/>
      <c r="FH417" s="105"/>
      <c r="FI417" s="105"/>
      <c r="FJ417" s="105"/>
      <c r="FK417" s="105"/>
      <c r="FL417" s="105"/>
      <c r="FM417" s="105"/>
      <c r="FN417" s="105"/>
      <c r="FO417" s="105"/>
      <c r="FP417" s="105"/>
      <c r="FQ417" s="105"/>
      <c r="FR417" s="105"/>
      <c r="FS417" s="105"/>
      <c r="FT417" s="105"/>
      <c r="FU417" s="105"/>
      <c r="FV417" s="105"/>
      <c r="FW417" s="105"/>
      <c r="FX417" s="105"/>
      <c r="FY417" s="105"/>
      <c r="FZ417" s="105"/>
      <c r="GA417" s="105"/>
      <c r="GB417" s="105"/>
      <c r="GC417" s="105"/>
      <c r="GD417" s="105"/>
      <c r="GE417" s="105"/>
      <c r="GF417" s="105"/>
      <c r="GG417" s="105"/>
      <c r="GH417" s="105"/>
      <c r="GI417" s="105"/>
      <c r="GJ417" s="105"/>
      <c r="GK417" s="105"/>
      <c r="GL417" s="105"/>
      <c r="GM417" s="105"/>
      <c r="GN417" s="105"/>
      <c r="GO417" s="105"/>
      <c r="GP417" s="105"/>
      <c r="GQ417" s="105"/>
      <c r="GR417" s="105"/>
      <c r="GS417" s="105"/>
      <c r="GT417" s="105"/>
      <c r="GU417" s="105"/>
      <c r="GV417" s="105"/>
      <c r="GW417" s="105"/>
      <c r="GX417" s="105"/>
      <c r="GY417" s="105"/>
      <c r="GZ417" s="105"/>
      <c r="HA417" s="105"/>
      <c r="HB417" s="105"/>
      <c r="HC417" s="105"/>
      <c r="HD417" s="105"/>
      <c r="HE417" s="105"/>
      <c r="HF417" s="105"/>
      <c r="HG417" s="105"/>
      <c r="HH417" s="105"/>
      <c r="HI417" s="105"/>
      <c r="HJ417" s="105"/>
      <c r="HK417" s="105"/>
      <c r="HL417" s="105"/>
      <c r="HM417" s="105"/>
      <c r="HN417" s="105"/>
      <c r="HO417" s="105"/>
      <c r="HP417" s="105"/>
      <c r="HQ417" s="105"/>
      <c r="HR417" s="105"/>
      <c r="HS417" s="105"/>
      <c r="HT417" s="105"/>
      <c r="HU417" s="105"/>
      <c r="HV417" s="105"/>
      <c r="HW417" s="105"/>
      <c r="HX417" s="105"/>
      <c r="HY417" s="105"/>
      <c r="HZ417" s="105"/>
      <c r="IA417" s="105"/>
      <c r="IB417" s="105"/>
      <c r="IC417" s="105"/>
      <c r="ID417" s="105"/>
      <c r="IE417" s="105"/>
      <c r="IF417" s="105"/>
      <c r="IG417" s="105"/>
      <c r="IH417" s="105"/>
      <c r="II417" s="105"/>
      <c r="IJ417" s="105"/>
      <c r="IK417" s="105"/>
      <c r="IL417" s="105"/>
      <c r="IM417" s="105"/>
      <c r="IN417" s="105"/>
      <c r="IO417" s="105"/>
      <c r="IP417" s="105"/>
      <c r="IQ417" s="105"/>
      <c r="IR417" s="105"/>
      <c r="IS417" s="105"/>
      <c r="IT417" s="105"/>
      <c r="IU417" s="105"/>
      <c r="IV417" s="105"/>
    </row>
    <row r="418" spans="1:256" s="419" customFormat="1" x14ac:dyDescent="0.2">
      <c r="A418" s="29">
        <v>44517</v>
      </c>
      <c r="B418" s="30" t="s">
        <v>884</v>
      </c>
      <c r="C418" s="30">
        <v>2021</v>
      </c>
      <c r="D418" s="30" t="s">
        <v>3</v>
      </c>
      <c r="E418" s="67">
        <v>-6.6E-3</v>
      </c>
      <c r="F418" s="217" t="s">
        <v>32</v>
      </c>
      <c r="G418" s="68">
        <f>-(E418*120000)</f>
        <v>792</v>
      </c>
      <c r="H418" s="67">
        <v>253</v>
      </c>
      <c r="I418" s="217" t="s">
        <v>80</v>
      </c>
      <c r="J418" s="217" t="s">
        <v>37</v>
      </c>
      <c r="K418" s="67">
        <v>2.2000000000000001E-3</v>
      </c>
      <c r="L418" s="67" t="s">
        <v>726</v>
      </c>
      <c r="M418" s="67" t="s">
        <v>885</v>
      </c>
      <c r="N418" s="67" t="s">
        <v>886</v>
      </c>
      <c r="O418" s="30"/>
      <c r="P418" s="69" t="s">
        <v>270</v>
      </c>
      <c r="Q418" s="803">
        <v>41.654051000000003</v>
      </c>
      <c r="R418" s="700">
        <v>-85.670492999999993</v>
      </c>
      <c r="S418" s="69" t="s">
        <v>63</v>
      </c>
      <c r="T418" s="30"/>
      <c r="U418" s="30" t="s">
        <v>51</v>
      </c>
      <c r="V418" s="29"/>
      <c r="W418" s="31">
        <f>IF(AC418="Intr",0,G418*Definitions!$B$53)</f>
        <v>118.8</v>
      </c>
      <c r="X418" s="31">
        <f>IF(AC418="Intr",0,G418*Definitions!$B$54)</f>
        <v>554.4</v>
      </c>
      <c r="Y418" s="31">
        <f>IF(AC418="Intr",G418,G418*Definitions!$B$55)</f>
        <v>118.8</v>
      </c>
      <c r="Z418" s="31" t="s">
        <v>964</v>
      </c>
      <c r="AA418" s="31" t="s">
        <v>965</v>
      </c>
      <c r="AB418" s="31"/>
      <c r="AC418" s="30"/>
      <c r="AD418" s="30"/>
      <c r="AE418" s="30"/>
      <c r="AF418" s="30"/>
      <c r="AG418" s="32"/>
      <c r="AH418" s="69" t="s">
        <v>889</v>
      </c>
      <c r="AI418" s="105"/>
      <c r="AJ418" s="105"/>
      <c r="AK418" s="105"/>
      <c r="AL418" s="105"/>
      <c r="AM418" s="105"/>
      <c r="AN418" s="105"/>
      <c r="AO418" s="105"/>
      <c r="AP418" s="105"/>
      <c r="AQ418" s="105"/>
      <c r="AR418" s="105"/>
      <c r="AS418" s="105"/>
      <c r="AT418" s="105"/>
      <c r="AU418" s="105"/>
      <c r="AV418" s="105"/>
      <c r="AW418" s="105"/>
      <c r="AX418" s="105"/>
      <c r="AY418" s="105"/>
      <c r="AZ418" s="105"/>
      <c r="BA418" s="105"/>
      <c r="BB418" s="105"/>
      <c r="BC418" s="105"/>
      <c r="BD418" s="105"/>
      <c r="BE418" s="105"/>
      <c r="BF418" s="105"/>
      <c r="BG418" s="105"/>
      <c r="BH418" s="105"/>
      <c r="BI418" s="105"/>
      <c r="BJ418" s="105"/>
      <c r="BK418" s="105"/>
      <c r="BL418" s="105"/>
      <c r="BM418" s="105"/>
      <c r="BN418" s="105"/>
      <c r="BO418" s="105"/>
      <c r="BP418" s="105"/>
      <c r="BQ418" s="105"/>
      <c r="BR418" s="105"/>
      <c r="BS418" s="105"/>
      <c r="BT418" s="105"/>
      <c r="BU418" s="105"/>
      <c r="BV418" s="105"/>
      <c r="BW418" s="105"/>
      <c r="BX418" s="105"/>
      <c r="BY418" s="105"/>
      <c r="BZ418" s="105"/>
      <c r="CA418" s="105"/>
      <c r="CB418" s="105"/>
      <c r="CC418" s="105"/>
      <c r="CD418" s="105"/>
      <c r="CE418" s="105"/>
      <c r="CF418" s="105"/>
      <c r="CG418" s="105"/>
      <c r="CH418" s="105"/>
      <c r="CI418" s="105"/>
      <c r="CJ418" s="105"/>
      <c r="CK418" s="105"/>
      <c r="CL418" s="105"/>
      <c r="CM418" s="105"/>
      <c r="CN418" s="105"/>
      <c r="CO418" s="105"/>
      <c r="CP418" s="105"/>
      <c r="CQ418" s="105"/>
      <c r="CR418" s="105"/>
      <c r="CS418" s="105"/>
      <c r="CT418" s="105"/>
      <c r="CU418" s="105"/>
      <c r="CV418" s="105"/>
      <c r="CW418" s="105"/>
      <c r="CX418" s="105"/>
      <c r="CY418" s="105"/>
      <c r="CZ418" s="105"/>
      <c r="DA418" s="105"/>
      <c r="DB418" s="105"/>
      <c r="DC418" s="105"/>
      <c r="DD418" s="105"/>
      <c r="DE418" s="105"/>
      <c r="DF418" s="105"/>
      <c r="DG418" s="105"/>
      <c r="DH418" s="105"/>
      <c r="DI418" s="105"/>
      <c r="DJ418" s="105"/>
      <c r="DK418" s="105"/>
      <c r="DL418" s="105"/>
      <c r="DM418" s="105"/>
      <c r="DN418" s="105"/>
      <c r="DO418" s="105"/>
      <c r="DP418" s="105"/>
      <c r="DQ418" s="105"/>
      <c r="DR418" s="105"/>
      <c r="DS418" s="105"/>
      <c r="DT418" s="105"/>
      <c r="DU418" s="105"/>
      <c r="DV418" s="105"/>
      <c r="DW418" s="105"/>
      <c r="DX418" s="105"/>
      <c r="DY418" s="105"/>
      <c r="DZ418" s="105"/>
      <c r="EA418" s="105"/>
      <c r="EB418" s="105"/>
      <c r="EC418" s="105"/>
      <c r="ED418" s="105"/>
      <c r="EE418" s="105"/>
      <c r="EF418" s="105"/>
      <c r="EG418" s="105"/>
      <c r="EH418" s="105"/>
      <c r="EI418" s="105"/>
      <c r="EJ418" s="105"/>
      <c r="EK418" s="105"/>
      <c r="EL418" s="105"/>
      <c r="EM418" s="105"/>
      <c r="EN418" s="105"/>
      <c r="EO418" s="105"/>
      <c r="EP418" s="105"/>
      <c r="EQ418" s="105"/>
      <c r="ER418" s="105"/>
      <c r="ES418" s="105"/>
      <c r="ET418" s="105"/>
      <c r="EU418" s="105"/>
      <c r="EV418" s="105"/>
      <c r="EW418" s="105"/>
      <c r="EX418" s="105"/>
      <c r="EY418" s="105"/>
      <c r="EZ418" s="105"/>
      <c r="FA418" s="105"/>
      <c r="FB418" s="105"/>
      <c r="FC418" s="105"/>
      <c r="FD418" s="105"/>
      <c r="FE418" s="105"/>
      <c r="FF418" s="105"/>
      <c r="FG418" s="105"/>
      <c r="FH418" s="105"/>
      <c r="FI418" s="105"/>
      <c r="FJ418" s="105"/>
      <c r="FK418" s="105"/>
      <c r="FL418" s="105"/>
      <c r="FM418" s="105"/>
      <c r="FN418" s="105"/>
      <c r="FO418" s="105"/>
      <c r="FP418" s="105"/>
      <c r="FQ418" s="105"/>
      <c r="FR418" s="105"/>
      <c r="FS418" s="105"/>
      <c r="FT418" s="105"/>
      <c r="FU418" s="105"/>
      <c r="FV418" s="105"/>
      <c r="FW418" s="105"/>
      <c r="FX418" s="105"/>
      <c r="FY418" s="105"/>
      <c r="FZ418" s="105"/>
      <c r="GA418" s="105"/>
      <c r="GB418" s="105"/>
      <c r="GC418" s="105"/>
      <c r="GD418" s="105"/>
      <c r="GE418" s="105"/>
      <c r="GF418" s="105"/>
      <c r="GG418" s="105"/>
      <c r="GH418" s="105"/>
      <c r="GI418" s="105"/>
      <c r="GJ418" s="105"/>
      <c r="GK418" s="105"/>
      <c r="GL418" s="105"/>
      <c r="GM418" s="105"/>
      <c r="GN418" s="105"/>
      <c r="GO418" s="105"/>
      <c r="GP418" s="105"/>
      <c r="GQ418" s="105"/>
      <c r="GR418" s="105"/>
      <c r="GS418" s="105"/>
      <c r="GT418" s="105"/>
      <c r="GU418" s="105"/>
      <c r="GV418" s="105"/>
      <c r="GW418" s="105"/>
      <c r="GX418" s="105"/>
      <c r="GY418" s="105"/>
      <c r="GZ418" s="105"/>
      <c r="HA418" s="105"/>
      <c r="HB418" s="105"/>
      <c r="HC418" s="105"/>
      <c r="HD418" s="105"/>
      <c r="HE418" s="105"/>
      <c r="HF418" s="105"/>
      <c r="HG418" s="105"/>
      <c r="HH418" s="105"/>
      <c r="HI418" s="105"/>
      <c r="HJ418" s="105"/>
      <c r="HK418" s="105"/>
      <c r="HL418" s="105"/>
      <c r="HM418" s="105"/>
      <c r="HN418" s="105"/>
      <c r="HO418" s="105"/>
      <c r="HP418" s="105"/>
      <c r="HQ418" s="105"/>
      <c r="HR418" s="105"/>
      <c r="HS418" s="105"/>
      <c r="HT418" s="105"/>
      <c r="HU418" s="105"/>
      <c r="HV418" s="105"/>
      <c r="HW418" s="105"/>
      <c r="HX418" s="105"/>
      <c r="HY418" s="105"/>
      <c r="HZ418" s="105"/>
      <c r="IA418" s="105"/>
      <c r="IB418" s="105"/>
      <c r="IC418" s="105"/>
      <c r="ID418" s="105"/>
      <c r="IE418" s="105"/>
      <c r="IF418" s="105"/>
      <c r="IG418" s="105"/>
      <c r="IH418" s="105"/>
      <c r="II418" s="105"/>
      <c r="IJ418" s="105"/>
      <c r="IK418" s="105"/>
      <c r="IL418" s="105"/>
      <c r="IM418" s="105"/>
      <c r="IN418" s="105"/>
      <c r="IO418" s="105"/>
      <c r="IP418" s="105"/>
      <c r="IQ418" s="105"/>
      <c r="IR418" s="105"/>
      <c r="IS418" s="105"/>
      <c r="IT418" s="105"/>
      <c r="IU418" s="105"/>
      <c r="IV418" s="105"/>
    </row>
    <row r="419" spans="1:256" s="419" customFormat="1" x14ac:dyDescent="0.2">
      <c r="A419" s="29">
        <v>44517</v>
      </c>
      <c r="B419" s="30" t="s">
        <v>884</v>
      </c>
      <c r="C419" s="30">
        <v>2021</v>
      </c>
      <c r="D419" s="30" t="s">
        <v>3</v>
      </c>
      <c r="E419" s="67">
        <v>-0.2954</v>
      </c>
      <c r="F419" s="217" t="s">
        <v>32</v>
      </c>
      <c r="G419" s="68">
        <f>-(E419*120000)</f>
        <v>35448</v>
      </c>
      <c r="H419" s="67">
        <v>253</v>
      </c>
      <c r="I419" s="217" t="s">
        <v>80</v>
      </c>
      <c r="J419" s="217" t="s">
        <v>38</v>
      </c>
      <c r="K419" s="67">
        <v>7.2599999999999998E-2</v>
      </c>
      <c r="L419" s="67" t="s">
        <v>726</v>
      </c>
      <c r="M419" s="67" t="s">
        <v>885</v>
      </c>
      <c r="N419" s="67" t="s">
        <v>886</v>
      </c>
      <c r="O419" s="30"/>
      <c r="P419" s="69" t="s">
        <v>270</v>
      </c>
      <c r="Q419" s="803">
        <v>41.654051000000003</v>
      </c>
      <c r="R419" s="700">
        <v>-85.670492999999993</v>
      </c>
      <c r="S419" s="69" t="s">
        <v>63</v>
      </c>
      <c r="T419" s="30"/>
      <c r="U419" s="30" t="s">
        <v>51</v>
      </c>
      <c r="V419" s="29"/>
      <c r="W419" s="31">
        <f>IF(AC419="Intr",0,G419*Definitions!$B$53)</f>
        <v>5317.2</v>
      </c>
      <c r="X419" s="31">
        <f>IF(AC419="Intr",0,G419*Definitions!$B$54)</f>
        <v>24813.599999999999</v>
      </c>
      <c r="Y419" s="31">
        <f>IF(AC419="Intr",G419,G419*Definitions!$B$55)</f>
        <v>5317.2</v>
      </c>
      <c r="Z419" s="31" t="s">
        <v>964</v>
      </c>
      <c r="AA419" s="31" t="s">
        <v>965</v>
      </c>
      <c r="AB419" s="31"/>
      <c r="AC419" s="30"/>
      <c r="AD419" s="30"/>
      <c r="AE419" s="30"/>
      <c r="AF419" s="30"/>
      <c r="AG419" s="32"/>
      <c r="AH419" s="69" t="s">
        <v>890</v>
      </c>
      <c r="AI419" s="105"/>
      <c r="AJ419" s="105"/>
      <c r="AK419" s="105"/>
      <c r="AL419" s="105"/>
      <c r="AM419" s="105"/>
      <c r="AN419" s="105"/>
      <c r="AO419" s="105"/>
      <c r="AP419" s="105"/>
      <c r="AQ419" s="105"/>
      <c r="AR419" s="105"/>
      <c r="AS419" s="105"/>
      <c r="AT419" s="105"/>
      <c r="AU419" s="105"/>
      <c r="AV419" s="105"/>
      <c r="AW419" s="105"/>
      <c r="AX419" s="105"/>
      <c r="AY419" s="105"/>
      <c r="AZ419" s="105"/>
      <c r="BA419" s="105"/>
      <c r="BB419" s="105"/>
      <c r="BC419" s="105"/>
      <c r="BD419" s="105"/>
      <c r="BE419" s="105"/>
      <c r="BF419" s="105"/>
      <c r="BG419" s="105"/>
      <c r="BH419" s="105"/>
      <c r="BI419" s="105"/>
      <c r="BJ419" s="105"/>
      <c r="BK419" s="105"/>
      <c r="BL419" s="105"/>
      <c r="BM419" s="105"/>
      <c r="BN419" s="105"/>
      <c r="BO419" s="105"/>
      <c r="BP419" s="105"/>
      <c r="BQ419" s="105"/>
      <c r="BR419" s="105"/>
      <c r="BS419" s="105"/>
      <c r="BT419" s="105"/>
      <c r="BU419" s="105"/>
      <c r="BV419" s="105"/>
      <c r="BW419" s="105"/>
      <c r="BX419" s="105"/>
      <c r="BY419" s="105"/>
      <c r="BZ419" s="105"/>
      <c r="CA419" s="105"/>
      <c r="CB419" s="105"/>
      <c r="CC419" s="105"/>
      <c r="CD419" s="105"/>
      <c r="CE419" s="105"/>
      <c r="CF419" s="105"/>
      <c r="CG419" s="105"/>
      <c r="CH419" s="105"/>
      <c r="CI419" s="105"/>
      <c r="CJ419" s="105"/>
      <c r="CK419" s="105"/>
      <c r="CL419" s="105"/>
      <c r="CM419" s="105"/>
      <c r="CN419" s="105"/>
      <c r="CO419" s="105"/>
      <c r="CP419" s="105"/>
      <c r="CQ419" s="105"/>
      <c r="CR419" s="105"/>
      <c r="CS419" s="105"/>
      <c r="CT419" s="105"/>
      <c r="CU419" s="105"/>
      <c r="CV419" s="105"/>
      <c r="CW419" s="105"/>
      <c r="CX419" s="105"/>
      <c r="CY419" s="105"/>
      <c r="CZ419" s="105"/>
      <c r="DA419" s="105"/>
      <c r="DB419" s="105"/>
      <c r="DC419" s="105"/>
      <c r="DD419" s="105"/>
      <c r="DE419" s="105"/>
      <c r="DF419" s="105"/>
      <c r="DG419" s="105"/>
      <c r="DH419" s="105"/>
      <c r="DI419" s="105"/>
      <c r="DJ419" s="105"/>
      <c r="DK419" s="105"/>
      <c r="DL419" s="105"/>
      <c r="DM419" s="105"/>
      <c r="DN419" s="105"/>
      <c r="DO419" s="105"/>
      <c r="DP419" s="105"/>
      <c r="DQ419" s="105"/>
      <c r="DR419" s="105"/>
      <c r="DS419" s="105"/>
      <c r="DT419" s="105"/>
      <c r="DU419" s="105"/>
      <c r="DV419" s="105"/>
      <c r="DW419" s="105"/>
      <c r="DX419" s="105"/>
      <c r="DY419" s="105"/>
      <c r="DZ419" s="105"/>
      <c r="EA419" s="105"/>
      <c r="EB419" s="105"/>
      <c r="EC419" s="105"/>
      <c r="ED419" s="105"/>
      <c r="EE419" s="105"/>
      <c r="EF419" s="105"/>
      <c r="EG419" s="105"/>
      <c r="EH419" s="105"/>
      <c r="EI419" s="105"/>
      <c r="EJ419" s="105"/>
      <c r="EK419" s="105"/>
      <c r="EL419" s="105"/>
      <c r="EM419" s="105"/>
      <c r="EN419" s="105"/>
      <c r="EO419" s="105"/>
      <c r="EP419" s="105"/>
      <c r="EQ419" s="105"/>
      <c r="ER419" s="105"/>
      <c r="ES419" s="105"/>
      <c r="ET419" s="105"/>
      <c r="EU419" s="105"/>
      <c r="EV419" s="105"/>
      <c r="EW419" s="105"/>
      <c r="EX419" s="105"/>
      <c r="EY419" s="105"/>
      <c r="EZ419" s="105"/>
      <c r="FA419" s="105"/>
      <c r="FB419" s="105"/>
      <c r="FC419" s="105"/>
      <c r="FD419" s="105"/>
      <c r="FE419" s="105"/>
      <c r="FF419" s="105"/>
      <c r="FG419" s="105"/>
      <c r="FH419" s="105"/>
      <c r="FI419" s="105"/>
      <c r="FJ419" s="105"/>
      <c r="FK419" s="105"/>
      <c r="FL419" s="105"/>
      <c r="FM419" s="105"/>
      <c r="FN419" s="105"/>
      <c r="FO419" s="105"/>
      <c r="FP419" s="105"/>
      <c r="FQ419" s="105"/>
      <c r="FR419" s="105"/>
      <c r="FS419" s="105"/>
      <c r="FT419" s="105"/>
      <c r="FU419" s="105"/>
      <c r="FV419" s="105"/>
      <c r="FW419" s="105"/>
      <c r="FX419" s="105"/>
      <c r="FY419" s="105"/>
      <c r="FZ419" s="105"/>
      <c r="GA419" s="105"/>
      <c r="GB419" s="105"/>
      <c r="GC419" s="105"/>
      <c r="GD419" s="105"/>
      <c r="GE419" s="105"/>
      <c r="GF419" s="105"/>
      <c r="GG419" s="105"/>
      <c r="GH419" s="105"/>
      <c r="GI419" s="105"/>
      <c r="GJ419" s="105"/>
      <c r="GK419" s="105"/>
      <c r="GL419" s="105"/>
      <c r="GM419" s="105"/>
      <c r="GN419" s="105"/>
      <c r="GO419" s="105"/>
      <c r="GP419" s="105"/>
      <c r="GQ419" s="105"/>
      <c r="GR419" s="105"/>
      <c r="GS419" s="105"/>
      <c r="GT419" s="105"/>
      <c r="GU419" s="105"/>
      <c r="GV419" s="105"/>
      <c r="GW419" s="105"/>
      <c r="GX419" s="105"/>
      <c r="GY419" s="105"/>
      <c r="GZ419" s="105"/>
      <c r="HA419" s="105"/>
      <c r="HB419" s="105"/>
      <c r="HC419" s="105"/>
      <c r="HD419" s="105"/>
      <c r="HE419" s="105"/>
      <c r="HF419" s="105"/>
      <c r="HG419" s="105"/>
      <c r="HH419" s="105"/>
      <c r="HI419" s="105"/>
      <c r="HJ419" s="105"/>
      <c r="HK419" s="105"/>
      <c r="HL419" s="105"/>
      <c r="HM419" s="105"/>
      <c r="HN419" s="105"/>
      <c r="HO419" s="105"/>
      <c r="HP419" s="105"/>
      <c r="HQ419" s="105"/>
      <c r="HR419" s="105"/>
      <c r="HS419" s="105"/>
      <c r="HT419" s="105"/>
      <c r="HU419" s="105"/>
      <c r="HV419" s="105"/>
      <c r="HW419" s="105"/>
      <c r="HX419" s="105"/>
      <c r="HY419" s="105"/>
      <c r="HZ419" s="105"/>
      <c r="IA419" s="105"/>
      <c r="IB419" s="105"/>
      <c r="IC419" s="105"/>
      <c r="ID419" s="105"/>
      <c r="IE419" s="105"/>
      <c r="IF419" s="105"/>
      <c r="IG419" s="105"/>
      <c r="IH419" s="105"/>
      <c r="II419" s="105"/>
      <c r="IJ419" s="105"/>
      <c r="IK419" s="105"/>
      <c r="IL419" s="105"/>
      <c r="IM419" s="105"/>
      <c r="IN419" s="105"/>
      <c r="IO419" s="105"/>
      <c r="IP419" s="105"/>
      <c r="IQ419" s="105"/>
      <c r="IR419" s="105"/>
      <c r="IS419" s="105"/>
      <c r="IT419" s="105"/>
      <c r="IU419" s="105"/>
      <c r="IV419" s="105"/>
    </row>
    <row r="420" spans="1:256" s="407" customFormat="1" x14ac:dyDescent="0.2">
      <c r="A420" s="41">
        <v>44517</v>
      </c>
      <c r="B420" s="42" t="s">
        <v>884</v>
      </c>
      <c r="C420" s="42">
        <v>2021</v>
      </c>
      <c r="D420" s="42" t="s">
        <v>3</v>
      </c>
      <c r="E420" s="73">
        <v>-52</v>
      </c>
      <c r="F420" s="320" t="s">
        <v>33</v>
      </c>
      <c r="G420" s="74">
        <f>-(E420*600)</f>
        <v>31200</v>
      </c>
      <c r="H420" s="73">
        <v>254</v>
      </c>
      <c r="I420" s="320" t="s">
        <v>80</v>
      </c>
      <c r="J420" s="73" t="s">
        <v>731</v>
      </c>
      <c r="K420" s="73">
        <v>100</v>
      </c>
      <c r="L420" s="73" t="s">
        <v>726</v>
      </c>
      <c r="M420" s="73" t="s">
        <v>891</v>
      </c>
      <c r="N420" s="73" t="s">
        <v>892</v>
      </c>
      <c r="O420" s="73"/>
      <c r="P420" s="75" t="s">
        <v>893</v>
      </c>
      <c r="Q420" s="804">
        <v>41.667400000000001</v>
      </c>
      <c r="R420" s="701">
        <v>-85.821399999999997</v>
      </c>
      <c r="S420" s="75" t="s">
        <v>63</v>
      </c>
      <c r="T420" s="42"/>
      <c r="U420" s="41" t="s">
        <v>51</v>
      </c>
      <c r="V420" s="41"/>
      <c r="W420" s="43">
        <f>IF(AC420="Intr",0,G420*Definitions!$B$53)</f>
        <v>4680</v>
      </c>
      <c r="X420" s="43">
        <f>IF(AC420="Intr",0,G420*Definitions!$B$54)</f>
        <v>21840</v>
      </c>
      <c r="Y420" s="43">
        <f>IF(AC420="Intr",G420,G420*Definitions!$B$55)</f>
        <v>4680</v>
      </c>
      <c r="Z420" s="43" t="s">
        <v>964</v>
      </c>
      <c r="AA420" s="43" t="s">
        <v>965</v>
      </c>
      <c r="AB420" s="43"/>
      <c r="AC420" s="42"/>
      <c r="AD420" s="42"/>
      <c r="AE420" s="42"/>
      <c r="AF420" s="42"/>
      <c r="AG420" s="44"/>
      <c r="AH420" s="75" t="s">
        <v>898</v>
      </c>
      <c r="AI420" s="105"/>
      <c r="AJ420" s="105"/>
      <c r="AK420" s="105"/>
      <c r="AL420" s="105"/>
      <c r="AM420" s="105"/>
      <c r="AN420" s="105"/>
      <c r="AO420" s="105"/>
      <c r="AP420" s="105"/>
      <c r="AQ420" s="105"/>
      <c r="AR420" s="105"/>
      <c r="AS420" s="105"/>
      <c r="AT420" s="105"/>
      <c r="AU420" s="105"/>
      <c r="AV420" s="105"/>
      <c r="AW420" s="105"/>
      <c r="AX420" s="105"/>
      <c r="AY420" s="105"/>
      <c r="AZ420" s="105"/>
      <c r="BA420" s="105"/>
      <c r="BB420" s="105"/>
      <c r="BC420" s="105"/>
      <c r="BD420" s="105"/>
      <c r="BE420" s="105"/>
      <c r="BF420" s="105"/>
      <c r="BG420" s="105"/>
      <c r="BH420" s="105"/>
      <c r="BI420" s="105"/>
      <c r="BJ420" s="105"/>
      <c r="BK420" s="105"/>
      <c r="BL420" s="105"/>
      <c r="BM420" s="105"/>
      <c r="BN420" s="105"/>
      <c r="BO420" s="105"/>
      <c r="BP420" s="105"/>
      <c r="BQ420" s="105"/>
      <c r="BR420" s="105"/>
      <c r="BS420" s="105"/>
      <c r="BT420" s="105"/>
      <c r="BU420" s="105"/>
      <c r="BV420" s="105"/>
      <c r="BW420" s="105"/>
      <c r="BX420" s="105"/>
      <c r="BY420" s="105"/>
      <c r="BZ420" s="105"/>
      <c r="CA420" s="105"/>
      <c r="CB420" s="105"/>
      <c r="CC420" s="105"/>
      <c r="CD420" s="105"/>
      <c r="CE420" s="105"/>
      <c r="CF420" s="105"/>
      <c r="CG420" s="105"/>
      <c r="CH420" s="105"/>
      <c r="CI420" s="105"/>
      <c r="CJ420" s="105"/>
      <c r="CK420" s="105"/>
      <c r="CL420" s="105"/>
      <c r="CM420" s="105"/>
      <c r="CN420" s="105"/>
      <c r="CO420" s="105"/>
      <c r="CP420" s="105"/>
      <c r="CQ420" s="105"/>
      <c r="CR420" s="105"/>
      <c r="CS420" s="105"/>
      <c r="CT420" s="105"/>
      <c r="CU420" s="105"/>
      <c r="CV420" s="105"/>
      <c r="CW420" s="105"/>
      <c r="CX420" s="105"/>
      <c r="CY420" s="105"/>
      <c r="CZ420" s="105"/>
      <c r="DA420" s="105"/>
      <c r="DB420" s="105"/>
      <c r="DC420" s="105"/>
      <c r="DD420" s="105"/>
      <c r="DE420" s="105"/>
      <c r="DF420" s="105"/>
      <c r="DG420" s="105"/>
      <c r="DH420" s="105"/>
      <c r="DI420" s="105"/>
      <c r="DJ420" s="105"/>
      <c r="DK420" s="105"/>
      <c r="DL420" s="105"/>
      <c r="DM420" s="105"/>
      <c r="DN420" s="105"/>
      <c r="DO420" s="105"/>
      <c r="DP420" s="105"/>
      <c r="DQ420" s="105"/>
      <c r="DR420" s="105"/>
      <c r="DS420" s="105"/>
      <c r="DT420" s="105"/>
      <c r="DU420" s="105"/>
      <c r="DV420" s="105"/>
      <c r="DW420" s="105"/>
      <c r="DX420" s="105"/>
      <c r="DY420" s="105"/>
      <c r="DZ420" s="105"/>
      <c r="EA420" s="105"/>
      <c r="EB420" s="105"/>
      <c r="EC420" s="105"/>
      <c r="ED420" s="105"/>
      <c r="EE420" s="105"/>
      <c r="EF420" s="105"/>
      <c r="EG420" s="105"/>
      <c r="EH420" s="105"/>
      <c r="EI420" s="105"/>
      <c r="EJ420" s="105"/>
      <c r="EK420" s="105"/>
      <c r="EL420" s="105"/>
      <c r="EM420" s="105"/>
      <c r="EN420" s="105"/>
      <c r="EO420" s="105"/>
      <c r="EP420" s="105"/>
      <c r="EQ420" s="105"/>
      <c r="ER420" s="105"/>
      <c r="ES420" s="105"/>
      <c r="ET420" s="105"/>
      <c r="EU420" s="105"/>
      <c r="EV420" s="105"/>
      <c r="EW420" s="105"/>
      <c r="EX420" s="105"/>
      <c r="EY420" s="105"/>
      <c r="EZ420" s="105"/>
      <c r="FA420" s="105"/>
      <c r="FB420" s="105"/>
      <c r="FC420" s="105"/>
      <c r="FD420" s="105"/>
      <c r="FE420" s="105"/>
      <c r="FF420" s="105"/>
      <c r="FG420" s="105"/>
      <c r="FH420" s="105"/>
      <c r="FI420" s="105"/>
      <c r="FJ420" s="105"/>
      <c r="FK420" s="105"/>
      <c r="FL420" s="105"/>
      <c r="FM420" s="105"/>
      <c r="FN420" s="105"/>
      <c r="FO420" s="105"/>
      <c r="FP420" s="105"/>
      <c r="FQ420" s="105"/>
      <c r="FR420" s="105"/>
      <c r="FS420" s="105"/>
      <c r="FT420" s="105"/>
      <c r="FU420" s="105"/>
      <c r="FV420" s="105"/>
      <c r="FW420" s="105"/>
      <c r="FX420" s="105"/>
      <c r="FY420" s="105"/>
      <c r="FZ420" s="105"/>
      <c r="GA420" s="105"/>
      <c r="GB420" s="105"/>
      <c r="GC420" s="105"/>
      <c r="GD420" s="105"/>
      <c r="GE420" s="105"/>
      <c r="GF420" s="105"/>
      <c r="GG420" s="105"/>
      <c r="GH420" s="105"/>
      <c r="GI420" s="105"/>
      <c r="GJ420" s="105"/>
      <c r="GK420" s="105"/>
      <c r="GL420" s="105"/>
      <c r="GM420" s="105"/>
      <c r="GN420" s="105"/>
      <c r="GO420" s="105"/>
      <c r="GP420" s="105"/>
      <c r="GQ420" s="105"/>
      <c r="GR420" s="105"/>
      <c r="GS420" s="105"/>
      <c r="GT420" s="105"/>
      <c r="GU420" s="105"/>
      <c r="GV420" s="105"/>
      <c r="GW420" s="105"/>
      <c r="GX420" s="105"/>
      <c r="GY420" s="105"/>
      <c r="GZ420" s="105"/>
      <c r="HA420" s="105"/>
      <c r="HB420" s="105"/>
      <c r="HC420" s="105"/>
      <c r="HD420" s="105"/>
      <c r="HE420" s="105"/>
      <c r="HF420" s="105"/>
      <c r="HG420" s="105"/>
      <c r="HH420" s="105"/>
      <c r="HI420" s="105"/>
      <c r="HJ420" s="105"/>
      <c r="HK420" s="105"/>
      <c r="HL420" s="105"/>
      <c r="HM420" s="105"/>
      <c r="HN420" s="105"/>
      <c r="HO420" s="105"/>
      <c r="HP420" s="105"/>
      <c r="HQ420" s="105"/>
      <c r="HR420" s="105"/>
      <c r="HS420" s="105"/>
      <c r="HT420" s="105"/>
      <c r="HU420" s="105"/>
      <c r="HV420" s="105"/>
      <c r="HW420" s="105"/>
      <c r="HX420" s="105"/>
      <c r="HY420" s="105"/>
      <c r="HZ420" s="105"/>
      <c r="IA420" s="105"/>
      <c r="IB420" s="105"/>
      <c r="IC420" s="105"/>
      <c r="ID420" s="105"/>
      <c r="IE420" s="105"/>
      <c r="IF420" s="105"/>
      <c r="IG420" s="105"/>
      <c r="IH420" s="105"/>
      <c r="II420" s="105"/>
      <c r="IJ420" s="105"/>
      <c r="IK420" s="105"/>
      <c r="IL420" s="105"/>
      <c r="IM420" s="105"/>
      <c r="IN420" s="105"/>
      <c r="IO420" s="105"/>
      <c r="IP420" s="105"/>
      <c r="IQ420" s="105"/>
      <c r="IR420" s="105"/>
      <c r="IS420" s="105"/>
      <c r="IT420" s="105"/>
      <c r="IU420" s="105"/>
      <c r="IV420" s="105"/>
    </row>
    <row r="421" spans="1:256" s="407" customFormat="1" x14ac:dyDescent="0.2">
      <c r="A421" s="41">
        <v>44517</v>
      </c>
      <c r="B421" s="42" t="s">
        <v>884</v>
      </c>
      <c r="C421" s="42">
        <v>2021</v>
      </c>
      <c r="D421" s="42" t="s">
        <v>3</v>
      </c>
      <c r="E421" s="73">
        <v>-7.1829999999999998</v>
      </c>
      <c r="F421" s="320" t="s">
        <v>32</v>
      </c>
      <c r="G421" s="74">
        <f>-(E421*120000)</f>
        <v>861960</v>
      </c>
      <c r="H421" s="73">
        <v>254</v>
      </c>
      <c r="I421" s="320" t="s">
        <v>80</v>
      </c>
      <c r="J421" s="73" t="s">
        <v>36</v>
      </c>
      <c r="K421" s="73">
        <v>3.831</v>
      </c>
      <c r="L421" s="73" t="s">
        <v>726</v>
      </c>
      <c r="M421" s="73" t="s">
        <v>891</v>
      </c>
      <c r="N421" s="73" t="s">
        <v>892</v>
      </c>
      <c r="O421" s="73"/>
      <c r="P421" s="75" t="s">
        <v>893</v>
      </c>
      <c r="Q421" s="804">
        <v>41.667400000000001</v>
      </c>
      <c r="R421" s="701">
        <v>-85.821399999999997</v>
      </c>
      <c r="S421" s="75" t="s">
        <v>63</v>
      </c>
      <c r="T421" s="42"/>
      <c r="U421" s="41" t="s">
        <v>51</v>
      </c>
      <c r="V421" s="41"/>
      <c r="W421" s="43">
        <f>IF(AC421="Intr",0,G421*Definitions!$B$53)</f>
        <v>129294</v>
      </c>
      <c r="X421" s="43">
        <f>IF(AC421="Intr",0,G421*Definitions!$B$54)</f>
        <v>603372</v>
      </c>
      <c r="Y421" s="43">
        <f>IF(AC421="Intr",G421,G421*Definitions!$B$55)</f>
        <v>129294</v>
      </c>
      <c r="Z421" s="43" t="s">
        <v>964</v>
      </c>
      <c r="AA421" s="43" t="s">
        <v>965</v>
      </c>
      <c r="AB421" s="43"/>
      <c r="AC421" s="42"/>
      <c r="AD421" s="42"/>
      <c r="AE421" s="42"/>
      <c r="AF421" s="42"/>
      <c r="AG421" s="44"/>
      <c r="AH421" s="75" t="s">
        <v>899</v>
      </c>
      <c r="AI421" s="105"/>
      <c r="AJ421" s="105"/>
      <c r="AK421" s="105"/>
      <c r="AL421" s="105"/>
      <c r="AM421" s="105"/>
      <c r="AN421" s="105"/>
      <c r="AO421" s="105"/>
      <c r="AP421" s="105"/>
      <c r="AQ421" s="105"/>
      <c r="AR421" s="105"/>
      <c r="AS421" s="105"/>
      <c r="AT421" s="105"/>
      <c r="AU421" s="105"/>
      <c r="AV421" s="105"/>
      <c r="AW421" s="105"/>
      <c r="AX421" s="105"/>
      <c r="AY421" s="105"/>
      <c r="AZ421" s="105"/>
      <c r="BA421" s="105"/>
      <c r="BB421" s="105"/>
      <c r="BC421" s="105"/>
      <c r="BD421" s="105"/>
      <c r="BE421" s="105"/>
      <c r="BF421" s="105"/>
      <c r="BG421" s="105"/>
      <c r="BH421" s="105"/>
      <c r="BI421" s="105"/>
      <c r="BJ421" s="105"/>
      <c r="BK421" s="105"/>
      <c r="BL421" s="105"/>
      <c r="BM421" s="105"/>
      <c r="BN421" s="105"/>
      <c r="BO421" s="105"/>
      <c r="BP421" s="105"/>
      <c r="BQ421" s="105"/>
      <c r="BR421" s="105"/>
      <c r="BS421" s="105"/>
      <c r="BT421" s="105"/>
      <c r="BU421" s="105"/>
      <c r="BV421" s="105"/>
      <c r="BW421" s="105"/>
      <c r="BX421" s="105"/>
      <c r="BY421" s="105"/>
      <c r="BZ421" s="105"/>
      <c r="CA421" s="105"/>
      <c r="CB421" s="105"/>
      <c r="CC421" s="105"/>
      <c r="CD421" s="105"/>
      <c r="CE421" s="105"/>
      <c r="CF421" s="105"/>
      <c r="CG421" s="105"/>
      <c r="CH421" s="105"/>
      <c r="CI421" s="105"/>
      <c r="CJ421" s="105"/>
      <c r="CK421" s="105"/>
      <c r="CL421" s="105"/>
      <c r="CM421" s="105"/>
      <c r="CN421" s="105"/>
      <c r="CO421" s="105"/>
      <c r="CP421" s="105"/>
      <c r="CQ421" s="105"/>
      <c r="CR421" s="105"/>
      <c r="CS421" s="105"/>
      <c r="CT421" s="105"/>
      <c r="CU421" s="105"/>
      <c r="CV421" s="105"/>
      <c r="CW421" s="105"/>
      <c r="CX421" s="105"/>
      <c r="CY421" s="105"/>
      <c r="CZ421" s="105"/>
      <c r="DA421" s="105"/>
      <c r="DB421" s="105"/>
      <c r="DC421" s="105"/>
      <c r="DD421" s="105"/>
      <c r="DE421" s="105"/>
      <c r="DF421" s="105"/>
      <c r="DG421" s="105"/>
      <c r="DH421" s="105"/>
      <c r="DI421" s="105"/>
      <c r="DJ421" s="105"/>
      <c r="DK421" s="105"/>
      <c r="DL421" s="105"/>
      <c r="DM421" s="105"/>
      <c r="DN421" s="105"/>
      <c r="DO421" s="105"/>
      <c r="DP421" s="105"/>
      <c r="DQ421" s="105"/>
      <c r="DR421" s="105"/>
      <c r="DS421" s="105"/>
      <c r="DT421" s="105"/>
      <c r="DU421" s="105"/>
      <c r="DV421" s="105"/>
      <c r="DW421" s="105"/>
      <c r="DX421" s="105"/>
      <c r="DY421" s="105"/>
      <c r="DZ421" s="105"/>
      <c r="EA421" s="105"/>
      <c r="EB421" s="105"/>
      <c r="EC421" s="105"/>
      <c r="ED421" s="105"/>
      <c r="EE421" s="105"/>
      <c r="EF421" s="105"/>
      <c r="EG421" s="105"/>
      <c r="EH421" s="105"/>
      <c r="EI421" s="105"/>
      <c r="EJ421" s="105"/>
      <c r="EK421" s="105"/>
      <c r="EL421" s="105"/>
      <c r="EM421" s="105"/>
      <c r="EN421" s="105"/>
      <c r="EO421" s="105"/>
      <c r="EP421" s="105"/>
      <c r="EQ421" s="105"/>
      <c r="ER421" s="105"/>
      <c r="ES421" s="105"/>
      <c r="ET421" s="105"/>
      <c r="EU421" s="105"/>
      <c r="EV421" s="105"/>
      <c r="EW421" s="105"/>
      <c r="EX421" s="105"/>
      <c r="EY421" s="105"/>
      <c r="EZ421" s="105"/>
      <c r="FA421" s="105"/>
      <c r="FB421" s="105"/>
      <c r="FC421" s="105"/>
      <c r="FD421" s="105"/>
      <c r="FE421" s="105"/>
      <c r="FF421" s="105"/>
      <c r="FG421" s="105"/>
      <c r="FH421" s="105"/>
      <c r="FI421" s="105"/>
      <c r="FJ421" s="105"/>
      <c r="FK421" s="105"/>
      <c r="FL421" s="105"/>
      <c r="FM421" s="105"/>
      <c r="FN421" s="105"/>
      <c r="FO421" s="105"/>
      <c r="FP421" s="105"/>
      <c r="FQ421" s="105"/>
      <c r="FR421" s="105"/>
      <c r="FS421" s="105"/>
      <c r="FT421" s="105"/>
      <c r="FU421" s="105"/>
      <c r="FV421" s="105"/>
      <c r="FW421" s="105"/>
      <c r="FX421" s="105"/>
      <c r="FY421" s="105"/>
      <c r="FZ421" s="105"/>
      <c r="GA421" s="105"/>
      <c r="GB421" s="105"/>
      <c r="GC421" s="105"/>
      <c r="GD421" s="105"/>
      <c r="GE421" s="105"/>
      <c r="GF421" s="105"/>
      <c r="GG421" s="105"/>
      <c r="GH421" s="105"/>
      <c r="GI421" s="105"/>
      <c r="GJ421" s="105"/>
      <c r="GK421" s="105"/>
      <c r="GL421" s="105"/>
      <c r="GM421" s="105"/>
      <c r="GN421" s="105"/>
      <c r="GO421" s="105"/>
      <c r="GP421" s="105"/>
      <c r="GQ421" s="105"/>
      <c r="GR421" s="105"/>
      <c r="GS421" s="105"/>
      <c r="GT421" s="105"/>
      <c r="GU421" s="105"/>
      <c r="GV421" s="105"/>
      <c r="GW421" s="105"/>
      <c r="GX421" s="105"/>
      <c r="GY421" s="105"/>
      <c r="GZ421" s="105"/>
      <c r="HA421" s="105"/>
      <c r="HB421" s="105"/>
      <c r="HC421" s="105"/>
      <c r="HD421" s="105"/>
      <c r="HE421" s="105"/>
      <c r="HF421" s="105"/>
      <c r="HG421" s="105"/>
      <c r="HH421" s="105"/>
      <c r="HI421" s="105"/>
      <c r="HJ421" s="105"/>
      <c r="HK421" s="105"/>
      <c r="HL421" s="105"/>
      <c r="HM421" s="105"/>
      <c r="HN421" s="105"/>
      <c r="HO421" s="105"/>
      <c r="HP421" s="105"/>
      <c r="HQ421" s="105"/>
      <c r="HR421" s="105"/>
      <c r="HS421" s="105"/>
      <c r="HT421" s="105"/>
      <c r="HU421" s="105"/>
      <c r="HV421" s="105"/>
      <c r="HW421" s="105"/>
      <c r="HX421" s="105"/>
      <c r="HY421" s="105"/>
      <c r="HZ421" s="105"/>
      <c r="IA421" s="105"/>
      <c r="IB421" s="105"/>
      <c r="IC421" s="105"/>
      <c r="ID421" s="105"/>
      <c r="IE421" s="105"/>
      <c r="IF421" s="105"/>
      <c r="IG421" s="105"/>
      <c r="IH421" s="105"/>
      <c r="II421" s="105"/>
      <c r="IJ421" s="105"/>
      <c r="IK421" s="105"/>
      <c r="IL421" s="105"/>
      <c r="IM421" s="105"/>
      <c r="IN421" s="105"/>
      <c r="IO421" s="105"/>
      <c r="IP421" s="105"/>
      <c r="IQ421" s="105"/>
      <c r="IR421" s="105"/>
      <c r="IS421" s="105"/>
      <c r="IT421" s="105"/>
      <c r="IU421" s="105"/>
      <c r="IV421" s="105"/>
    </row>
    <row r="422" spans="1:256" s="407" customFormat="1" x14ac:dyDescent="0.2">
      <c r="A422" s="41">
        <v>44517</v>
      </c>
      <c r="B422" s="42" t="s">
        <v>884</v>
      </c>
      <c r="C422" s="42">
        <v>2021</v>
      </c>
      <c r="D422" s="42" t="s">
        <v>3</v>
      </c>
      <c r="E422" s="73">
        <v>-0.28199999999999997</v>
      </c>
      <c r="F422" s="320" t="s">
        <v>32</v>
      </c>
      <c r="G422" s="74">
        <f>-(E422*120000)</f>
        <v>33840</v>
      </c>
      <c r="H422" s="73">
        <v>254</v>
      </c>
      <c r="I422" s="320" t="s">
        <v>80</v>
      </c>
      <c r="J422" s="73" t="s">
        <v>37</v>
      </c>
      <c r="K422" s="73">
        <v>9.4E-2</v>
      </c>
      <c r="L422" s="73" t="s">
        <v>726</v>
      </c>
      <c r="M422" s="73" t="s">
        <v>891</v>
      </c>
      <c r="N422" s="73" t="s">
        <v>892</v>
      </c>
      <c r="O422" s="73"/>
      <c r="P422" s="75" t="s">
        <v>893</v>
      </c>
      <c r="Q422" s="804">
        <v>41.667400000000001</v>
      </c>
      <c r="R422" s="701">
        <v>-85.821399999999997</v>
      </c>
      <c r="S422" s="75" t="s">
        <v>63</v>
      </c>
      <c r="T422" s="42"/>
      <c r="U422" s="41" t="s">
        <v>51</v>
      </c>
      <c r="V422" s="41"/>
      <c r="W422" s="43">
        <f>IF(AC422="Intr",0,G422*Definitions!$B$53)</f>
        <v>5076</v>
      </c>
      <c r="X422" s="43">
        <f>IF(AC422="Intr",0,G422*Definitions!$B$54)</f>
        <v>23688</v>
      </c>
      <c r="Y422" s="43">
        <f>IF(AC422="Intr",G422,G422*Definitions!$B$55)</f>
        <v>5076</v>
      </c>
      <c r="Z422" s="43" t="s">
        <v>964</v>
      </c>
      <c r="AA422" s="43" t="s">
        <v>965</v>
      </c>
      <c r="AB422" s="43"/>
      <c r="AC422" s="42"/>
      <c r="AD422" s="42"/>
      <c r="AE422" s="42"/>
      <c r="AF422" s="42"/>
      <c r="AG422" s="44"/>
      <c r="AH422" s="75" t="s">
        <v>900</v>
      </c>
      <c r="AI422" s="105"/>
      <c r="AJ422" s="105"/>
      <c r="AK422" s="105"/>
      <c r="AL422" s="105"/>
      <c r="AM422" s="105"/>
      <c r="AN422" s="105"/>
      <c r="AO422" s="105"/>
      <c r="AP422" s="105"/>
      <c r="AQ422" s="105"/>
      <c r="AR422" s="105"/>
      <c r="AS422" s="105"/>
      <c r="AT422" s="105"/>
      <c r="AU422" s="105"/>
      <c r="AV422" s="105"/>
      <c r="AW422" s="105"/>
      <c r="AX422" s="105"/>
      <c r="AY422" s="105"/>
      <c r="AZ422" s="105"/>
      <c r="BA422" s="105"/>
      <c r="BB422" s="105"/>
      <c r="BC422" s="105"/>
      <c r="BD422" s="105"/>
      <c r="BE422" s="105"/>
      <c r="BF422" s="105"/>
      <c r="BG422" s="105"/>
      <c r="BH422" s="105"/>
      <c r="BI422" s="105"/>
      <c r="BJ422" s="105"/>
      <c r="BK422" s="105"/>
      <c r="BL422" s="105"/>
      <c r="BM422" s="105"/>
      <c r="BN422" s="105"/>
      <c r="BO422" s="105"/>
      <c r="BP422" s="105"/>
      <c r="BQ422" s="105"/>
      <c r="BR422" s="105"/>
      <c r="BS422" s="105"/>
      <c r="BT422" s="105"/>
      <c r="BU422" s="105"/>
      <c r="BV422" s="105"/>
      <c r="BW422" s="105"/>
      <c r="BX422" s="105"/>
      <c r="BY422" s="105"/>
      <c r="BZ422" s="105"/>
      <c r="CA422" s="105"/>
      <c r="CB422" s="105"/>
      <c r="CC422" s="105"/>
      <c r="CD422" s="105"/>
      <c r="CE422" s="105"/>
      <c r="CF422" s="105"/>
      <c r="CG422" s="105"/>
      <c r="CH422" s="105"/>
      <c r="CI422" s="105"/>
      <c r="CJ422" s="105"/>
      <c r="CK422" s="105"/>
      <c r="CL422" s="105"/>
      <c r="CM422" s="105"/>
      <c r="CN422" s="105"/>
      <c r="CO422" s="105"/>
      <c r="CP422" s="105"/>
      <c r="CQ422" s="105"/>
      <c r="CR422" s="105"/>
      <c r="CS422" s="105"/>
      <c r="CT422" s="105"/>
      <c r="CU422" s="105"/>
      <c r="CV422" s="105"/>
      <c r="CW422" s="105"/>
      <c r="CX422" s="105"/>
      <c r="CY422" s="105"/>
      <c r="CZ422" s="105"/>
      <c r="DA422" s="105"/>
      <c r="DB422" s="105"/>
      <c r="DC422" s="105"/>
      <c r="DD422" s="105"/>
      <c r="DE422" s="105"/>
      <c r="DF422" s="105"/>
      <c r="DG422" s="105"/>
      <c r="DH422" s="105"/>
      <c r="DI422" s="105"/>
      <c r="DJ422" s="105"/>
      <c r="DK422" s="105"/>
      <c r="DL422" s="105"/>
      <c r="DM422" s="105"/>
      <c r="DN422" s="105"/>
      <c r="DO422" s="105"/>
      <c r="DP422" s="105"/>
      <c r="DQ422" s="105"/>
      <c r="DR422" s="105"/>
      <c r="DS422" s="105"/>
      <c r="DT422" s="105"/>
      <c r="DU422" s="105"/>
      <c r="DV422" s="105"/>
      <c r="DW422" s="105"/>
      <c r="DX422" s="105"/>
      <c r="DY422" s="105"/>
      <c r="DZ422" s="105"/>
      <c r="EA422" s="105"/>
      <c r="EB422" s="105"/>
      <c r="EC422" s="105"/>
      <c r="ED422" s="105"/>
      <c r="EE422" s="105"/>
      <c r="EF422" s="105"/>
      <c r="EG422" s="105"/>
      <c r="EH422" s="105"/>
      <c r="EI422" s="105"/>
      <c r="EJ422" s="105"/>
      <c r="EK422" s="105"/>
      <c r="EL422" s="105"/>
      <c r="EM422" s="105"/>
      <c r="EN422" s="105"/>
      <c r="EO422" s="105"/>
      <c r="EP422" s="105"/>
      <c r="EQ422" s="105"/>
      <c r="ER422" s="105"/>
      <c r="ES422" s="105"/>
      <c r="ET422" s="105"/>
      <c r="EU422" s="105"/>
      <c r="EV422" s="105"/>
      <c r="EW422" s="105"/>
      <c r="EX422" s="105"/>
      <c r="EY422" s="105"/>
      <c r="EZ422" s="105"/>
      <c r="FA422" s="105"/>
      <c r="FB422" s="105"/>
      <c r="FC422" s="105"/>
      <c r="FD422" s="105"/>
      <c r="FE422" s="105"/>
      <c r="FF422" s="105"/>
      <c r="FG422" s="105"/>
      <c r="FH422" s="105"/>
      <c r="FI422" s="105"/>
      <c r="FJ422" s="105"/>
      <c r="FK422" s="105"/>
      <c r="FL422" s="105"/>
      <c r="FM422" s="105"/>
      <c r="FN422" s="105"/>
      <c r="FO422" s="105"/>
      <c r="FP422" s="105"/>
      <c r="FQ422" s="105"/>
      <c r="FR422" s="105"/>
      <c r="FS422" s="105"/>
      <c r="FT422" s="105"/>
      <c r="FU422" s="105"/>
      <c r="FV422" s="105"/>
      <c r="FW422" s="105"/>
      <c r="FX422" s="105"/>
      <c r="FY422" s="105"/>
      <c r="FZ422" s="105"/>
      <c r="GA422" s="105"/>
      <c r="GB422" s="105"/>
      <c r="GC422" s="105"/>
      <c r="GD422" s="105"/>
      <c r="GE422" s="105"/>
      <c r="GF422" s="105"/>
      <c r="GG422" s="105"/>
      <c r="GH422" s="105"/>
      <c r="GI422" s="105"/>
      <c r="GJ422" s="105"/>
      <c r="GK422" s="105"/>
      <c r="GL422" s="105"/>
      <c r="GM422" s="105"/>
      <c r="GN422" s="105"/>
      <c r="GO422" s="105"/>
      <c r="GP422" s="105"/>
      <c r="GQ422" s="105"/>
      <c r="GR422" s="105"/>
      <c r="GS422" s="105"/>
      <c r="GT422" s="105"/>
      <c r="GU422" s="105"/>
      <c r="GV422" s="105"/>
      <c r="GW422" s="105"/>
      <c r="GX422" s="105"/>
      <c r="GY422" s="105"/>
      <c r="GZ422" s="105"/>
      <c r="HA422" s="105"/>
      <c r="HB422" s="105"/>
      <c r="HC422" s="105"/>
      <c r="HD422" s="105"/>
      <c r="HE422" s="105"/>
      <c r="HF422" s="105"/>
      <c r="HG422" s="105"/>
      <c r="HH422" s="105"/>
      <c r="HI422" s="105"/>
      <c r="HJ422" s="105"/>
      <c r="HK422" s="105"/>
      <c r="HL422" s="105"/>
      <c r="HM422" s="105"/>
      <c r="HN422" s="105"/>
      <c r="HO422" s="105"/>
      <c r="HP422" s="105"/>
      <c r="HQ422" s="105"/>
      <c r="HR422" s="105"/>
      <c r="HS422" s="105"/>
      <c r="HT422" s="105"/>
      <c r="HU422" s="105"/>
      <c r="HV422" s="105"/>
      <c r="HW422" s="105"/>
      <c r="HX422" s="105"/>
      <c r="HY422" s="105"/>
      <c r="HZ422" s="105"/>
      <c r="IA422" s="105"/>
      <c r="IB422" s="105"/>
      <c r="IC422" s="105"/>
      <c r="ID422" s="105"/>
      <c r="IE422" s="105"/>
      <c r="IF422" s="105"/>
      <c r="IG422" s="105"/>
      <c r="IH422" s="105"/>
      <c r="II422" s="105"/>
      <c r="IJ422" s="105"/>
      <c r="IK422" s="105"/>
      <c r="IL422" s="105"/>
      <c r="IM422" s="105"/>
      <c r="IN422" s="105"/>
      <c r="IO422" s="105"/>
      <c r="IP422" s="105"/>
      <c r="IQ422" s="105"/>
      <c r="IR422" s="105"/>
      <c r="IS422" s="105"/>
      <c r="IT422" s="105"/>
      <c r="IU422" s="105"/>
      <c r="IV422" s="105"/>
    </row>
    <row r="423" spans="1:256" s="407" customFormat="1" x14ac:dyDescent="0.2">
      <c r="A423" s="41">
        <v>44517</v>
      </c>
      <c r="B423" s="42" t="s">
        <v>884</v>
      </c>
      <c r="C423" s="42">
        <v>2021</v>
      </c>
      <c r="D423" s="42" t="s">
        <v>3</v>
      </c>
      <c r="E423" s="73">
        <v>-0.24</v>
      </c>
      <c r="F423" s="320" t="s">
        <v>32</v>
      </c>
      <c r="G423" s="74">
        <f>-(E423*120000)</f>
        <v>28800</v>
      </c>
      <c r="H423" s="73">
        <v>254</v>
      </c>
      <c r="I423" s="320" t="s">
        <v>80</v>
      </c>
      <c r="J423" s="73" t="s">
        <v>38</v>
      </c>
      <c r="K423" s="73">
        <v>5.3999999999999999E-2</v>
      </c>
      <c r="L423" s="73" t="s">
        <v>726</v>
      </c>
      <c r="M423" s="73" t="s">
        <v>891</v>
      </c>
      <c r="N423" s="73" t="s">
        <v>892</v>
      </c>
      <c r="O423" s="73"/>
      <c r="P423" s="75" t="s">
        <v>893</v>
      </c>
      <c r="Q423" s="804">
        <v>41.667400000000001</v>
      </c>
      <c r="R423" s="701">
        <v>-85.821399999999997</v>
      </c>
      <c r="S423" s="75" t="s">
        <v>63</v>
      </c>
      <c r="T423" s="42"/>
      <c r="U423" s="41" t="s">
        <v>51</v>
      </c>
      <c r="V423" s="41"/>
      <c r="W423" s="43">
        <f>IF(AC423="Intr",0,G423*Definitions!$B$53)</f>
        <v>4320</v>
      </c>
      <c r="X423" s="43">
        <f>IF(AC423="Intr",0,G423*Definitions!$B$54)</f>
        <v>20160</v>
      </c>
      <c r="Y423" s="43">
        <f>IF(AC423="Intr",G423,G423*Definitions!$B$55)</f>
        <v>4320</v>
      </c>
      <c r="Z423" s="43" t="s">
        <v>964</v>
      </c>
      <c r="AA423" s="43" t="s">
        <v>965</v>
      </c>
      <c r="AB423" s="43"/>
      <c r="AC423" s="42"/>
      <c r="AD423" s="42"/>
      <c r="AE423" s="42"/>
      <c r="AF423" s="42"/>
      <c r="AG423" s="44"/>
      <c r="AH423" s="75" t="s">
        <v>901</v>
      </c>
      <c r="AI423" s="105"/>
      <c r="AJ423" s="105"/>
      <c r="AK423" s="105"/>
      <c r="AL423" s="105"/>
      <c r="AM423" s="105"/>
      <c r="AN423" s="105"/>
      <c r="AO423" s="105"/>
      <c r="AP423" s="105"/>
      <c r="AQ423" s="105"/>
      <c r="AR423" s="105"/>
      <c r="AS423" s="105"/>
      <c r="AT423" s="105"/>
      <c r="AU423" s="105"/>
      <c r="AV423" s="105"/>
      <c r="AW423" s="105"/>
      <c r="AX423" s="105"/>
      <c r="AY423" s="105"/>
      <c r="AZ423" s="105"/>
      <c r="BA423" s="105"/>
      <c r="BB423" s="105"/>
      <c r="BC423" s="105"/>
      <c r="BD423" s="105"/>
      <c r="BE423" s="105"/>
      <c r="BF423" s="105"/>
      <c r="BG423" s="105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5"/>
      <c r="CA423" s="105"/>
      <c r="CB423" s="105"/>
      <c r="CC423" s="105"/>
      <c r="CD423" s="105"/>
      <c r="CE423" s="105"/>
      <c r="CF423" s="105"/>
      <c r="CG423" s="105"/>
      <c r="CH423" s="105"/>
      <c r="CI423" s="105"/>
      <c r="CJ423" s="105"/>
      <c r="CK423" s="105"/>
      <c r="CL423" s="105"/>
      <c r="CM423" s="105"/>
      <c r="CN423" s="105"/>
      <c r="CO423" s="105"/>
      <c r="CP423" s="105"/>
      <c r="CQ423" s="105"/>
      <c r="CR423" s="105"/>
      <c r="CS423" s="105"/>
      <c r="CT423" s="105"/>
      <c r="CU423" s="105"/>
      <c r="CV423" s="105"/>
      <c r="CW423" s="105"/>
      <c r="CX423" s="105"/>
      <c r="CY423" s="105"/>
      <c r="CZ423" s="105"/>
      <c r="DA423" s="105"/>
      <c r="DB423" s="105"/>
      <c r="DC423" s="105"/>
      <c r="DD423" s="105"/>
      <c r="DE423" s="105"/>
      <c r="DF423" s="105"/>
      <c r="DG423" s="105"/>
      <c r="DH423" s="105"/>
      <c r="DI423" s="105"/>
      <c r="DJ423" s="105"/>
      <c r="DK423" s="105"/>
      <c r="DL423" s="105"/>
      <c r="DM423" s="105"/>
      <c r="DN423" s="105"/>
      <c r="DO423" s="105"/>
      <c r="DP423" s="105"/>
      <c r="DQ423" s="105"/>
      <c r="DR423" s="105"/>
      <c r="DS423" s="105"/>
      <c r="DT423" s="105"/>
      <c r="DU423" s="105"/>
      <c r="DV423" s="105"/>
      <c r="DW423" s="105"/>
      <c r="DX423" s="105"/>
      <c r="DY423" s="105"/>
      <c r="DZ423" s="105"/>
      <c r="EA423" s="105"/>
      <c r="EB423" s="105"/>
      <c r="EC423" s="105"/>
      <c r="ED423" s="105"/>
      <c r="EE423" s="105"/>
      <c r="EF423" s="105"/>
      <c r="EG423" s="105"/>
      <c r="EH423" s="105"/>
      <c r="EI423" s="105"/>
      <c r="EJ423" s="105"/>
      <c r="EK423" s="105"/>
      <c r="EL423" s="105"/>
      <c r="EM423" s="105"/>
      <c r="EN423" s="105"/>
      <c r="EO423" s="105"/>
      <c r="EP423" s="105"/>
      <c r="EQ423" s="105"/>
      <c r="ER423" s="105"/>
      <c r="ES423" s="105"/>
      <c r="ET423" s="105"/>
      <c r="EU423" s="105"/>
      <c r="EV423" s="105"/>
      <c r="EW423" s="105"/>
      <c r="EX423" s="105"/>
      <c r="EY423" s="105"/>
      <c r="EZ423" s="105"/>
      <c r="FA423" s="105"/>
      <c r="FB423" s="105"/>
      <c r="FC423" s="105"/>
      <c r="FD423" s="105"/>
      <c r="FE423" s="105"/>
      <c r="FF423" s="105"/>
      <c r="FG423" s="105"/>
      <c r="FH423" s="105"/>
      <c r="FI423" s="105"/>
      <c r="FJ423" s="105"/>
      <c r="FK423" s="105"/>
      <c r="FL423" s="105"/>
      <c r="FM423" s="105"/>
      <c r="FN423" s="105"/>
      <c r="FO423" s="105"/>
      <c r="FP423" s="105"/>
      <c r="FQ423" s="105"/>
      <c r="FR423" s="105"/>
      <c r="FS423" s="105"/>
      <c r="FT423" s="105"/>
      <c r="FU423" s="105"/>
      <c r="FV423" s="105"/>
      <c r="FW423" s="105"/>
      <c r="FX423" s="105"/>
      <c r="FY423" s="105"/>
      <c r="FZ423" s="105"/>
      <c r="GA423" s="105"/>
      <c r="GB423" s="105"/>
      <c r="GC423" s="105"/>
      <c r="GD423" s="105"/>
      <c r="GE423" s="105"/>
      <c r="GF423" s="105"/>
      <c r="GG423" s="105"/>
      <c r="GH423" s="105"/>
      <c r="GI423" s="105"/>
      <c r="GJ423" s="105"/>
      <c r="GK423" s="105"/>
      <c r="GL423" s="105"/>
      <c r="GM423" s="105"/>
      <c r="GN423" s="105"/>
      <c r="GO423" s="105"/>
      <c r="GP423" s="105"/>
      <c r="GQ423" s="105"/>
      <c r="GR423" s="105"/>
      <c r="GS423" s="105"/>
      <c r="GT423" s="105"/>
      <c r="GU423" s="105"/>
      <c r="GV423" s="105"/>
      <c r="GW423" s="105"/>
      <c r="GX423" s="105"/>
      <c r="GY423" s="105"/>
      <c r="GZ423" s="105"/>
      <c r="HA423" s="105"/>
      <c r="HB423" s="105"/>
      <c r="HC423" s="105"/>
      <c r="HD423" s="105"/>
      <c r="HE423" s="105"/>
      <c r="HF423" s="105"/>
      <c r="HG423" s="105"/>
      <c r="HH423" s="105"/>
      <c r="HI423" s="105"/>
      <c r="HJ423" s="105"/>
      <c r="HK423" s="105"/>
      <c r="HL423" s="105"/>
      <c r="HM423" s="105"/>
      <c r="HN423" s="105"/>
      <c r="HO423" s="105"/>
      <c r="HP423" s="105"/>
      <c r="HQ423" s="105"/>
      <c r="HR423" s="105"/>
      <c r="HS423" s="105"/>
      <c r="HT423" s="105"/>
      <c r="HU423" s="105"/>
      <c r="HV423" s="105"/>
      <c r="HW423" s="105"/>
      <c r="HX423" s="105"/>
      <c r="HY423" s="105"/>
      <c r="HZ423" s="105"/>
      <c r="IA423" s="105"/>
      <c r="IB423" s="105"/>
      <c r="IC423" s="105"/>
      <c r="ID423" s="105"/>
      <c r="IE423" s="105"/>
      <c r="IF423" s="105"/>
      <c r="IG423" s="105"/>
      <c r="IH423" s="105"/>
      <c r="II423" s="105"/>
      <c r="IJ423" s="105"/>
      <c r="IK423" s="105"/>
      <c r="IL423" s="105"/>
      <c r="IM423" s="105"/>
      <c r="IN423" s="105"/>
      <c r="IO423" s="105"/>
      <c r="IP423" s="105"/>
      <c r="IQ423" s="105"/>
      <c r="IR423" s="105"/>
      <c r="IS423" s="105"/>
      <c r="IT423" s="105"/>
      <c r="IU423" s="105"/>
      <c r="IV423" s="105"/>
    </row>
    <row r="424" spans="1:256" s="415" customFormat="1" x14ac:dyDescent="0.2">
      <c r="A424" s="307">
        <v>44530</v>
      </c>
      <c r="B424" s="308" t="s">
        <v>884</v>
      </c>
      <c r="C424" s="308">
        <v>2021</v>
      </c>
      <c r="D424" s="308" t="s">
        <v>5</v>
      </c>
      <c r="E424" s="312">
        <v>-65</v>
      </c>
      <c r="F424" s="309" t="s">
        <v>33</v>
      </c>
      <c r="G424" s="347">
        <v>26000</v>
      </c>
      <c r="H424" s="312">
        <v>121</v>
      </c>
      <c r="I424" s="309" t="s">
        <v>80</v>
      </c>
      <c r="J424" s="309" t="s">
        <v>39</v>
      </c>
      <c r="K424" s="312">
        <v>65</v>
      </c>
      <c r="L424" s="312" t="s">
        <v>906</v>
      </c>
      <c r="M424" s="312" t="s">
        <v>907</v>
      </c>
      <c r="N424" s="425" t="s">
        <v>908</v>
      </c>
      <c r="O424" s="312"/>
      <c r="P424" s="424" t="s">
        <v>274</v>
      </c>
      <c r="Q424" s="805">
        <v>40.4529</v>
      </c>
      <c r="R424" s="702">
        <v>-86.850300000000004</v>
      </c>
      <c r="S424" s="424" t="s">
        <v>61</v>
      </c>
      <c r="T424" s="308"/>
      <c r="U424" s="308" t="s">
        <v>51</v>
      </c>
      <c r="V424" s="307"/>
      <c r="W424" s="313">
        <f>IF(AC424="Intr",0,G424*Definitions!$B$53)</f>
        <v>3900</v>
      </c>
      <c r="X424" s="313">
        <f>IF(AC424="Intr",0,G424*Definitions!$B$54)</f>
        <v>18200</v>
      </c>
      <c r="Y424" s="313">
        <f>IF(AC424="Intr",G424,G424*Definitions!$B$55)</f>
        <v>3900</v>
      </c>
      <c r="Z424" s="313" t="s">
        <v>966</v>
      </c>
      <c r="AA424" s="313" t="s">
        <v>965</v>
      </c>
      <c r="AB424" s="313"/>
      <c r="AC424" s="308"/>
      <c r="AD424" s="308"/>
      <c r="AE424" s="308"/>
      <c r="AF424" s="308"/>
      <c r="AG424" s="314"/>
      <c r="AH424" s="424" t="s">
        <v>909</v>
      </c>
      <c r="AI424" s="105"/>
      <c r="AJ424" s="105"/>
      <c r="AK424" s="105"/>
      <c r="AL424" s="105"/>
      <c r="AM424" s="105"/>
      <c r="AN424" s="105"/>
      <c r="AO424" s="105"/>
      <c r="AP424" s="105"/>
      <c r="AQ424" s="105"/>
      <c r="AR424" s="105"/>
      <c r="AS424" s="105"/>
      <c r="AT424" s="105"/>
      <c r="AU424" s="105"/>
      <c r="AV424" s="105"/>
      <c r="AW424" s="105"/>
      <c r="AX424" s="105"/>
      <c r="AY424" s="105"/>
      <c r="AZ424" s="105"/>
      <c r="BA424" s="105"/>
      <c r="BB424" s="105"/>
      <c r="BC424" s="105"/>
      <c r="BD424" s="105"/>
      <c r="BE424" s="105"/>
      <c r="BF424" s="105"/>
      <c r="BG424" s="105"/>
      <c r="BH424" s="105"/>
      <c r="BI424" s="105"/>
      <c r="BJ424" s="105"/>
      <c r="BK424" s="105"/>
      <c r="BL424" s="105"/>
      <c r="BM424" s="105"/>
      <c r="BN424" s="105"/>
      <c r="BO424" s="105"/>
      <c r="BP424" s="105"/>
      <c r="BQ424" s="105"/>
      <c r="BR424" s="105"/>
      <c r="BS424" s="105"/>
      <c r="BT424" s="105"/>
      <c r="BU424" s="105"/>
      <c r="BV424" s="105"/>
      <c r="BW424" s="105"/>
      <c r="BX424" s="105"/>
      <c r="BY424" s="105"/>
      <c r="BZ424" s="105"/>
      <c r="CA424" s="105"/>
      <c r="CB424" s="105"/>
      <c r="CC424" s="105"/>
      <c r="CD424" s="105"/>
      <c r="CE424" s="105"/>
      <c r="CF424" s="105"/>
      <c r="CG424" s="105"/>
      <c r="CH424" s="105"/>
      <c r="CI424" s="105"/>
      <c r="CJ424" s="105"/>
      <c r="CK424" s="105"/>
      <c r="CL424" s="105"/>
      <c r="CM424" s="105"/>
      <c r="CN424" s="105"/>
      <c r="CO424" s="105"/>
      <c r="CP424" s="105"/>
      <c r="CQ424" s="105"/>
      <c r="CR424" s="105"/>
      <c r="CS424" s="105"/>
      <c r="CT424" s="105"/>
      <c r="CU424" s="105"/>
      <c r="CV424" s="105"/>
      <c r="CW424" s="105"/>
      <c r="CX424" s="105"/>
      <c r="CY424" s="105"/>
      <c r="CZ424" s="105"/>
      <c r="DA424" s="105"/>
      <c r="DB424" s="105"/>
      <c r="DC424" s="105"/>
      <c r="DD424" s="105"/>
      <c r="DE424" s="105"/>
      <c r="DF424" s="105"/>
      <c r="DG424" s="105"/>
      <c r="DH424" s="105"/>
      <c r="DI424" s="105"/>
      <c r="DJ424" s="105"/>
      <c r="DK424" s="105"/>
      <c r="DL424" s="105"/>
      <c r="DM424" s="105"/>
      <c r="DN424" s="105"/>
      <c r="DO424" s="105"/>
      <c r="DP424" s="105"/>
      <c r="DQ424" s="105"/>
      <c r="DR424" s="105"/>
      <c r="DS424" s="105"/>
      <c r="DT424" s="105"/>
      <c r="DU424" s="105"/>
      <c r="DV424" s="105"/>
      <c r="DW424" s="105"/>
      <c r="DX424" s="105"/>
      <c r="DY424" s="105"/>
      <c r="DZ424" s="105"/>
      <c r="EA424" s="105"/>
      <c r="EB424" s="105"/>
      <c r="EC424" s="105"/>
      <c r="ED424" s="105"/>
      <c r="EE424" s="105"/>
      <c r="EF424" s="105"/>
      <c r="EG424" s="105"/>
      <c r="EH424" s="105"/>
      <c r="EI424" s="105"/>
      <c r="EJ424" s="105"/>
      <c r="EK424" s="105"/>
      <c r="EL424" s="105"/>
      <c r="EM424" s="105"/>
      <c r="EN424" s="105"/>
      <c r="EO424" s="105"/>
      <c r="EP424" s="105"/>
      <c r="EQ424" s="105"/>
      <c r="ER424" s="105"/>
      <c r="ES424" s="105"/>
      <c r="ET424" s="105"/>
      <c r="EU424" s="105"/>
      <c r="EV424" s="105"/>
      <c r="EW424" s="105"/>
      <c r="EX424" s="105"/>
      <c r="EY424" s="105"/>
      <c r="EZ424" s="105"/>
      <c r="FA424" s="105"/>
      <c r="FB424" s="105"/>
      <c r="FC424" s="105"/>
      <c r="FD424" s="105"/>
      <c r="FE424" s="105"/>
      <c r="FF424" s="105"/>
      <c r="FG424" s="105"/>
      <c r="FH424" s="105"/>
      <c r="FI424" s="105"/>
      <c r="FJ424" s="105"/>
      <c r="FK424" s="105"/>
      <c r="FL424" s="105"/>
      <c r="FM424" s="105"/>
      <c r="FN424" s="105"/>
      <c r="FO424" s="105"/>
      <c r="FP424" s="105"/>
      <c r="FQ424" s="105"/>
      <c r="FR424" s="105"/>
      <c r="FS424" s="105"/>
      <c r="FT424" s="105"/>
      <c r="FU424" s="105"/>
      <c r="FV424" s="105"/>
      <c r="FW424" s="105"/>
      <c r="FX424" s="105"/>
      <c r="FY424" s="105"/>
      <c r="FZ424" s="105"/>
      <c r="GA424" s="105"/>
      <c r="GB424" s="105"/>
      <c r="GC424" s="105"/>
      <c r="GD424" s="105"/>
      <c r="GE424" s="105"/>
      <c r="GF424" s="105"/>
      <c r="GG424" s="105"/>
      <c r="GH424" s="105"/>
      <c r="GI424" s="105"/>
      <c r="GJ424" s="105"/>
      <c r="GK424" s="105"/>
      <c r="GL424" s="105"/>
      <c r="GM424" s="105"/>
      <c r="GN424" s="105"/>
      <c r="GO424" s="105"/>
      <c r="GP424" s="105"/>
      <c r="GQ424" s="105"/>
      <c r="GR424" s="105"/>
      <c r="GS424" s="105"/>
      <c r="GT424" s="105"/>
      <c r="GU424" s="105"/>
      <c r="GV424" s="105"/>
      <c r="GW424" s="105"/>
      <c r="GX424" s="105"/>
      <c r="GY424" s="105"/>
      <c r="GZ424" s="105"/>
      <c r="HA424" s="105"/>
      <c r="HB424" s="105"/>
      <c r="HC424" s="105"/>
      <c r="HD424" s="105"/>
      <c r="HE424" s="105"/>
      <c r="HF424" s="105"/>
      <c r="HG424" s="105"/>
      <c r="HH424" s="105"/>
      <c r="HI424" s="105"/>
      <c r="HJ424" s="105"/>
      <c r="HK424" s="105"/>
      <c r="HL424" s="105"/>
      <c r="HM424" s="105"/>
      <c r="HN424" s="105"/>
      <c r="HO424" s="105"/>
      <c r="HP424" s="105"/>
      <c r="HQ424" s="105"/>
      <c r="HR424" s="105"/>
      <c r="HS424" s="105"/>
      <c r="HT424" s="105"/>
      <c r="HU424" s="105"/>
      <c r="HV424" s="105"/>
      <c r="HW424" s="105"/>
      <c r="HX424" s="105"/>
      <c r="HY424" s="105"/>
      <c r="HZ424" s="105"/>
      <c r="IA424" s="105"/>
      <c r="IB424" s="105"/>
      <c r="IC424" s="105"/>
      <c r="ID424" s="105"/>
      <c r="IE424" s="105"/>
      <c r="IF424" s="105"/>
      <c r="IG424" s="105"/>
      <c r="IH424" s="105"/>
      <c r="II424" s="105"/>
      <c r="IJ424" s="105"/>
      <c r="IK424" s="105"/>
      <c r="IL424" s="105"/>
      <c r="IM424" s="105"/>
      <c r="IN424" s="105"/>
      <c r="IO424" s="105"/>
      <c r="IP424" s="105"/>
      <c r="IQ424" s="105"/>
      <c r="IR424" s="105"/>
      <c r="IS424" s="105"/>
      <c r="IT424" s="105"/>
      <c r="IU424" s="105"/>
      <c r="IV424" s="105"/>
    </row>
    <row r="425" spans="1:256" s="388" customFormat="1" x14ac:dyDescent="0.2">
      <c r="A425" s="307">
        <v>44530</v>
      </c>
      <c r="B425" s="308" t="s">
        <v>884</v>
      </c>
      <c r="C425" s="308">
        <v>2021</v>
      </c>
      <c r="D425" s="308" t="s">
        <v>5</v>
      </c>
      <c r="E425" s="312">
        <v>-1.54</v>
      </c>
      <c r="F425" s="309" t="s">
        <v>32</v>
      </c>
      <c r="G425" s="347">
        <v>123200</v>
      </c>
      <c r="H425" s="312">
        <v>121</v>
      </c>
      <c r="I425" s="309" t="s">
        <v>80</v>
      </c>
      <c r="J425" s="309" t="s">
        <v>36</v>
      </c>
      <c r="K425" s="312">
        <v>0.64</v>
      </c>
      <c r="L425" s="312" t="s">
        <v>906</v>
      </c>
      <c r="M425" s="312" t="s">
        <v>907</v>
      </c>
      <c r="N425" s="312" t="s">
        <v>908</v>
      </c>
      <c r="O425" s="312"/>
      <c r="P425" s="424" t="s">
        <v>274</v>
      </c>
      <c r="Q425" s="805">
        <v>40.4529</v>
      </c>
      <c r="R425" s="702">
        <v>-86.850300000000004</v>
      </c>
      <c r="S425" s="424" t="s">
        <v>61</v>
      </c>
      <c r="T425" s="308"/>
      <c r="U425" s="308" t="s">
        <v>51</v>
      </c>
      <c r="V425" s="307"/>
      <c r="W425" s="313">
        <f>IF(AC425="Intr",0,G425*Definitions!$B$53)</f>
        <v>18480</v>
      </c>
      <c r="X425" s="313">
        <f>IF(AC425="Intr",0,G425*Definitions!$B$54)</f>
        <v>86240</v>
      </c>
      <c r="Y425" s="313">
        <f>IF(AC425="Intr",G425,G425*Definitions!$B$55)</f>
        <v>18480</v>
      </c>
      <c r="Z425" s="313" t="s">
        <v>966</v>
      </c>
      <c r="AA425" s="313" t="s">
        <v>965</v>
      </c>
      <c r="AB425" s="313"/>
      <c r="AC425" s="308"/>
      <c r="AD425" s="308"/>
      <c r="AE425" s="308"/>
      <c r="AF425" s="308"/>
      <c r="AG425" s="314"/>
      <c r="AH425" s="424" t="s">
        <v>910</v>
      </c>
      <c r="AI425" s="105"/>
      <c r="AJ425" s="105"/>
      <c r="AK425" s="105"/>
      <c r="AL425" s="105"/>
      <c r="AM425" s="105"/>
      <c r="AN425" s="105"/>
      <c r="AO425" s="105"/>
      <c r="AP425" s="105"/>
      <c r="AQ425" s="105"/>
      <c r="AR425" s="105"/>
      <c r="AS425" s="105"/>
      <c r="AT425" s="105"/>
      <c r="AU425" s="105"/>
      <c r="AV425" s="105"/>
      <c r="AW425" s="105"/>
      <c r="AX425" s="105"/>
      <c r="AY425" s="105"/>
      <c r="AZ425" s="105"/>
      <c r="BA425" s="105"/>
      <c r="BB425" s="105"/>
      <c r="BC425" s="105"/>
      <c r="BD425" s="105"/>
      <c r="BE425" s="105"/>
      <c r="BF425" s="105"/>
      <c r="BG425" s="105"/>
      <c r="BH425" s="105"/>
      <c r="BI425" s="105"/>
      <c r="BJ425" s="105"/>
      <c r="BK425" s="105"/>
      <c r="BL425" s="105"/>
      <c r="BM425" s="105"/>
      <c r="BN425" s="105"/>
      <c r="BO425" s="105"/>
      <c r="BP425" s="105"/>
      <c r="BQ425" s="105"/>
      <c r="BR425" s="105"/>
      <c r="BS425" s="105"/>
      <c r="BT425" s="105"/>
      <c r="BU425" s="105"/>
      <c r="BV425" s="105"/>
      <c r="BW425" s="105"/>
      <c r="BX425" s="105"/>
      <c r="BY425" s="105"/>
      <c r="BZ425" s="105"/>
      <c r="CA425" s="105"/>
      <c r="CB425" s="105"/>
      <c r="CC425" s="105"/>
      <c r="CD425" s="105"/>
      <c r="CE425" s="105"/>
      <c r="CF425" s="105"/>
      <c r="CG425" s="105"/>
      <c r="CH425" s="105"/>
      <c r="CI425" s="105"/>
      <c r="CJ425" s="105"/>
      <c r="CK425" s="105"/>
      <c r="CL425" s="105"/>
      <c r="CM425" s="105"/>
      <c r="CN425" s="105"/>
      <c r="CO425" s="105"/>
      <c r="CP425" s="105"/>
      <c r="CQ425" s="105"/>
      <c r="CR425" s="105"/>
      <c r="CS425" s="105"/>
      <c r="CT425" s="105"/>
      <c r="CU425" s="105"/>
      <c r="CV425" s="105"/>
      <c r="CW425" s="105"/>
      <c r="CX425" s="105"/>
      <c r="CY425" s="105"/>
      <c r="CZ425" s="105"/>
      <c r="DA425" s="105"/>
      <c r="DB425" s="105"/>
      <c r="DC425" s="105"/>
      <c r="DD425" s="105"/>
      <c r="DE425" s="105"/>
      <c r="DF425" s="105"/>
      <c r="DG425" s="105"/>
      <c r="DH425" s="105"/>
      <c r="DI425" s="105"/>
      <c r="DJ425" s="105"/>
      <c r="DK425" s="105"/>
      <c r="DL425" s="105"/>
      <c r="DM425" s="105"/>
      <c r="DN425" s="105"/>
      <c r="DO425" s="105"/>
      <c r="DP425" s="105"/>
      <c r="DQ425" s="105"/>
      <c r="DR425" s="105"/>
      <c r="DS425" s="105"/>
      <c r="DT425" s="105"/>
      <c r="DU425" s="105"/>
      <c r="DV425" s="105"/>
      <c r="DW425" s="105"/>
      <c r="DX425" s="105"/>
      <c r="DY425" s="105"/>
      <c r="DZ425" s="105"/>
      <c r="EA425" s="105"/>
      <c r="EB425" s="105"/>
      <c r="EC425" s="105"/>
      <c r="ED425" s="105"/>
      <c r="EE425" s="105"/>
      <c r="EF425" s="105"/>
      <c r="EG425" s="105"/>
      <c r="EH425" s="105"/>
      <c r="EI425" s="105"/>
      <c r="EJ425" s="105"/>
      <c r="EK425" s="105"/>
      <c r="EL425" s="105"/>
      <c r="EM425" s="105"/>
      <c r="EN425" s="105"/>
      <c r="EO425" s="105"/>
      <c r="EP425" s="105"/>
      <c r="EQ425" s="105"/>
      <c r="ER425" s="105"/>
      <c r="ES425" s="105"/>
      <c r="ET425" s="105"/>
      <c r="EU425" s="105"/>
      <c r="EV425" s="105"/>
      <c r="EW425" s="105"/>
      <c r="EX425" s="105"/>
      <c r="EY425" s="105"/>
      <c r="EZ425" s="105"/>
      <c r="FA425" s="105"/>
      <c r="FB425" s="105"/>
      <c r="FC425" s="105"/>
      <c r="FD425" s="105"/>
      <c r="FE425" s="105"/>
      <c r="FF425" s="105"/>
      <c r="FG425" s="105"/>
      <c r="FH425" s="105"/>
      <c r="FI425" s="105"/>
      <c r="FJ425" s="105"/>
      <c r="FK425" s="105"/>
      <c r="FL425" s="105"/>
      <c r="FM425" s="105"/>
      <c r="FN425" s="105"/>
      <c r="FO425" s="105"/>
      <c r="FP425" s="105"/>
      <c r="FQ425" s="105"/>
      <c r="FR425" s="105"/>
      <c r="FS425" s="105"/>
      <c r="FT425" s="105"/>
      <c r="FU425" s="105"/>
      <c r="FV425" s="105"/>
      <c r="FW425" s="105"/>
      <c r="FX425" s="105"/>
      <c r="FY425" s="105"/>
      <c r="FZ425" s="105"/>
      <c r="GA425" s="105"/>
      <c r="GB425" s="105"/>
      <c r="GC425" s="105"/>
      <c r="GD425" s="105"/>
      <c r="GE425" s="105"/>
      <c r="GF425" s="105"/>
      <c r="GG425" s="105"/>
      <c r="GH425" s="105"/>
      <c r="GI425" s="105"/>
      <c r="GJ425" s="105"/>
      <c r="GK425" s="105"/>
      <c r="GL425" s="105"/>
      <c r="GM425" s="105"/>
      <c r="GN425" s="105"/>
      <c r="GO425" s="105"/>
      <c r="GP425" s="105"/>
      <c r="GQ425" s="105"/>
      <c r="GR425" s="105"/>
      <c r="GS425" s="105"/>
      <c r="GT425" s="105"/>
      <c r="GU425" s="105"/>
      <c r="GV425" s="105"/>
      <c r="GW425" s="105"/>
      <c r="GX425" s="105"/>
      <c r="GY425" s="105"/>
      <c r="GZ425" s="105"/>
      <c r="HA425" s="105"/>
      <c r="HB425" s="105"/>
      <c r="HC425" s="105"/>
      <c r="HD425" s="105"/>
      <c r="HE425" s="105"/>
      <c r="HF425" s="105"/>
      <c r="HG425" s="105"/>
      <c r="HH425" s="105"/>
      <c r="HI425" s="105"/>
      <c r="HJ425" s="105"/>
      <c r="HK425" s="105"/>
      <c r="HL425" s="105"/>
      <c r="HM425" s="105"/>
      <c r="HN425" s="105"/>
      <c r="HO425" s="105"/>
      <c r="HP425" s="105"/>
      <c r="HQ425" s="105"/>
      <c r="HR425" s="105"/>
      <c r="HS425" s="105"/>
      <c r="HT425" s="105"/>
      <c r="HU425" s="105"/>
      <c r="HV425" s="105"/>
      <c r="HW425" s="105"/>
      <c r="HX425" s="105"/>
      <c r="HY425" s="105"/>
      <c r="HZ425" s="105"/>
      <c r="IA425" s="105"/>
      <c r="IB425" s="105"/>
      <c r="IC425" s="105"/>
      <c r="ID425" s="105"/>
      <c r="IE425" s="105"/>
      <c r="IF425" s="105"/>
      <c r="IG425" s="105"/>
      <c r="IH425" s="105"/>
      <c r="II425" s="105"/>
      <c r="IJ425" s="105"/>
      <c r="IK425" s="105"/>
      <c r="IL425" s="105"/>
      <c r="IM425" s="105"/>
      <c r="IN425" s="105"/>
      <c r="IO425" s="105"/>
      <c r="IP425" s="105"/>
      <c r="IQ425" s="105"/>
      <c r="IR425" s="105"/>
      <c r="IS425" s="105"/>
      <c r="IT425" s="105"/>
      <c r="IU425" s="105"/>
      <c r="IV425" s="105"/>
    </row>
    <row r="426" spans="1:256" s="388" customFormat="1" x14ac:dyDescent="0.2">
      <c r="A426" s="307">
        <v>44530</v>
      </c>
      <c r="B426" s="308" t="s">
        <v>884</v>
      </c>
      <c r="C426" s="308">
        <v>2021</v>
      </c>
      <c r="D426" s="308" t="s">
        <v>5</v>
      </c>
      <c r="E426" s="312">
        <v>-0.34</v>
      </c>
      <c r="F426" s="309" t="s">
        <v>32</v>
      </c>
      <c r="G426" s="347">
        <v>27200</v>
      </c>
      <c r="H426" s="312">
        <v>121</v>
      </c>
      <c r="I426" s="309" t="s">
        <v>80</v>
      </c>
      <c r="J426" s="309" t="s">
        <v>37</v>
      </c>
      <c r="K426" s="312">
        <v>0.14000000000000001</v>
      </c>
      <c r="L426" s="312" t="s">
        <v>906</v>
      </c>
      <c r="M426" s="312" t="s">
        <v>907</v>
      </c>
      <c r="N426" s="312" t="s">
        <v>908</v>
      </c>
      <c r="O426" s="312"/>
      <c r="P426" s="424" t="s">
        <v>274</v>
      </c>
      <c r="Q426" s="805">
        <v>40.4529</v>
      </c>
      <c r="R426" s="702">
        <v>-86.850300000000004</v>
      </c>
      <c r="S426" s="424" t="s">
        <v>61</v>
      </c>
      <c r="T426" s="308"/>
      <c r="U426" s="308" t="s">
        <v>51</v>
      </c>
      <c r="V426" s="307"/>
      <c r="W426" s="313">
        <f>IF(AC426="Intr",0,G426*Definitions!$B$53)</f>
        <v>4080</v>
      </c>
      <c r="X426" s="313">
        <f>IF(AC426="Intr",0,G426*Definitions!$B$54)</f>
        <v>19040</v>
      </c>
      <c r="Y426" s="313">
        <f>IF(AC426="Intr",G426,G426*Definitions!$B$55)</f>
        <v>4080</v>
      </c>
      <c r="Z426" s="313" t="s">
        <v>966</v>
      </c>
      <c r="AA426" s="313" t="s">
        <v>965</v>
      </c>
      <c r="AB426" s="313"/>
      <c r="AC426" s="308"/>
      <c r="AD426" s="308"/>
      <c r="AE426" s="308"/>
      <c r="AF426" s="308"/>
      <c r="AG426" s="314"/>
      <c r="AH426" s="424" t="s">
        <v>911</v>
      </c>
      <c r="AI426" s="105"/>
      <c r="AJ426" s="105"/>
      <c r="AK426" s="105"/>
      <c r="AL426" s="105"/>
      <c r="AM426" s="105"/>
      <c r="AN426" s="105"/>
      <c r="AO426" s="105"/>
      <c r="AP426" s="105"/>
      <c r="AQ426" s="105"/>
      <c r="AR426" s="105"/>
      <c r="AS426" s="105"/>
      <c r="AT426" s="105"/>
      <c r="AU426" s="105"/>
      <c r="AV426" s="105"/>
      <c r="AW426" s="105"/>
      <c r="AX426" s="105"/>
      <c r="AY426" s="105"/>
      <c r="AZ426" s="105"/>
      <c r="BA426" s="105"/>
      <c r="BB426" s="105"/>
      <c r="BC426" s="105"/>
      <c r="BD426" s="105"/>
      <c r="BE426" s="105"/>
      <c r="BF426" s="105"/>
      <c r="BG426" s="105"/>
      <c r="BH426" s="105"/>
      <c r="BI426" s="105"/>
      <c r="BJ426" s="105"/>
      <c r="BK426" s="105"/>
      <c r="BL426" s="105"/>
      <c r="BM426" s="105"/>
      <c r="BN426" s="105"/>
      <c r="BO426" s="105"/>
      <c r="BP426" s="105"/>
      <c r="BQ426" s="105"/>
      <c r="BR426" s="105"/>
      <c r="BS426" s="105"/>
      <c r="BT426" s="105"/>
      <c r="BU426" s="105"/>
      <c r="BV426" s="105"/>
      <c r="BW426" s="105"/>
      <c r="BX426" s="105"/>
      <c r="BY426" s="105"/>
      <c r="BZ426" s="105"/>
      <c r="CA426" s="105"/>
      <c r="CB426" s="105"/>
      <c r="CC426" s="105"/>
      <c r="CD426" s="105"/>
      <c r="CE426" s="105"/>
      <c r="CF426" s="105"/>
      <c r="CG426" s="105"/>
      <c r="CH426" s="105"/>
      <c r="CI426" s="105"/>
      <c r="CJ426" s="105"/>
      <c r="CK426" s="105"/>
      <c r="CL426" s="105"/>
      <c r="CM426" s="105"/>
      <c r="CN426" s="105"/>
      <c r="CO426" s="105"/>
      <c r="CP426" s="105"/>
      <c r="CQ426" s="105"/>
      <c r="CR426" s="105"/>
      <c r="CS426" s="105"/>
      <c r="CT426" s="105"/>
      <c r="CU426" s="105"/>
      <c r="CV426" s="105"/>
      <c r="CW426" s="105"/>
      <c r="CX426" s="105"/>
      <c r="CY426" s="105"/>
      <c r="CZ426" s="105"/>
      <c r="DA426" s="105"/>
      <c r="DB426" s="105"/>
      <c r="DC426" s="105"/>
      <c r="DD426" s="105"/>
      <c r="DE426" s="105"/>
      <c r="DF426" s="105"/>
      <c r="DG426" s="105"/>
      <c r="DH426" s="105"/>
      <c r="DI426" s="105"/>
      <c r="DJ426" s="105"/>
      <c r="DK426" s="105"/>
      <c r="DL426" s="105"/>
      <c r="DM426" s="105"/>
      <c r="DN426" s="105"/>
      <c r="DO426" s="105"/>
      <c r="DP426" s="105"/>
      <c r="DQ426" s="105"/>
      <c r="DR426" s="105"/>
      <c r="DS426" s="105"/>
      <c r="DT426" s="105"/>
      <c r="DU426" s="105"/>
      <c r="DV426" s="105"/>
      <c r="DW426" s="105"/>
      <c r="DX426" s="105"/>
      <c r="DY426" s="105"/>
      <c r="DZ426" s="105"/>
      <c r="EA426" s="105"/>
      <c r="EB426" s="105"/>
      <c r="EC426" s="105"/>
      <c r="ED426" s="105"/>
      <c r="EE426" s="105"/>
      <c r="EF426" s="105"/>
      <c r="EG426" s="105"/>
      <c r="EH426" s="105"/>
      <c r="EI426" s="105"/>
      <c r="EJ426" s="105"/>
      <c r="EK426" s="105"/>
      <c r="EL426" s="105"/>
      <c r="EM426" s="105"/>
      <c r="EN426" s="105"/>
      <c r="EO426" s="105"/>
      <c r="EP426" s="105"/>
      <c r="EQ426" s="105"/>
      <c r="ER426" s="105"/>
      <c r="ES426" s="105"/>
      <c r="ET426" s="105"/>
      <c r="EU426" s="105"/>
      <c r="EV426" s="105"/>
      <c r="EW426" s="105"/>
      <c r="EX426" s="105"/>
      <c r="EY426" s="105"/>
      <c r="EZ426" s="105"/>
      <c r="FA426" s="105"/>
      <c r="FB426" s="105"/>
      <c r="FC426" s="105"/>
      <c r="FD426" s="105"/>
      <c r="FE426" s="105"/>
      <c r="FF426" s="105"/>
      <c r="FG426" s="105"/>
      <c r="FH426" s="105"/>
      <c r="FI426" s="105"/>
      <c r="FJ426" s="105"/>
      <c r="FK426" s="105"/>
      <c r="FL426" s="105"/>
      <c r="FM426" s="105"/>
      <c r="FN426" s="105"/>
      <c r="FO426" s="105"/>
      <c r="FP426" s="105"/>
      <c r="FQ426" s="105"/>
      <c r="FR426" s="105"/>
      <c r="FS426" s="105"/>
      <c r="FT426" s="105"/>
      <c r="FU426" s="105"/>
      <c r="FV426" s="105"/>
      <c r="FW426" s="105"/>
      <c r="FX426" s="105"/>
      <c r="FY426" s="105"/>
      <c r="FZ426" s="105"/>
      <c r="GA426" s="105"/>
      <c r="GB426" s="105"/>
      <c r="GC426" s="105"/>
      <c r="GD426" s="105"/>
      <c r="GE426" s="105"/>
      <c r="GF426" s="105"/>
      <c r="GG426" s="105"/>
      <c r="GH426" s="105"/>
      <c r="GI426" s="105"/>
      <c r="GJ426" s="105"/>
      <c r="GK426" s="105"/>
      <c r="GL426" s="105"/>
      <c r="GM426" s="105"/>
      <c r="GN426" s="105"/>
      <c r="GO426" s="105"/>
      <c r="GP426" s="105"/>
      <c r="GQ426" s="105"/>
      <c r="GR426" s="105"/>
      <c r="GS426" s="105"/>
      <c r="GT426" s="105"/>
      <c r="GU426" s="105"/>
      <c r="GV426" s="105"/>
      <c r="GW426" s="105"/>
      <c r="GX426" s="105"/>
      <c r="GY426" s="105"/>
      <c r="GZ426" s="105"/>
      <c r="HA426" s="105"/>
      <c r="HB426" s="105"/>
      <c r="HC426" s="105"/>
      <c r="HD426" s="105"/>
      <c r="HE426" s="105"/>
      <c r="HF426" s="105"/>
      <c r="HG426" s="105"/>
      <c r="HH426" s="105"/>
      <c r="HI426" s="105"/>
      <c r="HJ426" s="105"/>
      <c r="HK426" s="105"/>
      <c r="HL426" s="105"/>
      <c r="HM426" s="105"/>
      <c r="HN426" s="105"/>
      <c r="HO426" s="105"/>
      <c r="HP426" s="105"/>
      <c r="HQ426" s="105"/>
      <c r="HR426" s="105"/>
      <c r="HS426" s="105"/>
      <c r="HT426" s="105"/>
      <c r="HU426" s="105"/>
      <c r="HV426" s="105"/>
      <c r="HW426" s="105"/>
      <c r="HX426" s="105"/>
      <c r="HY426" s="105"/>
      <c r="HZ426" s="105"/>
      <c r="IA426" s="105"/>
      <c r="IB426" s="105"/>
      <c r="IC426" s="105"/>
      <c r="ID426" s="105"/>
      <c r="IE426" s="105"/>
      <c r="IF426" s="105"/>
      <c r="IG426" s="105"/>
      <c r="IH426" s="105"/>
      <c r="II426" s="105"/>
      <c r="IJ426" s="105"/>
      <c r="IK426" s="105"/>
      <c r="IL426" s="105"/>
      <c r="IM426" s="105"/>
      <c r="IN426" s="105"/>
      <c r="IO426" s="105"/>
      <c r="IP426" s="105"/>
      <c r="IQ426" s="105"/>
      <c r="IR426" s="105"/>
      <c r="IS426" s="105"/>
      <c r="IT426" s="105"/>
      <c r="IU426" s="105"/>
      <c r="IV426" s="105"/>
    </row>
    <row r="427" spans="1:256" s="406" customFormat="1" x14ac:dyDescent="0.2">
      <c r="A427" s="145">
        <v>44530</v>
      </c>
      <c r="B427" s="112" t="s">
        <v>884</v>
      </c>
      <c r="C427" s="112">
        <v>2021</v>
      </c>
      <c r="D427" s="112" t="s">
        <v>7</v>
      </c>
      <c r="E427" s="146">
        <v>-429</v>
      </c>
      <c r="F427" s="146" t="s">
        <v>33</v>
      </c>
      <c r="G427" s="448">
        <f>-(E427*450)</f>
        <v>193050</v>
      </c>
      <c r="H427" s="149">
        <v>257</v>
      </c>
      <c r="I427" s="146" t="s">
        <v>80</v>
      </c>
      <c r="J427" s="146" t="s">
        <v>39</v>
      </c>
      <c r="K427" s="146">
        <v>357</v>
      </c>
      <c r="L427" s="149" t="s">
        <v>903</v>
      </c>
      <c r="M427" s="149" t="s">
        <v>904</v>
      </c>
      <c r="N427" s="149" t="s">
        <v>905</v>
      </c>
      <c r="O427" s="149"/>
      <c r="P427" s="342" t="s">
        <v>101</v>
      </c>
      <c r="Q427" s="802">
        <v>39.628300000000003</v>
      </c>
      <c r="R427" s="699">
        <v>-86.090199999999996</v>
      </c>
      <c r="S427" s="342" t="s">
        <v>63</v>
      </c>
      <c r="T427" s="112"/>
      <c r="U427" s="112" t="s">
        <v>51</v>
      </c>
      <c r="V427" s="145"/>
      <c r="W427" s="150">
        <f>IF(AC427="Intr",0,G427*Definitions!$B$53)</f>
        <v>28957.5</v>
      </c>
      <c r="X427" s="150">
        <f>IF(AC427="Intr",0,G427*Definitions!$B$54)</f>
        <v>135135</v>
      </c>
      <c r="Y427" s="150">
        <f>IF(AC427="Intr",G427,G427*Definitions!$B$55)</f>
        <v>28957.5</v>
      </c>
      <c r="Z427" s="150" t="s">
        <v>966</v>
      </c>
      <c r="AA427" s="150" t="s">
        <v>965</v>
      </c>
      <c r="AB427" s="150"/>
      <c r="AC427" s="112"/>
      <c r="AD427" s="112"/>
      <c r="AE427" s="112"/>
      <c r="AF427" s="112"/>
      <c r="AG427" s="151"/>
      <c r="AH427" s="112"/>
      <c r="AI427" s="105"/>
      <c r="AJ427" s="105"/>
      <c r="AK427" s="105"/>
      <c r="AL427" s="105"/>
      <c r="AM427" s="105"/>
      <c r="AN427" s="105"/>
      <c r="AO427" s="105"/>
      <c r="AP427" s="105"/>
      <c r="AQ427" s="105"/>
      <c r="AR427" s="105"/>
      <c r="AS427" s="105"/>
      <c r="AT427" s="105"/>
      <c r="AU427" s="105"/>
      <c r="AV427" s="105"/>
      <c r="AW427" s="105"/>
      <c r="AX427" s="105"/>
      <c r="AY427" s="105"/>
      <c r="AZ427" s="105"/>
      <c r="BA427" s="105"/>
      <c r="BB427" s="105"/>
      <c r="BC427" s="105"/>
      <c r="BD427" s="105"/>
      <c r="BE427" s="105"/>
      <c r="BF427" s="105"/>
      <c r="BG427" s="105"/>
      <c r="BH427" s="105"/>
      <c r="BI427" s="105"/>
      <c r="BJ427" s="105"/>
      <c r="BK427" s="105"/>
      <c r="BL427" s="105"/>
      <c r="BM427" s="105"/>
      <c r="BN427" s="105"/>
      <c r="BO427" s="105"/>
      <c r="BP427" s="105"/>
      <c r="BQ427" s="105"/>
      <c r="BR427" s="105"/>
      <c r="BS427" s="105"/>
      <c r="BT427" s="105"/>
      <c r="BU427" s="105"/>
      <c r="BV427" s="105"/>
      <c r="BW427" s="105"/>
      <c r="BX427" s="105"/>
      <c r="BY427" s="105"/>
      <c r="BZ427" s="105"/>
      <c r="CA427" s="105"/>
      <c r="CB427" s="105"/>
      <c r="CC427" s="105"/>
      <c r="CD427" s="105"/>
      <c r="CE427" s="105"/>
      <c r="CF427" s="105"/>
      <c r="CG427" s="105"/>
      <c r="CH427" s="105"/>
      <c r="CI427" s="105"/>
      <c r="CJ427" s="105"/>
      <c r="CK427" s="105"/>
      <c r="CL427" s="105"/>
      <c r="CM427" s="105"/>
      <c r="CN427" s="105"/>
      <c r="CO427" s="105"/>
      <c r="CP427" s="105"/>
      <c r="CQ427" s="105"/>
      <c r="CR427" s="105"/>
      <c r="CS427" s="105"/>
      <c r="CT427" s="105"/>
      <c r="CU427" s="105"/>
      <c r="CV427" s="105"/>
      <c r="CW427" s="105"/>
      <c r="CX427" s="105"/>
      <c r="CY427" s="105"/>
      <c r="CZ427" s="105"/>
      <c r="DA427" s="105"/>
      <c r="DB427" s="105"/>
      <c r="DC427" s="105"/>
      <c r="DD427" s="105"/>
      <c r="DE427" s="105"/>
      <c r="DF427" s="105"/>
      <c r="DG427" s="105"/>
      <c r="DH427" s="105"/>
      <c r="DI427" s="105"/>
      <c r="DJ427" s="105"/>
      <c r="DK427" s="105"/>
      <c r="DL427" s="105"/>
      <c r="DM427" s="105"/>
      <c r="DN427" s="105"/>
      <c r="DO427" s="105"/>
      <c r="DP427" s="105"/>
      <c r="DQ427" s="105"/>
      <c r="DR427" s="105"/>
      <c r="DS427" s="105"/>
      <c r="DT427" s="105"/>
      <c r="DU427" s="105"/>
      <c r="DV427" s="105"/>
      <c r="DW427" s="105"/>
      <c r="DX427" s="105"/>
      <c r="DY427" s="105"/>
      <c r="DZ427" s="105"/>
      <c r="EA427" s="105"/>
      <c r="EB427" s="105"/>
      <c r="EC427" s="105"/>
      <c r="ED427" s="105"/>
      <c r="EE427" s="105"/>
      <c r="EF427" s="105"/>
      <c r="EG427" s="105"/>
      <c r="EH427" s="105"/>
      <c r="EI427" s="105"/>
      <c r="EJ427" s="105"/>
      <c r="EK427" s="105"/>
      <c r="EL427" s="105"/>
      <c r="EM427" s="105"/>
      <c r="EN427" s="105"/>
      <c r="EO427" s="105"/>
      <c r="EP427" s="105"/>
      <c r="EQ427" s="105"/>
      <c r="ER427" s="105"/>
      <c r="ES427" s="105"/>
      <c r="ET427" s="105"/>
      <c r="EU427" s="105"/>
      <c r="EV427" s="105"/>
      <c r="EW427" s="105"/>
      <c r="EX427" s="105"/>
      <c r="EY427" s="105"/>
      <c r="EZ427" s="105"/>
      <c r="FA427" s="105"/>
      <c r="FB427" s="105"/>
      <c r="FC427" s="105"/>
      <c r="FD427" s="105"/>
      <c r="FE427" s="105"/>
      <c r="FF427" s="105"/>
      <c r="FG427" s="105"/>
      <c r="FH427" s="105"/>
      <c r="FI427" s="105"/>
      <c r="FJ427" s="105"/>
      <c r="FK427" s="105"/>
      <c r="FL427" s="105"/>
      <c r="FM427" s="105"/>
      <c r="FN427" s="105"/>
      <c r="FO427" s="105"/>
      <c r="FP427" s="105"/>
      <c r="FQ427" s="105"/>
      <c r="FR427" s="105"/>
      <c r="FS427" s="105"/>
      <c r="FT427" s="105"/>
      <c r="FU427" s="105"/>
      <c r="FV427" s="105"/>
      <c r="FW427" s="105"/>
      <c r="FX427" s="105"/>
      <c r="FY427" s="105"/>
      <c r="FZ427" s="105"/>
      <c r="GA427" s="105"/>
      <c r="GB427" s="105"/>
      <c r="GC427" s="105"/>
      <c r="GD427" s="105"/>
      <c r="GE427" s="105"/>
      <c r="GF427" s="105"/>
      <c r="GG427" s="105"/>
      <c r="GH427" s="105"/>
      <c r="GI427" s="105"/>
      <c r="GJ427" s="105"/>
      <c r="GK427" s="105"/>
      <c r="GL427" s="105"/>
      <c r="GM427" s="105"/>
      <c r="GN427" s="105"/>
      <c r="GO427" s="105"/>
      <c r="GP427" s="105"/>
      <c r="GQ427" s="105"/>
      <c r="GR427" s="105"/>
      <c r="GS427" s="105"/>
      <c r="GT427" s="105"/>
      <c r="GU427" s="105"/>
      <c r="GV427" s="105"/>
      <c r="GW427" s="105"/>
      <c r="GX427" s="105"/>
      <c r="GY427" s="105"/>
      <c r="GZ427" s="105"/>
      <c r="HA427" s="105"/>
      <c r="HB427" s="105"/>
      <c r="HC427" s="105"/>
      <c r="HD427" s="105"/>
      <c r="HE427" s="105"/>
      <c r="HF427" s="105"/>
      <c r="HG427" s="105"/>
      <c r="HH427" s="105"/>
      <c r="HI427" s="105"/>
      <c r="HJ427" s="105"/>
      <c r="HK427" s="105"/>
      <c r="HL427" s="105"/>
      <c r="HM427" s="105"/>
      <c r="HN427" s="105"/>
      <c r="HO427" s="105"/>
      <c r="HP427" s="105"/>
      <c r="HQ427" s="105"/>
      <c r="HR427" s="105"/>
      <c r="HS427" s="105"/>
      <c r="HT427" s="105"/>
      <c r="HU427" s="105"/>
      <c r="HV427" s="105"/>
      <c r="HW427" s="105"/>
      <c r="HX427" s="105"/>
      <c r="HY427" s="105"/>
      <c r="HZ427" s="105"/>
      <c r="IA427" s="105"/>
      <c r="IB427" s="105"/>
      <c r="IC427" s="105"/>
      <c r="ID427" s="105"/>
      <c r="IE427" s="105"/>
      <c r="IF427" s="105"/>
      <c r="IG427" s="105"/>
      <c r="IH427" s="105"/>
      <c r="II427" s="105"/>
      <c r="IJ427" s="105"/>
      <c r="IK427" s="105"/>
      <c r="IL427" s="105"/>
      <c r="IM427" s="105"/>
      <c r="IN427" s="105"/>
      <c r="IO427" s="105"/>
      <c r="IP427" s="105"/>
      <c r="IQ427" s="105"/>
      <c r="IR427" s="105"/>
      <c r="IS427" s="105"/>
      <c r="IT427" s="105"/>
      <c r="IU427" s="105"/>
      <c r="IV427" s="105"/>
    </row>
    <row r="428" spans="1:256" s="406" customFormat="1" x14ac:dyDescent="0.2">
      <c r="A428" s="145">
        <v>44530</v>
      </c>
      <c r="B428" s="112" t="s">
        <v>884</v>
      </c>
      <c r="C428" s="112">
        <v>2021</v>
      </c>
      <c r="D428" s="112" t="s">
        <v>7</v>
      </c>
      <c r="E428" s="146">
        <v>-0.43</v>
      </c>
      <c r="F428" s="146" t="s">
        <v>32</v>
      </c>
      <c r="G428" s="448">
        <f>-(E428*80000)</f>
        <v>34400</v>
      </c>
      <c r="H428" s="149">
        <v>257</v>
      </c>
      <c r="I428" s="146" t="s">
        <v>80</v>
      </c>
      <c r="J428" s="146" t="s">
        <v>36</v>
      </c>
      <c r="K428" s="146">
        <v>0.18</v>
      </c>
      <c r="L428" s="149" t="s">
        <v>903</v>
      </c>
      <c r="M428" s="149" t="s">
        <v>904</v>
      </c>
      <c r="N428" s="149" t="s">
        <v>905</v>
      </c>
      <c r="O428" s="149"/>
      <c r="P428" s="342" t="s">
        <v>101</v>
      </c>
      <c r="Q428" s="802">
        <v>39.628300000000003</v>
      </c>
      <c r="R428" s="699">
        <v>-86.090199999999996</v>
      </c>
      <c r="S428" s="342" t="s">
        <v>63</v>
      </c>
      <c r="T428" s="112"/>
      <c r="U428" s="112" t="s">
        <v>51</v>
      </c>
      <c r="V428" s="145"/>
      <c r="W428" s="150">
        <f>IF(AC428="Intr",0,G428*Definitions!$B$53)</f>
        <v>5160</v>
      </c>
      <c r="X428" s="150">
        <f>IF(AC428="Intr",0,G428*Definitions!$B$54)</f>
        <v>24080</v>
      </c>
      <c r="Y428" s="150">
        <f>IF(AC428="Intr",G428,G428*Definitions!$B$55)</f>
        <v>5160</v>
      </c>
      <c r="Z428" s="150" t="s">
        <v>966</v>
      </c>
      <c r="AA428" s="150" t="s">
        <v>965</v>
      </c>
      <c r="AB428" s="150"/>
      <c r="AC428" s="112"/>
      <c r="AD428" s="112"/>
      <c r="AE428" s="112"/>
      <c r="AF428" s="112"/>
      <c r="AG428" s="151"/>
      <c r="AH428" s="112"/>
      <c r="AI428" s="105"/>
      <c r="AJ428" s="105"/>
      <c r="AK428" s="105"/>
      <c r="AL428" s="105"/>
      <c r="AM428" s="105"/>
      <c r="AN428" s="105"/>
      <c r="AO428" s="105"/>
      <c r="AP428" s="105"/>
      <c r="AQ428" s="105"/>
      <c r="AR428" s="105"/>
      <c r="AS428" s="105"/>
      <c r="AT428" s="105"/>
      <c r="AU428" s="105"/>
      <c r="AV428" s="105"/>
      <c r="AW428" s="105"/>
      <c r="AX428" s="105"/>
      <c r="AY428" s="105"/>
      <c r="AZ428" s="105"/>
      <c r="BA428" s="105"/>
      <c r="BB428" s="105"/>
      <c r="BC428" s="105"/>
      <c r="BD428" s="105"/>
      <c r="BE428" s="105"/>
      <c r="BF428" s="105"/>
      <c r="BG428" s="105"/>
      <c r="BH428" s="105"/>
      <c r="BI428" s="105"/>
      <c r="BJ428" s="105"/>
      <c r="BK428" s="105"/>
      <c r="BL428" s="105"/>
      <c r="BM428" s="105"/>
      <c r="BN428" s="105"/>
      <c r="BO428" s="105"/>
      <c r="BP428" s="105"/>
      <c r="BQ428" s="105"/>
      <c r="BR428" s="105"/>
      <c r="BS428" s="105"/>
      <c r="BT428" s="105"/>
      <c r="BU428" s="105"/>
      <c r="BV428" s="105"/>
      <c r="BW428" s="105"/>
      <c r="BX428" s="105"/>
      <c r="BY428" s="105"/>
      <c r="BZ428" s="105"/>
      <c r="CA428" s="105"/>
      <c r="CB428" s="105"/>
      <c r="CC428" s="105"/>
      <c r="CD428" s="105"/>
      <c r="CE428" s="105"/>
      <c r="CF428" s="105"/>
      <c r="CG428" s="105"/>
      <c r="CH428" s="105"/>
      <c r="CI428" s="105"/>
      <c r="CJ428" s="105"/>
      <c r="CK428" s="105"/>
      <c r="CL428" s="105"/>
      <c r="CM428" s="105"/>
      <c r="CN428" s="105"/>
      <c r="CO428" s="105"/>
      <c r="CP428" s="105"/>
      <c r="CQ428" s="105"/>
      <c r="CR428" s="105"/>
      <c r="CS428" s="105"/>
      <c r="CT428" s="105"/>
      <c r="CU428" s="105"/>
      <c r="CV428" s="105"/>
      <c r="CW428" s="105"/>
      <c r="CX428" s="105"/>
      <c r="CY428" s="105"/>
      <c r="CZ428" s="105"/>
      <c r="DA428" s="105"/>
      <c r="DB428" s="105"/>
      <c r="DC428" s="105"/>
      <c r="DD428" s="105"/>
      <c r="DE428" s="105"/>
      <c r="DF428" s="105"/>
      <c r="DG428" s="105"/>
      <c r="DH428" s="105"/>
      <c r="DI428" s="105"/>
      <c r="DJ428" s="105"/>
      <c r="DK428" s="105"/>
      <c r="DL428" s="105"/>
      <c r="DM428" s="105"/>
      <c r="DN428" s="105"/>
      <c r="DO428" s="105"/>
      <c r="DP428" s="105"/>
      <c r="DQ428" s="105"/>
      <c r="DR428" s="105"/>
      <c r="DS428" s="105"/>
      <c r="DT428" s="105"/>
      <c r="DU428" s="105"/>
      <c r="DV428" s="105"/>
      <c r="DW428" s="105"/>
      <c r="DX428" s="105"/>
      <c r="DY428" s="105"/>
      <c r="DZ428" s="105"/>
      <c r="EA428" s="105"/>
      <c r="EB428" s="105"/>
      <c r="EC428" s="105"/>
      <c r="ED428" s="105"/>
      <c r="EE428" s="105"/>
      <c r="EF428" s="105"/>
      <c r="EG428" s="105"/>
      <c r="EH428" s="105"/>
      <c r="EI428" s="105"/>
      <c r="EJ428" s="105"/>
      <c r="EK428" s="105"/>
      <c r="EL428" s="105"/>
      <c r="EM428" s="105"/>
      <c r="EN428" s="105"/>
      <c r="EO428" s="105"/>
      <c r="EP428" s="105"/>
      <c r="EQ428" s="105"/>
      <c r="ER428" s="105"/>
      <c r="ES428" s="105"/>
      <c r="ET428" s="105"/>
      <c r="EU428" s="105"/>
      <c r="EV428" s="105"/>
      <c r="EW428" s="105"/>
      <c r="EX428" s="105"/>
      <c r="EY428" s="105"/>
      <c r="EZ428" s="105"/>
      <c r="FA428" s="105"/>
      <c r="FB428" s="105"/>
      <c r="FC428" s="105"/>
      <c r="FD428" s="105"/>
      <c r="FE428" s="105"/>
      <c r="FF428" s="105"/>
      <c r="FG428" s="105"/>
      <c r="FH428" s="105"/>
      <c r="FI428" s="105"/>
      <c r="FJ428" s="105"/>
      <c r="FK428" s="105"/>
      <c r="FL428" s="105"/>
      <c r="FM428" s="105"/>
      <c r="FN428" s="105"/>
      <c r="FO428" s="105"/>
      <c r="FP428" s="105"/>
      <c r="FQ428" s="105"/>
      <c r="FR428" s="105"/>
      <c r="FS428" s="105"/>
      <c r="FT428" s="105"/>
      <c r="FU428" s="105"/>
      <c r="FV428" s="105"/>
      <c r="FW428" s="105"/>
      <c r="FX428" s="105"/>
      <c r="FY428" s="105"/>
      <c r="FZ428" s="105"/>
      <c r="GA428" s="105"/>
      <c r="GB428" s="105"/>
      <c r="GC428" s="105"/>
      <c r="GD428" s="105"/>
      <c r="GE428" s="105"/>
      <c r="GF428" s="105"/>
      <c r="GG428" s="105"/>
      <c r="GH428" s="105"/>
      <c r="GI428" s="105"/>
      <c r="GJ428" s="105"/>
      <c r="GK428" s="105"/>
      <c r="GL428" s="105"/>
      <c r="GM428" s="105"/>
      <c r="GN428" s="105"/>
      <c r="GO428" s="105"/>
      <c r="GP428" s="105"/>
      <c r="GQ428" s="105"/>
      <c r="GR428" s="105"/>
      <c r="GS428" s="105"/>
      <c r="GT428" s="105"/>
      <c r="GU428" s="105"/>
      <c r="GV428" s="105"/>
      <c r="GW428" s="105"/>
      <c r="GX428" s="105"/>
      <c r="GY428" s="105"/>
      <c r="GZ428" s="105"/>
      <c r="HA428" s="105"/>
      <c r="HB428" s="105"/>
      <c r="HC428" s="105"/>
      <c r="HD428" s="105"/>
      <c r="HE428" s="105"/>
      <c r="HF428" s="105"/>
      <c r="HG428" s="105"/>
      <c r="HH428" s="105"/>
      <c r="HI428" s="105"/>
      <c r="HJ428" s="105"/>
      <c r="HK428" s="105"/>
      <c r="HL428" s="105"/>
      <c r="HM428" s="105"/>
      <c r="HN428" s="105"/>
      <c r="HO428" s="105"/>
      <c r="HP428" s="105"/>
      <c r="HQ428" s="105"/>
      <c r="HR428" s="105"/>
      <c r="HS428" s="105"/>
      <c r="HT428" s="105"/>
      <c r="HU428" s="105"/>
      <c r="HV428" s="105"/>
      <c r="HW428" s="105"/>
      <c r="HX428" s="105"/>
      <c r="HY428" s="105"/>
      <c r="HZ428" s="105"/>
      <c r="IA428" s="105"/>
      <c r="IB428" s="105"/>
      <c r="IC428" s="105"/>
      <c r="ID428" s="105"/>
      <c r="IE428" s="105"/>
      <c r="IF428" s="105"/>
      <c r="IG428" s="105"/>
      <c r="IH428" s="105"/>
      <c r="II428" s="105"/>
      <c r="IJ428" s="105"/>
      <c r="IK428" s="105"/>
      <c r="IL428" s="105"/>
      <c r="IM428" s="105"/>
      <c r="IN428" s="105"/>
      <c r="IO428" s="105"/>
      <c r="IP428" s="105"/>
      <c r="IQ428" s="105"/>
      <c r="IR428" s="105"/>
      <c r="IS428" s="105"/>
      <c r="IT428" s="105"/>
      <c r="IU428" s="105"/>
      <c r="IV428" s="105"/>
    </row>
    <row r="429" spans="1:256" s="406" customFormat="1" x14ac:dyDescent="0.2">
      <c r="A429" s="258">
        <v>44537</v>
      </c>
      <c r="B429" s="259" t="s">
        <v>134</v>
      </c>
      <c r="C429" s="259">
        <v>2021</v>
      </c>
      <c r="D429" s="259" t="s">
        <v>1</v>
      </c>
      <c r="E429" s="260">
        <v>-232</v>
      </c>
      <c r="F429" s="261" t="s">
        <v>33</v>
      </c>
      <c r="G429" s="262">
        <f>-(E429*600)</f>
        <v>139200</v>
      </c>
      <c r="H429" s="263">
        <v>258</v>
      </c>
      <c r="I429" s="261" t="s">
        <v>80</v>
      </c>
      <c r="J429" s="261" t="s">
        <v>40</v>
      </c>
      <c r="K429" s="260">
        <v>1060</v>
      </c>
      <c r="L429" s="260" t="s">
        <v>912</v>
      </c>
      <c r="M429" s="260" t="s">
        <v>913</v>
      </c>
      <c r="N429" s="260" t="s">
        <v>914</v>
      </c>
      <c r="O429" s="260"/>
      <c r="P429" s="264" t="s">
        <v>227</v>
      </c>
      <c r="Q429" s="806">
        <v>41.53716</v>
      </c>
      <c r="R429" s="703">
        <v>-87.398420000000002</v>
      </c>
      <c r="S429" s="264" t="s">
        <v>63</v>
      </c>
      <c r="T429" s="259"/>
      <c r="U429" s="259" t="s">
        <v>51</v>
      </c>
      <c r="V429" s="258"/>
      <c r="W429" s="265">
        <f>IF(AC429="Intr",0,G429*Definitions!$B$53)</f>
        <v>20880</v>
      </c>
      <c r="X429" s="265">
        <f>IF(AC429="Intr",0,G429*Definitions!$B$54)</f>
        <v>97440</v>
      </c>
      <c r="Y429" s="265">
        <f>IF(AC429="Intr",G429,G429*Definitions!$B$55)</f>
        <v>20880</v>
      </c>
      <c r="Z429" s="265" t="s">
        <v>967</v>
      </c>
      <c r="AA429" s="265" t="s">
        <v>965</v>
      </c>
      <c r="AB429" s="265"/>
      <c r="AC429" s="259"/>
      <c r="AD429" s="259"/>
      <c r="AE429" s="259"/>
      <c r="AF429" s="259"/>
      <c r="AG429" s="266"/>
      <c r="AH429" s="264" t="s">
        <v>915</v>
      </c>
      <c r="AI429" s="105"/>
      <c r="AJ429" s="105"/>
      <c r="AK429" s="105"/>
      <c r="AL429" s="105"/>
      <c r="AM429" s="105"/>
      <c r="AN429" s="105"/>
      <c r="AO429" s="105"/>
      <c r="AP429" s="105"/>
      <c r="AQ429" s="105"/>
      <c r="AR429" s="105"/>
      <c r="AS429" s="105"/>
      <c r="AT429" s="105"/>
      <c r="AU429" s="105"/>
      <c r="AV429" s="105"/>
      <c r="AW429" s="105"/>
      <c r="AX429" s="105"/>
      <c r="AY429" s="105"/>
      <c r="AZ429" s="105"/>
      <c r="BA429" s="105"/>
      <c r="BB429" s="105"/>
      <c r="BC429" s="105"/>
      <c r="BD429" s="105"/>
      <c r="BE429" s="105"/>
      <c r="BF429" s="105"/>
      <c r="BG429" s="105"/>
      <c r="BH429" s="105"/>
      <c r="BI429" s="105"/>
      <c r="BJ429" s="105"/>
      <c r="BK429" s="105"/>
      <c r="BL429" s="105"/>
      <c r="BM429" s="105"/>
      <c r="BN429" s="105"/>
      <c r="BO429" s="105"/>
      <c r="BP429" s="105"/>
      <c r="BQ429" s="105"/>
      <c r="BR429" s="105"/>
      <c r="BS429" s="105"/>
      <c r="BT429" s="105"/>
      <c r="BU429" s="105"/>
      <c r="BV429" s="105"/>
      <c r="BW429" s="105"/>
      <c r="BX429" s="105"/>
      <c r="BY429" s="105"/>
      <c r="BZ429" s="105"/>
      <c r="CA429" s="105"/>
      <c r="CB429" s="105"/>
      <c r="CC429" s="105"/>
      <c r="CD429" s="105"/>
      <c r="CE429" s="105"/>
      <c r="CF429" s="105"/>
      <c r="CG429" s="105"/>
      <c r="CH429" s="105"/>
      <c r="CI429" s="105"/>
      <c r="CJ429" s="105"/>
      <c r="CK429" s="105"/>
      <c r="CL429" s="105"/>
      <c r="CM429" s="105"/>
      <c r="CN429" s="105"/>
      <c r="CO429" s="105"/>
      <c r="CP429" s="105"/>
      <c r="CQ429" s="105"/>
      <c r="CR429" s="105"/>
      <c r="CS429" s="105"/>
      <c r="CT429" s="105"/>
      <c r="CU429" s="105"/>
      <c r="CV429" s="105"/>
      <c r="CW429" s="105"/>
      <c r="CX429" s="105"/>
      <c r="CY429" s="105"/>
      <c r="CZ429" s="105"/>
      <c r="DA429" s="105"/>
      <c r="DB429" s="105"/>
      <c r="DC429" s="105"/>
      <c r="DD429" s="105"/>
      <c r="DE429" s="105"/>
      <c r="DF429" s="105"/>
      <c r="DG429" s="105"/>
      <c r="DH429" s="105"/>
      <c r="DI429" s="105"/>
      <c r="DJ429" s="105"/>
      <c r="DK429" s="105"/>
      <c r="DL429" s="105"/>
      <c r="DM429" s="105"/>
      <c r="DN429" s="105"/>
      <c r="DO429" s="105"/>
      <c r="DP429" s="105"/>
      <c r="DQ429" s="105"/>
      <c r="DR429" s="105"/>
      <c r="DS429" s="105"/>
      <c r="DT429" s="105"/>
      <c r="DU429" s="105"/>
      <c r="DV429" s="105"/>
      <c r="DW429" s="105"/>
      <c r="DX429" s="105"/>
      <c r="DY429" s="105"/>
      <c r="DZ429" s="105"/>
      <c r="EA429" s="105"/>
      <c r="EB429" s="105"/>
      <c r="EC429" s="105"/>
      <c r="ED429" s="105"/>
      <c r="EE429" s="105"/>
      <c r="EF429" s="105"/>
      <c r="EG429" s="105"/>
      <c r="EH429" s="105"/>
      <c r="EI429" s="105"/>
      <c r="EJ429" s="105"/>
      <c r="EK429" s="105"/>
      <c r="EL429" s="105"/>
      <c r="EM429" s="105"/>
      <c r="EN429" s="105"/>
      <c r="EO429" s="105"/>
      <c r="EP429" s="105"/>
      <c r="EQ429" s="105"/>
      <c r="ER429" s="105"/>
      <c r="ES429" s="105"/>
      <c r="ET429" s="105"/>
      <c r="EU429" s="105"/>
      <c r="EV429" s="105"/>
      <c r="EW429" s="105"/>
      <c r="EX429" s="105"/>
      <c r="EY429" s="105"/>
      <c r="EZ429" s="105"/>
      <c r="FA429" s="105"/>
      <c r="FB429" s="105"/>
      <c r="FC429" s="105"/>
      <c r="FD429" s="105"/>
      <c r="FE429" s="105"/>
      <c r="FF429" s="105"/>
      <c r="FG429" s="105"/>
      <c r="FH429" s="105"/>
      <c r="FI429" s="105"/>
      <c r="FJ429" s="105"/>
      <c r="FK429" s="105"/>
      <c r="FL429" s="105"/>
      <c r="FM429" s="105"/>
      <c r="FN429" s="105"/>
      <c r="FO429" s="105"/>
      <c r="FP429" s="105"/>
      <c r="FQ429" s="105"/>
      <c r="FR429" s="105"/>
      <c r="FS429" s="105"/>
      <c r="FT429" s="105"/>
      <c r="FU429" s="105"/>
      <c r="FV429" s="105"/>
      <c r="FW429" s="105"/>
      <c r="FX429" s="105"/>
      <c r="FY429" s="105"/>
      <c r="FZ429" s="105"/>
      <c r="GA429" s="105"/>
      <c r="GB429" s="105"/>
      <c r="GC429" s="105"/>
      <c r="GD429" s="105"/>
      <c r="GE429" s="105"/>
      <c r="GF429" s="105"/>
      <c r="GG429" s="105"/>
      <c r="GH429" s="105"/>
      <c r="GI429" s="105"/>
      <c r="GJ429" s="105"/>
      <c r="GK429" s="105"/>
      <c r="GL429" s="105"/>
      <c r="GM429" s="105"/>
      <c r="GN429" s="105"/>
      <c r="GO429" s="105"/>
      <c r="GP429" s="105"/>
      <c r="GQ429" s="105"/>
      <c r="GR429" s="105"/>
      <c r="GS429" s="105"/>
      <c r="GT429" s="105"/>
      <c r="GU429" s="105"/>
      <c r="GV429" s="105"/>
      <c r="GW429" s="105"/>
      <c r="GX429" s="105"/>
      <c r="GY429" s="105"/>
      <c r="GZ429" s="105"/>
      <c r="HA429" s="105"/>
      <c r="HB429" s="105"/>
      <c r="HC429" s="105"/>
      <c r="HD429" s="105"/>
      <c r="HE429" s="105"/>
      <c r="HF429" s="105"/>
      <c r="HG429" s="105"/>
      <c r="HH429" s="105"/>
      <c r="HI429" s="105"/>
      <c r="HJ429" s="105"/>
      <c r="HK429" s="105"/>
      <c r="HL429" s="105"/>
      <c r="HM429" s="105"/>
      <c r="HN429" s="105"/>
      <c r="HO429" s="105"/>
      <c r="HP429" s="105"/>
      <c r="HQ429" s="105"/>
      <c r="HR429" s="105"/>
      <c r="HS429" s="105"/>
      <c r="HT429" s="105"/>
      <c r="HU429" s="105"/>
      <c r="HV429" s="105"/>
      <c r="HW429" s="105"/>
      <c r="HX429" s="105"/>
      <c r="HY429" s="105"/>
      <c r="HZ429" s="105"/>
      <c r="IA429" s="105"/>
      <c r="IB429" s="105"/>
      <c r="IC429" s="105"/>
      <c r="ID429" s="105"/>
      <c r="IE429" s="105"/>
      <c r="IF429" s="105"/>
      <c r="IG429" s="105"/>
      <c r="IH429" s="105"/>
      <c r="II429" s="105"/>
      <c r="IJ429" s="105"/>
      <c r="IK429" s="105"/>
      <c r="IL429" s="105"/>
      <c r="IM429" s="105"/>
      <c r="IN429" s="105"/>
      <c r="IO429" s="105"/>
      <c r="IP429" s="105"/>
      <c r="IQ429" s="105"/>
      <c r="IR429" s="105"/>
      <c r="IS429" s="105"/>
      <c r="IT429" s="105"/>
      <c r="IU429" s="105"/>
      <c r="IV429" s="105"/>
    </row>
    <row r="430" spans="1:256" s="428" customFormat="1" x14ac:dyDescent="0.2">
      <c r="A430" s="258">
        <v>44537</v>
      </c>
      <c r="B430" s="259" t="s">
        <v>134</v>
      </c>
      <c r="C430" s="259">
        <v>2021</v>
      </c>
      <c r="D430" s="259" t="s">
        <v>1</v>
      </c>
      <c r="E430" s="260">
        <v>-0.93400000000000005</v>
      </c>
      <c r="F430" s="261" t="s">
        <v>32</v>
      </c>
      <c r="G430" s="262">
        <f>-(E430*95000)</f>
        <v>88730</v>
      </c>
      <c r="H430" s="263">
        <v>258</v>
      </c>
      <c r="I430" s="261" t="s">
        <v>80</v>
      </c>
      <c r="J430" s="261" t="s">
        <v>36</v>
      </c>
      <c r="K430" s="260">
        <v>0.42499999999999999</v>
      </c>
      <c r="L430" s="260" t="s">
        <v>912</v>
      </c>
      <c r="M430" s="260" t="s">
        <v>913</v>
      </c>
      <c r="N430" s="260" t="s">
        <v>914</v>
      </c>
      <c r="O430" s="260"/>
      <c r="P430" s="264" t="s">
        <v>227</v>
      </c>
      <c r="Q430" s="806">
        <v>41.53716</v>
      </c>
      <c r="R430" s="871">
        <v>-87.398420000000002</v>
      </c>
      <c r="S430" s="264" t="s">
        <v>63</v>
      </c>
      <c r="T430" s="259"/>
      <c r="U430" s="259" t="s">
        <v>51</v>
      </c>
      <c r="V430" s="258"/>
      <c r="W430" s="265">
        <f>IF(AC430="Intr",0,G430*Definitions!$B$53)</f>
        <v>13309.5</v>
      </c>
      <c r="X430" s="265">
        <f>IF(AC430="Intr",0,G430*Definitions!$B$54)</f>
        <v>62110.999999999993</v>
      </c>
      <c r="Y430" s="265">
        <f>IF(AC430="Intr",G430,G430*Definitions!$B$55)</f>
        <v>13309.5</v>
      </c>
      <c r="Z430" s="265" t="s">
        <v>967</v>
      </c>
      <c r="AA430" s="265" t="s">
        <v>965</v>
      </c>
      <c r="AB430" s="265"/>
      <c r="AC430" s="259"/>
      <c r="AD430" s="259"/>
      <c r="AE430" s="259"/>
      <c r="AF430" s="259"/>
      <c r="AG430" s="266"/>
      <c r="AH430" s="264" t="s">
        <v>916</v>
      </c>
      <c r="AI430" s="105"/>
      <c r="AJ430" s="105"/>
      <c r="AK430" s="105"/>
      <c r="AL430" s="105"/>
      <c r="AM430" s="105"/>
      <c r="AN430" s="105"/>
      <c r="AO430" s="105"/>
      <c r="AP430" s="105"/>
      <c r="AQ430" s="105"/>
      <c r="AR430" s="105"/>
      <c r="AS430" s="105"/>
      <c r="AT430" s="105"/>
      <c r="AU430" s="105"/>
      <c r="AV430" s="105"/>
      <c r="AW430" s="105"/>
      <c r="AX430" s="105"/>
      <c r="AY430" s="105"/>
      <c r="AZ430" s="105"/>
      <c r="BA430" s="105"/>
      <c r="BB430" s="105"/>
      <c r="BC430" s="105"/>
      <c r="BD430" s="105"/>
      <c r="BE430" s="105"/>
      <c r="BF430" s="105"/>
      <c r="BG430" s="105"/>
      <c r="BH430" s="105"/>
      <c r="BI430" s="105"/>
      <c r="BJ430" s="105"/>
      <c r="BK430" s="105"/>
      <c r="BL430" s="105"/>
      <c r="BM430" s="105"/>
      <c r="BN430" s="105"/>
      <c r="BO430" s="105"/>
      <c r="BP430" s="105"/>
      <c r="BQ430" s="105"/>
      <c r="BR430" s="105"/>
      <c r="BS430" s="105"/>
      <c r="BT430" s="105"/>
      <c r="BU430" s="105"/>
      <c r="BV430" s="105"/>
      <c r="BW430" s="105"/>
      <c r="BX430" s="105"/>
      <c r="BY430" s="105"/>
      <c r="BZ430" s="105"/>
      <c r="CA430" s="105"/>
      <c r="CB430" s="105"/>
      <c r="CC430" s="105"/>
      <c r="CD430" s="105"/>
      <c r="CE430" s="105"/>
      <c r="CF430" s="105"/>
      <c r="CG430" s="105"/>
      <c r="CH430" s="105"/>
      <c r="CI430" s="105"/>
      <c r="CJ430" s="105"/>
      <c r="CK430" s="105"/>
      <c r="CL430" s="105"/>
      <c r="CM430" s="105"/>
      <c r="CN430" s="105"/>
      <c r="CO430" s="105"/>
      <c r="CP430" s="105"/>
      <c r="CQ430" s="105"/>
      <c r="CR430" s="105"/>
      <c r="CS430" s="105"/>
      <c r="CT430" s="105"/>
      <c r="CU430" s="105"/>
      <c r="CV430" s="105"/>
      <c r="CW430" s="105"/>
      <c r="CX430" s="105"/>
      <c r="CY430" s="105"/>
      <c r="CZ430" s="105"/>
      <c r="DA430" s="105"/>
      <c r="DB430" s="105"/>
      <c r="DC430" s="105"/>
      <c r="DD430" s="105"/>
      <c r="DE430" s="105"/>
      <c r="DF430" s="105"/>
      <c r="DG430" s="105"/>
      <c r="DH430" s="105"/>
      <c r="DI430" s="105"/>
      <c r="DJ430" s="105"/>
      <c r="DK430" s="105"/>
      <c r="DL430" s="105"/>
      <c r="DM430" s="105"/>
      <c r="DN430" s="105"/>
      <c r="DO430" s="105"/>
      <c r="DP430" s="105"/>
      <c r="DQ430" s="105"/>
      <c r="DR430" s="105"/>
      <c r="DS430" s="105"/>
      <c r="DT430" s="105"/>
      <c r="DU430" s="105"/>
      <c r="DV430" s="105"/>
      <c r="DW430" s="105"/>
      <c r="DX430" s="105"/>
      <c r="DY430" s="105"/>
      <c r="DZ430" s="105"/>
      <c r="EA430" s="105"/>
      <c r="EB430" s="105"/>
      <c r="EC430" s="105"/>
      <c r="ED430" s="105"/>
      <c r="EE430" s="105"/>
      <c r="EF430" s="105"/>
      <c r="EG430" s="105"/>
      <c r="EH430" s="105"/>
      <c r="EI430" s="105"/>
      <c r="EJ430" s="105"/>
      <c r="EK430" s="105"/>
      <c r="EL430" s="105"/>
      <c r="EM430" s="105"/>
      <c r="EN430" s="105"/>
      <c r="EO430" s="105"/>
      <c r="EP430" s="105"/>
      <c r="EQ430" s="105"/>
      <c r="ER430" s="105"/>
      <c r="ES430" s="105"/>
      <c r="ET430" s="105"/>
      <c r="EU430" s="105"/>
      <c r="EV430" s="105"/>
      <c r="EW430" s="105"/>
      <c r="EX430" s="105"/>
      <c r="EY430" s="105"/>
      <c r="EZ430" s="105"/>
      <c r="FA430" s="105"/>
      <c r="FB430" s="105"/>
      <c r="FC430" s="105"/>
      <c r="FD430" s="105"/>
      <c r="FE430" s="105"/>
      <c r="FF430" s="105"/>
      <c r="FG430" s="105"/>
      <c r="FH430" s="105"/>
      <c r="FI430" s="105"/>
      <c r="FJ430" s="105"/>
      <c r="FK430" s="105"/>
      <c r="FL430" s="105"/>
      <c r="FM430" s="105"/>
      <c r="FN430" s="105"/>
      <c r="FO430" s="105"/>
      <c r="FP430" s="105"/>
      <c r="FQ430" s="105"/>
      <c r="FR430" s="105"/>
      <c r="FS430" s="105"/>
      <c r="FT430" s="105"/>
      <c r="FU430" s="105"/>
      <c r="FV430" s="105"/>
      <c r="FW430" s="105"/>
      <c r="FX430" s="105"/>
      <c r="FY430" s="105"/>
      <c r="FZ430" s="105"/>
      <c r="GA430" s="105"/>
      <c r="GB430" s="105"/>
      <c r="GC430" s="105"/>
      <c r="GD430" s="105"/>
      <c r="GE430" s="105"/>
      <c r="GF430" s="105"/>
      <c r="GG430" s="105"/>
      <c r="GH430" s="105"/>
      <c r="GI430" s="105"/>
      <c r="GJ430" s="105"/>
      <c r="GK430" s="105"/>
      <c r="GL430" s="105"/>
      <c r="GM430" s="105"/>
      <c r="GN430" s="105"/>
      <c r="GO430" s="105"/>
      <c r="GP430" s="105"/>
      <c r="GQ430" s="105"/>
      <c r="GR430" s="105"/>
      <c r="GS430" s="105"/>
      <c r="GT430" s="105"/>
      <c r="GU430" s="105"/>
      <c r="GV430" s="105"/>
      <c r="GW430" s="105"/>
      <c r="GX430" s="105"/>
      <c r="GY430" s="105"/>
      <c r="GZ430" s="105"/>
      <c r="HA430" s="105"/>
      <c r="HB430" s="105"/>
      <c r="HC430" s="105"/>
      <c r="HD430" s="105"/>
      <c r="HE430" s="105"/>
      <c r="HF430" s="105"/>
      <c r="HG430" s="105"/>
      <c r="HH430" s="105"/>
      <c r="HI430" s="105"/>
      <c r="HJ430" s="105"/>
      <c r="HK430" s="105"/>
      <c r="HL430" s="105"/>
      <c r="HM430" s="105"/>
      <c r="HN430" s="105"/>
      <c r="HO430" s="105"/>
      <c r="HP430" s="105"/>
      <c r="HQ430" s="105"/>
      <c r="HR430" s="105"/>
      <c r="HS430" s="105"/>
      <c r="HT430" s="105"/>
      <c r="HU430" s="105"/>
      <c r="HV430" s="105"/>
      <c r="HW430" s="105"/>
      <c r="HX430" s="105"/>
      <c r="HY430" s="105"/>
      <c r="HZ430" s="105"/>
      <c r="IA430" s="105"/>
      <c r="IB430" s="105"/>
      <c r="IC430" s="105"/>
      <c r="ID430" s="105"/>
      <c r="IE430" s="105"/>
      <c r="IF430" s="105"/>
      <c r="IG430" s="105"/>
      <c r="IH430" s="105"/>
      <c r="II430" s="105"/>
      <c r="IJ430" s="105"/>
      <c r="IK430" s="105"/>
      <c r="IL430" s="105"/>
      <c r="IM430" s="105"/>
      <c r="IN430" s="105"/>
      <c r="IO430" s="105"/>
      <c r="IP430" s="105"/>
      <c r="IQ430" s="105"/>
      <c r="IR430" s="105"/>
      <c r="IS430" s="105"/>
      <c r="IT430" s="105"/>
      <c r="IU430" s="105"/>
      <c r="IV430" s="105"/>
    </row>
    <row r="431" spans="1:256" s="428" customFormat="1" x14ac:dyDescent="0.2">
      <c r="A431" s="258">
        <v>44537</v>
      </c>
      <c r="B431" s="259" t="s">
        <v>134</v>
      </c>
      <c r="C431" s="259">
        <v>2021</v>
      </c>
      <c r="D431" s="259" t="s">
        <v>1</v>
      </c>
      <c r="E431" s="260">
        <v>-0.01</v>
      </c>
      <c r="F431" s="261" t="s">
        <v>32</v>
      </c>
      <c r="G431" s="262">
        <f>-(E431*95000)</f>
        <v>950</v>
      </c>
      <c r="H431" s="263">
        <v>258</v>
      </c>
      <c r="I431" s="261" t="s">
        <v>80</v>
      </c>
      <c r="J431" s="261" t="s">
        <v>37</v>
      </c>
      <c r="K431" s="260">
        <v>3.0000000000000001E-3</v>
      </c>
      <c r="L431" s="260" t="s">
        <v>912</v>
      </c>
      <c r="M431" s="260" t="s">
        <v>913</v>
      </c>
      <c r="N431" s="260" t="s">
        <v>914</v>
      </c>
      <c r="O431" s="260"/>
      <c r="P431" s="264" t="s">
        <v>227</v>
      </c>
      <c r="Q431" s="806">
        <v>41.53716</v>
      </c>
      <c r="R431" s="703">
        <v>-87.398420000000002</v>
      </c>
      <c r="S431" s="264" t="s">
        <v>63</v>
      </c>
      <c r="T431" s="264"/>
      <c r="U431" s="259" t="s">
        <v>51</v>
      </c>
      <c r="V431" s="258"/>
      <c r="W431" s="265">
        <f>IF(AC431="Intr",0,G431*Definitions!$B$53)</f>
        <v>142.5</v>
      </c>
      <c r="X431" s="265">
        <f>IF(AC431="Intr",0,G431*Definitions!$B$54)</f>
        <v>665</v>
      </c>
      <c r="Y431" s="265">
        <f>IF(AC431="Intr",G431,G431*Definitions!$B$55)</f>
        <v>142.5</v>
      </c>
      <c r="Z431" s="265" t="s">
        <v>967</v>
      </c>
      <c r="AA431" s="265" t="s">
        <v>965</v>
      </c>
      <c r="AB431" s="265"/>
      <c r="AC431" s="259"/>
      <c r="AD431" s="259"/>
      <c r="AE431" s="259"/>
      <c r="AF431" s="259"/>
      <c r="AG431" s="266"/>
      <c r="AH431" s="264" t="s">
        <v>917</v>
      </c>
      <c r="AI431" s="105"/>
      <c r="AJ431" s="105"/>
      <c r="AK431" s="105"/>
      <c r="AL431" s="105"/>
      <c r="AM431" s="105"/>
      <c r="AN431" s="105"/>
      <c r="AO431" s="105"/>
      <c r="AP431" s="105"/>
      <c r="AQ431" s="105"/>
      <c r="AR431" s="105"/>
      <c r="AS431" s="105"/>
      <c r="AT431" s="105"/>
      <c r="AU431" s="105"/>
      <c r="AV431" s="105"/>
      <c r="AW431" s="105"/>
      <c r="AX431" s="105"/>
      <c r="AY431" s="105"/>
      <c r="AZ431" s="105"/>
      <c r="BA431" s="105"/>
      <c r="BB431" s="105"/>
      <c r="BC431" s="105"/>
      <c r="BD431" s="105"/>
      <c r="BE431" s="105"/>
      <c r="BF431" s="105"/>
      <c r="BG431" s="105"/>
      <c r="BH431" s="105"/>
      <c r="BI431" s="105"/>
      <c r="BJ431" s="105"/>
      <c r="BK431" s="105"/>
      <c r="BL431" s="105"/>
      <c r="BM431" s="105"/>
      <c r="BN431" s="105"/>
      <c r="BO431" s="105"/>
      <c r="BP431" s="105"/>
      <c r="BQ431" s="105"/>
      <c r="BR431" s="105"/>
      <c r="BS431" s="105"/>
      <c r="BT431" s="105"/>
      <c r="BU431" s="105"/>
      <c r="BV431" s="105"/>
      <c r="BW431" s="105"/>
      <c r="BX431" s="105"/>
      <c r="BY431" s="105"/>
      <c r="BZ431" s="105"/>
      <c r="CA431" s="105"/>
      <c r="CB431" s="105"/>
      <c r="CC431" s="105"/>
      <c r="CD431" s="105"/>
      <c r="CE431" s="105"/>
      <c r="CF431" s="105"/>
      <c r="CG431" s="105"/>
      <c r="CH431" s="105"/>
      <c r="CI431" s="105"/>
      <c r="CJ431" s="105"/>
      <c r="CK431" s="105"/>
      <c r="CL431" s="105"/>
      <c r="CM431" s="105"/>
      <c r="CN431" s="105"/>
      <c r="CO431" s="105"/>
      <c r="CP431" s="105"/>
      <c r="CQ431" s="105"/>
      <c r="CR431" s="105"/>
      <c r="CS431" s="105"/>
      <c r="CT431" s="105"/>
      <c r="CU431" s="105"/>
      <c r="CV431" s="105"/>
      <c r="CW431" s="105"/>
      <c r="CX431" s="105"/>
      <c r="CY431" s="105"/>
      <c r="CZ431" s="105"/>
      <c r="DA431" s="105"/>
      <c r="DB431" s="105"/>
      <c r="DC431" s="105"/>
      <c r="DD431" s="105"/>
      <c r="DE431" s="105"/>
      <c r="DF431" s="105"/>
      <c r="DG431" s="105"/>
      <c r="DH431" s="105"/>
      <c r="DI431" s="105"/>
      <c r="DJ431" s="105"/>
      <c r="DK431" s="105"/>
      <c r="DL431" s="105"/>
      <c r="DM431" s="105"/>
      <c r="DN431" s="105"/>
      <c r="DO431" s="105"/>
      <c r="DP431" s="105"/>
      <c r="DQ431" s="105"/>
      <c r="DR431" s="105"/>
      <c r="DS431" s="105"/>
      <c r="DT431" s="105"/>
      <c r="DU431" s="105"/>
      <c r="DV431" s="105"/>
      <c r="DW431" s="105"/>
      <c r="DX431" s="105"/>
      <c r="DY431" s="105"/>
      <c r="DZ431" s="105"/>
      <c r="EA431" s="105"/>
      <c r="EB431" s="105"/>
      <c r="EC431" s="105"/>
      <c r="ED431" s="105"/>
      <c r="EE431" s="105"/>
      <c r="EF431" s="105"/>
      <c r="EG431" s="105"/>
      <c r="EH431" s="105"/>
      <c r="EI431" s="105"/>
      <c r="EJ431" s="105"/>
      <c r="EK431" s="105"/>
      <c r="EL431" s="105"/>
      <c r="EM431" s="105"/>
      <c r="EN431" s="105"/>
      <c r="EO431" s="105"/>
      <c r="EP431" s="105"/>
      <c r="EQ431" s="105"/>
      <c r="ER431" s="105"/>
      <c r="ES431" s="105"/>
      <c r="ET431" s="105"/>
      <c r="EU431" s="105"/>
      <c r="EV431" s="105"/>
      <c r="EW431" s="105"/>
      <c r="EX431" s="105"/>
      <c r="EY431" s="105"/>
      <c r="EZ431" s="105"/>
      <c r="FA431" s="105"/>
      <c r="FB431" s="105"/>
      <c r="FC431" s="105"/>
      <c r="FD431" s="105"/>
      <c r="FE431" s="105"/>
      <c r="FF431" s="105"/>
      <c r="FG431" s="105"/>
      <c r="FH431" s="105"/>
      <c r="FI431" s="105"/>
      <c r="FJ431" s="105"/>
      <c r="FK431" s="105"/>
      <c r="FL431" s="105"/>
      <c r="FM431" s="105"/>
      <c r="FN431" s="105"/>
      <c r="FO431" s="105"/>
      <c r="FP431" s="105"/>
      <c r="FQ431" s="105"/>
      <c r="FR431" s="105"/>
      <c r="FS431" s="105"/>
      <c r="FT431" s="105"/>
      <c r="FU431" s="105"/>
      <c r="FV431" s="105"/>
      <c r="FW431" s="105"/>
      <c r="FX431" s="105"/>
      <c r="FY431" s="105"/>
      <c r="FZ431" s="105"/>
      <c r="GA431" s="105"/>
      <c r="GB431" s="105"/>
      <c r="GC431" s="105"/>
      <c r="GD431" s="105"/>
      <c r="GE431" s="105"/>
      <c r="GF431" s="105"/>
      <c r="GG431" s="105"/>
      <c r="GH431" s="105"/>
      <c r="GI431" s="105"/>
      <c r="GJ431" s="105"/>
      <c r="GK431" s="105"/>
      <c r="GL431" s="105"/>
      <c r="GM431" s="105"/>
      <c r="GN431" s="105"/>
      <c r="GO431" s="105"/>
      <c r="GP431" s="105"/>
      <c r="GQ431" s="105"/>
      <c r="GR431" s="105"/>
      <c r="GS431" s="105"/>
      <c r="GT431" s="105"/>
      <c r="GU431" s="105"/>
      <c r="GV431" s="105"/>
      <c r="GW431" s="105"/>
      <c r="GX431" s="105"/>
      <c r="GY431" s="105"/>
      <c r="GZ431" s="105"/>
      <c r="HA431" s="105"/>
      <c r="HB431" s="105"/>
      <c r="HC431" s="105"/>
      <c r="HD431" s="105"/>
      <c r="HE431" s="105"/>
      <c r="HF431" s="105"/>
      <c r="HG431" s="105"/>
      <c r="HH431" s="105"/>
      <c r="HI431" s="105"/>
      <c r="HJ431" s="105"/>
      <c r="HK431" s="105"/>
      <c r="HL431" s="105"/>
      <c r="HM431" s="105"/>
      <c r="HN431" s="105"/>
      <c r="HO431" s="105"/>
      <c r="HP431" s="105"/>
      <c r="HQ431" s="105"/>
      <c r="HR431" s="105"/>
      <c r="HS431" s="105"/>
      <c r="HT431" s="105"/>
      <c r="HU431" s="105"/>
      <c r="HV431" s="105"/>
      <c r="HW431" s="105"/>
      <c r="HX431" s="105"/>
      <c r="HY431" s="105"/>
      <c r="HZ431" s="105"/>
      <c r="IA431" s="105"/>
      <c r="IB431" s="105"/>
      <c r="IC431" s="105"/>
      <c r="ID431" s="105"/>
      <c r="IE431" s="105"/>
      <c r="IF431" s="105"/>
      <c r="IG431" s="105"/>
      <c r="IH431" s="105"/>
      <c r="II431" s="105"/>
      <c r="IJ431" s="105"/>
      <c r="IK431" s="105"/>
      <c r="IL431" s="105"/>
      <c r="IM431" s="105"/>
      <c r="IN431" s="105"/>
      <c r="IO431" s="105"/>
      <c r="IP431" s="105"/>
      <c r="IQ431" s="105"/>
      <c r="IR431" s="105"/>
      <c r="IS431" s="105"/>
      <c r="IT431" s="105"/>
      <c r="IU431" s="105"/>
      <c r="IV431" s="105"/>
    </row>
    <row r="432" spans="1:256" s="428" customFormat="1" x14ac:dyDescent="0.2">
      <c r="A432" s="258">
        <v>44537</v>
      </c>
      <c r="B432" s="259" t="s">
        <v>134</v>
      </c>
      <c r="C432" s="259">
        <v>2021</v>
      </c>
      <c r="D432" s="259" t="s">
        <v>1</v>
      </c>
      <c r="E432" s="260">
        <v>-0.185</v>
      </c>
      <c r="F432" s="261" t="s">
        <v>32</v>
      </c>
      <c r="G432" s="262">
        <f>-(E432*95000)</f>
        <v>17575</v>
      </c>
      <c r="H432" s="263">
        <v>258</v>
      </c>
      <c r="I432" s="261" t="s">
        <v>80</v>
      </c>
      <c r="J432" s="261" t="s">
        <v>38</v>
      </c>
      <c r="K432" s="260">
        <v>4.3999999999999997E-2</v>
      </c>
      <c r="L432" s="260" t="s">
        <v>912</v>
      </c>
      <c r="M432" s="260" t="s">
        <v>913</v>
      </c>
      <c r="N432" s="260" t="s">
        <v>914</v>
      </c>
      <c r="O432" s="260"/>
      <c r="P432" s="264" t="s">
        <v>227</v>
      </c>
      <c r="Q432" s="806">
        <v>41.53716</v>
      </c>
      <c r="R432" s="703">
        <v>-87.398420000000002</v>
      </c>
      <c r="S432" s="264" t="s">
        <v>63</v>
      </c>
      <c r="T432" s="264"/>
      <c r="U432" s="259" t="s">
        <v>51</v>
      </c>
      <c r="V432" s="258"/>
      <c r="W432" s="265">
        <f>IF(AC432="Intr",0,G432*Definitions!$B$53)</f>
        <v>2636.25</v>
      </c>
      <c r="X432" s="265">
        <f>IF(AC432="Intr",0,G432*Definitions!$B$54)</f>
        <v>12302.5</v>
      </c>
      <c r="Y432" s="265">
        <f>IF(AC432="Intr",G432,G432*Definitions!$B$55)</f>
        <v>2636.25</v>
      </c>
      <c r="Z432" s="265" t="s">
        <v>967</v>
      </c>
      <c r="AA432" s="265" t="s">
        <v>965</v>
      </c>
      <c r="AB432" s="265"/>
      <c r="AC432" s="259"/>
      <c r="AD432" s="259"/>
      <c r="AE432" s="259"/>
      <c r="AF432" s="259"/>
      <c r="AG432" s="266"/>
      <c r="AH432" s="264" t="s">
        <v>918</v>
      </c>
      <c r="AI432" s="105"/>
      <c r="AJ432" s="105"/>
      <c r="AK432" s="105"/>
      <c r="AL432" s="105"/>
      <c r="AM432" s="105"/>
      <c r="AN432" s="105"/>
      <c r="AO432" s="105"/>
      <c r="AP432" s="105"/>
      <c r="AQ432" s="105"/>
      <c r="AR432" s="105"/>
      <c r="AS432" s="105"/>
      <c r="AT432" s="105"/>
      <c r="AU432" s="105"/>
      <c r="AV432" s="105"/>
      <c r="AW432" s="105"/>
      <c r="AX432" s="105"/>
      <c r="AY432" s="105"/>
      <c r="AZ432" s="105"/>
      <c r="BA432" s="105"/>
      <c r="BB432" s="105"/>
      <c r="BC432" s="105"/>
      <c r="BD432" s="105"/>
      <c r="BE432" s="105"/>
      <c r="BF432" s="105"/>
      <c r="BG432" s="105"/>
      <c r="BH432" s="105"/>
      <c r="BI432" s="105"/>
      <c r="BJ432" s="105"/>
      <c r="BK432" s="105"/>
      <c r="BL432" s="105"/>
      <c r="BM432" s="105"/>
      <c r="BN432" s="105"/>
      <c r="BO432" s="105"/>
      <c r="BP432" s="105"/>
      <c r="BQ432" s="105"/>
      <c r="BR432" s="105"/>
      <c r="BS432" s="105"/>
      <c r="BT432" s="105"/>
      <c r="BU432" s="105"/>
      <c r="BV432" s="105"/>
      <c r="BW432" s="105"/>
      <c r="BX432" s="105"/>
      <c r="BY432" s="105"/>
      <c r="BZ432" s="105"/>
      <c r="CA432" s="105"/>
      <c r="CB432" s="105"/>
      <c r="CC432" s="105"/>
      <c r="CD432" s="105"/>
      <c r="CE432" s="105"/>
      <c r="CF432" s="105"/>
      <c r="CG432" s="105"/>
      <c r="CH432" s="105"/>
      <c r="CI432" s="105"/>
      <c r="CJ432" s="105"/>
      <c r="CK432" s="105"/>
      <c r="CL432" s="105"/>
      <c r="CM432" s="105"/>
      <c r="CN432" s="105"/>
      <c r="CO432" s="105"/>
      <c r="CP432" s="105"/>
      <c r="CQ432" s="105"/>
      <c r="CR432" s="105"/>
      <c r="CS432" s="105"/>
      <c r="CT432" s="105"/>
      <c r="CU432" s="105"/>
      <c r="CV432" s="105"/>
      <c r="CW432" s="105"/>
      <c r="CX432" s="105"/>
      <c r="CY432" s="105"/>
      <c r="CZ432" s="105"/>
      <c r="DA432" s="105"/>
      <c r="DB432" s="105"/>
      <c r="DC432" s="105"/>
      <c r="DD432" s="105"/>
      <c r="DE432" s="105"/>
      <c r="DF432" s="105"/>
      <c r="DG432" s="105"/>
      <c r="DH432" s="105"/>
      <c r="DI432" s="105"/>
      <c r="DJ432" s="105"/>
      <c r="DK432" s="105"/>
      <c r="DL432" s="105"/>
      <c r="DM432" s="105"/>
      <c r="DN432" s="105"/>
      <c r="DO432" s="105"/>
      <c r="DP432" s="105"/>
      <c r="DQ432" s="105"/>
      <c r="DR432" s="105"/>
      <c r="DS432" s="105"/>
      <c r="DT432" s="105"/>
      <c r="DU432" s="105"/>
      <c r="DV432" s="105"/>
      <c r="DW432" s="105"/>
      <c r="DX432" s="105"/>
      <c r="DY432" s="105"/>
      <c r="DZ432" s="105"/>
      <c r="EA432" s="105"/>
      <c r="EB432" s="105"/>
      <c r="EC432" s="105"/>
      <c r="ED432" s="105"/>
      <c r="EE432" s="105"/>
      <c r="EF432" s="105"/>
      <c r="EG432" s="105"/>
      <c r="EH432" s="105"/>
      <c r="EI432" s="105"/>
      <c r="EJ432" s="105"/>
      <c r="EK432" s="105"/>
      <c r="EL432" s="105"/>
      <c r="EM432" s="105"/>
      <c r="EN432" s="105"/>
      <c r="EO432" s="105"/>
      <c r="EP432" s="105"/>
      <c r="EQ432" s="105"/>
      <c r="ER432" s="105"/>
      <c r="ES432" s="105"/>
      <c r="ET432" s="105"/>
      <c r="EU432" s="105"/>
      <c r="EV432" s="105"/>
      <c r="EW432" s="105"/>
      <c r="EX432" s="105"/>
      <c r="EY432" s="105"/>
      <c r="EZ432" s="105"/>
      <c r="FA432" s="105"/>
      <c r="FB432" s="105"/>
      <c r="FC432" s="105"/>
      <c r="FD432" s="105"/>
      <c r="FE432" s="105"/>
      <c r="FF432" s="105"/>
      <c r="FG432" s="105"/>
      <c r="FH432" s="105"/>
      <c r="FI432" s="105"/>
      <c r="FJ432" s="105"/>
      <c r="FK432" s="105"/>
      <c r="FL432" s="105"/>
      <c r="FM432" s="105"/>
      <c r="FN432" s="105"/>
      <c r="FO432" s="105"/>
      <c r="FP432" s="105"/>
      <c r="FQ432" s="105"/>
      <c r="FR432" s="105"/>
      <c r="FS432" s="105"/>
      <c r="FT432" s="105"/>
      <c r="FU432" s="105"/>
      <c r="FV432" s="105"/>
      <c r="FW432" s="105"/>
      <c r="FX432" s="105"/>
      <c r="FY432" s="105"/>
      <c r="FZ432" s="105"/>
      <c r="GA432" s="105"/>
      <c r="GB432" s="105"/>
      <c r="GC432" s="105"/>
      <c r="GD432" s="105"/>
      <c r="GE432" s="105"/>
      <c r="GF432" s="105"/>
      <c r="GG432" s="105"/>
      <c r="GH432" s="105"/>
      <c r="GI432" s="105"/>
      <c r="GJ432" s="105"/>
      <c r="GK432" s="105"/>
      <c r="GL432" s="105"/>
      <c r="GM432" s="105"/>
      <c r="GN432" s="105"/>
      <c r="GO432" s="105"/>
      <c r="GP432" s="105"/>
      <c r="GQ432" s="105"/>
      <c r="GR432" s="105"/>
      <c r="GS432" s="105"/>
      <c r="GT432" s="105"/>
      <c r="GU432" s="105"/>
      <c r="GV432" s="105"/>
      <c r="GW432" s="105"/>
      <c r="GX432" s="105"/>
      <c r="GY432" s="105"/>
      <c r="GZ432" s="105"/>
      <c r="HA432" s="105"/>
      <c r="HB432" s="105"/>
      <c r="HC432" s="105"/>
      <c r="HD432" s="105"/>
      <c r="HE432" s="105"/>
      <c r="HF432" s="105"/>
      <c r="HG432" s="105"/>
      <c r="HH432" s="105"/>
      <c r="HI432" s="105"/>
      <c r="HJ432" s="105"/>
      <c r="HK432" s="105"/>
      <c r="HL432" s="105"/>
      <c r="HM432" s="105"/>
      <c r="HN432" s="105"/>
      <c r="HO432" s="105"/>
      <c r="HP432" s="105"/>
      <c r="HQ432" s="105"/>
      <c r="HR432" s="105"/>
      <c r="HS432" s="105"/>
      <c r="HT432" s="105"/>
      <c r="HU432" s="105"/>
      <c r="HV432" s="105"/>
      <c r="HW432" s="105"/>
      <c r="HX432" s="105"/>
      <c r="HY432" s="105"/>
      <c r="HZ432" s="105"/>
      <c r="IA432" s="105"/>
      <c r="IB432" s="105"/>
      <c r="IC432" s="105"/>
      <c r="ID432" s="105"/>
      <c r="IE432" s="105"/>
      <c r="IF432" s="105"/>
      <c r="IG432" s="105"/>
      <c r="IH432" s="105"/>
      <c r="II432" s="105"/>
      <c r="IJ432" s="105"/>
      <c r="IK432" s="105"/>
      <c r="IL432" s="105"/>
      <c r="IM432" s="105"/>
      <c r="IN432" s="105"/>
      <c r="IO432" s="105"/>
      <c r="IP432" s="105"/>
      <c r="IQ432" s="105"/>
      <c r="IR432" s="105"/>
      <c r="IS432" s="105"/>
      <c r="IT432" s="105"/>
      <c r="IU432" s="105"/>
      <c r="IV432" s="105"/>
    </row>
    <row r="433" spans="1:256" s="428" customFormat="1" x14ac:dyDescent="0.2">
      <c r="A433" s="33">
        <v>44537</v>
      </c>
      <c r="B433" s="34" t="s">
        <v>134</v>
      </c>
      <c r="C433" s="34">
        <v>2021</v>
      </c>
      <c r="D433" s="34" t="s">
        <v>11</v>
      </c>
      <c r="E433" s="116">
        <v>-0.16</v>
      </c>
      <c r="F433" s="271" t="s">
        <v>32</v>
      </c>
      <c r="G433" s="117">
        <f>-(E433*80000)</f>
        <v>12800</v>
      </c>
      <c r="H433" s="116">
        <v>267</v>
      </c>
      <c r="I433" s="271" t="s">
        <v>80</v>
      </c>
      <c r="J433" s="271" t="s">
        <v>36</v>
      </c>
      <c r="K433" s="116">
        <v>0.16</v>
      </c>
      <c r="L433" s="116" t="s">
        <v>921</v>
      </c>
      <c r="M433" s="271" t="s">
        <v>922</v>
      </c>
      <c r="N433" s="376" t="s">
        <v>923</v>
      </c>
      <c r="O433" s="116"/>
      <c r="P433" s="120" t="s">
        <v>89</v>
      </c>
      <c r="Q433" s="795">
        <v>38.104962999999998</v>
      </c>
      <c r="R433" s="692">
        <v>-87.512309999999999</v>
      </c>
      <c r="S433" s="120" t="s">
        <v>61</v>
      </c>
      <c r="T433" s="120"/>
      <c r="U433" s="34" t="s">
        <v>51</v>
      </c>
      <c r="V433" s="33"/>
      <c r="W433" s="35">
        <f>IF(AC433="Intr",0,G433*Definitions!$B$53)</f>
        <v>1920</v>
      </c>
      <c r="X433" s="35">
        <f>IF(AC433="Intr",0,G433*Definitions!$B$54)</f>
        <v>8960</v>
      </c>
      <c r="Y433" s="35">
        <f>IF(AC433="Intr",G433,G433*Definitions!$B$55)</f>
        <v>1920</v>
      </c>
      <c r="Z433" s="35" t="s">
        <v>966</v>
      </c>
      <c r="AA433" s="35" t="s">
        <v>965</v>
      </c>
      <c r="AB433" s="35"/>
      <c r="AC433" s="34"/>
      <c r="AD433" s="34"/>
      <c r="AE433" s="34"/>
      <c r="AF433" s="34"/>
      <c r="AG433" s="36"/>
      <c r="AH433" s="120" t="s">
        <v>924</v>
      </c>
      <c r="AI433" s="105"/>
      <c r="AJ433" s="105"/>
      <c r="AK433" s="105"/>
      <c r="AL433" s="105"/>
      <c r="AM433" s="105"/>
      <c r="AN433" s="105"/>
      <c r="AO433" s="105"/>
      <c r="AP433" s="105"/>
      <c r="AQ433" s="105"/>
      <c r="AR433" s="105"/>
      <c r="AS433" s="105"/>
      <c r="AT433" s="105"/>
      <c r="AU433" s="105"/>
      <c r="AV433" s="105"/>
      <c r="AW433" s="105"/>
      <c r="AX433" s="105"/>
      <c r="AY433" s="105"/>
      <c r="AZ433" s="105"/>
      <c r="BA433" s="105"/>
      <c r="BB433" s="105"/>
      <c r="BC433" s="105"/>
      <c r="BD433" s="105"/>
      <c r="BE433" s="105"/>
      <c r="BF433" s="105"/>
      <c r="BG433" s="105"/>
      <c r="BH433" s="105"/>
      <c r="BI433" s="105"/>
      <c r="BJ433" s="105"/>
      <c r="BK433" s="105"/>
      <c r="BL433" s="105"/>
      <c r="BM433" s="105"/>
      <c r="BN433" s="105"/>
      <c r="BO433" s="105"/>
      <c r="BP433" s="105"/>
      <c r="BQ433" s="105"/>
      <c r="BR433" s="105"/>
      <c r="BS433" s="105"/>
      <c r="BT433" s="105"/>
      <c r="BU433" s="105"/>
      <c r="BV433" s="105"/>
      <c r="BW433" s="105"/>
      <c r="BX433" s="105"/>
      <c r="BY433" s="105"/>
      <c r="BZ433" s="105"/>
      <c r="CA433" s="105"/>
      <c r="CB433" s="105"/>
      <c r="CC433" s="105"/>
      <c r="CD433" s="105"/>
      <c r="CE433" s="105"/>
      <c r="CF433" s="105"/>
      <c r="CG433" s="105"/>
      <c r="CH433" s="105"/>
      <c r="CI433" s="105"/>
      <c r="CJ433" s="105"/>
      <c r="CK433" s="105"/>
      <c r="CL433" s="105"/>
      <c r="CM433" s="105"/>
      <c r="CN433" s="105"/>
      <c r="CO433" s="105"/>
      <c r="CP433" s="105"/>
      <c r="CQ433" s="105"/>
      <c r="CR433" s="105"/>
      <c r="CS433" s="105"/>
      <c r="CT433" s="105"/>
      <c r="CU433" s="105"/>
      <c r="CV433" s="105"/>
      <c r="CW433" s="105"/>
      <c r="CX433" s="105"/>
      <c r="CY433" s="105"/>
      <c r="CZ433" s="105"/>
      <c r="DA433" s="105"/>
      <c r="DB433" s="105"/>
      <c r="DC433" s="105"/>
      <c r="DD433" s="105"/>
      <c r="DE433" s="105"/>
      <c r="DF433" s="105"/>
      <c r="DG433" s="105"/>
      <c r="DH433" s="105"/>
      <c r="DI433" s="105"/>
      <c r="DJ433" s="105"/>
      <c r="DK433" s="105"/>
      <c r="DL433" s="105"/>
      <c r="DM433" s="105"/>
      <c r="DN433" s="105"/>
      <c r="DO433" s="105"/>
      <c r="DP433" s="105"/>
      <c r="DQ433" s="105"/>
      <c r="DR433" s="105"/>
      <c r="DS433" s="105"/>
      <c r="DT433" s="105"/>
      <c r="DU433" s="105"/>
      <c r="DV433" s="105"/>
      <c r="DW433" s="105"/>
      <c r="DX433" s="105"/>
      <c r="DY433" s="105"/>
      <c r="DZ433" s="105"/>
      <c r="EA433" s="105"/>
      <c r="EB433" s="105"/>
      <c r="EC433" s="105"/>
      <c r="ED433" s="105"/>
      <c r="EE433" s="105"/>
      <c r="EF433" s="105"/>
      <c r="EG433" s="105"/>
      <c r="EH433" s="105"/>
      <c r="EI433" s="105"/>
      <c r="EJ433" s="105"/>
      <c r="EK433" s="105"/>
      <c r="EL433" s="105"/>
      <c r="EM433" s="105"/>
      <c r="EN433" s="105"/>
      <c r="EO433" s="105"/>
      <c r="EP433" s="105"/>
      <c r="EQ433" s="105"/>
      <c r="ER433" s="105"/>
      <c r="ES433" s="105"/>
      <c r="ET433" s="105"/>
      <c r="EU433" s="105"/>
      <c r="EV433" s="105"/>
      <c r="EW433" s="105"/>
      <c r="EX433" s="105"/>
      <c r="EY433" s="105"/>
      <c r="EZ433" s="105"/>
      <c r="FA433" s="105"/>
      <c r="FB433" s="105"/>
      <c r="FC433" s="105"/>
      <c r="FD433" s="105"/>
      <c r="FE433" s="105"/>
      <c r="FF433" s="105"/>
      <c r="FG433" s="105"/>
      <c r="FH433" s="105"/>
      <c r="FI433" s="105"/>
      <c r="FJ433" s="105"/>
      <c r="FK433" s="105"/>
      <c r="FL433" s="105"/>
      <c r="FM433" s="105"/>
      <c r="FN433" s="105"/>
      <c r="FO433" s="105"/>
      <c r="FP433" s="105"/>
      <c r="FQ433" s="105"/>
      <c r="FR433" s="105"/>
      <c r="FS433" s="105"/>
      <c r="FT433" s="105"/>
      <c r="FU433" s="105"/>
      <c r="FV433" s="105"/>
      <c r="FW433" s="105"/>
      <c r="FX433" s="105"/>
      <c r="FY433" s="105"/>
      <c r="FZ433" s="105"/>
      <c r="GA433" s="105"/>
      <c r="GB433" s="105"/>
      <c r="GC433" s="105"/>
      <c r="GD433" s="105"/>
      <c r="GE433" s="105"/>
      <c r="GF433" s="105"/>
      <c r="GG433" s="105"/>
      <c r="GH433" s="105"/>
      <c r="GI433" s="105"/>
      <c r="GJ433" s="105"/>
      <c r="GK433" s="105"/>
      <c r="GL433" s="105"/>
      <c r="GM433" s="105"/>
      <c r="GN433" s="105"/>
      <c r="GO433" s="105"/>
      <c r="GP433" s="105"/>
      <c r="GQ433" s="105"/>
      <c r="GR433" s="105"/>
      <c r="GS433" s="105"/>
      <c r="GT433" s="105"/>
      <c r="GU433" s="105"/>
      <c r="GV433" s="105"/>
      <c r="GW433" s="105"/>
      <c r="GX433" s="105"/>
      <c r="GY433" s="105"/>
      <c r="GZ433" s="105"/>
      <c r="HA433" s="105"/>
      <c r="HB433" s="105"/>
      <c r="HC433" s="105"/>
      <c r="HD433" s="105"/>
      <c r="HE433" s="105"/>
      <c r="HF433" s="105"/>
      <c r="HG433" s="105"/>
      <c r="HH433" s="105"/>
      <c r="HI433" s="105"/>
      <c r="HJ433" s="105"/>
      <c r="HK433" s="105"/>
      <c r="HL433" s="105"/>
      <c r="HM433" s="105"/>
      <c r="HN433" s="105"/>
      <c r="HO433" s="105"/>
      <c r="HP433" s="105"/>
      <c r="HQ433" s="105"/>
      <c r="HR433" s="105"/>
      <c r="HS433" s="105"/>
      <c r="HT433" s="105"/>
      <c r="HU433" s="105"/>
      <c r="HV433" s="105"/>
      <c r="HW433" s="105"/>
      <c r="HX433" s="105"/>
      <c r="HY433" s="105"/>
      <c r="HZ433" s="105"/>
      <c r="IA433" s="105"/>
      <c r="IB433" s="105"/>
      <c r="IC433" s="105"/>
      <c r="ID433" s="105"/>
      <c r="IE433" s="105"/>
      <c r="IF433" s="105"/>
      <c r="IG433" s="105"/>
      <c r="IH433" s="105"/>
      <c r="II433" s="105"/>
      <c r="IJ433" s="105"/>
      <c r="IK433" s="105"/>
      <c r="IL433" s="105"/>
      <c r="IM433" s="105"/>
      <c r="IN433" s="105"/>
      <c r="IO433" s="105"/>
      <c r="IP433" s="105"/>
      <c r="IQ433" s="105"/>
      <c r="IR433" s="105"/>
      <c r="IS433" s="105"/>
      <c r="IT433" s="105"/>
      <c r="IU433" s="105"/>
      <c r="IV433" s="105"/>
    </row>
    <row r="434" spans="1:256" s="415" customFormat="1" x14ac:dyDescent="0.2">
      <c r="A434" s="176">
        <v>44537</v>
      </c>
      <c r="B434" s="251" t="s">
        <v>134</v>
      </c>
      <c r="C434" s="251">
        <v>2021</v>
      </c>
      <c r="D434" s="251" t="s">
        <v>7</v>
      </c>
      <c r="E434" s="253">
        <v>-2.1749999999999998</v>
      </c>
      <c r="F434" s="253" t="s">
        <v>32</v>
      </c>
      <c r="G434" s="254">
        <f>-(E434*80000)</f>
        <v>174000</v>
      </c>
      <c r="H434" s="252">
        <v>266</v>
      </c>
      <c r="I434" s="253" t="s">
        <v>81</v>
      </c>
      <c r="J434" s="253" t="s">
        <v>38</v>
      </c>
      <c r="K434" s="252">
        <v>0.87</v>
      </c>
      <c r="L434" s="252" t="s">
        <v>919</v>
      </c>
      <c r="M434" s="252" t="s">
        <v>729</v>
      </c>
      <c r="N434" s="486" t="s">
        <v>920</v>
      </c>
      <c r="O434" s="252"/>
      <c r="P434" s="255" t="s">
        <v>121</v>
      </c>
      <c r="Q434" s="798">
        <v>39.869999999999997</v>
      </c>
      <c r="R434" s="695">
        <v>-85.91</v>
      </c>
      <c r="S434" s="255" t="s">
        <v>61</v>
      </c>
      <c r="T434" s="251"/>
      <c r="U434" s="251" t="s">
        <v>51</v>
      </c>
      <c r="V434" s="176"/>
      <c r="W434" s="256">
        <f>IF(AC434="Intr",0,G434*Definitions!$B$53)</f>
        <v>26100</v>
      </c>
      <c r="X434" s="256">
        <f>IF(AC434="Intr",0,G434*Definitions!$B$54)</f>
        <v>121799.99999999999</v>
      </c>
      <c r="Y434" s="256">
        <f>IF(AC434="Intr",G434,G434*Definitions!$B$55)</f>
        <v>26100</v>
      </c>
      <c r="Z434" s="256" t="s">
        <v>966</v>
      </c>
      <c r="AA434" s="256" t="s">
        <v>963</v>
      </c>
      <c r="AB434" s="256" t="s">
        <v>977</v>
      </c>
      <c r="AC434" s="251"/>
      <c r="AD434" s="251"/>
      <c r="AE434" s="251"/>
      <c r="AF434" s="251"/>
      <c r="AG434" s="257"/>
      <c r="AH434" s="251"/>
      <c r="AI434" s="105"/>
      <c r="AJ434" s="105"/>
      <c r="AK434" s="105"/>
      <c r="AL434" s="105"/>
      <c r="AM434" s="105"/>
      <c r="AN434" s="105"/>
      <c r="AO434" s="105"/>
      <c r="AP434" s="105"/>
      <c r="AQ434" s="105"/>
      <c r="AR434" s="105"/>
      <c r="AS434" s="105"/>
      <c r="AT434" s="105"/>
      <c r="AU434" s="105"/>
      <c r="AV434" s="105"/>
      <c r="AW434" s="105"/>
      <c r="AX434" s="105"/>
      <c r="AY434" s="105"/>
      <c r="AZ434" s="105"/>
      <c r="BA434" s="105"/>
      <c r="BB434" s="105"/>
      <c r="BC434" s="105"/>
      <c r="BD434" s="105"/>
      <c r="BE434" s="105"/>
      <c r="BF434" s="105"/>
      <c r="BG434" s="105"/>
      <c r="BH434" s="105"/>
      <c r="BI434" s="105"/>
      <c r="BJ434" s="105"/>
      <c r="BK434" s="105"/>
      <c r="BL434" s="105"/>
      <c r="BM434" s="105"/>
      <c r="BN434" s="105"/>
      <c r="BO434" s="105"/>
      <c r="BP434" s="105"/>
      <c r="BQ434" s="105"/>
      <c r="BR434" s="105"/>
      <c r="BS434" s="105"/>
      <c r="BT434" s="105"/>
      <c r="BU434" s="105"/>
      <c r="BV434" s="105"/>
      <c r="BW434" s="105"/>
      <c r="BX434" s="105"/>
      <c r="BY434" s="105"/>
      <c r="BZ434" s="105"/>
      <c r="CA434" s="105"/>
      <c r="CB434" s="105"/>
      <c r="CC434" s="105"/>
      <c r="CD434" s="105"/>
      <c r="CE434" s="105"/>
      <c r="CF434" s="105"/>
      <c r="CG434" s="105"/>
      <c r="CH434" s="105"/>
      <c r="CI434" s="105"/>
      <c r="CJ434" s="105"/>
      <c r="CK434" s="105"/>
      <c r="CL434" s="105"/>
      <c r="CM434" s="105"/>
      <c r="CN434" s="105"/>
      <c r="CO434" s="105"/>
      <c r="CP434" s="105"/>
      <c r="CQ434" s="105"/>
      <c r="CR434" s="105"/>
      <c r="CS434" s="105"/>
      <c r="CT434" s="105"/>
      <c r="CU434" s="105"/>
      <c r="CV434" s="105"/>
      <c r="CW434" s="105"/>
      <c r="CX434" s="105"/>
      <c r="CY434" s="105"/>
      <c r="CZ434" s="105"/>
      <c r="DA434" s="105"/>
      <c r="DB434" s="105"/>
      <c r="DC434" s="105"/>
      <c r="DD434" s="105"/>
      <c r="DE434" s="105"/>
      <c r="DF434" s="105"/>
      <c r="DG434" s="105"/>
      <c r="DH434" s="105"/>
      <c r="DI434" s="105"/>
      <c r="DJ434" s="105"/>
      <c r="DK434" s="105"/>
      <c r="DL434" s="105"/>
      <c r="DM434" s="105"/>
      <c r="DN434" s="105"/>
      <c r="DO434" s="105"/>
      <c r="DP434" s="105"/>
      <c r="DQ434" s="105"/>
      <c r="DR434" s="105"/>
      <c r="DS434" s="105"/>
      <c r="DT434" s="105"/>
      <c r="DU434" s="105"/>
      <c r="DV434" s="105"/>
      <c r="DW434" s="105"/>
      <c r="DX434" s="105"/>
      <c r="DY434" s="105"/>
      <c r="DZ434" s="105"/>
      <c r="EA434" s="105"/>
      <c r="EB434" s="105"/>
      <c r="EC434" s="105"/>
      <c r="ED434" s="105"/>
      <c r="EE434" s="105"/>
      <c r="EF434" s="105"/>
      <c r="EG434" s="105"/>
      <c r="EH434" s="105"/>
      <c r="EI434" s="105"/>
      <c r="EJ434" s="105"/>
      <c r="EK434" s="105"/>
      <c r="EL434" s="105"/>
      <c r="EM434" s="105"/>
      <c r="EN434" s="105"/>
      <c r="EO434" s="105"/>
      <c r="EP434" s="105"/>
      <c r="EQ434" s="105"/>
      <c r="ER434" s="105"/>
      <c r="ES434" s="105"/>
      <c r="ET434" s="105"/>
      <c r="EU434" s="105"/>
      <c r="EV434" s="105"/>
      <c r="EW434" s="105"/>
      <c r="EX434" s="105"/>
      <c r="EY434" s="105"/>
      <c r="EZ434" s="105"/>
      <c r="FA434" s="105"/>
      <c r="FB434" s="105"/>
      <c r="FC434" s="105"/>
      <c r="FD434" s="105"/>
      <c r="FE434" s="105"/>
      <c r="FF434" s="105"/>
      <c r="FG434" s="105"/>
      <c r="FH434" s="105"/>
      <c r="FI434" s="105"/>
      <c r="FJ434" s="105"/>
      <c r="FK434" s="105"/>
      <c r="FL434" s="105"/>
      <c r="FM434" s="105"/>
      <c r="FN434" s="105"/>
      <c r="FO434" s="105"/>
      <c r="FP434" s="105"/>
      <c r="FQ434" s="105"/>
      <c r="FR434" s="105"/>
      <c r="FS434" s="105"/>
      <c r="FT434" s="105"/>
      <c r="FU434" s="105"/>
      <c r="FV434" s="105"/>
      <c r="FW434" s="105"/>
      <c r="FX434" s="105"/>
      <c r="FY434" s="105"/>
      <c r="FZ434" s="105"/>
      <c r="GA434" s="105"/>
      <c r="GB434" s="105"/>
      <c r="GC434" s="105"/>
      <c r="GD434" s="105"/>
      <c r="GE434" s="105"/>
      <c r="GF434" s="105"/>
      <c r="GG434" s="105"/>
      <c r="GH434" s="105"/>
      <c r="GI434" s="105"/>
      <c r="GJ434" s="105"/>
      <c r="GK434" s="105"/>
      <c r="GL434" s="105"/>
      <c r="GM434" s="105"/>
      <c r="GN434" s="105"/>
      <c r="GO434" s="105"/>
      <c r="GP434" s="105"/>
      <c r="GQ434" s="105"/>
      <c r="GR434" s="105"/>
      <c r="GS434" s="105"/>
      <c r="GT434" s="105"/>
      <c r="GU434" s="105"/>
      <c r="GV434" s="105"/>
      <c r="GW434" s="105"/>
      <c r="GX434" s="105"/>
      <c r="GY434" s="105"/>
      <c r="GZ434" s="105"/>
      <c r="HA434" s="105"/>
      <c r="HB434" s="105"/>
      <c r="HC434" s="105"/>
      <c r="HD434" s="105"/>
      <c r="HE434" s="105"/>
      <c r="HF434" s="105"/>
      <c r="HG434" s="105"/>
      <c r="HH434" s="105"/>
      <c r="HI434" s="105"/>
      <c r="HJ434" s="105"/>
      <c r="HK434" s="105"/>
      <c r="HL434" s="105"/>
      <c r="HM434" s="105"/>
      <c r="HN434" s="105"/>
      <c r="HO434" s="105"/>
      <c r="HP434" s="105"/>
      <c r="HQ434" s="105"/>
      <c r="HR434" s="105"/>
      <c r="HS434" s="105"/>
      <c r="HT434" s="105"/>
      <c r="HU434" s="105"/>
      <c r="HV434" s="105"/>
      <c r="HW434" s="105"/>
      <c r="HX434" s="105"/>
      <c r="HY434" s="105"/>
      <c r="HZ434" s="105"/>
      <c r="IA434" s="105"/>
      <c r="IB434" s="105"/>
      <c r="IC434" s="105"/>
      <c r="ID434" s="105"/>
      <c r="IE434" s="105"/>
      <c r="IF434" s="105"/>
      <c r="IG434" s="105"/>
      <c r="IH434" s="105"/>
      <c r="II434" s="105"/>
      <c r="IJ434" s="105"/>
      <c r="IK434" s="105"/>
      <c r="IL434" s="105"/>
      <c r="IM434" s="105"/>
      <c r="IN434" s="105"/>
      <c r="IO434" s="105"/>
      <c r="IP434" s="105"/>
      <c r="IQ434" s="105"/>
      <c r="IR434" s="105"/>
      <c r="IS434" s="105"/>
      <c r="IT434" s="105"/>
      <c r="IU434" s="105"/>
      <c r="IV434" s="105"/>
    </row>
    <row r="435" spans="1:256" s="430" customFormat="1" x14ac:dyDescent="0.2">
      <c r="A435" s="176">
        <v>44545</v>
      </c>
      <c r="B435" s="251" t="s">
        <v>134</v>
      </c>
      <c r="C435" s="251">
        <v>2021</v>
      </c>
      <c r="D435" s="251" t="s">
        <v>7</v>
      </c>
      <c r="E435" s="252">
        <v>-230</v>
      </c>
      <c r="F435" s="253" t="s">
        <v>33</v>
      </c>
      <c r="G435" s="254">
        <v>103500</v>
      </c>
      <c r="H435" s="252">
        <v>194</v>
      </c>
      <c r="I435" s="253" t="s">
        <v>80</v>
      </c>
      <c r="J435" s="253" t="s">
        <v>40</v>
      </c>
      <c r="K435" s="252">
        <v>230</v>
      </c>
      <c r="L435" s="252" t="s">
        <v>293</v>
      </c>
      <c r="M435" s="315" t="s">
        <v>925</v>
      </c>
      <c r="N435" s="252" t="s">
        <v>926</v>
      </c>
      <c r="O435" s="252"/>
      <c r="P435" s="255" t="s">
        <v>101</v>
      </c>
      <c r="Q435" s="798">
        <v>39.581670000000003</v>
      </c>
      <c r="R435" s="695">
        <v>-86.139799999999994</v>
      </c>
      <c r="S435" s="251" t="s">
        <v>63</v>
      </c>
      <c r="T435" s="251"/>
      <c r="U435" s="251" t="s">
        <v>51</v>
      </c>
      <c r="V435" s="176"/>
      <c r="W435" s="256">
        <f>IF(AC435="Intr",0,G435*Definitions!$B$53)</f>
        <v>15525</v>
      </c>
      <c r="X435" s="256">
        <f>IF(AC435="Intr",0,G435*Definitions!$B$54)</f>
        <v>72450</v>
      </c>
      <c r="Y435" s="256">
        <f>IF(AC435="Intr",G435,G435*Definitions!$B$55)</f>
        <v>15525</v>
      </c>
      <c r="Z435" s="256" t="s">
        <v>966</v>
      </c>
      <c r="AA435" s="256" t="s">
        <v>965</v>
      </c>
      <c r="AB435" s="256"/>
      <c r="AC435" s="251"/>
      <c r="AD435" s="251"/>
      <c r="AE435" s="251"/>
      <c r="AF435" s="251"/>
      <c r="AG435" s="257"/>
      <c r="AH435" s="255" t="s">
        <v>596</v>
      </c>
      <c r="AI435" s="105"/>
      <c r="AJ435" s="105"/>
      <c r="AK435" s="105"/>
      <c r="AL435" s="105"/>
      <c r="AM435" s="105"/>
      <c r="AN435" s="105"/>
      <c r="AO435" s="105"/>
      <c r="AP435" s="105"/>
      <c r="AQ435" s="105"/>
      <c r="AR435" s="105"/>
      <c r="AS435" s="105"/>
      <c r="AT435" s="105"/>
      <c r="AU435" s="105"/>
      <c r="AV435" s="105"/>
      <c r="AW435" s="105"/>
      <c r="AX435" s="105"/>
      <c r="AY435" s="105"/>
      <c r="AZ435" s="105"/>
      <c r="BA435" s="105"/>
      <c r="BB435" s="105"/>
      <c r="BC435" s="105"/>
      <c r="BD435" s="105"/>
      <c r="BE435" s="105"/>
      <c r="BF435" s="105"/>
      <c r="BG435" s="105"/>
      <c r="BH435" s="105"/>
      <c r="BI435" s="105"/>
      <c r="BJ435" s="105"/>
      <c r="BK435" s="105"/>
      <c r="BL435" s="105"/>
      <c r="BM435" s="105"/>
      <c r="BN435" s="105"/>
      <c r="BO435" s="105"/>
      <c r="BP435" s="105"/>
      <c r="BQ435" s="105"/>
      <c r="BR435" s="105"/>
      <c r="BS435" s="105"/>
      <c r="BT435" s="105"/>
      <c r="BU435" s="105"/>
      <c r="BV435" s="105"/>
      <c r="BW435" s="105"/>
      <c r="BX435" s="105"/>
      <c r="BY435" s="105"/>
      <c r="BZ435" s="105"/>
      <c r="CA435" s="105"/>
      <c r="CB435" s="105"/>
      <c r="CC435" s="105"/>
      <c r="CD435" s="105"/>
      <c r="CE435" s="105"/>
      <c r="CF435" s="105"/>
      <c r="CG435" s="105"/>
      <c r="CH435" s="105"/>
      <c r="CI435" s="105"/>
      <c r="CJ435" s="105"/>
      <c r="CK435" s="105"/>
      <c r="CL435" s="105"/>
      <c r="CM435" s="105"/>
      <c r="CN435" s="105"/>
      <c r="CO435" s="105"/>
      <c r="CP435" s="105"/>
      <c r="CQ435" s="105"/>
      <c r="CR435" s="105"/>
      <c r="CS435" s="105"/>
      <c r="CT435" s="105"/>
      <c r="CU435" s="105"/>
      <c r="CV435" s="105"/>
      <c r="CW435" s="105"/>
      <c r="CX435" s="105"/>
      <c r="CY435" s="105"/>
      <c r="CZ435" s="105"/>
      <c r="DA435" s="105"/>
      <c r="DB435" s="105"/>
      <c r="DC435" s="105"/>
      <c r="DD435" s="105"/>
      <c r="DE435" s="105"/>
      <c r="DF435" s="105"/>
      <c r="DG435" s="105"/>
      <c r="DH435" s="105"/>
      <c r="DI435" s="105"/>
      <c r="DJ435" s="105"/>
      <c r="DK435" s="105"/>
      <c r="DL435" s="105"/>
      <c r="DM435" s="105"/>
      <c r="DN435" s="105"/>
      <c r="DO435" s="105"/>
      <c r="DP435" s="105"/>
      <c r="DQ435" s="105"/>
      <c r="DR435" s="105"/>
      <c r="DS435" s="105"/>
      <c r="DT435" s="105"/>
      <c r="DU435" s="105"/>
      <c r="DV435" s="105"/>
      <c r="DW435" s="105"/>
      <c r="DX435" s="105"/>
      <c r="DY435" s="105"/>
      <c r="DZ435" s="105"/>
      <c r="EA435" s="105"/>
      <c r="EB435" s="105"/>
      <c r="EC435" s="105"/>
      <c r="ED435" s="105"/>
      <c r="EE435" s="105"/>
      <c r="EF435" s="105"/>
      <c r="EG435" s="105"/>
      <c r="EH435" s="105"/>
      <c r="EI435" s="105"/>
      <c r="EJ435" s="105"/>
      <c r="EK435" s="105"/>
      <c r="EL435" s="105"/>
      <c r="EM435" s="105"/>
      <c r="EN435" s="105"/>
      <c r="EO435" s="105"/>
      <c r="EP435" s="105"/>
      <c r="EQ435" s="105"/>
      <c r="ER435" s="105"/>
      <c r="ES435" s="105"/>
      <c r="ET435" s="105"/>
      <c r="EU435" s="105"/>
      <c r="EV435" s="105"/>
      <c r="EW435" s="105"/>
      <c r="EX435" s="105"/>
      <c r="EY435" s="105"/>
      <c r="EZ435" s="105"/>
      <c r="FA435" s="105"/>
      <c r="FB435" s="105"/>
      <c r="FC435" s="105"/>
      <c r="FD435" s="105"/>
      <c r="FE435" s="105"/>
      <c r="FF435" s="105"/>
      <c r="FG435" s="105"/>
      <c r="FH435" s="105"/>
      <c r="FI435" s="105"/>
      <c r="FJ435" s="105"/>
      <c r="FK435" s="105"/>
      <c r="FL435" s="105"/>
      <c r="FM435" s="105"/>
      <c r="FN435" s="105"/>
      <c r="FO435" s="105"/>
      <c r="FP435" s="105"/>
      <c r="FQ435" s="105"/>
      <c r="FR435" s="105"/>
      <c r="FS435" s="105"/>
      <c r="FT435" s="105"/>
      <c r="FU435" s="105"/>
      <c r="FV435" s="105"/>
      <c r="FW435" s="105"/>
      <c r="FX435" s="105"/>
      <c r="FY435" s="105"/>
      <c r="FZ435" s="105"/>
      <c r="GA435" s="105"/>
      <c r="GB435" s="105"/>
      <c r="GC435" s="105"/>
      <c r="GD435" s="105"/>
      <c r="GE435" s="105"/>
      <c r="GF435" s="105"/>
      <c r="GG435" s="105"/>
      <c r="GH435" s="105"/>
      <c r="GI435" s="105"/>
      <c r="GJ435" s="105"/>
      <c r="GK435" s="105"/>
      <c r="GL435" s="105"/>
      <c r="GM435" s="105"/>
      <c r="GN435" s="105"/>
      <c r="GO435" s="105"/>
      <c r="GP435" s="105"/>
      <c r="GQ435" s="105"/>
      <c r="GR435" s="105"/>
      <c r="GS435" s="105"/>
      <c r="GT435" s="105"/>
      <c r="GU435" s="105"/>
      <c r="GV435" s="105"/>
      <c r="GW435" s="105"/>
      <c r="GX435" s="105"/>
      <c r="GY435" s="105"/>
      <c r="GZ435" s="105"/>
      <c r="HA435" s="105"/>
      <c r="HB435" s="105"/>
      <c r="HC435" s="105"/>
      <c r="HD435" s="105"/>
      <c r="HE435" s="105"/>
      <c r="HF435" s="105"/>
      <c r="HG435" s="105"/>
      <c r="HH435" s="105"/>
      <c r="HI435" s="105"/>
      <c r="HJ435" s="105"/>
      <c r="HK435" s="105"/>
      <c r="HL435" s="105"/>
      <c r="HM435" s="105"/>
      <c r="HN435" s="105"/>
      <c r="HO435" s="105"/>
      <c r="HP435" s="105"/>
      <c r="HQ435" s="105"/>
      <c r="HR435" s="105"/>
      <c r="HS435" s="105"/>
      <c r="HT435" s="105"/>
      <c r="HU435" s="105"/>
      <c r="HV435" s="105"/>
      <c r="HW435" s="105"/>
      <c r="HX435" s="105"/>
      <c r="HY435" s="105"/>
      <c r="HZ435" s="105"/>
      <c r="IA435" s="105"/>
      <c r="IB435" s="105"/>
      <c r="IC435" s="105"/>
      <c r="ID435" s="105"/>
      <c r="IE435" s="105"/>
      <c r="IF435" s="105"/>
      <c r="IG435" s="105"/>
      <c r="IH435" s="105"/>
      <c r="II435" s="105"/>
      <c r="IJ435" s="105"/>
      <c r="IK435" s="105"/>
      <c r="IL435" s="105"/>
      <c r="IM435" s="105"/>
      <c r="IN435" s="105"/>
      <c r="IO435" s="105"/>
      <c r="IP435" s="105"/>
      <c r="IQ435" s="105"/>
      <c r="IR435" s="105"/>
      <c r="IS435" s="105"/>
      <c r="IT435" s="105"/>
      <c r="IU435" s="105"/>
      <c r="IV435" s="105"/>
    </row>
    <row r="436" spans="1:256" s="415" customFormat="1" x14ac:dyDescent="0.2">
      <c r="A436" s="37">
        <v>44545</v>
      </c>
      <c r="B436" s="38" t="s">
        <v>134</v>
      </c>
      <c r="C436" s="38">
        <v>2021</v>
      </c>
      <c r="D436" s="38" t="s">
        <v>7</v>
      </c>
      <c r="E436" s="70">
        <v>-4</v>
      </c>
      <c r="F436" s="177" t="s">
        <v>32</v>
      </c>
      <c r="G436" s="71">
        <f>-(E436*80000)</f>
        <v>320000</v>
      </c>
      <c r="H436" s="70">
        <v>248</v>
      </c>
      <c r="I436" s="177" t="s">
        <v>80</v>
      </c>
      <c r="J436" s="177" t="s">
        <v>38</v>
      </c>
      <c r="K436" s="70">
        <v>1</v>
      </c>
      <c r="L436" s="70" t="s">
        <v>626</v>
      </c>
      <c r="M436" s="70" t="s">
        <v>930</v>
      </c>
      <c r="N436" s="70" t="s">
        <v>931</v>
      </c>
      <c r="O436" s="70"/>
      <c r="P436" s="72" t="s">
        <v>143</v>
      </c>
      <c r="Q436" s="790">
        <v>39.865496</v>
      </c>
      <c r="R436" s="687">
        <v>-86.045828</v>
      </c>
      <c r="S436" s="72" t="s">
        <v>61</v>
      </c>
      <c r="T436" s="38"/>
      <c r="U436" s="38" t="s">
        <v>51</v>
      </c>
      <c r="V436" s="37"/>
      <c r="W436" s="39">
        <f>IF(AC436="Intr",0,G436*Definitions!$B$53)</f>
        <v>48000</v>
      </c>
      <c r="X436" s="39">
        <f>IF(AC436="Intr",0,G436*Definitions!$B$54)</f>
        <v>224000</v>
      </c>
      <c r="Y436" s="39">
        <f>IF(AC436="Intr",G436,G436*Definitions!$B$55)</f>
        <v>48000</v>
      </c>
      <c r="Z436" s="39" t="s">
        <v>966</v>
      </c>
      <c r="AA436" s="39" t="s">
        <v>965</v>
      </c>
      <c r="AB436" s="39"/>
      <c r="AC436" s="38"/>
      <c r="AD436" s="38"/>
      <c r="AE436" s="38"/>
      <c r="AF436" s="38"/>
      <c r="AG436" s="40"/>
      <c r="AH436" s="72" t="s">
        <v>932</v>
      </c>
      <c r="AI436" s="105"/>
      <c r="AJ436" s="105"/>
      <c r="AK436" s="105"/>
      <c r="AL436" s="105"/>
      <c r="AM436" s="105"/>
      <c r="AN436" s="105"/>
      <c r="AO436" s="105"/>
      <c r="AP436" s="105"/>
      <c r="AQ436" s="105"/>
      <c r="AR436" s="105"/>
      <c r="AS436" s="105"/>
      <c r="AT436" s="105"/>
      <c r="AU436" s="105"/>
      <c r="AV436" s="105"/>
      <c r="AW436" s="105"/>
      <c r="AX436" s="105"/>
      <c r="AY436" s="105"/>
      <c r="AZ436" s="105"/>
      <c r="BA436" s="105"/>
      <c r="BB436" s="105"/>
      <c r="BC436" s="105"/>
      <c r="BD436" s="105"/>
      <c r="BE436" s="105"/>
      <c r="BF436" s="105"/>
      <c r="BG436" s="105"/>
      <c r="BH436" s="105"/>
      <c r="BI436" s="105"/>
      <c r="BJ436" s="105"/>
      <c r="BK436" s="105"/>
      <c r="BL436" s="105"/>
      <c r="BM436" s="105"/>
      <c r="BN436" s="105"/>
      <c r="BO436" s="105"/>
      <c r="BP436" s="105"/>
      <c r="BQ436" s="105"/>
      <c r="BR436" s="105"/>
      <c r="BS436" s="105"/>
      <c r="BT436" s="105"/>
      <c r="BU436" s="105"/>
      <c r="BV436" s="105"/>
      <c r="BW436" s="105"/>
      <c r="BX436" s="105"/>
      <c r="BY436" s="105"/>
      <c r="BZ436" s="105"/>
      <c r="CA436" s="105"/>
      <c r="CB436" s="105"/>
      <c r="CC436" s="105"/>
      <c r="CD436" s="105"/>
      <c r="CE436" s="105"/>
      <c r="CF436" s="105"/>
      <c r="CG436" s="105"/>
      <c r="CH436" s="105"/>
      <c r="CI436" s="105"/>
      <c r="CJ436" s="105"/>
      <c r="CK436" s="105"/>
      <c r="CL436" s="105"/>
      <c r="CM436" s="105"/>
      <c r="CN436" s="105"/>
      <c r="CO436" s="105"/>
      <c r="CP436" s="105"/>
      <c r="CQ436" s="105"/>
      <c r="CR436" s="105"/>
      <c r="CS436" s="105"/>
      <c r="CT436" s="105"/>
      <c r="CU436" s="105"/>
      <c r="CV436" s="105"/>
      <c r="CW436" s="105"/>
      <c r="CX436" s="105"/>
      <c r="CY436" s="105"/>
      <c r="CZ436" s="105"/>
      <c r="DA436" s="105"/>
      <c r="DB436" s="105"/>
      <c r="DC436" s="105"/>
      <c r="DD436" s="105"/>
      <c r="DE436" s="105"/>
      <c r="DF436" s="105"/>
      <c r="DG436" s="105"/>
      <c r="DH436" s="105"/>
      <c r="DI436" s="105"/>
      <c r="DJ436" s="105"/>
      <c r="DK436" s="105"/>
      <c r="DL436" s="105"/>
      <c r="DM436" s="105"/>
      <c r="DN436" s="105"/>
      <c r="DO436" s="105"/>
      <c r="DP436" s="105"/>
      <c r="DQ436" s="105"/>
      <c r="DR436" s="105"/>
      <c r="DS436" s="105"/>
      <c r="DT436" s="105"/>
      <c r="DU436" s="105"/>
      <c r="DV436" s="105"/>
      <c r="DW436" s="105"/>
      <c r="DX436" s="105"/>
      <c r="DY436" s="105"/>
      <c r="DZ436" s="105"/>
      <c r="EA436" s="105"/>
      <c r="EB436" s="105"/>
      <c r="EC436" s="105"/>
      <c r="ED436" s="105"/>
      <c r="EE436" s="105"/>
      <c r="EF436" s="105"/>
      <c r="EG436" s="105"/>
      <c r="EH436" s="105"/>
      <c r="EI436" s="105"/>
      <c r="EJ436" s="105"/>
      <c r="EK436" s="105"/>
      <c r="EL436" s="105"/>
      <c r="EM436" s="105"/>
      <c r="EN436" s="105"/>
      <c r="EO436" s="105"/>
      <c r="EP436" s="105"/>
      <c r="EQ436" s="105"/>
      <c r="ER436" s="105"/>
      <c r="ES436" s="105"/>
      <c r="ET436" s="105"/>
      <c r="EU436" s="105"/>
      <c r="EV436" s="105"/>
      <c r="EW436" s="105"/>
      <c r="EX436" s="105"/>
      <c r="EY436" s="105"/>
      <c r="EZ436" s="105"/>
      <c r="FA436" s="105"/>
      <c r="FB436" s="105"/>
      <c r="FC436" s="105"/>
      <c r="FD436" s="105"/>
      <c r="FE436" s="105"/>
      <c r="FF436" s="105"/>
      <c r="FG436" s="105"/>
      <c r="FH436" s="105"/>
      <c r="FI436" s="105"/>
      <c r="FJ436" s="105"/>
      <c r="FK436" s="105"/>
      <c r="FL436" s="105"/>
      <c r="FM436" s="105"/>
      <c r="FN436" s="105"/>
      <c r="FO436" s="105"/>
      <c r="FP436" s="105"/>
      <c r="FQ436" s="105"/>
      <c r="FR436" s="105"/>
      <c r="FS436" s="105"/>
      <c r="FT436" s="105"/>
      <c r="FU436" s="105"/>
      <c r="FV436" s="105"/>
      <c r="FW436" s="105"/>
      <c r="FX436" s="105"/>
      <c r="FY436" s="105"/>
      <c r="FZ436" s="105"/>
      <c r="GA436" s="105"/>
      <c r="GB436" s="105"/>
      <c r="GC436" s="105"/>
      <c r="GD436" s="105"/>
      <c r="GE436" s="105"/>
      <c r="GF436" s="105"/>
      <c r="GG436" s="105"/>
      <c r="GH436" s="105"/>
      <c r="GI436" s="105"/>
      <c r="GJ436" s="105"/>
      <c r="GK436" s="105"/>
      <c r="GL436" s="105"/>
      <c r="GM436" s="105"/>
      <c r="GN436" s="105"/>
      <c r="GO436" s="105"/>
      <c r="GP436" s="105"/>
      <c r="GQ436" s="105"/>
      <c r="GR436" s="105"/>
      <c r="GS436" s="105"/>
      <c r="GT436" s="105"/>
      <c r="GU436" s="105"/>
      <c r="GV436" s="105"/>
      <c r="GW436" s="105"/>
      <c r="GX436" s="105"/>
      <c r="GY436" s="105"/>
      <c r="GZ436" s="105"/>
      <c r="HA436" s="105"/>
      <c r="HB436" s="105"/>
      <c r="HC436" s="105"/>
      <c r="HD436" s="105"/>
      <c r="HE436" s="105"/>
      <c r="HF436" s="105"/>
      <c r="HG436" s="105"/>
      <c r="HH436" s="105"/>
      <c r="HI436" s="105"/>
      <c r="HJ436" s="105"/>
      <c r="HK436" s="105"/>
      <c r="HL436" s="105"/>
      <c r="HM436" s="105"/>
      <c r="HN436" s="105"/>
      <c r="HO436" s="105"/>
      <c r="HP436" s="105"/>
      <c r="HQ436" s="105"/>
      <c r="HR436" s="105"/>
      <c r="HS436" s="105"/>
      <c r="HT436" s="105"/>
      <c r="HU436" s="105"/>
      <c r="HV436" s="105"/>
      <c r="HW436" s="105"/>
      <c r="HX436" s="105"/>
      <c r="HY436" s="105"/>
      <c r="HZ436" s="105"/>
      <c r="IA436" s="105"/>
      <c r="IB436" s="105"/>
      <c r="IC436" s="105"/>
      <c r="ID436" s="105"/>
      <c r="IE436" s="105"/>
      <c r="IF436" s="105"/>
      <c r="IG436" s="105"/>
      <c r="IH436" s="105"/>
      <c r="II436" s="105"/>
      <c r="IJ436" s="105"/>
      <c r="IK436" s="105"/>
      <c r="IL436" s="105"/>
      <c r="IM436" s="105"/>
      <c r="IN436" s="105"/>
      <c r="IO436" s="105"/>
      <c r="IP436" s="105"/>
      <c r="IQ436" s="105"/>
      <c r="IR436" s="105"/>
      <c r="IS436" s="105"/>
      <c r="IT436" s="105"/>
      <c r="IU436" s="105"/>
      <c r="IV436" s="105"/>
    </row>
    <row r="437" spans="1:256" s="384" customFormat="1" x14ac:dyDescent="0.2">
      <c r="A437" s="207">
        <v>44545</v>
      </c>
      <c r="B437" s="208" t="s">
        <v>134</v>
      </c>
      <c r="C437" s="208">
        <v>2021</v>
      </c>
      <c r="D437" s="208" t="s">
        <v>5</v>
      </c>
      <c r="E437" s="212">
        <v>-0.35</v>
      </c>
      <c r="F437" s="209" t="s">
        <v>32</v>
      </c>
      <c r="G437" s="426">
        <f>-(E437*80000)</f>
        <v>28000</v>
      </c>
      <c r="H437" s="212">
        <v>263</v>
      </c>
      <c r="I437" s="209" t="s">
        <v>81</v>
      </c>
      <c r="J437" s="209" t="s">
        <v>36</v>
      </c>
      <c r="K437" s="212">
        <v>0.18</v>
      </c>
      <c r="L437" s="212" t="s">
        <v>927</v>
      </c>
      <c r="M437" s="232" t="s">
        <v>729</v>
      </c>
      <c r="N437" s="212" t="s">
        <v>928</v>
      </c>
      <c r="O437" s="212"/>
      <c r="P437" s="304" t="s">
        <v>929</v>
      </c>
      <c r="Q437" s="797">
        <v>40.406025</v>
      </c>
      <c r="R437" s="694">
        <v>-85.276526000000004</v>
      </c>
      <c r="S437" s="304" t="s">
        <v>63</v>
      </c>
      <c r="T437" s="208"/>
      <c r="U437" s="208" t="s">
        <v>51</v>
      </c>
      <c r="V437" s="207"/>
      <c r="W437" s="213">
        <f>IF(AC437="Intr",0,G437*Definitions!$B$53)</f>
        <v>4200</v>
      </c>
      <c r="X437" s="213">
        <f>IF(AC437="Intr",0,G437*Definitions!$B$54)</f>
        <v>19600</v>
      </c>
      <c r="Y437" s="213">
        <f>IF(AC437="Intr",G437,G437*Definitions!$B$55)</f>
        <v>4200</v>
      </c>
      <c r="Z437" s="213" t="s">
        <v>966</v>
      </c>
      <c r="AA437" s="213" t="s">
        <v>963</v>
      </c>
      <c r="AB437" s="213" t="s">
        <v>971</v>
      </c>
      <c r="AC437" s="208"/>
      <c r="AD437" s="208"/>
      <c r="AE437" s="208"/>
      <c r="AF437" s="208"/>
      <c r="AG437" s="214"/>
      <c r="AH437" s="208"/>
      <c r="AI437" s="105"/>
      <c r="AJ437" s="105"/>
      <c r="AK437" s="105"/>
      <c r="AL437" s="105"/>
      <c r="AM437" s="105"/>
      <c r="AN437" s="105"/>
      <c r="AO437" s="105"/>
      <c r="AP437" s="105"/>
      <c r="AQ437" s="105"/>
      <c r="AR437" s="105"/>
      <c r="AS437" s="105"/>
      <c r="AT437" s="105"/>
      <c r="AU437" s="105"/>
      <c r="AV437" s="105"/>
      <c r="AW437" s="105"/>
      <c r="AX437" s="105"/>
      <c r="AY437" s="105"/>
      <c r="AZ437" s="105"/>
      <c r="BA437" s="105"/>
      <c r="BB437" s="105"/>
      <c r="BC437" s="105"/>
      <c r="BD437" s="105"/>
      <c r="BE437" s="105"/>
      <c r="BF437" s="105"/>
      <c r="BG437" s="105"/>
      <c r="BH437" s="105"/>
      <c r="BI437" s="105"/>
      <c r="BJ437" s="105"/>
      <c r="BK437" s="105"/>
      <c r="BL437" s="105"/>
      <c r="BM437" s="105"/>
      <c r="BN437" s="105"/>
      <c r="BO437" s="105"/>
      <c r="BP437" s="105"/>
      <c r="BQ437" s="105"/>
      <c r="BR437" s="105"/>
      <c r="BS437" s="105"/>
      <c r="BT437" s="105"/>
      <c r="BU437" s="105"/>
      <c r="BV437" s="105"/>
      <c r="BW437" s="105"/>
      <c r="BX437" s="105"/>
      <c r="BY437" s="105"/>
      <c r="BZ437" s="105"/>
      <c r="CA437" s="105"/>
      <c r="CB437" s="105"/>
      <c r="CC437" s="105"/>
      <c r="CD437" s="105"/>
      <c r="CE437" s="105"/>
      <c r="CF437" s="105"/>
      <c r="CG437" s="105"/>
      <c r="CH437" s="105"/>
      <c r="CI437" s="105"/>
      <c r="CJ437" s="105"/>
      <c r="CK437" s="105"/>
      <c r="CL437" s="105"/>
      <c r="CM437" s="105"/>
      <c r="CN437" s="105"/>
      <c r="CO437" s="105"/>
      <c r="CP437" s="105"/>
      <c r="CQ437" s="105"/>
      <c r="CR437" s="105"/>
      <c r="CS437" s="105"/>
      <c r="CT437" s="105"/>
      <c r="CU437" s="105"/>
      <c r="CV437" s="105"/>
      <c r="CW437" s="105"/>
      <c r="CX437" s="105"/>
      <c r="CY437" s="105"/>
      <c r="CZ437" s="105"/>
      <c r="DA437" s="105"/>
      <c r="DB437" s="105"/>
      <c r="DC437" s="105"/>
      <c r="DD437" s="105"/>
      <c r="DE437" s="105"/>
      <c r="DF437" s="105"/>
      <c r="DG437" s="105"/>
      <c r="DH437" s="105"/>
      <c r="DI437" s="105"/>
      <c r="DJ437" s="105"/>
      <c r="DK437" s="105"/>
      <c r="DL437" s="105"/>
      <c r="DM437" s="105"/>
      <c r="DN437" s="105"/>
      <c r="DO437" s="105"/>
      <c r="DP437" s="105"/>
      <c r="DQ437" s="105"/>
      <c r="DR437" s="105"/>
      <c r="DS437" s="105"/>
      <c r="DT437" s="105"/>
      <c r="DU437" s="105"/>
      <c r="DV437" s="105"/>
      <c r="DW437" s="105"/>
      <c r="DX437" s="105"/>
      <c r="DY437" s="105"/>
      <c r="DZ437" s="105"/>
      <c r="EA437" s="105"/>
      <c r="EB437" s="105"/>
      <c r="EC437" s="105"/>
      <c r="ED437" s="105"/>
      <c r="EE437" s="105"/>
      <c r="EF437" s="105"/>
      <c r="EG437" s="105"/>
      <c r="EH437" s="105"/>
      <c r="EI437" s="105"/>
      <c r="EJ437" s="105"/>
      <c r="EK437" s="105"/>
      <c r="EL437" s="105"/>
      <c r="EM437" s="105"/>
      <c r="EN437" s="105"/>
      <c r="EO437" s="105"/>
      <c r="EP437" s="105"/>
      <c r="EQ437" s="105"/>
      <c r="ER437" s="105"/>
      <c r="ES437" s="105"/>
      <c r="ET437" s="105"/>
      <c r="EU437" s="105"/>
      <c r="EV437" s="105"/>
      <c r="EW437" s="105"/>
      <c r="EX437" s="105"/>
      <c r="EY437" s="105"/>
      <c r="EZ437" s="105"/>
      <c r="FA437" s="105"/>
      <c r="FB437" s="105"/>
      <c r="FC437" s="105"/>
      <c r="FD437" s="105"/>
      <c r="FE437" s="105"/>
      <c r="FF437" s="105"/>
      <c r="FG437" s="105"/>
      <c r="FH437" s="105"/>
      <c r="FI437" s="105"/>
      <c r="FJ437" s="105"/>
      <c r="FK437" s="105"/>
      <c r="FL437" s="105"/>
      <c r="FM437" s="105"/>
      <c r="FN437" s="105"/>
      <c r="FO437" s="105"/>
      <c r="FP437" s="105"/>
      <c r="FQ437" s="105"/>
      <c r="FR437" s="105"/>
      <c r="FS437" s="105"/>
      <c r="FT437" s="105"/>
      <c r="FU437" s="105"/>
      <c r="FV437" s="105"/>
      <c r="FW437" s="105"/>
      <c r="FX437" s="105"/>
      <c r="FY437" s="105"/>
      <c r="FZ437" s="105"/>
      <c r="GA437" s="105"/>
      <c r="GB437" s="105"/>
      <c r="GC437" s="105"/>
      <c r="GD437" s="105"/>
      <c r="GE437" s="105"/>
      <c r="GF437" s="105"/>
      <c r="GG437" s="105"/>
      <c r="GH437" s="105"/>
      <c r="GI437" s="105"/>
      <c r="GJ437" s="105"/>
      <c r="GK437" s="105"/>
      <c r="GL437" s="105"/>
      <c r="GM437" s="105"/>
      <c r="GN437" s="105"/>
      <c r="GO437" s="105"/>
      <c r="GP437" s="105"/>
      <c r="GQ437" s="105"/>
      <c r="GR437" s="105"/>
      <c r="GS437" s="105"/>
      <c r="GT437" s="105"/>
      <c r="GU437" s="105"/>
      <c r="GV437" s="105"/>
      <c r="GW437" s="105"/>
      <c r="GX437" s="105"/>
      <c r="GY437" s="105"/>
      <c r="GZ437" s="105"/>
      <c r="HA437" s="105"/>
      <c r="HB437" s="105"/>
      <c r="HC437" s="105"/>
      <c r="HD437" s="105"/>
      <c r="HE437" s="105"/>
      <c r="HF437" s="105"/>
      <c r="HG437" s="105"/>
      <c r="HH437" s="105"/>
      <c r="HI437" s="105"/>
      <c r="HJ437" s="105"/>
      <c r="HK437" s="105"/>
      <c r="HL437" s="105"/>
      <c r="HM437" s="105"/>
      <c r="HN437" s="105"/>
      <c r="HO437" s="105"/>
      <c r="HP437" s="105"/>
      <c r="HQ437" s="105"/>
      <c r="HR437" s="105"/>
      <c r="HS437" s="105"/>
      <c r="HT437" s="105"/>
      <c r="HU437" s="105"/>
      <c r="HV437" s="105"/>
      <c r="HW437" s="105"/>
      <c r="HX437" s="105"/>
      <c r="HY437" s="105"/>
      <c r="HZ437" s="105"/>
      <c r="IA437" s="105"/>
      <c r="IB437" s="105"/>
      <c r="IC437" s="105"/>
      <c r="ID437" s="105"/>
      <c r="IE437" s="105"/>
      <c r="IF437" s="105"/>
      <c r="IG437" s="105"/>
      <c r="IH437" s="105"/>
      <c r="II437" s="105"/>
      <c r="IJ437" s="105"/>
      <c r="IK437" s="105"/>
      <c r="IL437" s="105"/>
      <c r="IM437" s="105"/>
      <c r="IN437" s="105"/>
      <c r="IO437" s="105"/>
      <c r="IP437" s="105"/>
      <c r="IQ437" s="105"/>
      <c r="IR437" s="105"/>
      <c r="IS437" s="105"/>
      <c r="IT437" s="105"/>
      <c r="IU437" s="105"/>
      <c r="IV437" s="105"/>
    </row>
    <row r="438" spans="1:256" x14ac:dyDescent="0.2">
      <c r="A438" s="573">
        <v>44558</v>
      </c>
      <c r="B438" s="80" t="s">
        <v>134</v>
      </c>
      <c r="C438" s="80">
        <v>2021</v>
      </c>
      <c r="D438" s="574" t="s">
        <v>1</v>
      </c>
      <c r="E438" s="556">
        <v>-126</v>
      </c>
      <c r="F438" s="556" t="s">
        <v>33</v>
      </c>
      <c r="G438" s="557">
        <f>-(E438*600)</f>
        <v>75600</v>
      </c>
      <c r="H438" s="555">
        <v>238</v>
      </c>
      <c r="I438" s="556" t="s">
        <v>80</v>
      </c>
      <c r="J438" s="556" t="s">
        <v>40</v>
      </c>
      <c r="K438" s="555">
        <v>101</v>
      </c>
      <c r="L438" s="555" t="s">
        <v>726</v>
      </c>
      <c r="M438" s="561" t="s">
        <v>933</v>
      </c>
      <c r="N438" s="84" t="s">
        <v>934</v>
      </c>
      <c r="O438" s="84"/>
      <c r="P438" s="85" t="s">
        <v>227</v>
      </c>
      <c r="Q438" s="807">
        <v>41.42</v>
      </c>
      <c r="R438" s="704">
        <v>-87.3215</v>
      </c>
      <c r="S438" s="80" t="s">
        <v>63</v>
      </c>
      <c r="T438" s="80"/>
      <c r="U438" s="80" t="s">
        <v>51</v>
      </c>
      <c r="V438" s="79"/>
      <c r="W438" s="86">
        <f>IF(AC438="Intr",0,G438*Definitions!$B$53)</f>
        <v>11340</v>
      </c>
      <c r="X438" s="86">
        <f>IF(AC438="Intr",0,G438*Definitions!$B$54)</f>
        <v>52920</v>
      </c>
      <c r="Y438" s="86">
        <f>IF(AC438="Intr",G438,G438*Definitions!$B$55)</f>
        <v>11340</v>
      </c>
      <c r="Z438" s="86" t="s">
        <v>967</v>
      </c>
      <c r="AA438" s="86" t="s">
        <v>965</v>
      </c>
      <c r="AB438" s="86"/>
      <c r="AC438" s="80"/>
      <c r="AD438" s="80"/>
      <c r="AE438" s="80"/>
      <c r="AF438" s="80"/>
      <c r="AG438" s="87"/>
      <c r="AH438" s="268" t="s">
        <v>948</v>
      </c>
    </row>
    <row r="439" spans="1:256" s="432" customFormat="1" x14ac:dyDescent="0.2">
      <c r="A439" s="79">
        <v>44558</v>
      </c>
      <c r="B439" s="80" t="s">
        <v>134</v>
      </c>
      <c r="C439" s="80">
        <v>2021</v>
      </c>
      <c r="D439" s="80" t="s">
        <v>1</v>
      </c>
      <c r="E439" s="84">
        <v>-1.45</v>
      </c>
      <c r="F439" s="81" t="s">
        <v>32</v>
      </c>
      <c r="G439" s="267">
        <f>-(E439*95000)</f>
        <v>137750</v>
      </c>
      <c r="H439" s="84">
        <v>238</v>
      </c>
      <c r="I439" s="556" t="s">
        <v>80</v>
      </c>
      <c r="J439" s="556" t="s">
        <v>36</v>
      </c>
      <c r="K439" s="84">
        <v>0.66700000000000004</v>
      </c>
      <c r="L439" s="84" t="s">
        <v>726</v>
      </c>
      <c r="M439" s="84" t="s">
        <v>933</v>
      </c>
      <c r="N439" s="84" t="s">
        <v>934</v>
      </c>
      <c r="O439" s="84"/>
      <c r="P439" s="85" t="s">
        <v>227</v>
      </c>
      <c r="Q439" s="807">
        <v>41.42</v>
      </c>
      <c r="R439" s="704">
        <v>-87.3215</v>
      </c>
      <c r="S439" s="80" t="s">
        <v>63</v>
      </c>
      <c r="T439" s="80"/>
      <c r="U439" s="80" t="s">
        <v>51</v>
      </c>
      <c r="V439" s="79"/>
      <c r="W439" s="86">
        <f>IF(AC439="Intr",0,G439*Definitions!$B$53)</f>
        <v>20662.5</v>
      </c>
      <c r="X439" s="86">
        <f>IF(AC439="Intr",0,G439*Definitions!$B$54)</f>
        <v>96425</v>
      </c>
      <c r="Y439" s="86">
        <f>IF(AC439="Intr",G439,G439*Definitions!$B$55)</f>
        <v>20662.5</v>
      </c>
      <c r="Z439" s="86" t="s">
        <v>967</v>
      </c>
      <c r="AA439" s="86" t="s">
        <v>965</v>
      </c>
      <c r="AB439" s="86"/>
      <c r="AC439" s="80"/>
      <c r="AD439" s="80"/>
      <c r="AE439" s="80"/>
      <c r="AF439" s="80"/>
      <c r="AG439" s="87"/>
      <c r="AH439" s="268" t="s">
        <v>949</v>
      </c>
      <c r="AI439" s="105"/>
      <c r="AJ439" s="105"/>
      <c r="AK439" s="105"/>
      <c r="AL439" s="105"/>
      <c r="AM439" s="105"/>
      <c r="AN439" s="105"/>
      <c r="AO439" s="105"/>
      <c r="AP439" s="105"/>
      <c r="AQ439" s="105"/>
      <c r="AR439" s="105"/>
      <c r="AS439" s="105"/>
      <c r="AT439" s="105"/>
      <c r="AU439" s="105"/>
      <c r="AV439" s="105"/>
      <c r="AW439" s="105"/>
      <c r="AX439" s="105"/>
      <c r="AY439" s="105"/>
      <c r="AZ439" s="105"/>
      <c r="BA439" s="105"/>
      <c r="BB439" s="105"/>
      <c r="BC439" s="105"/>
      <c r="BD439" s="105"/>
      <c r="BE439" s="105"/>
      <c r="BF439" s="105"/>
      <c r="BG439" s="105"/>
      <c r="BH439" s="105"/>
      <c r="BI439" s="105"/>
      <c r="BJ439" s="105"/>
      <c r="BK439" s="105"/>
      <c r="BL439" s="105"/>
      <c r="BM439" s="105"/>
      <c r="BN439" s="105"/>
      <c r="BO439" s="105"/>
      <c r="BP439" s="105"/>
      <c r="BQ439" s="105"/>
      <c r="BR439" s="105"/>
      <c r="BS439" s="105"/>
      <c r="BT439" s="105"/>
      <c r="BU439" s="105"/>
      <c r="BV439" s="105"/>
      <c r="BW439" s="105"/>
      <c r="BX439" s="105"/>
      <c r="BY439" s="105"/>
      <c r="BZ439" s="105"/>
      <c r="CA439" s="105"/>
      <c r="CB439" s="105"/>
      <c r="CC439" s="105"/>
      <c r="CD439" s="105"/>
      <c r="CE439" s="105"/>
      <c r="CF439" s="105"/>
      <c r="CG439" s="105"/>
      <c r="CH439" s="105"/>
      <c r="CI439" s="105"/>
      <c r="CJ439" s="105"/>
      <c r="CK439" s="105"/>
      <c r="CL439" s="105"/>
      <c r="CM439" s="105"/>
      <c r="CN439" s="105"/>
      <c r="CO439" s="105"/>
      <c r="CP439" s="105"/>
      <c r="CQ439" s="105"/>
      <c r="CR439" s="105"/>
      <c r="CS439" s="105"/>
      <c r="CT439" s="105"/>
      <c r="CU439" s="105"/>
      <c r="CV439" s="105"/>
      <c r="CW439" s="105"/>
      <c r="CX439" s="105"/>
      <c r="CY439" s="105"/>
      <c r="CZ439" s="105"/>
      <c r="DA439" s="105"/>
      <c r="DB439" s="105"/>
      <c r="DC439" s="105"/>
      <c r="DD439" s="105"/>
      <c r="DE439" s="105"/>
      <c r="DF439" s="105"/>
      <c r="DG439" s="105"/>
      <c r="DH439" s="105"/>
      <c r="DI439" s="105"/>
      <c r="DJ439" s="105"/>
      <c r="DK439" s="105"/>
      <c r="DL439" s="105"/>
      <c r="DM439" s="105"/>
      <c r="DN439" s="105"/>
      <c r="DO439" s="105"/>
      <c r="DP439" s="105"/>
      <c r="DQ439" s="105"/>
      <c r="DR439" s="105"/>
      <c r="DS439" s="105"/>
      <c r="DT439" s="105"/>
      <c r="DU439" s="105"/>
      <c r="DV439" s="105"/>
      <c r="DW439" s="105"/>
      <c r="DX439" s="105"/>
      <c r="DY439" s="105"/>
      <c r="DZ439" s="105"/>
      <c r="EA439" s="105"/>
      <c r="EB439" s="105"/>
      <c r="EC439" s="105"/>
      <c r="ED439" s="105"/>
      <c r="EE439" s="105"/>
      <c r="EF439" s="105"/>
      <c r="EG439" s="105"/>
      <c r="EH439" s="105"/>
      <c r="EI439" s="105"/>
      <c r="EJ439" s="105"/>
      <c r="EK439" s="105"/>
      <c r="EL439" s="105"/>
      <c r="EM439" s="105"/>
      <c r="EN439" s="105"/>
      <c r="EO439" s="105"/>
      <c r="EP439" s="105"/>
      <c r="EQ439" s="105"/>
      <c r="ER439" s="105"/>
      <c r="ES439" s="105"/>
      <c r="ET439" s="105"/>
      <c r="EU439" s="105"/>
      <c r="EV439" s="105"/>
      <c r="EW439" s="105"/>
      <c r="EX439" s="105"/>
      <c r="EY439" s="105"/>
      <c r="EZ439" s="105"/>
      <c r="FA439" s="105"/>
      <c r="FB439" s="105"/>
      <c r="FC439" s="105"/>
      <c r="FD439" s="105"/>
      <c r="FE439" s="105"/>
      <c r="FF439" s="105"/>
      <c r="FG439" s="105"/>
      <c r="FH439" s="105"/>
      <c r="FI439" s="105"/>
      <c r="FJ439" s="105"/>
      <c r="FK439" s="105"/>
      <c r="FL439" s="105"/>
      <c r="FM439" s="105"/>
      <c r="FN439" s="105"/>
      <c r="FO439" s="105"/>
      <c r="FP439" s="105"/>
      <c r="FQ439" s="105"/>
      <c r="FR439" s="105"/>
      <c r="FS439" s="105"/>
      <c r="FT439" s="105"/>
      <c r="FU439" s="105"/>
      <c r="FV439" s="105"/>
      <c r="FW439" s="105"/>
      <c r="FX439" s="105"/>
      <c r="FY439" s="105"/>
      <c r="FZ439" s="105"/>
      <c r="GA439" s="105"/>
      <c r="GB439" s="105"/>
      <c r="GC439" s="105"/>
      <c r="GD439" s="105"/>
      <c r="GE439" s="105"/>
      <c r="GF439" s="105"/>
      <c r="GG439" s="105"/>
      <c r="GH439" s="105"/>
      <c r="GI439" s="105"/>
      <c r="GJ439" s="105"/>
      <c r="GK439" s="105"/>
      <c r="GL439" s="105"/>
      <c r="GM439" s="105"/>
      <c r="GN439" s="105"/>
      <c r="GO439" s="105"/>
      <c r="GP439" s="105"/>
      <c r="GQ439" s="105"/>
      <c r="GR439" s="105"/>
      <c r="GS439" s="105"/>
      <c r="GT439" s="105"/>
      <c r="GU439" s="105"/>
      <c r="GV439" s="105"/>
      <c r="GW439" s="105"/>
      <c r="GX439" s="105"/>
      <c r="GY439" s="105"/>
      <c r="GZ439" s="105"/>
      <c r="HA439" s="105"/>
      <c r="HB439" s="105"/>
      <c r="HC439" s="105"/>
      <c r="HD439" s="105"/>
      <c r="HE439" s="105"/>
      <c r="HF439" s="105"/>
      <c r="HG439" s="105"/>
      <c r="HH439" s="105"/>
      <c r="HI439" s="105"/>
      <c r="HJ439" s="105"/>
      <c r="HK439" s="105"/>
      <c r="HL439" s="105"/>
      <c r="HM439" s="105"/>
      <c r="HN439" s="105"/>
      <c r="HO439" s="105"/>
      <c r="HP439" s="105"/>
      <c r="HQ439" s="105"/>
      <c r="HR439" s="105"/>
      <c r="HS439" s="105"/>
      <c r="HT439" s="105"/>
      <c r="HU439" s="105"/>
      <c r="HV439" s="105"/>
      <c r="HW439" s="105"/>
      <c r="HX439" s="105"/>
      <c r="HY439" s="105"/>
      <c r="HZ439" s="105"/>
      <c r="IA439" s="105"/>
      <c r="IB439" s="105"/>
      <c r="IC439" s="105"/>
      <c r="ID439" s="105"/>
      <c r="IE439" s="105"/>
      <c r="IF439" s="105"/>
      <c r="IG439" s="105"/>
      <c r="IH439" s="105"/>
      <c r="II439" s="105"/>
      <c r="IJ439" s="105"/>
      <c r="IK439" s="105"/>
      <c r="IL439" s="105"/>
      <c r="IM439" s="105"/>
      <c r="IN439" s="105"/>
      <c r="IO439" s="105"/>
      <c r="IP439" s="105"/>
      <c r="IQ439" s="105"/>
      <c r="IR439" s="105"/>
      <c r="IS439" s="105"/>
      <c r="IT439" s="105"/>
      <c r="IU439" s="105"/>
      <c r="IV439" s="105"/>
    </row>
    <row r="440" spans="1:256" s="432" customFormat="1" x14ac:dyDescent="0.2">
      <c r="A440" s="529"/>
      <c r="B440" s="530"/>
      <c r="C440" s="530"/>
      <c r="D440" s="530"/>
      <c r="E440" s="534"/>
      <c r="F440" s="531"/>
      <c r="G440" s="585"/>
      <c r="H440" s="534"/>
      <c r="I440" s="586"/>
      <c r="J440" s="586"/>
      <c r="K440" s="534"/>
      <c r="L440" s="534"/>
      <c r="M440" s="534"/>
      <c r="N440" s="534"/>
      <c r="O440" s="534"/>
      <c r="P440" s="587"/>
      <c r="Q440" s="740"/>
      <c r="R440" s="653"/>
      <c r="S440" s="530"/>
      <c r="T440" s="530"/>
      <c r="U440" s="530"/>
      <c r="V440" s="529"/>
      <c r="W440" s="535"/>
      <c r="X440" s="535"/>
      <c r="Y440" s="535"/>
      <c r="Z440" s="535"/>
      <c r="AA440" s="535"/>
      <c r="AB440" s="535"/>
      <c r="AC440" s="530"/>
      <c r="AD440" s="530"/>
      <c r="AE440" s="530"/>
      <c r="AF440" s="530"/>
      <c r="AG440" s="536"/>
      <c r="AH440" s="587"/>
      <c r="AI440" s="105"/>
      <c r="AJ440" s="105"/>
      <c r="AK440" s="105"/>
      <c r="AL440" s="105"/>
      <c r="AM440" s="105"/>
      <c r="AN440" s="105"/>
      <c r="AO440" s="105"/>
      <c r="AP440" s="105"/>
      <c r="AQ440" s="105"/>
      <c r="AR440" s="105"/>
      <c r="AS440" s="105"/>
      <c r="AT440" s="105"/>
      <c r="AU440" s="105"/>
      <c r="AV440" s="105"/>
      <c r="AW440" s="105"/>
      <c r="AX440" s="105"/>
      <c r="AY440" s="105"/>
      <c r="AZ440" s="105"/>
      <c r="BA440" s="105"/>
      <c r="BB440" s="105"/>
      <c r="BC440" s="105"/>
      <c r="BD440" s="105"/>
      <c r="BE440" s="105"/>
      <c r="BF440" s="105"/>
      <c r="BG440" s="105"/>
      <c r="BH440" s="105"/>
      <c r="BI440" s="105"/>
      <c r="BJ440" s="105"/>
      <c r="BK440" s="105"/>
      <c r="BL440" s="105"/>
      <c r="BM440" s="105"/>
      <c r="BN440" s="105"/>
      <c r="BO440" s="105"/>
      <c r="BP440" s="105"/>
      <c r="BQ440" s="105"/>
      <c r="BR440" s="105"/>
      <c r="BS440" s="105"/>
      <c r="BT440" s="105"/>
      <c r="BU440" s="105"/>
      <c r="BV440" s="105"/>
      <c r="BW440" s="105"/>
      <c r="BX440" s="105"/>
      <c r="BY440" s="105"/>
      <c r="BZ440" s="105"/>
      <c r="CA440" s="105"/>
      <c r="CB440" s="105"/>
      <c r="CC440" s="105"/>
      <c r="CD440" s="105"/>
      <c r="CE440" s="105"/>
      <c r="CF440" s="105"/>
      <c r="CG440" s="105"/>
      <c r="CH440" s="105"/>
      <c r="CI440" s="105"/>
      <c r="CJ440" s="105"/>
      <c r="CK440" s="105"/>
      <c r="CL440" s="105"/>
      <c r="CM440" s="105"/>
      <c r="CN440" s="105"/>
      <c r="CO440" s="105"/>
      <c r="CP440" s="105"/>
      <c r="CQ440" s="105"/>
      <c r="CR440" s="105"/>
      <c r="CS440" s="105"/>
      <c r="CT440" s="105"/>
      <c r="CU440" s="105"/>
      <c r="CV440" s="105"/>
      <c r="CW440" s="105"/>
      <c r="CX440" s="105"/>
      <c r="CY440" s="105"/>
      <c r="CZ440" s="105"/>
      <c r="DA440" s="105"/>
      <c r="DB440" s="105"/>
      <c r="DC440" s="105"/>
      <c r="DD440" s="105"/>
      <c r="DE440" s="105"/>
      <c r="DF440" s="105"/>
      <c r="DG440" s="105"/>
      <c r="DH440" s="105"/>
      <c r="DI440" s="105"/>
      <c r="DJ440" s="105"/>
      <c r="DK440" s="105"/>
      <c r="DL440" s="105"/>
      <c r="DM440" s="105"/>
      <c r="DN440" s="105"/>
      <c r="DO440" s="105"/>
      <c r="DP440" s="105"/>
      <c r="DQ440" s="105"/>
      <c r="DR440" s="105"/>
      <c r="DS440" s="105"/>
      <c r="DT440" s="105"/>
      <c r="DU440" s="105"/>
      <c r="DV440" s="105"/>
      <c r="DW440" s="105"/>
      <c r="DX440" s="105"/>
      <c r="DY440" s="105"/>
      <c r="DZ440" s="105"/>
      <c r="EA440" s="105"/>
      <c r="EB440" s="105"/>
      <c r="EC440" s="105"/>
      <c r="ED440" s="105"/>
      <c r="EE440" s="105"/>
      <c r="EF440" s="105"/>
      <c r="EG440" s="105"/>
      <c r="EH440" s="105"/>
      <c r="EI440" s="105"/>
      <c r="EJ440" s="105"/>
      <c r="EK440" s="105"/>
      <c r="EL440" s="105"/>
      <c r="EM440" s="105"/>
      <c r="EN440" s="105"/>
      <c r="EO440" s="105"/>
      <c r="EP440" s="105"/>
      <c r="EQ440" s="105"/>
      <c r="ER440" s="105"/>
      <c r="ES440" s="105"/>
      <c r="ET440" s="105"/>
      <c r="EU440" s="105"/>
      <c r="EV440" s="105"/>
      <c r="EW440" s="105"/>
      <c r="EX440" s="105"/>
      <c r="EY440" s="105"/>
      <c r="EZ440" s="105"/>
      <c r="FA440" s="105"/>
      <c r="FB440" s="105"/>
      <c r="FC440" s="105"/>
      <c r="FD440" s="105"/>
      <c r="FE440" s="105"/>
      <c r="FF440" s="105"/>
      <c r="FG440" s="105"/>
      <c r="FH440" s="105"/>
      <c r="FI440" s="105"/>
      <c r="FJ440" s="105"/>
      <c r="FK440" s="105"/>
      <c r="FL440" s="105"/>
      <c r="FM440" s="105"/>
      <c r="FN440" s="105"/>
      <c r="FO440" s="105"/>
      <c r="FP440" s="105"/>
      <c r="FQ440" s="105"/>
      <c r="FR440" s="105"/>
      <c r="FS440" s="105"/>
      <c r="FT440" s="105"/>
      <c r="FU440" s="105"/>
      <c r="FV440" s="105"/>
      <c r="FW440" s="105"/>
      <c r="FX440" s="105"/>
      <c r="FY440" s="105"/>
      <c r="FZ440" s="105"/>
      <c r="GA440" s="105"/>
      <c r="GB440" s="105"/>
      <c r="GC440" s="105"/>
      <c r="GD440" s="105"/>
      <c r="GE440" s="105"/>
      <c r="GF440" s="105"/>
      <c r="GG440" s="105"/>
      <c r="GH440" s="105"/>
      <c r="GI440" s="105"/>
      <c r="GJ440" s="105"/>
      <c r="GK440" s="105"/>
      <c r="GL440" s="105"/>
      <c r="GM440" s="105"/>
      <c r="GN440" s="105"/>
      <c r="GO440" s="105"/>
      <c r="GP440" s="105"/>
      <c r="GQ440" s="105"/>
      <c r="GR440" s="105"/>
      <c r="GS440" s="105"/>
      <c r="GT440" s="105"/>
      <c r="GU440" s="105"/>
      <c r="GV440" s="105"/>
      <c r="GW440" s="105"/>
      <c r="GX440" s="105"/>
      <c r="GY440" s="105"/>
      <c r="GZ440" s="105"/>
      <c r="HA440" s="105"/>
      <c r="HB440" s="105"/>
      <c r="HC440" s="105"/>
      <c r="HD440" s="105"/>
      <c r="HE440" s="105"/>
      <c r="HF440" s="105"/>
      <c r="HG440" s="105"/>
      <c r="HH440" s="105"/>
      <c r="HI440" s="105"/>
      <c r="HJ440" s="105"/>
      <c r="HK440" s="105"/>
      <c r="HL440" s="105"/>
      <c r="HM440" s="105"/>
      <c r="HN440" s="105"/>
      <c r="HO440" s="105"/>
      <c r="HP440" s="105"/>
      <c r="HQ440" s="105"/>
      <c r="HR440" s="105"/>
      <c r="HS440" s="105"/>
      <c r="HT440" s="105"/>
      <c r="HU440" s="105"/>
      <c r="HV440" s="105"/>
      <c r="HW440" s="105"/>
      <c r="HX440" s="105"/>
      <c r="HY440" s="105"/>
      <c r="HZ440" s="105"/>
      <c r="IA440" s="105"/>
      <c r="IB440" s="105"/>
      <c r="IC440" s="105"/>
      <c r="ID440" s="105"/>
      <c r="IE440" s="105"/>
      <c r="IF440" s="105"/>
      <c r="IG440" s="105"/>
      <c r="IH440" s="105"/>
      <c r="II440" s="105"/>
      <c r="IJ440" s="105"/>
      <c r="IK440" s="105"/>
      <c r="IL440" s="105"/>
      <c r="IM440" s="105"/>
      <c r="IN440" s="105"/>
      <c r="IO440" s="105"/>
      <c r="IP440" s="105"/>
      <c r="IQ440" s="105"/>
      <c r="IR440" s="105"/>
      <c r="IS440" s="105"/>
      <c r="IT440" s="105"/>
      <c r="IU440" s="105"/>
      <c r="IV440" s="105"/>
    </row>
    <row r="441" spans="1:256" s="432" customFormat="1" x14ac:dyDescent="0.2">
      <c r="A441" s="33">
        <v>44565</v>
      </c>
      <c r="B441" s="34" t="s">
        <v>635</v>
      </c>
      <c r="C441" s="34">
        <v>2022</v>
      </c>
      <c r="D441" s="34" t="s">
        <v>7</v>
      </c>
      <c r="E441" s="116">
        <v>-0.5</v>
      </c>
      <c r="F441" s="116" t="s">
        <v>32</v>
      </c>
      <c r="G441" s="117">
        <v>40000</v>
      </c>
      <c r="H441" s="116">
        <v>262</v>
      </c>
      <c r="I441" s="433" t="s">
        <v>81</v>
      </c>
      <c r="J441" s="433" t="s">
        <v>38</v>
      </c>
      <c r="K441" s="116">
        <v>0.2</v>
      </c>
      <c r="L441" s="116" t="s">
        <v>726</v>
      </c>
      <c r="M441" s="116" t="s">
        <v>937</v>
      </c>
      <c r="N441" s="116" t="s">
        <v>936</v>
      </c>
      <c r="O441" s="116"/>
      <c r="P441" s="120" t="s">
        <v>137</v>
      </c>
      <c r="Q441" s="795">
        <v>40.131169999999997</v>
      </c>
      <c r="R441" s="692">
        <v>86.128159999999994</v>
      </c>
      <c r="S441" s="120" t="s">
        <v>63</v>
      </c>
      <c r="T441" s="33"/>
      <c r="U441" s="33" t="s">
        <v>51</v>
      </c>
      <c r="V441" s="33"/>
      <c r="W441" s="35">
        <f>IF(AC441="Intr",0,G441*Definitions!$B$53)</f>
        <v>6000</v>
      </c>
      <c r="X441" s="35">
        <f>IF(AC441="Intr",0,G441*Definitions!$B$54)</f>
        <v>28000</v>
      </c>
      <c r="Y441" s="35">
        <f>IF(AC441="Intr",G441,G441*Definitions!$B$55)</f>
        <v>6000</v>
      </c>
      <c r="Z441" s="35" t="s">
        <v>966</v>
      </c>
      <c r="AA441" s="35" t="s">
        <v>963</v>
      </c>
      <c r="AB441" s="35" t="s">
        <v>1245</v>
      </c>
      <c r="AC441" s="34"/>
      <c r="AD441" s="34"/>
      <c r="AE441" s="34"/>
      <c r="AF441" s="34"/>
      <c r="AG441" s="36"/>
      <c r="AH441" s="120" t="s">
        <v>950</v>
      </c>
      <c r="AI441" s="105"/>
      <c r="AJ441" s="105"/>
      <c r="AK441" s="105"/>
      <c r="AL441" s="105"/>
      <c r="AM441" s="105"/>
      <c r="AN441" s="105"/>
      <c r="AO441" s="105"/>
      <c r="AP441" s="105"/>
      <c r="AQ441" s="105"/>
      <c r="AR441" s="105"/>
      <c r="AS441" s="105"/>
      <c r="AT441" s="105"/>
      <c r="AU441" s="105"/>
      <c r="AV441" s="105"/>
      <c r="AW441" s="105"/>
      <c r="AX441" s="105"/>
      <c r="AY441" s="105"/>
      <c r="AZ441" s="105"/>
      <c r="BA441" s="105"/>
      <c r="BB441" s="105"/>
      <c r="BC441" s="105"/>
      <c r="BD441" s="105"/>
      <c r="BE441" s="105"/>
      <c r="BF441" s="105"/>
      <c r="BG441" s="105"/>
      <c r="BH441" s="105"/>
      <c r="BI441" s="105"/>
      <c r="BJ441" s="105"/>
      <c r="BK441" s="105"/>
      <c r="BL441" s="105"/>
      <c r="BM441" s="105"/>
      <c r="BN441" s="105"/>
      <c r="BO441" s="105"/>
      <c r="BP441" s="105"/>
      <c r="BQ441" s="105"/>
      <c r="BR441" s="105"/>
      <c r="BS441" s="105"/>
      <c r="BT441" s="105"/>
      <c r="BU441" s="105"/>
      <c r="BV441" s="105"/>
      <c r="BW441" s="105"/>
      <c r="BX441" s="105"/>
      <c r="BY441" s="105"/>
      <c r="BZ441" s="105"/>
      <c r="CA441" s="105"/>
      <c r="CB441" s="105"/>
      <c r="CC441" s="105"/>
      <c r="CD441" s="105"/>
      <c r="CE441" s="105"/>
      <c r="CF441" s="105"/>
      <c r="CG441" s="105"/>
      <c r="CH441" s="105"/>
      <c r="CI441" s="105"/>
      <c r="CJ441" s="105"/>
      <c r="CK441" s="105"/>
      <c r="CL441" s="105"/>
      <c r="CM441" s="105"/>
      <c r="CN441" s="105"/>
      <c r="CO441" s="105"/>
      <c r="CP441" s="105"/>
      <c r="CQ441" s="105"/>
      <c r="CR441" s="105"/>
      <c r="CS441" s="105"/>
      <c r="CT441" s="105"/>
      <c r="CU441" s="105"/>
      <c r="CV441" s="105"/>
      <c r="CW441" s="105"/>
      <c r="CX441" s="105"/>
      <c r="CY441" s="105"/>
      <c r="CZ441" s="105"/>
      <c r="DA441" s="105"/>
      <c r="DB441" s="105"/>
      <c r="DC441" s="105"/>
      <c r="DD441" s="105"/>
      <c r="DE441" s="105"/>
      <c r="DF441" s="105"/>
      <c r="DG441" s="105"/>
      <c r="DH441" s="105"/>
      <c r="DI441" s="105"/>
      <c r="DJ441" s="105"/>
      <c r="DK441" s="105"/>
      <c r="DL441" s="105"/>
      <c r="DM441" s="105"/>
      <c r="DN441" s="105"/>
      <c r="DO441" s="105"/>
      <c r="DP441" s="105"/>
      <c r="DQ441" s="105"/>
      <c r="DR441" s="105"/>
      <c r="DS441" s="105"/>
      <c r="DT441" s="105"/>
      <c r="DU441" s="105"/>
      <c r="DV441" s="105"/>
      <c r="DW441" s="105"/>
      <c r="DX441" s="105"/>
      <c r="DY441" s="105"/>
      <c r="DZ441" s="105"/>
      <c r="EA441" s="105"/>
      <c r="EB441" s="105"/>
      <c r="EC441" s="105"/>
      <c r="ED441" s="105"/>
      <c r="EE441" s="105"/>
      <c r="EF441" s="105"/>
      <c r="EG441" s="105"/>
      <c r="EH441" s="105"/>
      <c r="EI441" s="105"/>
      <c r="EJ441" s="105"/>
      <c r="EK441" s="105"/>
      <c r="EL441" s="105"/>
      <c r="EM441" s="105"/>
      <c r="EN441" s="105"/>
      <c r="EO441" s="105"/>
      <c r="EP441" s="105"/>
      <c r="EQ441" s="105"/>
      <c r="ER441" s="105"/>
      <c r="ES441" s="105"/>
      <c r="ET441" s="105"/>
      <c r="EU441" s="105"/>
      <c r="EV441" s="105"/>
      <c r="EW441" s="105"/>
      <c r="EX441" s="105"/>
      <c r="EY441" s="105"/>
      <c r="EZ441" s="105"/>
      <c r="FA441" s="105"/>
      <c r="FB441" s="105"/>
      <c r="FC441" s="105"/>
      <c r="FD441" s="105"/>
      <c r="FE441" s="105"/>
      <c r="FF441" s="105"/>
      <c r="FG441" s="105"/>
      <c r="FH441" s="105"/>
      <c r="FI441" s="105"/>
      <c r="FJ441" s="105"/>
      <c r="FK441" s="105"/>
      <c r="FL441" s="105"/>
      <c r="FM441" s="105"/>
      <c r="FN441" s="105"/>
      <c r="FO441" s="105"/>
      <c r="FP441" s="105"/>
      <c r="FQ441" s="105"/>
      <c r="FR441" s="105"/>
      <c r="FS441" s="105"/>
      <c r="FT441" s="105"/>
      <c r="FU441" s="105"/>
      <c r="FV441" s="105"/>
      <c r="FW441" s="105"/>
      <c r="FX441" s="105"/>
      <c r="FY441" s="105"/>
      <c r="FZ441" s="105"/>
      <c r="GA441" s="105"/>
      <c r="GB441" s="105"/>
      <c r="GC441" s="105"/>
      <c r="GD441" s="105"/>
      <c r="GE441" s="105"/>
      <c r="GF441" s="105"/>
      <c r="GG441" s="105"/>
      <c r="GH441" s="105"/>
      <c r="GI441" s="105"/>
      <c r="GJ441" s="105"/>
      <c r="GK441" s="105"/>
      <c r="GL441" s="105"/>
      <c r="GM441" s="105"/>
      <c r="GN441" s="105"/>
      <c r="GO441" s="105"/>
      <c r="GP441" s="105"/>
      <c r="GQ441" s="105"/>
      <c r="GR441" s="105"/>
      <c r="GS441" s="105"/>
      <c r="GT441" s="105"/>
      <c r="GU441" s="105"/>
      <c r="GV441" s="105"/>
      <c r="GW441" s="105"/>
      <c r="GX441" s="105"/>
      <c r="GY441" s="105"/>
      <c r="GZ441" s="105"/>
      <c r="HA441" s="105"/>
      <c r="HB441" s="105"/>
      <c r="HC441" s="105"/>
      <c r="HD441" s="105"/>
      <c r="HE441" s="105"/>
      <c r="HF441" s="105"/>
      <c r="HG441" s="105"/>
      <c r="HH441" s="105"/>
      <c r="HI441" s="105"/>
      <c r="HJ441" s="105"/>
      <c r="HK441" s="105"/>
      <c r="HL441" s="105"/>
      <c r="HM441" s="105"/>
      <c r="HN441" s="105"/>
      <c r="HO441" s="105"/>
      <c r="HP441" s="105"/>
      <c r="HQ441" s="105"/>
      <c r="HR441" s="105"/>
      <c r="HS441" s="105"/>
      <c r="HT441" s="105"/>
      <c r="HU441" s="105"/>
      <c r="HV441" s="105"/>
      <c r="HW441" s="105"/>
      <c r="HX441" s="105"/>
      <c r="HY441" s="105"/>
      <c r="HZ441" s="105"/>
      <c r="IA441" s="105"/>
      <c r="IB441" s="105"/>
      <c r="IC441" s="105"/>
      <c r="ID441" s="105"/>
      <c r="IE441" s="105"/>
      <c r="IF441" s="105"/>
      <c r="IG441" s="105"/>
      <c r="IH441" s="105"/>
      <c r="II441" s="105"/>
      <c r="IJ441" s="105"/>
      <c r="IK441" s="105"/>
      <c r="IL441" s="105"/>
      <c r="IM441" s="105"/>
      <c r="IN441" s="105"/>
      <c r="IO441" s="105"/>
      <c r="IP441" s="105"/>
      <c r="IQ441" s="105"/>
      <c r="IR441" s="105"/>
      <c r="IS441" s="105"/>
      <c r="IT441" s="105"/>
      <c r="IU441" s="105"/>
      <c r="IV441" s="105"/>
    </row>
    <row r="442" spans="1:256" s="407" customFormat="1" ht="13.5" customHeight="1" x14ac:dyDescent="0.2">
      <c r="A442" s="33">
        <v>44565</v>
      </c>
      <c r="B442" s="34" t="s">
        <v>635</v>
      </c>
      <c r="C442" s="34">
        <v>2022</v>
      </c>
      <c r="D442" s="34" t="s">
        <v>7</v>
      </c>
      <c r="E442" s="116">
        <v>-1654</v>
      </c>
      <c r="F442" s="116" t="s">
        <v>33</v>
      </c>
      <c r="G442" s="117">
        <v>744300</v>
      </c>
      <c r="H442" s="116">
        <v>262</v>
      </c>
      <c r="I442" s="271" t="s">
        <v>80</v>
      </c>
      <c r="J442" s="433" t="s">
        <v>40</v>
      </c>
      <c r="K442" s="116">
        <v>1654</v>
      </c>
      <c r="L442" s="116" t="s">
        <v>726</v>
      </c>
      <c r="M442" s="116" t="s">
        <v>937</v>
      </c>
      <c r="N442" s="116" t="s">
        <v>938</v>
      </c>
      <c r="O442" s="116"/>
      <c r="P442" s="120" t="s">
        <v>137</v>
      </c>
      <c r="Q442" s="795">
        <v>40.131169999999997</v>
      </c>
      <c r="R442" s="692">
        <v>86.128159999999994</v>
      </c>
      <c r="S442" s="120" t="s">
        <v>63</v>
      </c>
      <c r="T442" s="33"/>
      <c r="U442" s="33" t="s">
        <v>51</v>
      </c>
      <c r="V442" s="33"/>
      <c r="W442" s="35">
        <f>IF(AC442="Intr",0,G442*Definitions!$B$53)</f>
        <v>111645</v>
      </c>
      <c r="X442" s="35">
        <f>IF(AC442="Intr",0,G442*Definitions!$B$54)</f>
        <v>521009.99999999994</v>
      </c>
      <c r="Y442" s="35">
        <f>IF(AC442="Intr",G442,G442*Definitions!$B$55)</f>
        <v>111645</v>
      </c>
      <c r="Z442" s="35" t="s">
        <v>966</v>
      </c>
      <c r="AA442" s="35" t="s">
        <v>968</v>
      </c>
      <c r="AB442" s="35"/>
      <c r="AC442" s="34"/>
      <c r="AD442" s="34"/>
      <c r="AE442" s="34"/>
      <c r="AF442" s="34"/>
      <c r="AG442" s="36"/>
      <c r="AH442" s="120" t="s">
        <v>951</v>
      </c>
      <c r="AI442" s="105"/>
      <c r="AJ442" s="105"/>
      <c r="AK442" s="105"/>
      <c r="AL442" s="105"/>
      <c r="AM442" s="105"/>
      <c r="AN442" s="105"/>
      <c r="AO442" s="105"/>
      <c r="AP442" s="105"/>
      <c r="AQ442" s="105"/>
      <c r="AR442" s="105"/>
      <c r="AS442" s="105"/>
      <c r="AT442" s="105"/>
      <c r="AU442" s="105"/>
      <c r="AV442" s="105"/>
      <c r="AW442" s="105"/>
      <c r="AX442" s="105"/>
      <c r="AY442" s="105"/>
      <c r="AZ442" s="105"/>
      <c r="BA442" s="105"/>
      <c r="BB442" s="105"/>
      <c r="BC442" s="105"/>
      <c r="BD442" s="105"/>
      <c r="BE442" s="105"/>
      <c r="BF442" s="105"/>
      <c r="BG442" s="105"/>
      <c r="BH442" s="105"/>
      <c r="BI442" s="105"/>
      <c r="BJ442" s="105"/>
      <c r="BK442" s="105"/>
      <c r="BL442" s="105"/>
      <c r="BM442" s="105"/>
      <c r="BN442" s="105"/>
      <c r="BO442" s="105"/>
      <c r="BP442" s="105"/>
      <c r="BQ442" s="105"/>
      <c r="BR442" s="105"/>
      <c r="BS442" s="105"/>
      <c r="BT442" s="105"/>
      <c r="BU442" s="105"/>
      <c r="BV442" s="105"/>
      <c r="BW442" s="105"/>
      <c r="BX442" s="105"/>
      <c r="BY442" s="105"/>
      <c r="BZ442" s="105"/>
      <c r="CA442" s="105"/>
      <c r="CB442" s="105"/>
      <c r="CC442" s="105"/>
      <c r="CD442" s="105"/>
      <c r="CE442" s="105"/>
      <c r="CF442" s="105"/>
      <c r="CG442" s="105"/>
      <c r="CH442" s="105"/>
      <c r="CI442" s="105"/>
      <c r="CJ442" s="105"/>
      <c r="CK442" s="105"/>
      <c r="CL442" s="105"/>
      <c r="CM442" s="105"/>
      <c r="CN442" s="105"/>
      <c r="CO442" s="105"/>
      <c r="CP442" s="105"/>
      <c r="CQ442" s="105"/>
      <c r="CR442" s="105"/>
      <c r="CS442" s="105"/>
      <c r="CT442" s="105"/>
      <c r="CU442" s="105"/>
      <c r="CV442" s="105"/>
      <c r="CW442" s="105"/>
      <c r="CX442" s="105"/>
      <c r="CY442" s="105"/>
      <c r="CZ442" s="105"/>
      <c r="DA442" s="105"/>
      <c r="DB442" s="105"/>
      <c r="DC442" s="105"/>
      <c r="DD442" s="105"/>
      <c r="DE442" s="105"/>
      <c r="DF442" s="105"/>
      <c r="DG442" s="105"/>
      <c r="DH442" s="105"/>
      <c r="DI442" s="105"/>
      <c r="DJ442" s="105"/>
      <c r="DK442" s="105"/>
      <c r="DL442" s="105"/>
      <c r="DM442" s="105"/>
      <c r="DN442" s="105"/>
      <c r="DO442" s="105"/>
      <c r="DP442" s="105"/>
      <c r="DQ442" s="105"/>
      <c r="DR442" s="105"/>
      <c r="DS442" s="105"/>
      <c r="DT442" s="105"/>
      <c r="DU442" s="105"/>
      <c r="DV442" s="105"/>
      <c r="DW442" s="105"/>
      <c r="DX442" s="105"/>
      <c r="DY442" s="105"/>
      <c r="DZ442" s="105"/>
      <c r="EA442" s="105"/>
      <c r="EB442" s="105"/>
      <c r="EC442" s="105"/>
      <c r="ED442" s="105"/>
      <c r="EE442" s="105"/>
      <c r="EF442" s="105"/>
      <c r="EG442" s="105"/>
      <c r="EH442" s="105"/>
      <c r="EI442" s="105"/>
      <c r="EJ442" s="105"/>
      <c r="EK442" s="105"/>
      <c r="EL442" s="105"/>
      <c r="EM442" s="105"/>
      <c r="EN442" s="105"/>
      <c r="EO442" s="105"/>
      <c r="EP442" s="105"/>
      <c r="EQ442" s="105"/>
      <c r="ER442" s="105"/>
      <c r="ES442" s="105"/>
      <c r="ET442" s="105"/>
      <c r="EU442" s="105"/>
      <c r="EV442" s="105"/>
      <c r="EW442" s="105"/>
      <c r="EX442" s="105"/>
      <c r="EY442" s="105"/>
      <c r="EZ442" s="105"/>
      <c r="FA442" s="105"/>
      <c r="FB442" s="105"/>
      <c r="FC442" s="105"/>
      <c r="FD442" s="105"/>
      <c r="FE442" s="105"/>
      <c r="FF442" s="105"/>
      <c r="FG442" s="105"/>
      <c r="FH442" s="105"/>
      <c r="FI442" s="105"/>
      <c r="FJ442" s="105"/>
      <c r="FK442" s="105"/>
      <c r="FL442" s="105"/>
      <c r="FM442" s="105"/>
      <c r="FN442" s="105"/>
      <c r="FO442" s="105"/>
      <c r="FP442" s="105"/>
      <c r="FQ442" s="105"/>
      <c r="FR442" s="105"/>
      <c r="FS442" s="105"/>
      <c r="FT442" s="105"/>
      <c r="FU442" s="105"/>
      <c r="FV442" s="105"/>
      <c r="FW442" s="105"/>
      <c r="FX442" s="105"/>
      <c r="FY442" s="105"/>
      <c r="FZ442" s="105"/>
      <c r="GA442" s="105"/>
      <c r="GB442" s="105"/>
      <c r="GC442" s="105"/>
      <c r="GD442" s="105"/>
      <c r="GE442" s="105"/>
      <c r="GF442" s="105"/>
      <c r="GG442" s="105"/>
      <c r="GH442" s="105"/>
      <c r="GI442" s="105"/>
      <c r="GJ442" s="105"/>
      <c r="GK442" s="105"/>
      <c r="GL442" s="105"/>
      <c r="GM442" s="105"/>
      <c r="GN442" s="105"/>
      <c r="GO442" s="105"/>
      <c r="GP442" s="105"/>
      <c r="GQ442" s="105"/>
      <c r="GR442" s="105"/>
      <c r="GS442" s="105"/>
      <c r="GT442" s="105"/>
      <c r="GU442" s="105"/>
      <c r="GV442" s="105"/>
      <c r="GW442" s="105"/>
      <c r="GX442" s="105"/>
      <c r="GY442" s="105"/>
      <c r="GZ442" s="105"/>
      <c r="HA442" s="105"/>
      <c r="HB442" s="105"/>
      <c r="HC442" s="105"/>
      <c r="HD442" s="105"/>
      <c r="HE442" s="105"/>
      <c r="HF442" s="105"/>
      <c r="HG442" s="105"/>
      <c r="HH442" s="105"/>
      <c r="HI442" s="105"/>
      <c r="HJ442" s="105"/>
      <c r="HK442" s="105"/>
      <c r="HL442" s="105"/>
      <c r="HM442" s="105"/>
      <c r="HN442" s="105"/>
      <c r="HO442" s="105"/>
      <c r="HP442" s="105"/>
      <c r="HQ442" s="105"/>
      <c r="HR442" s="105"/>
      <c r="HS442" s="105"/>
      <c r="HT442" s="105"/>
      <c r="HU442" s="105"/>
      <c r="HV442" s="105"/>
      <c r="HW442" s="105"/>
      <c r="HX442" s="105"/>
      <c r="HY442" s="105"/>
      <c r="HZ442" s="105"/>
      <c r="IA442" s="105"/>
      <c r="IB442" s="105"/>
      <c r="IC442" s="105"/>
      <c r="ID442" s="105"/>
      <c r="IE442" s="105"/>
      <c r="IF442" s="105"/>
      <c r="IG442" s="105"/>
      <c r="IH442" s="105"/>
      <c r="II442" s="105"/>
      <c r="IJ442" s="105"/>
      <c r="IK442" s="105"/>
      <c r="IL442" s="105"/>
      <c r="IM442" s="105"/>
      <c r="IN442" s="105"/>
      <c r="IO442" s="105"/>
      <c r="IP442" s="105"/>
      <c r="IQ442" s="105"/>
      <c r="IR442" s="105"/>
      <c r="IS442" s="105"/>
      <c r="IT442" s="105"/>
      <c r="IU442" s="105"/>
      <c r="IV442" s="105"/>
    </row>
    <row r="443" spans="1:256" s="407" customFormat="1" x14ac:dyDescent="0.2">
      <c r="A443" s="41">
        <v>44565</v>
      </c>
      <c r="B443" s="42" t="s">
        <v>635</v>
      </c>
      <c r="C443" s="42">
        <v>2022</v>
      </c>
      <c r="D443" s="42" t="s">
        <v>7</v>
      </c>
      <c r="E443" s="73">
        <v>-2.68</v>
      </c>
      <c r="F443" s="73" t="s">
        <v>32</v>
      </c>
      <c r="G443" s="74">
        <f>-(E443*80000)</f>
        <v>214400</v>
      </c>
      <c r="H443" s="73">
        <v>260</v>
      </c>
      <c r="I443" s="320" t="s">
        <v>80</v>
      </c>
      <c r="J443" s="560" t="s">
        <v>38</v>
      </c>
      <c r="K443" s="73">
        <v>1.8</v>
      </c>
      <c r="L443" s="73" t="s">
        <v>939</v>
      </c>
      <c r="M443" s="73" t="s">
        <v>940</v>
      </c>
      <c r="N443" s="73" t="s">
        <v>941</v>
      </c>
      <c r="O443" s="73"/>
      <c r="P443" s="75" t="s">
        <v>162</v>
      </c>
      <c r="Q443" s="804">
        <v>39.832799999999999</v>
      </c>
      <c r="R443" s="701">
        <v>-86.349500000000006</v>
      </c>
      <c r="S443" s="75" t="s">
        <v>61</v>
      </c>
      <c r="T443" s="42"/>
      <c r="U443" s="42" t="s">
        <v>51</v>
      </c>
      <c r="V443" s="41"/>
      <c r="W443" s="43">
        <f>IF(AC443="Intr",0,G443*Definitions!$B$53)</f>
        <v>32160</v>
      </c>
      <c r="X443" s="43">
        <f>IF(AC443="Intr",0,G443*Definitions!$B$54)</f>
        <v>150080</v>
      </c>
      <c r="Y443" s="43">
        <f>IF(AC443="Intr",G443,G443*Definitions!$B$55)</f>
        <v>32160</v>
      </c>
      <c r="Z443" s="43" t="s">
        <v>966</v>
      </c>
      <c r="AA443" s="43" t="s">
        <v>965</v>
      </c>
      <c r="AB443" s="43"/>
      <c r="AC443" s="42"/>
      <c r="AD443" s="42"/>
      <c r="AE443" s="42"/>
      <c r="AF443" s="42"/>
      <c r="AG443" s="44"/>
      <c r="AH443" s="75" t="s">
        <v>952</v>
      </c>
      <c r="AI443" s="105"/>
      <c r="AJ443" s="105"/>
      <c r="AK443" s="105"/>
      <c r="AL443" s="105"/>
      <c r="AM443" s="105"/>
      <c r="AN443" s="105"/>
      <c r="AO443" s="105"/>
      <c r="AP443" s="105"/>
      <c r="AQ443" s="105"/>
      <c r="AR443" s="105"/>
      <c r="AS443" s="105"/>
      <c r="AT443" s="105"/>
      <c r="AU443" s="105"/>
      <c r="AV443" s="105"/>
      <c r="AW443" s="105"/>
      <c r="AX443" s="105"/>
      <c r="AY443" s="105"/>
      <c r="AZ443" s="105"/>
      <c r="BA443" s="105"/>
      <c r="BB443" s="105"/>
      <c r="BC443" s="105"/>
      <c r="BD443" s="105"/>
      <c r="BE443" s="105"/>
      <c r="BF443" s="105"/>
      <c r="BG443" s="105"/>
      <c r="BH443" s="105"/>
      <c r="BI443" s="105"/>
      <c r="BJ443" s="105"/>
      <c r="BK443" s="105"/>
      <c r="BL443" s="105"/>
      <c r="BM443" s="105"/>
      <c r="BN443" s="105"/>
      <c r="BO443" s="105"/>
      <c r="BP443" s="105"/>
      <c r="BQ443" s="105"/>
      <c r="BR443" s="105"/>
      <c r="BS443" s="105"/>
      <c r="BT443" s="105"/>
      <c r="BU443" s="105"/>
      <c r="BV443" s="105"/>
      <c r="BW443" s="105"/>
      <c r="BX443" s="105"/>
      <c r="BY443" s="105"/>
      <c r="BZ443" s="105"/>
      <c r="CA443" s="105"/>
      <c r="CB443" s="105"/>
      <c r="CC443" s="105"/>
      <c r="CD443" s="105"/>
      <c r="CE443" s="105"/>
      <c r="CF443" s="105"/>
      <c r="CG443" s="105"/>
      <c r="CH443" s="105"/>
      <c r="CI443" s="105"/>
      <c r="CJ443" s="105"/>
      <c r="CK443" s="105"/>
      <c r="CL443" s="105"/>
      <c r="CM443" s="105"/>
      <c r="CN443" s="105"/>
      <c r="CO443" s="105"/>
      <c r="CP443" s="105"/>
      <c r="CQ443" s="105"/>
      <c r="CR443" s="105"/>
      <c r="CS443" s="105"/>
      <c r="CT443" s="105"/>
      <c r="CU443" s="105"/>
      <c r="CV443" s="105"/>
      <c r="CW443" s="105"/>
      <c r="CX443" s="105"/>
      <c r="CY443" s="105"/>
      <c r="CZ443" s="105"/>
      <c r="DA443" s="105"/>
      <c r="DB443" s="105"/>
      <c r="DC443" s="105"/>
      <c r="DD443" s="105"/>
      <c r="DE443" s="105"/>
      <c r="DF443" s="105"/>
      <c r="DG443" s="105"/>
      <c r="DH443" s="105"/>
      <c r="DI443" s="105"/>
      <c r="DJ443" s="105"/>
      <c r="DK443" s="105"/>
      <c r="DL443" s="105"/>
      <c r="DM443" s="105"/>
      <c r="DN443" s="105"/>
      <c r="DO443" s="105"/>
      <c r="DP443" s="105"/>
      <c r="DQ443" s="105"/>
      <c r="DR443" s="105"/>
      <c r="DS443" s="105"/>
      <c r="DT443" s="105"/>
      <c r="DU443" s="105"/>
      <c r="DV443" s="105"/>
      <c r="DW443" s="105"/>
      <c r="DX443" s="105"/>
      <c r="DY443" s="105"/>
      <c r="DZ443" s="105"/>
      <c r="EA443" s="105"/>
      <c r="EB443" s="105"/>
      <c r="EC443" s="105"/>
      <c r="ED443" s="105"/>
      <c r="EE443" s="105"/>
      <c r="EF443" s="105"/>
      <c r="EG443" s="105"/>
      <c r="EH443" s="105"/>
      <c r="EI443" s="105"/>
      <c r="EJ443" s="105"/>
      <c r="EK443" s="105"/>
      <c r="EL443" s="105"/>
      <c r="EM443" s="105"/>
      <c r="EN443" s="105"/>
      <c r="EO443" s="105"/>
      <c r="EP443" s="105"/>
      <c r="EQ443" s="105"/>
      <c r="ER443" s="105"/>
      <c r="ES443" s="105"/>
      <c r="ET443" s="105"/>
      <c r="EU443" s="105"/>
      <c r="EV443" s="105"/>
      <c r="EW443" s="105"/>
      <c r="EX443" s="105"/>
      <c r="EY443" s="105"/>
      <c r="EZ443" s="105"/>
      <c r="FA443" s="105"/>
      <c r="FB443" s="105"/>
      <c r="FC443" s="105"/>
      <c r="FD443" s="105"/>
      <c r="FE443" s="105"/>
      <c r="FF443" s="105"/>
      <c r="FG443" s="105"/>
      <c r="FH443" s="105"/>
      <c r="FI443" s="105"/>
      <c r="FJ443" s="105"/>
      <c r="FK443" s="105"/>
      <c r="FL443" s="105"/>
      <c r="FM443" s="105"/>
      <c r="FN443" s="105"/>
      <c r="FO443" s="105"/>
      <c r="FP443" s="105"/>
      <c r="FQ443" s="105"/>
      <c r="FR443" s="105"/>
      <c r="FS443" s="105"/>
      <c r="FT443" s="105"/>
      <c r="FU443" s="105"/>
      <c r="FV443" s="105"/>
      <c r="FW443" s="105"/>
      <c r="FX443" s="105"/>
      <c r="FY443" s="105"/>
      <c r="FZ443" s="105"/>
      <c r="GA443" s="105"/>
      <c r="GB443" s="105"/>
      <c r="GC443" s="105"/>
      <c r="GD443" s="105"/>
      <c r="GE443" s="105"/>
      <c r="GF443" s="105"/>
      <c r="GG443" s="105"/>
      <c r="GH443" s="105"/>
      <c r="GI443" s="105"/>
      <c r="GJ443" s="105"/>
      <c r="GK443" s="105"/>
      <c r="GL443" s="105"/>
      <c r="GM443" s="105"/>
      <c r="GN443" s="105"/>
      <c r="GO443" s="105"/>
      <c r="GP443" s="105"/>
      <c r="GQ443" s="105"/>
      <c r="GR443" s="105"/>
      <c r="GS443" s="105"/>
      <c r="GT443" s="105"/>
      <c r="GU443" s="105"/>
      <c r="GV443" s="105"/>
      <c r="GW443" s="105"/>
      <c r="GX443" s="105"/>
      <c r="GY443" s="105"/>
      <c r="GZ443" s="105"/>
      <c r="HA443" s="105"/>
      <c r="HB443" s="105"/>
      <c r="HC443" s="105"/>
      <c r="HD443" s="105"/>
      <c r="HE443" s="105"/>
      <c r="HF443" s="105"/>
      <c r="HG443" s="105"/>
      <c r="HH443" s="105"/>
      <c r="HI443" s="105"/>
      <c r="HJ443" s="105"/>
      <c r="HK443" s="105"/>
      <c r="HL443" s="105"/>
      <c r="HM443" s="105"/>
      <c r="HN443" s="105"/>
      <c r="HO443" s="105"/>
      <c r="HP443" s="105"/>
      <c r="HQ443" s="105"/>
      <c r="HR443" s="105"/>
      <c r="HS443" s="105"/>
      <c r="HT443" s="105"/>
      <c r="HU443" s="105"/>
      <c r="HV443" s="105"/>
      <c r="HW443" s="105"/>
      <c r="HX443" s="105"/>
      <c r="HY443" s="105"/>
      <c r="HZ443" s="105"/>
      <c r="IA443" s="105"/>
      <c r="IB443" s="105"/>
      <c r="IC443" s="105"/>
      <c r="ID443" s="105"/>
      <c r="IE443" s="105"/>
      <c r="IF443" s="105"/>
      <c r="IG443" s="105"/>
      <c r="IH443" s="105"/>
      <c r="II443" s="105"/>
      <c r="IJ443" s="105"/>
      <c r="IK443" s="105"/>
      <c r="IL443" s="105"/>
      <c r="IM443" s="105"/>
      <c r="IN443" s="105"/>
      <c r="IO443" s="105"/>
      <c r="IP443" s="105"/>
      <c r="IQ443" s="105"/>
      <c r="IR443" s="105"/>
      <c r="IS443" s="105"/>
      <c r="IT443" s="105"/>
      <c r="IU443" s="105"/>
      <c r="IV443" s="105"/>
    </row>
    <row r="444" spans="1:256" s="407" customFormat="1" x14ac:dyDescent="0.2">
      <c r="A444" s="37">
        <v>44566</v>
      </c>
      <c r="B444" s="38" t="s">
        <v>635</v>
      </c>
      <c r="C444" s="38">
        <v>2022</v>
      </c>
      <c r="D444" s="38" t="s">
        <v>11</v>
      </c>
      <c r="E444" s="177">
        <v>-0.86</v>
      </c>
      <c r="F444" s="177" t="s">
        <v>32</v>
      </c>
      <c r="G444" s="71">
        <f>-(E444*80000)</f>
        <v>68800</v>
      </c>
      <c r="H444" s="216">
        <v>230</v>
      </c>
      <c r="I444" s="177" t="s">
        <v>80</v>
      </c>
      <c r="J444" s="434" t="s">
        <v>36</v>
      </c>
      <c r="K444" s="70">
        <v>0.35589999999999999</v>
      </c>
      <c r="L444" s="70" t="s">
        <v>726</v>
      </c>
      <c r="M444" s="70" t="s">
        <v>953</v>
      </c>
      <c r="N444" s="70" t="s">
        <v>954</v>
      </c>
      <c r="O444" s="70"/>
      <c r="P444" s="72" t="s">
        <v>89</v>
      </c>
      <c r="Q444" s="790" t="s">
        <v>955</v>
      </c>
      <c r="R444" s="868">
        <v>-87.538600000000002</v>
      </c>
      <c r="S444" s="72" t="s">
        <v>63</v>
      </c>
      <c r="T444" s="39"/>
      <c r="U444" s="39" t="s">
        <v>51</v>
      </c>
      <c r="V444" s="38"/>
      <c r="W444" s="39">
        <f>IF(AC444="Intr",0,G444*Definitions!$B$53)</f>
        <v>10320</v>
      </c>
      <c r="X444" s="39">
        <f>IF(AC444="Intr",0,G444*Definitions!$B$54)</f>
        <v>48160</v>
      </c>
      <c r="Y444" s="39">
        <f>IF(AC444="Intr",G444,G444*Definitions!$B$55)</f>
        <v>10320</v>
      </c>
      <c r="Z444" s="39" t="s">
        <v>966</v>
      </c>
      <c r="AA444" s="39" t="s">
        <v>965</v>
      </c>
      <c r="AB444" s="39"/>
      <c r="AC444" s="40"/>
      <c r="AD444" s="38"/>
      <c r="AE444" s="377"/>
      <c r="AF444" s="377"/>
      <c r="AG444" s="377"/>
      <c r="AH444" s="72" t="s">
        <v>956</v>
      </c>
      <c r="AI444" s="105"/>
      <c r="AJ444" s="105"/>
      <c r="AK444" s="105"/>
      <c r="AL444" s="105"/>
      <c r="AM444" s="105"/>
      <c r="AN444" s="105"/>
      <c r="AO444" s="105"/>
      <c r="AP444" s="105"/>
      <c r="AQ444" s="105"/>
      <c r="AR444" s="105"/>
      <c r="AS444" s="105"/>
      <c r="AT444" s="105"/>
      <c r="AU444" s="105"/>
      <c r="AV444" s="105"/>
      <c r="AW444" s="105"/>
      <c r="AX444" s="105"/>
      <c r="AY444" s="105"/>
      <c r="AZ444" s="105"/>
      <c r="BA444" s="105"/>
      <c r="BB444" s="105"/>
      <c r="BC444" s="105"/>
      <c r="BD444" s="105"/>
      <c r="BE444" s="105"/>
      <c r="BF444" s="105"/>
      <c r="BG444" s="105"/>
      <c r="BH444" s="105"/>
      <c r="BI444" s="105"/>
      <c r="BJ444" s="105"/>
      <c r="BK444" s="105"/>
      <c r="BL444" s="105"/>
      <c r="BM444" s="105"/>
      <c r="BN444" s="105"/>
      <c r="BO444" s="105"/>
      <c r="BP444" s="105"/>
      <c r="BQ444" s="105"/>
      <c r="BR444" s="105"/>
      <c r="BS444" s="105"/>
      <c r="BT444" s="105"/>
      <c r="BU444" s="105"/>
      <c r="BV444" s="105"/>
      <c r="BW444" s="105"/>
      <c r="BX444" s="105"/>
      <c r="BY444" s="105"/>
      <c r="BZ444" s="105"/>
      <c r="CA444" s="105"/>
      <c r="CB444" s="105"/>
      <c r="CC444" s="105"/>
      <c r="CD444" s="105"/>
      <c r="CE444" s="105"/>
      <c r="CF444" s="105"/>
      <c r="CG444" s="105"/>
      <c r="CH444" s="105"/>
      <c r="CI444" s="105"/>
      <c r="CJ444" s="105"/>
      <c r="CK444" s="105"/>
      <c r="CL444" s="105"/>
      <c r="CM444" s="105"/>
      <c r="CN444" s="105"/>
      <c r="CO444" s="105"/>
      <c r="CP444" s="105"/>
      <c r="CQ444" s="105"/>
      <c r="CR444" s="105"/>
      <c r="CS444" s="105"/>
      <c r="CT444" s="105"/>
      <c r="CU444" s="105"/>
      <c r="CV444" s="105"/>
      <c r="CW444" s="105"/>
      <c r="CX444" s="105"/>
      <c r="CY444" s="105"/>
      <c r="CZ444" s="105"/>
      <c r="DA444" s="105"/>
      <c r="DB444" s="105"/>
      <c r="DC444" s="105"/>
      <c r="DD444" s="105"/>
      <c r="DE444" s="105"/>
      <c r="DF444" s="105"/>
      <c r="DG444" s="105"/>
      <c r="DH444" s="105"/>
      <c r="DI444" s="105"/>
      <c r="DJ444" s="105"/>
      <c r="DK444" s="105"/>
      <c r="DL444" s="105"/>
      <c r="DM444" s="105"/>
      <c r="DN444" s="105"/>
      <c r="DO444" s="105"/>
      <c r="DP444" s="105"/>
      <c r="DQ444" s="105"/>
      <c r="DR444" s="105"/>
      <c r="DS444" s="105"/>
      <c r="DT444" s="105"/>
      <c r="DU444" s="105"/>
      <c r="DV444" s="105"/>
      <c r="DW444" s="105"/>
      <c r="DX444" s="105"/>
      <c r="DY444" s="105"/>
      <c r="DZ444" s="105"/>
      <c r="EA444" s="105"/>
      <c r="EB444" s="105"/>
      <c r="EC444" s="105"/>
      <c r="ED444" s="105"/>
      <c r="EE444" s="105"/>
      <c r="EF444" s="105"/>
      <c r="EG444" s="105"/>
      <c r="EH444" s="105"/>
      <c r="EI444" s="105"/>
      <c r="EJ444" s="105"/>
      <c r="EK444" s="105"/>
      <c r="EL444" s="105"/>
      <c r="EM444" s="105"/>
      <c r="EN444" s="105"/>
      <c r="EO444" s="105"/>
      <c r="EP444" s="105"/>
      <c r="EQ444" s="105"/>
      <c r="ER444" s="105"/>
      <c r="ES444" s="105"/>
      <c r="ET444" s="105"/>
      <c r="EU444" s="105"/>
      <c r="EV444" s="105"/>
      <c r="EW444" s="105"/>
      <c r="EX444" s="105"/>
      <c r="EY444" s="105"/>
      <c r="EZ444" s="105"/>
      <c r="FA444" s="105"/>
      <c r="FB444" s="105"/>
      <c r="FC444" s="105"/>
      <c r="FD444" s="105"/>
      <c r="FE444" s="105"/>
      <c r="FF444" s="105"/>
      <c r="FG444" s="105"/>
      <c r="FH444" s="105"/>
      <c r="FI444" s="105"/>
      <c r="FJ444" s="105"/>
      <c r="FK444" s="105"/>
      <c r="FL444" s="105"/>
      <c r="FM444" s="105"/>
      <c r="FN444" s="105"/>
      <c r="FO444" s="105"/>
      <c r="FP444" s="105"/>
      <c r="FQ444" s="105"/>
      <c r="FR444" s="105"/>
      <c r="FS444" s="105"/>
      <c r="FT444" s="105"/>
      <c r="FU444" s="105"/>
      <c r="FV444" s="105"/>
      <c r="FW444" s="105"/>
      <c r="FX444" s="105"/>
      <c r="FY444" s="105"/>
      <c r="FZ444" s="105"/>
      <c r="GA444" s="105"/>
      <c r="GB444" s="105"/>
      <c r="GC444" s="105"/>
      <c r="GD444" s="105"/>
      <c r="GE444" s="105"/>
      <c r="GF444" s="105"/>
      <c r="GG444" s="105"/>
      <c r="GH444" s="105"/>
      <c r="GI444" s="105"/>
      <c r="GJ444" s="105"/>
      <c r="GK444" s="105"/>
      <c r="GL444" s="105"/>
      <c r="GM444" s="105"/>
      <c r="GN444" s="105"/>
      <c r="GO444" s="105"/>
      <c r="GP444" s="105"/>
      <c r="GQ444" s="105"/>
      <c r="GR444" s="105"/>
      <c r="GS444" s="105"/>
      <c r="GT444" s="105"/>
      <c r="GU444" s="105"/>
      <c r="GV444" s="105"/>
      <c r="GW444" s="105"/>
      <c r="GX444" s="105"/>
      <c r="GY444" s="105"/>
      <c r="GZ444" s="105"/>
      <c r="HA444" s="105"/>
      <c r="HB444" s="105"/>
      <c r="HC444" s="105"/>
      <c r="HD444" s="105"/>
      <c r="HE444" s="105"/>
      <c r="HF444" s="105"/>
      <c r="HG444" s="105"/>
      <c r="HH444" s="105"/>
      <c r="HI444" s="105"/>
      <c r="HJ444" s="105"/>
      <c r="HK444" s="105"/>
      <c r="HL444" s="105"/>
      <c r="HM444" s="105"/>
      <c r="HN444" s="105"/>
      <c r="HO444" s="105"/>
      <c r="HP444" s="105"/>
      <c r="HQ444" s="105"/>
      <c r="HR444" s="105"/>
      <c r="HS444" s="105"/>
      <c r="HT444" s="105"/>
      <c r="HU444" s="105"/>
      <c r="HV444" s="105"/>
      <c r="HW444" s="105"/>
      <c r="HX444" s="105"/>
      <c r="HY444" s="105"/>
      <c r="HZ444" s="105"/>
      <c r="IA444" s="105"/>
      <c r="IB444" s="105"/>
      <c r="IC444" s="105"/>
      <c r="ID444" s="105"/>
      <c r="IE444" s="105"/>
      <c r="IF444" s="105"/>
      <c r="IG444" s="105"/>
      <c r="IH444" s="105"/>
      <c r="II444" s="105"/>
      <c r="IJ444" s="105"/>
      <c r="IK444" s="105"/>
      <c r="IL444" s="105"/>
      <c r="IM444" s="105"/>
      <c r="IN444" s="105"/>
      <c r="IO444" s="105"/>
      <c r="IP444" s="105"/>
      <c r="IQ444" s="105"/>
      <c r="IR444" s="105"/>
      <c r="IS444" s="105"/>
      <c r="IT444" s="105"/>
      <c r="IU444" s="105"/>
      <c r="IV444" s="105"/>
    </row>
    <row r="445" spans="1:256" s="435" customFormat="1" x14ac:dyDescent="0.2">
      <c r="A445" s="37">
        <v>44566</v>
      </c>
      <c r="B445" s="38" t="s">
        <v>635</v>
      </c>
      <c r="C445" s="38">
        <v>2022</v>
      </c>
      <c r="D445" s="38" t="s">
        <v>11</v>
      </c>
      <c r="E445" s="177">
        <v>-0.11</v>
      </c>
      <c r="F445" s="177" t="s">
        <v>32</v>
      </c>
      <c r="G445" s="71">
        <f>-(E445*80000)</f>
        <v>8800</v>
      </c>
      <c r="H445" s="216">
        <v>230</v>
      </c>
      <c r="I445" s="434" t="s">
        <v>80</v>
      </c>
      <c r="J445" s="434" t="s">
        <v>38</v>
      </c>
      <c r="K445" s="70">
        <v>2.9000000000000001E-2</v>
      </c>
      <c r="L445" s="70" t="s">
        <v>726</v>
      </c>
      <c r="M445" s="70" t="s">
        <v>953</v>
      </c>
      <c r="N445" s="70" t="s">
        <v>954</v>
      </c>
      <c r="O445" s="70"/>
      <c r="P445" s="72" t="s">
        <v>89</v>
      </c>
      <c r="Q445" s="790" t="s">
        <v>955</v>
      </c>
      <c r="R445" s="687">
        <v>-87.538600000000002</v>
      </c>
      <c r="S445" s="72" t="s">
        <v>63</v>
      </c>
      <c r="T445" s="39"/>
      <c r="U445" s="39" t="s">
        <v>51</v>
      </c>
      <c r="V445" s="38"/>
      <c r="W445" s="39">
        <f>IF(AC445="Intr",0,G445*Definitions!$B$53)</f>
        <v>1320</v>
      </c>
      <c r="X445" s="39">
        <f>IF(AC445="Intr",0,G445*Definitions!$B$54)</f>
        <v>6160</v>
      </c>
      <c r="Y445" s="39">
        <f>IF(AC445="Intr",G445,G445*Definitions!$B$55)</f>
        <v>1320</v>
      </c>
      <c r="Z445" s="39" t="s">
        <v>966</v>
      </c>
      <c r="AA445" s="39" t="s">
        <v>965</v>
      </c>
      <c r="AB445" s="39"/>
      <c r="AC445" s="40"/>
      <c r="AD445" s="38"/>
      <c r="AE445" s="377"/>
      <c r="AF445" s="377"/>
      <c r="AG445" s="377"/>
      <c r="AH445" s="72" t="s">
        <v>957</v>
      </c>
      <c r="AI445" s="105"/>
      <c r="AJ445" s="105"/>
      <c r="AK445" s="105"/>
      <c r="AL445" s="105"/>
      <c r="AM445" s="105"/>
      <c r="AN445" s="105"/>
      <c r="AO445" s="105"/>
      <c r="AP445" s="105"/>
      <c r="AQ445" s="105"/>
      <c r="AR445" s="105"/>
      <c r="AS445" s="105"/>
      <c r="AT445" s="105"/>
      <c r="AU445" s="105"/>
      <c r="AV445" s="105"/>
      <c r="AW445" s="105"/>
      <c r="AX445" s="105"/>
      <c r="AY445" s="105"/>
      <c r="AZ445" s="105"/>
      <c r="BA445" s="105"/>
      <c r="BB445" s="105"/>
      <c r="BC445" s="105"/>
      <c r="BD445" s="105"/>
      <c r="BE445" s="105"/>
      <c r="BF445" s="105"/>
      <c r="BG445" s="105"/>
      <c r="BH445" s="105"/>
      <c r="BI445" s="105"/>
      <c r="BJ445" s="105"/>
      <c r="BK445" s="105"/>
      <c r="BL445" s="105"/>
      <c r="BM445" s="105"/>
      <c r="BN445" s="105"/>
      <c r="BO445" s="105"/>
      <c r="BP445" s="105"/>
      <c r="BQ445" s="105"/>
      <c r="BR445" s="105"/>
      <c r="BS445" s="105"/>
      <c r="BT445" s="105"/>
      <c r="BU445" s="105"/>
      <c r="BV445" s="105"/>
      <c r="BW445" s="105"/>
      <c r="BX445" s="105"/>
      <c r="BY445" s="105"/>
      <c r="BZ445" s="105"/>
      <c r="CA445" s="105"/>
      <c r="CB445" s="105"/>
      <c r="CC445" s="105"/>
      <c r="CD445" s="105"/>
      <c r="CE445" s="105"/>
      <c r="CF445" s="105"/>
      <c r="CG445" s="105"/>
      <c r="CH445" s="105"/>
      <c r="CI445" s="105"/>
      <c r="CJ445" s="105"/>
      <c r="CK445" s="105"/>
      <c r="CL445" s="105"/>
      <c r="CM445" s="105"/>
      <c r="CN445" s="105"/>
      <c r="CO445" s="105"/>
      <c r="CP445" s="105"/>
      <c r="CQ445" s="105"/>
      <c r="CR445" s="105"/>
      <c r="CS445" s="105"/>
      <c r="CT445" s="105"/>
      <c r="CU445" s="105"/>
      <c r="CV445" s="105"/>
      <c r="CW445" s="105"/>
      <c r="CX445" s="105"/>
      <c r="CY445" s="105"/>
      <c r="CZ445" s="105"/>
      <c r="DA445" s="105"/>
      <c r="DB445" s="105"/>
      <c r="DC445" s="105"/>
      <c r="DD445" s="105"/>
      <c r="DE445" s="105"/>
      <c r="DF445" s="105"/>
      <c r="DG445" s="105"/>
      <c r="DH445" s="105"/>
      <c r="DI445" s="105"/>
      <c r="DJ445" s="105"/>
      <c r="DK445" s="105"/>
      <c r="DL445" s="105"/>
      <c r="DM445" s="105"/>
      <c r="DN445" s="105"/>
      <c r="DO445" s="105"/>
      <c r="DP445" s="105"/>
      <c r="DQ445" s="105"/>
      <c r="DR445" s="105"/>
      <c r="DS445" s="105"/>
      <c r="DT445" s="105"/>
      <c r="DU445" s="105"/>
      <c r="DV445" s="105"/>
      <c r="DW445" s="105"/>
      <c r="DX445" s="105"/>
      <c r="DY445" s="105"/>
      <c r="DZ445" s="105"/>
      <c r="EA445" s="105"/>
      <c r="EB445" s="105"/>
      <c r="EC445" s="105"/>
      <c r="ED445" s="105"/>
      <c r="EE445" s="105"/>
      <c r="EF445" s="105"/>
      <c r="EG445" s="105"/>
      <c r="EH445" s="105"/>
      <c r="EI445" s="105"/>
      <c r="EJ445" s="105"/>
      <c r="EK445" s="105"/>
      <c r="EL445" s="105"/>
      <c r="EM445" s="105"/>
      <c r="EN445" s="105"/>
      <c r="EO445" s="105"/>
      <c r="EP445" s="105"/>
      <c r="EQ445" s="105"/>
      <c r="ER445" s="105"/>
      <c r="ES445" s="105"/>
      <c r="ET445" s="105"/>
      <c r="EU445" s="105"/>
      <c r="EV445" s="105"/>
      <c r="EW445" s="105"/>
      <c r="EX445" s="105"/>
      <c r="EY445" s="105"/>
      <c r="EZ445" s="105"/>
      <c r="FA445" s="105"/>
      <c r="FB445" s="105"/>
      <c r="FC445" s="105"/>
      <c r="FD445" s="105"/>
      <c r="FE445" s="105"/>
      <c r="FF445" s="105"/>
      <c r="FG445" s="105"/>
      <c r="FH445" s="105"/>
      <c r="FI445" s="105"/>
      <c r="FJ445" s="105"/>
      <c r="FK445" s="105"/>
      <c r="FL445" s="105"/>
      <c r="FM445" s="105"/>
      <c r="FN445" s="105"/>
      <c r="FO445" s="105"/>
      <c r="FP445" s="105"/>
      <c r="FQ445" s="105"/>
      <c r="FR445" s="105"/>
      <c r="FS445" s="105"/>
      <c r="FT445" s="105"/>
      <c r="FU445" s="105"/>
      <c r="FV445" s="105"/>
      <c r="FW445" s="105"/>
      <c r="FX445" s="105"/>
      <c r="FY445" s="105"/>
      <c r="FZ445" s="105"/>
      <c r="GA445" s="105"/>
      <c r="GB445" s="105"/>
      <c r="GC445" s="105"/>
      <c r="GD445" s="105"/>
      <c r="GE445" s="105"/>
      <c r="GF445" s="105"/>
      <c r="GG445" s="105"/>
      <c r="GH445" s="105"/>
      <c r="GI445" s="105"/>
      <c r="GJ445" s="105"/>
      <c r="GK445" s="105"/>
      <c r="GL445" s="105"/>
      <c r="GM445" s="105"/>
      <c r="GN445" s="105"/>
      <c r="GO445" s="105"/>
      <c r="GP445" s="105"/>
      <c r="GQ445" s="105"/>
      <c r="GR445" s="105"/>
      <c r="GS445" s="105"/>
      <c r="GT445" s="105"/>
      <c r="GU445" s="105"/>
      <c r="GV445" s="105"/>
      <c r="GW445" s="105"/>
      <c r="GX445" s="105"/>
      <c r="GY445" s="105"/>
      <c r="GZ445" s="105"/>
      <c r="HA445" s="105"/>
      <c r="HB445" s="105"/>
      <c r="HC445" s="105"/>
      <c r="HD445" s="105"/>
      <c r="HE445" s="105"/>
      <c r="HF445" s="105"/>
      <c r="HG445" s="105"/>
      <c r="HH445" s="105"/>
      <c r="HI445" s="105"/>
      <c r="HJ445" s="105"/>
      <c r="HK445" s="105"/>
      <c r="HL445" s="105"/>
      <c r="HM445" s="105"/>
      <c r="HN445" s="105"/>
      <c r="HO445" s="105"/>
      <c r="HP445" s="105"/>
      <c r="HQ445" s="105"/>
      <c r="HR445" s="105"/>
      <c r="HS445" s="105"/>
      <c r="HT445" s="105"/>
      <c r="HU445" s="105"/>
      <c r="HV445" s="105"/>
      <c r="HW445" s="105"/>
      <c r="HX445" s="105"/>
      <c r="HY445" s="105"/>
      <c r="HZ445" s="105"/>
      <c r="IA445" s="105"/>
      <c r="IB445" s="105"/>
      <c r="IC445" s="105"/>
      <c r="ID445" s="105"/>
      <c r="IE445" s="105"/>
      <c r="IF445" s="105"/>
      <c r="IG445" s="105"/>
      <c r="IH445" s="105"/>
      <c r="II445" s="105"/>
      <c r="IJ445" s="105"/>
      <c r="IK445" s="105"/>
      <c r="IL445" s="105"/>
      <c r="IM445" s="105"/>
      <c r="IN445" s="105"/>
      <c r="IO445" s="105"/>
      <c r="IP445" s="105"/>
      <c r="IQ445" s="105"/>
      <c r="IR445" s="105"/>
      <c r="IS445" s="105"/>
      <c r="IT445" s="105"/>
      <c r="IU445" s="105"/>
      <c r="IV445" s="105"/>
    </row>
    <row r="446" spans="1:256" s="410" customFormat="1" x14ac:dyDescent="0.2">
      <c r="A446" s="29">
        <v>44573</v>
      </c>
      <c r="B446" s="30" t="s">
        <v>635</v>
      </c>
      <c r="C446" s="30">
        <v>2022</v>
      </c>
      <c r="D446" s="30" t="s">
        <v>2</v>
      </c>
      <c r="E446" s="217">
        <v>-0.46</v>
      </c>
      <c r="F446" s="217" t="s">
        <v>32</v>
      </c>
      <c r="G446" s="218">
        <v>43700</v>
      </c>
      <c r="H446" s="219">
        <v>281</v>
      </c>
      <c r="I446" s="558" t="s">
        <v>80</v>
      </c>
      <c r="J446" s="558" t="s">
        <v>36</v>
      </c>
      <c r="K446" s="217">
        <v>0.19</v>
      </c>
      <c r="L446" s="217" t="s">
        <v>408</v>
      </c>
      <c r="M446" s="217" t="s">
        <v>978</v>
      </c>
      <c r="N446" s="67" t="s">
        <v>979</v>
      </c>
      <c r="O446" s="30"/>
      <c r="P446" s="30" t="s">
        <v>227</v>
      </c>
      <c r="Q446" s="747">
        <v>41.443241700000002</v>
      </c>
      <c r="R446" s="636">
        <v>-87.488253999999998</v>
      </c>
      <c r="S446" s="69" t="s">
        <v>62</v>
      </c>
      <c r="T446" s="30"/>
      <c r="U446" s="30" t="s">
        <v>51</v>
      </c>
      <c r="V446" s="29"/>
      <c r="W446" s="31">
        <f>IF(AC446="Intr",0,G446*Definitions!$B$53)</f>
        <v>6555</v>
      </c>
      <c r="X446" s="31">
        <f>IF(AC446="Intr",0,G446*Definitions!$B$54)</f>
        <v>30589.999999999996</v>
      </c>
      <c r="Y446" s="31">
        <f>IF(AC446="Intr",G446,G446*Definitions!$B$55)</f>
        <v>6555</v>
      </c>
      <c r="Z446" s="31" t="s">
        <v>967</v>
      </c>
      <c r="AA446" s="31" t="s">
        <v>965</v>
      </c>
      <c r="AB446" s="31"/>
      <c r="AC446" s="30"/>
      <c r="AD446" s="30"/>
      <c r="AE446" s="30"/>
      <c r="AF446" s="30"/>
      <c r="AG446" s="32"/>
      <c r="AH446" s="30"/>
      <c r="AI446" s="105"/>
      <c r="AJ446" s="105"/>
      <c r="AK446" s="105"/>
      <c r="AL446" s="105"/>
      <c r="AM446" s="105"/>
      <c r="AN446" s="105"/>
      <c r="AO446" s="105"/>
      <c r="AP446" s="105"/>
      <c r="AQ446" s="105"/>
      <c r="AR446" s="105"/>
      <c r="AS446" s="105"/>
      <c r="AT446" s="105"/>
      <c r="AU446" s="105"/>
      <c r="AV446" s="105"/>
      <c r="AW446" s="105"/>
      <c r="AX446" s="105"/>
      <c r="AY446" s="105"/>
      <c r="AZ446" s="105"/>
      <c r="BA446" s="105"/>
      <c r="BB446" s="105"/>
      <c r="BC446" s="105"/>
      <c r="BD446" s="105"/>
      <c r="BE446" s="105"/>
      <c r="BF446" s="105"/>
      <c r="BG446" s="105"/>
      <c r="BH446" s="105"/>
      <c r="BI446" s="105"/>
      <c r="BJ446" s="105"/>
      <c r="BK446" s="105"/>
      <c r="BL446" s="105"/>
      <c r="BM446" s="105"/>
      <c r="BN446" s="105"/>
      <c r="BO446" s="105"/>
      <c r="BP446" s="105"/>
      <c r="BQ446" s="105"/>
      <c r="BR446" s="105"/>
      <c r="BS446" s="105"/>
      <c r="BT446" s="105"/>
      <c r="BU446" s="105"/>
      <c r="BV446" s="105"/>
      <c r="BW446" s="105"/>
      <c r="BX446" s="105"/>
      <c r="BY446" s="105"/>
      <c r="BZ446" s="105"/>
      <c r="CA446" s="105"/>
      <c r="CB446" s="105"/>
      <c r="CC446" s="105"/>
      <c r="CD446" s="105"/>
      <c r="CE446" s="105"/>
      <c r="CF446" s="105"/>
      <c r="CG446" s="105"/>
      <c r="CH446" s="105"/>
      <c r="CI446" s="105"/>
      <c r="CJ446" s="105"/>
      <c r="CK446" s="105"/>
      <c r="CL446" s="105"/>
      <c r="CM446" s="105"/>
      <c r="CN446" s="105"/>
      <c r="CO446" s="105"/>
      <c r="CP446" s="105"/>
      <c r="CQ446" s="105"/>
      <c r="CR446" s="105"/>
      <c r="CS446" s="105"/>
      <c r="CT446" s="105"/>
      <c r="CU446" s="105"/>
      <c r="CV446" s="105"/>
      <c r="CW446" s="105"/>
      <c r="CX446" s="105"/>
      <c r="CY446" s="105"/>
      <c r="CZ446" s="105"/>
      <c r="DA446" s="105"/>
      <c r="DB446" s="105"/>
      <c r="DC446" s="105"/>
      <c r="DD446" s="105"/>
      <c r="DE446" s="105"/>
      <c r="DF446" s="105"/>
      <c r="DG446" s="105"/>
      <c r="DH446" s="105"/>
      <c r="DI446" s="105"/>
      <c r="DJ446" s="105"/>
      <c r="DK446" s="105"/>
      <c r="DL446" s="105"/>
      <c r="DM446" s="105"/>
      <c r="DN446" s="105"/>
      <c r="DO446" s="105"/>
      <c r="DP446" s="105"/>
      <c r="DQ446" s="105"/>
      <c r="DR446" s="105"/>
      <c r="DS446" s="105"/>
      <c r="DT446" s="105"/>
      <c r="DU446" s="105"/>
      <c r="DV446" s="105"/>
      <c r="DW446" s="105"/>
      <c r="DX446" s="105"/>
      <c r="DY446" s="105"/>
      <c r="DZ446" s="105"/>
      <c r="EA446" s="105"/>
      <c r="EB446" s="105"/>
      <c r="EC446" s="105"/>
      <c r="ED446" s="105"/>
      <c r="EE446" s="105"/>
      <c r="EF446" s="105"/>
      <c r="EG446" s="105"/>
      <c r="EH446" s="105"/>
      <c r="EI446" s="105"/>
      <c r="EJ446" s="105"/>
      <c r="EK446" s="105"/>
      <c r="EL446" s="105"/>
      <c r="EM446" s="105"/>
      <c r="EN446" s="105"/>
      <c r="EO446" s="105"/>
      <c r="EP446" s="105"/>
      <c r="EQ446" s="105"/>
      <c r="ER446" s="105"/>
      <c r="ES446" s="105"/>
      <c r="ET446" s="105"/>
      <c r="EU446" s="105"/>
      <c r="EV446" s="105"/>
      <c r="EW446" s="105"/>
      <c r="EX446" s="105"/>
      <c r="EY446" s="105"/>
      <c r="EZ446" s="105"/>
      <c r="FA446" s="105"/>
      <c r="FB446" s="105"/>
      <c r="FC446" s="105"/>
      <c r="FD446" s="105"/>
      <c r="FE446" s="105"/>
      <c r="FF446" s="105"/>
      <c r="FG446" s="105"/>
      <c r="FH446" s="105"/>
      <c r="FI446" s="105"/>
      <c r="FJ446" s="105"/>
      <c r="FK446" s="105"/>
      <c r="FL446" s="105"/>
      <c r="FM446" s="105"/>
      <c r="FN446" s="105"/>
      <c r="FO446" s="105"/>
      <c r="FP446" s="105"/>
      <c r="FQ446" s="105"/>
      <c r="FR446" s="105"/>
      <c r="FS446" s="105"/>
      <c r="FT446" s="105"/>
      <c r="FU446" s="105"/>
      <c r="FV446" s="105"/>
      <c r="FW446" s="105"/>
      <c r="FX446" s="105"/>
      <c r="FY446" s="105"/>
      <c r="FZ446" s="105"/>
      <c r="GA446" s="105"/>
      <c r="GB446" s="105"/>
      <c r="GC446" s="105"/>
      <c r="GD446" s="105"/>
      <c r="GE446" s="105"/>
      <c r="GF446" s="105"/>
      <c r="GG446" s="105"/>
      <c r="GH446" s="105"/>
      <c r="GI446" s="105"/>
      <c r="GJ446" s="105"/>
      <c r="GK446" s="105"/>
      <c r="GL446" s="105"/>
      <c r="GM446" s="105"/>
      <c r="GN446" s="105"/>
      <c r="GO446" s="105"/>
      <c r="GP446" s="105"/>
      <c r="GQ446" s="105"/>
      <c r="GR446" s="105"/>
      <c r="GS446" s="105"/>
      <c r="GT446" s="105"/>
      <c r="GU446" s="105"/>
      <c r="GV446" s="105"/>
      <c r="GW446" s="105"/>
      <c r="GX446" s="105"/>
      <c r="GY446" s="105"/>
      <c r="GZ446" s="105"/>
      <c r="HA446" s="105"/>
      <c r="HB446" s="105"/>
      <c r="HC446" s="105"/>
      <c r="HD446" s="105"/>
      <c r="HE446" s="105"/>
      <c r="HF446" s="105"/>
      <c r="HG446" s="105"/>
      <c r="HH446" s="105"/>
      <c r="HI446" s="105"/>
      <c r="HJ446" s="105"/>
      <c r="HK446" s="105"/>
      <c r="HL446" s="105"/>
      <c r="HM446" s="105"/>
      <c r="HN446" s="105"/>
      <c r="HO446" s="105"/>
      <c r="HP446" s="105"/>
      <c r="HQ446" s="105"/>
      <c r="HR446" s="105"/>
      <c r="HS446" s="105"/>
      <c r="HT446" s="105"/>
      <c r="HU446" s="105"/>
      <c r="HV446" s="105"/>
      <c r="HW446" s="105"/>
      <c r="HX446" s="105"/>
      <c r="HY446" s="105"/>
      <c r="HZ446" s="105"/>
      <c r="IA446" s="105"/>
      <c r="IB446" s="105"/>
      <c r="IC446" s="105"/>
      <c r="ID446" s="105"/>
      <c r="IE446" s="105"/>
      <c r="IF446" s="105"/>
      <c r="IG446" s="105"/>
      <c r="IH446" s="105"/>
      <c r="II446" s="105"/>
      <c r="IJ446" s="105"/>
      <c r="IK446" s="105"/>
      <c r="IL446" s="105"/>
      <c r="IM446" s="105"/>
      <c r="IN446" s="105"/>
      <c r="IO446" s="105"/>
      <c r="IP446" s="105"/>
      <c r="IQ446" s="105"/>
      <c r="IR446" s="105"/>
      <c r="IS446" s="105"/>
      <c r="IT446" s="105"/>
      <c r="IU446" s="105"/>
      <c r="IV446" s="105"/>
    </row>
    <row r="447" spans="1:256" s="410" customFormat="1" x14ac:dyDescent="0.2">
      <c r="A447" s="176">
        <v>44579</v>
      </c>
      <c r="B447" s="251" t="s">
        <v>635</v>
      </c>
      <c r="C447" s="251">
        <v>2022</v>
      </c>
      <c r="D447" s="251" t="s">
        <v>7</v>
      </c>
      <c r="E447" s="253">
        <v>-1.8</v>
      </c>
      <c r="F447" s="253" t="s">
        <v>32</v>
      </c>
      <c r="G447" s="178">
        <v>144000</v>
      </c>
      <c r="H447" s="487">
        <v>268</v>
      </c>
      <c r="I447" s="559" t="s">
        <v>81</v>
      </c>
      <c r="J447" s="559" t="s">
        <v>38</v>
      </c>
      <c r="K447" s="253">
        <v>0.7</v>
      </c>
      <c r="L447" s="253" t="s">
        <v>981</v>
      </c>
      <c r="M447" s="253" t="s">
        <v>103</v>
      </c>
      <c r="N447" s="252" t="s">
        <v>982</v>
      </c>
      <c r="O447" s="251"/>
      <c r="P447" s="251" t="s">
        <v>121</v>
      </c>
      <c r="Q447" s="808">
        <v>39.820034999999997</v>
      </c>
      <c r="R447" s="872">
        <v>-85.927935000000005</v>
      </c>
      <c r="S447" s="251" t="s">
        <v>61</v>
      </c>
      <c r="T447" s="251"/>
      <c r="U447" s="251" t="s">
        <v>51</v>
      </c>
      <c r="V447" s="176"/>
      <c r="W447" s="256">
        <f>IF(AC447="Intr",0,G447*Definitions!$B$53)</f>
        <v>21600</v>
      </c>
      <c r="X447" s="256">
        <f>IF(AC447="Intr",0,G447*Definitions!$B$54)</f>
        <v>100800</v>
      </c>
      <c r="Y447" s="256">
        <f>IF(AC447="Intr",G447,G447*Definitions!$B$55)</f>
        <v>21600</v>
      </c>
      <c r="Z447" s="256" t="s">
        <v>966</v>
      </c>
      <c r="AA447" s="256" t="s">
        <v>963</v>
      </c>
      <c r="AB447" s="256" t="s">
        <v>1245</v>
      </c>
      <c r="AC447" s="251"/>
      <c r="AD447" s="251"/>
      <c r="AE447" s="251"/>
      <c r="AF447" s="251"/>
      <c r="AG447" s="257"/>
      <c r="AH447" s="251" t="s">
        <v>983</v>
      </c>
      <c r="AI447" s="105"/>
      <c r="AJ447" s="105"/>
      <c r="AK447" s="105"/>
      <c r="AL447" s="105"/>
      <c r="AM447" s="105"/>
      <c r="AN447" s="105"/>
      <c r="AO447" s="105"/>
      <c r="AP447" s="105"/>
      <c r="AQ447" s="105"/>
      <c r="AR447" s="105"/>
      <c r="AS447" s="105"/>
      <c r="AT447" s="105"/>
      <c r="AU447" s="105"/>
      <c r="AV447" s="105"/>
      <c r="AW447" s="105"/>
      <c r="AX447" s="105"/>
      <c r="AY447" s="105"/>
      <c r="AZ447" s="105"/>
      <c r="BA447" s="105"/>
      <c r="BB447" s="105"/>
      <c r="BC447" s="105"/>
      <c r="BD447" s="105"/>
      <c r="BE447" s="105"/>
      <c r="BF447" s="105"/>
      <c r="BG447" s="105"/>
      <c r="BH447" s="105"/>
      <c r="BI447" s="105"/>
      <c r="BJ447" s="105"/>
      <c r="BK447" s="105"/>
      <c r="BL447" s="105"/>
      <c r="BM447" s="105"/>
      <c r="BN447" s="105"/>
      <c r="BO447" s="105"/>
      <c r="BP447" s="105"/>
      <c r="BQ447" s="105"/>
      <c r="BR447" s="105"/>
      <c r="BS447" s="105"/>
      <c r="BT447" s="105"/>
      <c r="BU447" s="105"/>
      <c r="BV447" s="105"/>
      <c r="BW447" s="105"/>
      <c r="BX447" s="105"/>
      <c r="BY447" s="105"/>
      <c r="BZ447" s="105"/>
      <c r="CA447" s="105"/>
      <c r="CB447" s="105"/>
      <c r="CC447" s="105"/>
      <c r="CD447" s="105"/>
      <c r="CE447" s="105"/>
      <c r="CF447" s="105"/>
      <c r="CG447" s="105"/>
      <c r="CH447" s="105"/>
      <c r="CI447" s="105"/>
      <c r="CJ447" s="105"/>
      <c r="CK447" s="105"/>
      <c r="CL447" s="105"/>
      <c r="CM447" s="105"/>
      <c r="CN447" s="105"/>
      <c r="CO447" s="105"/>
      <c r="CP447" s="105"/>
      <c r="CQ447" s="105"/>
      <c r="CR447" s="105"/>
      <c r="CS447" s="105"/>
      <c r="CT447" s="105"/>
      <c r="CU447" s="105"/>
      <c r="CV447" s="105"/>
      <c r="CW447" s="105"/>
      <c r="CX447" s="105"/>
      <c r="CY447" s="105"/>
      <c r="CZ447" s="105"/>
      <c r="DA447" s="105"/>
      <c r="DB447" s="105"/>
      <c r="DC447" s="105"/>
      <c r="DD447" s="105"/>
      <c r="DE447" s="105"/>
      <c r="DF447" s="105"/>
      <c r="DG447" s="105"/>
      <c r="DH447" s="105"/>
      <c r="DI447" s="105"/>
      <c r="DJ447" s="105"/>
      <c r="DK447" s="105"/>
      <c r="DL447" s="105"/>
      <c r="DM447" s="105"/>
      <c r="DN447" s="105"/>
      <c r="DO447" s="105"/>
      <c r="DP447" s="105"/>
      <c r="DQ447" s="105"/>
      <c r="DR447" s="105"/>
      <c r="DS447" s="105"/>
      <c r="DT447" s="105"/>
      <c r="DU447" s="105"/>
      <c r="DV447" s="105"/>
      <c r="DW447" s="105"/>
      <c r="DX447" s="105"/>
      <c r="DY447" s="105"/>
      <c r="DZ447" s="105"/>
      <c r="EA447" s="105"/>
      <c r="EB447" s="105"/>
      <c r="EC447" s="105"/>
      <c r="ED447" s="105"/>
      <c r="EE447" s="105"/>
      <c r="EF447" s="105"/>
      <c r="EG447" s="105"/>
      <c r="EH447" s="105"/>
      <c r="EI447" s="105"/>
      <c r="EJ447" s="105"/>
      <c r="EK447" s="105"/>
      <c r="EL447" s="105"/>
      <c r="EM447" s="105"/>
      <c r="EN447" s="105"/>
      <c r="EO447" s="105"/>
      <c r="EP447" s="105"/>
      <c r="EQ447" s="105"/>
      <c r="ER447" s="105"/>
      <c r="ES447" s="105"/>
      <c r="ET447" s="105"/>
      <c r="EU447" s="105"/>
      <c r="EV447" s="105"/>
      <c r="EW447" s="105"/>
      <c r="EX447" s="105"/>
      <c r="EY447" s="105"/>
      <c r="EZ447" s="105"/>
      <c r="FA447" s="105"/>
      <c r="FB447" s="105"/>
      <c r="FC447" s="105"/>
      <c r="FD447" s="105"/>
      <c r="FE447" s="105"/>
      <c r="FF447" s="105"/>
      <c r="FG447" s="105"/>
      <c r="FH447" s="105"/>
      <c r="FI447" s="105"/>
      <c r="FJ447" s="105"/>
      <c r="FK447" s="105"/>
      <c r="FL447" s="105"/>
      <c r="FM447" s="105"/>
      <c r="FN447" s="105"/>
      <c r="FO447" s="105"/>
      <c r="FP447" s="105"/>
      <c r="FQ447" s="105"/>
      <c r="FR447" s="105"/>
      <c r="FS447" s="105"/>
      <c r="FT447" s="105"/>
      <c r="FU447" s="105"/>
      <c r="FV447" s="105"/>
      <c r="FW447" s="105"/>
      <c r="FX447" s="105"/>
      <c r="FY447" s="105"/>
      <c r="FZ447" s="105"/>
      <c r="GA447" s="105"/>
      <c r="GB447" s="105"/>
      <c r="GC447" s="105"/>
      <c r="GD447" s="105"/>
      <c r="GE447" s="105"/>
      <c r="GF447" s="105"/>
      <c r="GG447" s="105"/>
      <c r="GH447" s="105"/>
      <c r="GI447" s="105"/>
      <c r="GJ447" s="105"/>
      <c r="GK447" s="105"/>
      <c r="GL447" s="105"/>
      <c r="GM447" s="105"/>
      <c r="GN447" s="105"/>
      <c r="GO447" s="105"/>
      <c r="GP447" s="105"/>
      <c r="GQ447" s="105"/>
      <c r="GR447" s="105"/>
      <c r="GS447" s="105"/>
      <c r="GT447" s="105"/>
      <c r="GU447" s="105"/>
      <c r="GV447" s="105"/>
      <c r="GW447" s="105"/>
      <c r="GX447" s="105"/>
      <c r="GY447" s="105"/>
      <c r="GZ447" s="105"/>
      <c r="HA447" s="105"/>
      <c r="HB447" s="105"/>
      <c r="HC447" s="105"/>
      <c r="HD447" s="105"/>
      <c r="HE447" s="105"/>
      <c r="HF447" s="105"/>
      <c r="HG447" s="105"/>
      <c r="HH447" s="105"/>
      <c r="HI447" s="105"/>
      <c r="HJ447" s="105"/>
      <c r="HK447" s="105"/>
      <c r="HL447" s="105"/>
      <c r="HM447" s="105"/>
      <c r="HN447" s="105"/>
      <c r="HO447" s="105"/>
      <c r="HP447" s="105"/>
      <c r="HQ447" s="105"/>
      <c r="HR447" s="105"/>
      <c r="HS447" s="105"/>
      <c r="HT447" s="105"/>
      <c r="HU447" s="105"/>
      <c r="HV447" s="105"/>
      <c r="HW447" s="105"/>
      <c r="HX447" s="105"/>
      <c r="HY447" s="105"/>
      <c r="HZ447" s="105"/>
      <c r="IA447" s="105"/>
      <c r="IB447" s="105"/>
      <c r="IC447" s="105"/>
      <c r="ID447" s="105"/>
      <c r="IE447" s="105"/>
      <c r="IF447" s="105"/>
      <c r="IG447" s="105"/>
      <c r="IH447" s="105"/>
      <c r="II447" s="105"/>
      <c r="IJ447" s="105"/>
      <c r="IK447" s="105"/>
      <c r="IL447" s="105"/>
      <c r="IM447" s="105"/>
      <c r="IN447" s="105"/>
      <c r="IO447" s="105"/>
      <c r="IP447" s="105"/>
      <c r="IQ447" s="105"/>
      <c r="IR447" s="105"/>
      <c r="IS447" s="105"/>
      <c r="IT447" s="105"/>
      <c r="IU447" s="105"/>
      <c r="IV447" s="105"/>
    </row>
    <row r="448" spans="1:256" s="419" customFormat="1" x14ac:dyDescent="0.2">
      <c r="A448" s="37">
        <v>44579</v>
      </c>
      <c r="B448" s="38" t="s">
        <v>635</v>
      </c>
      <c r="C448" s="38">
        <v>2022</v>
      </c>
      <c r="D448" s="38" t="s">
        <v>8</v>
      </c>
      <c r="E448" s="177">
        <v>-3.0000000000000001E-3</v>
      </c>
      <c r="F448" s="177" t="s">
        <v>32</v>
      </c>
      <c r="G448" s="269">
        <v>240</v>
      </c>
      <c r="H448" s="179">
        <v>273</v>
      </c>
      <c r="I448" s="434" t="s">
        <v>81</v>
      </c>
      <c r="J448" s="434" t="s">
        <v>36</v>
      </c>
      <c r="K448" s="177">
        <v>2E-3</v>
      </c>
      <c r="L448" s="177" t="s">
        <v>726</v>
      </c>
      <c r="M448" s="177" t="s">
        <v>103</v>
      </c>
      <c r="N448" s="70" t="s">
        <v>984</v>
      </c>
      <c r="O448" s="38"/>
      <c r="P448" s="38" t="s">
        <v>985</v>
      </c>
      <c r="Q448" s="760">
        <v>39.8416</v>
      </c>
      <c r="R448" s="590">
        <v>-85.551199999999994</v>
      </c>
      <c r="S448" s="38" t="s">
        <v>63</v>
      </c>
      <c r="T448" s="38"/>
      <c r="U448" s="38" t="s">
        <v>51</v>
      </c>
      <c r="V448" s="37"/>
      <c r="W448" s="39">
        <f>IF(AC448="Intr",0,G448*Definitions!$B$53)</f>
        <v>36</v>
      </c>
      <c r="X448" s="39">
        <f>IF(AC448="Intr",0,G448*Definitions!$B$54)</f>
        <v>168</v>
      </c>
      <c r="Y448" s="39">
        <f>IF(AC448="Intr",G448,G448*Definitions!$B$55)</f>
        <v>36</v>
      </c>
      <c r="Z448" s="39" t="s">
        <v>966</v>
      </c>
      <c r="AA448" s="39" t="s">
        <v>963</v>
      </c>
      <c r="AB448" s="39" t="s">
        <v>970</v>
      </c>
      <c r="AC448" s="38"/>
      <c r="AD448" s="38"/>
      <c r="AE448" s="38"/>
      <c r="AF448" s="38"/>
      <c r="AG448" s="40"/>
      <c r="AH448" s="72" t="s">
        <v>986</v>
      </c>
      <c r="AI448" s="105"/>
      <c r="AJ448" s="105"/>
      <c r="AK448" s="105"/>
      <c r="AL448" s="105"/>
      <c r="AM448" s="105"/>
      <c r="AN448" s="105"/>
      <c r="AO448" s="105"/>
      <c r="AP448" s="105"/>
      <c r="AQ448" s="105"/>
      <c r="AR448" s="105"/>
      <c r="AS448" s="105"/>
      <c r="AT448" s="105"/>
      <c r="AU448" s="105"/>
      <c r="AV448" s="105"/>
      <c r="AW448" s="105"/>
      <c r="AX448" s="105"/>
      <c r="AY448" s="105"/>
      <c r="AZ448" s="105"/>
      <c r="BA448" s="105"/>
      <c r="BB448" s="105"/>
      <c r="BC448" s="105"/>
      <c r="BD448" s="105"/>
      <c r="BE448" s="105"/>
      <c r="BF448" s="105"/>
      <c r="BG448" s="105"/>
      <c r="BH448" s="105"/>
      <c r="BI448" s="105"/>
      <c r="BJ448" s="105"/>
      <c r="BK448" s="105"/>
      <c r="BL448" s="105"/>
      <c r="BM448" s="105"/>
      <c r="BN448" s="105"/>
      <c r="BO448" s="105"/>
      <c r="BP448" s="105"/>
      <c r="BQ448" s="105"/>
      <c r="BR448" s="105"/>
      <c r="BS448" s="105"/>
      <c r="BT448" s="105"/>
      <c r="BU448" s="105"/>
      <c r="BV448" s="105"/>
      <c r="BW448" s="105"/>
      <c r="BX448" s="105"/>
      <c r="BY448" s="105"/>
      <c r="BZ448" s="105"/>
      <c r="CA448" s="105"/>
      <c r="CB448" s="105"/>
      <c r="CC448" s="105"/>
      <c r="CD448" s="105"/>
      <c r="CE448" s="105"/>
      <c r="CF448" s="105"/>
      <c r="CG448" s="105"/>
      <c r="CH448" s="105"/>
      <c r="CI448" s="105"/>
      <c r="CJ448" s="105"/>
      <c r="CK448" s="105"/>
      <c r="CL448" s="105"/>
      <c r="CM448" s="105"/>
      <c r="CN448" s="105"/>
      <c r="CO448" s="105"/>
      <c r="CP448" s="105"/>
      <c r="CQ448" s="105"/>
      <c r="CR448" s="105"/>
      <c r="CS448" s="105"/>
      <c r="CT448" s="105"/>
      <c r="CU448" s="105"/>
      <c r="CV448" s="105"/>
      <c r="CW448" s="105"/>
      <c r="CX448" s="105"/>
      <c r="CY448" s="105"/>
      <c r="CZ448" s="105"/>
      <c r="DA448" s="105"/>
      <c r="DB448" s="105"/>
      <c r="DC448" s="105"/>
      <c r="DD448" s="105"/>
      <c r="DE448" s="105"/>
      <c r="DF448" s="105"/>
      <c r="DG448" s="105"/>
      <c r="DH448" s="105"/>
      <c r="DI448" s="105"/>
      <c r="DJ448" s="105"/>
      <c r="DK448" s="105"/>
      <c r="DL448" s="105"/>
      <c r="DM448" s="105"/>
      <c r="DN448" s="105"/>
      <c r="DO448" s="105"/>
      <c r="DP448" s="105"/>
      <c r="DQ448" s="105"/>
      <c r="DR448" s="105"/>
      <c r="DS448" s="105"/>
      <c r="DT448" s="105"/>
      <c r="DU448" s="105"/>
      <c r="DV448" s="105"/>
      <c r="DW448" s="105"/>
      <c r="DX448" s="105"/>
      <c r="DY448" s="105"/>
      <c r="DZ448" s="105"/>
      <c r="EA448" s="105"/>
      <c r="EB448" s="105"/>
      <c r="EC448" s="105"/>
      <c r="ED448" s="105"/>
      <c r="EE448" s="105"/>
      <c r="EF448" s="105"/>
      <c r="EG448" s="105"/>
      <c r="EH448" s="105"/>
      <c r="EI448" s="105"/>
      <c r="EJ448" s="105"/>
      <c r="EK448" s="105"/>
      <c r="EL448" s="105"/>
      <c r="EM448" s="105"/>
      <c r="EN448" s="105"/>
      <c r="EO448" s="105"/>
      <c r="EP448" s="105"/>
      <c r="EQ448" s="105"/>
      <c r="ER448" s="105"/>
      <c r="ES448" s="105"/>
      <c r="ET448" s="105"/>
      <c r="EU448" s="105"/>
      <c r="EV448" s="105"/>
      <c r="EW448" s="105"/>
      <c r="EX448" s="105"/>
      <c r="EY448" s="105"/>
      <c r="EZ448" s="105"/>
      <c r="FA448" s="105"/>
      <c r="FB448" s="105"/>
      <c r="FC448" s="105"/>
      <c r="FD448" s="105"/>
      <c r="FE448" s="105"/>
      <c r="FF448" s="105"/>
      <c r="FG448" s="105"/>
      <c r="FH448" s="105"/>
      <c r="FI448" s="105"/>
      <c r="FJ448" s="105"/>
      <c r="FK448" s="105"/>
      <c r="FL448" s="105"/>
      <c r="FM448" s="105"/>
      <c r="FN448" s="105"/>
      <c r="FO448" s="105"/>
      <c r="FP448" s="105"/>
      <c r="FQ448" s="105"/>
      <c r="FR448" s="105"/>
      <c r="FS448" s="105"/>
      <c r="FT448" s="105"/>
      <c r="FU448" s="105"/>
      <c r="FV448" s="105"/>
      <c r="FW448" s="105"/>
      <c r="FX448" s="105"/>
      <c r="FY448" s="105"/>
      <c r="FZ448" s="105"/>
      <c r="GA448" s="105"/>
      <c r="GB448" s="105"/>
      <c r="GC448" s="105"/>
      <c r="GD448" s="105"/>
      <c r="GE448" s="105"/>
      <c r="GF448" s="105"/>
      <c r="GG448" s="105"/>
      <c r="GH448" s="105"/>
      <c r="GI448" s="105"/>
      <c r="GJ448" s="105"/>
      <c r="GK448" s="105"/>
      <c r="GL448" s="105"/>
      <c r="GM448" s="105"/>
      <c r="GN448" s="105"/>
      <c r="GO448" s="105"/>
      <c r="GP448" s="105"/>
      <c r="GQ448" s="105"/>
      <c r="GR448" s="105"/>
      <c r="GS448" s="105"/>
      <c r="GT448" s="105"/>
      <c r="GU448" s="105"/>
      <c r="GV448" s="105"/>
      <c r="GW448" s="105"/>
      <c r="GX448" s="105"/>
      <c r="GY448" s="105"/>
      <c r="GZ448" s="105"/>
      <c r="HA448" s="105"/>
      <c r="HB448" s="105"/>
      <c r="HC448" s="105"/>
      <c r="HD448" s="105"/>
      <c r="HE448" s="105"/>
      <c r="HF448" s="105"/>
      <c r="HG448" s="105"/>
      <c r="HH448" s="105"/>
      <c r="HI448" s="105"/>
      <c r="HJ448" s="105"/>
      <c r="HK448" s="105"/>
      <c r="HL448" s="105"/>
      <c r="HM448" s="105"/>
      <c r="HN448" s="105"/>
      <c r="HO448" s="105"/>
      <c r="HP448" s="105"/>
      <c r="HQ448" s="105"/>
      <c r="HR448" s="105"/>
      <c r="HS448" s="105"/>
      <c r="HT448" s="105"/>
      <c r="HU448" s="105"/>
      <c r="HV448" s="105"/>
      <c r="HW448" s="105"/>
      <c r="HX448" s="105"/>
      <c r="HY448" s="105"/>
      <c r="HZ448" s="105"/>
      <c r="IA448" s="105"/>
      <c r="IB448" s="105"/>
      <c r="IC448" s="105"/>
      <c r="ID448" s="105"/>
      <c r="IE448" s="105"/>
      <c r="IF448" s="105"/>
      <c r="IG448" s="105"/>
      <c r="IH448" s="105"/>
      <c r="II448" s="105"/>
      <c r="IJ448" s="105"/>
      <c r="IK448" s="105"/>
      <c r="IL448" s="105"/>
      <c r="IM448" s="105"/>
      <c r="IN448" s="105"/>
      <c r="IO448" s="105"/>
      <c r="IP448" s="105"/>
      <c r="IQ448" s="105"/>
      <c r="IR448" s="105"/>
      <c r="IS448" s="105"/>
      <c r="IT448" s="105"/>
      <c r="IU448" s="105"/>
      <c r="IV448" s="105"/>
    </row>
    <row r="449" spans="1:256" x14ac:dyDescent="0.2">
      <c r="A449" s="145">
        <v>44585</v>
      </c>
      <c r="B449" s="112" t="s">
        <v>635</v>
      </c>
      <c r="C449" s="112">
        <v>2022</v>
      </c>
      <c r="D449" s="112" t="s">
        <v>6</v>
      </c>
      <c r="E449" s="146">
        <v>-52</v>
      </c>
      <c r="F449" s="146" t="s">
        <v>33</v>
      </c>
      <c r="G449" s="147">
        <v>20800</v>
      </c>
      <c r="H449" s="148">
        <v>271</v>
      </c>
      <c r="I449" s="146" t="s">
        <v>80</v>
      </c>
      <c r="J449" s="146" t="s">
        <v>731</v>
      </c>
      <c r="K449" s="146">
        <v>184.2</v>
      </c>
      <c r="L449" s="146" t="s">
        <v>987</v>
      </c>
      <c r="M449" s="146" t="s">
        <v>988</v>
      </c>
      <c r="N449" s="149" t="s">
        <v>989</v>
      </c>
      <c r="O449" s="112"/>
      <c r="P449" s="112" t="s">
        <v>321</v>
      </c>
      <c r="Q449" s="729">
        <v>39.353000000000002</v>
      </c>
      <c r="R449" s="591">
        <v>-86.930999999999997</v>
      </c>
      <c r="S449" s="112" t="s">
        <v>63</v>
      </c>
      <c r="T449" s="112"/>
      <c r="U449" s="112" t="s">
        <v>51</v>
      </c>
      <c r="V449" s="145"/>
      <c r="W449" s="150">
        <f>IF(AC449="Intr",0,G449*Definitions!$B$53)</f>
        <v>3120</v>
      </c>
      <c r="X449" s="150">
        <f>IF(AC449="Intr",0,G449*Definitions!$B$54)</f>
        <v>14559.999999999998</v>
      </c>
      <c r="Y449" s="150">
        <f>IF(AC449="Intr",G449,G449*Definitions!$B$55)</f>
        <v>3120</v>
      </c>
      <c r="Z449" s="150" t="s">
        <v>966</v>
      </c>
      <c r="AA449" s="150" t="s">
        <v>965</v>
      </c>
      <c r="AB449" s="150"/>
      <c r="AC449" s="112"/>
      <c r="AD449" s="112"/>
      <c r="AE449" s="431"/>
      <c r="AF449" s="431"/>
      <c r="AG449" s="571"/>
      <c r="AH449" s="342" t="s">
        <v>990</v>
      </c>
    </row>
    <row r="450" spans="1:256" x14ac:dyDescent="0.2">
      <c r="A450" s="145">
        <v>44585</v>
      </c>
      <c r="B450" s="112" t="s">
        <v>635</v>
      </c>
      <c r="C450" s="112">
        <v>2022</v>
      </c>
      <c r="D450" s="112" t="s">
        <v>6</v>
      </c>
      <c r="E450" s="146">
        <v>-0.755</v>
      </c>
      <c r="F450" s="146" t="s">
        <v>32</v>
      </c>
      <c r="G450" s="147">
        <v>60400</v>
      </c>
      <c r="H450" s="148">
        <v>271</v>
      </c>
      <c r="I450" s="146" t="s">
        <v>80</v>
      </c>
      <c r="J450" s="146" t="s">
        <v>38</v>
      </c>
      <c r="K450" s="146">
        <v>0.19</v>
      </c>
      <c r="L450" s="146" t="s">
        <v>987</v>
      </c>
      <c r="M450" s="146" t="s">
        <v>988</v>
      </c>
      <c r="N450" s="149" t="s">
        <v>989</v>
      </c>
      <c r="O450" s="112"/>
      <c r="P450" s="112" t="s">
        <v>321</v>
      </c>
      <c r="Q450" s="729">
        <v>39.353000000000002</v>
      </c>
      <c r="R450" s="591">
        <v>-86.930999999999997</v>
      </c>
      <c r="S450" s="112" t="s">
        <v>63</v>
      </c>
      <c r="T450" s="112"/>
      <c r="U450" s="112" t="s">
        <v>51</v>
      </c>
      <c r="V450" s="145"/>
      <c r="W450" s="150">
        <f>IF(AC450="Intr",0,G450*Definitions!$B$53)</f>
        <v>9060</v>
      </c>
      <c r="X450" s="150">
        <f>IF(AC450="Intr",0,G450*Definitions!$B$54)</f>
        <v>42280</v>
      </c>
      <c r="Y450" s="150">
        <f>IF(AC450="Intr",G450,G450*Definitions!$B$55)</f>
        <v>9060</v>
      </c>
      <c r="Z450" s="150" t="s">
        <v>966</v>
      </c>
      <c r="AA450" s="150" t="s">
        <v>965</v>
      </c>
      <c r="AB450" s="150"/>
      <c r="AC450" s="112"/>
      <c r="AD450" s="112"/>
      <c r="AE450" s="431"/>
      <c r="AF450" s="431"/>
      <c r="AG450" s="571"/>
      <c r="AH450" s="342" t="s">
        <v>991</v>
      </c>
    </row>
    <row r="451" spans="1:256" s="418" customFormat="1" x14ac:dyDescent="0.2">
      <c r="A451" s="438">
        <v>44586</v>
      </c>
      <c r="B451" s="439" t="s">
        <v>635</v>
      </c>
      <c r="C451" s="439">
        <v>2022</v>
      </c>
      <c r="D451" s="439" t="s">
        <v>7</v>
      </c>
      <c r="E451" s="451">
        <v>1.85</v>
      </c>
      <c r="F451" s="451" t="s">
        <v>32</v>
      </c>
      <c r="G451" s="452">
        <v>-125800</v>
      </c>
      <c r="H451" s="453">
        <v>80</v>
      </c>
      <c r="I451" s="451" t="s">
        <v>81</v>
      </c>
      <c r="J451" s="451" t="s">
        <v>36</v>
      </c>
      <c r="K451" s="451">
        <v>1.85</v>
      </c>
      <c r="L451" s="451" t="s">
        <v>337</v>
      </c>
      <c r="M451" s="451" t="s">
        <v>103</v>
      </c>
      <c r="N451" s="440" t="s">
        <v>340</v>
      </c>
      <c r="O451" s="439"/>
      <c r="P451" s="439" t="s">
        <v>162</v>
      </c>
      <c r="Q451" s="769">
        <v>39.624200000000002</v>
      </c>
      <c r="R451" s="667">
        <v>-86.468299999999999</v>
      </c>
      <c r="S451" s="439" t="s">
        <v>61</v>
      </c>
      <c r="T451" s="439"/>
      <c r="U451" s="439" t="s">
        <v>51</v>
      </c>
      <c r="V451" s="438"/>
      <c r="W451" s="444">
        <v>0</v>
      </c>
      <c r="X451" s="444">
        <f>-(148000*0.7)</f>
        <v>-103600</v>
      </c>
      <c r="Y451" s="444">
        <f>-(148000*0.15)</f>
        <v>-22200</v>
      </c>
      <c r="Z451" s="444" t="s">
        <v>966</v>
      </c>
      <c r="AA451" s="444" t="s">
        <v>963</v>
      </c>
      <c r="AB451" s="444" t="s">
        <v>969</v>
      </c>
      <c r="AC451" s="439"/>
      <c r="AD451" s="439"/>
      <c r="AE451" s="439"/>
      <c r="AF451" s="439"/>
      <c r="AG451" s="445"/>
      <c r="AH451" s="439" t="s">
        <v>996</v>
      </c>
      <c r="AI451" s="105"/>
      <c r="AJ451" s="105"/>
      <c r="AK451" s="105"/>
      <c r="AL451" s="105"/>
      <c r="AM451" s="105"/>
      <c r="AN451" s="105"/>
      <c r="AO451" s="105"/>
      <c r="AP451" s="105"/>
      <c r="AQ451" s="105"/>
      <c r="AR451" s="105"/>
      <c r="AS451" s="105"/>
      <c r="AT451" s="105"/>
      <c r="AU451" s="105"/>
      <c r="AV451" s="105"/>
      <c r="AW451" s="105"/>
      <c r="AX451" s="105"/>
      <c r="AY451" s="105"/>
      <c r="AZ451" s="105"/>
      <c r="BA451" s="105"/>
      <c r="BB451" s="105"/>
      <c r="BC451" s="105"/>
      <c r="BD451" s="105"/>
      <c r="BE451" s="105"/>
      <c r="BF451" s="105"/>
      <c r="BG451" s="105"/>
      <c r="BH451" s="105"/>
      <c r="BI451" s="105"/>
      <c r="BJ451" s="105"/>
      <c r="BK451" s="105"/>
      <c r="BL451" s="105"/>
      <c r="BM451" s="105"/>
      <c r="BN451" s="105"/>
      <c r="BO451" s="105"/>
      <c r="BP451" s="105"/>
      <c r="BQ451" s="105"/>
      <c r="BR451" s="105"/>
      <c r="BS451" s="105"/>
      <c r="BT451" s="105"/>
      <c r="BU451" s="105"/>
      <c r="BV451" s="105"/>
      <c r="BW451" s="105"/>
      <c r="BX451" s="105"/>
      <c r="BY451" s="105"/>
      <c r="BZ451" s="105"/>
      <c r="CA451" s="105"/>
      <c r="CB451" s="105"/>
      <c r="CC451" s="105"/>
      <c r="CD451" s="105"/>
      <c r="CE451" s="105"/>
      <c r="CF451" s="105"/>
      <c r="CG451" s="105"/>
      <c r="CH451" s="105"/>
      <c r="CI451" s="105"/>
      <c r="CJ451" s="105"/>
      <c r="CK451" s="105"/>
      <c r="CL451" s="105"/>
      <c r="CM451" s="105"/>
      <c r="CN451" s="105"/>
      <c r="CO451" s="105"/>
      <c r="CP451" s="105"/>
      <c r="CQ451" s="105"/>
      <c r="CR451" s="105"/>
      <c r="CS451" s="105"/>
      <c r="CT451" s="105"/>
      <c r="CU451" s="105"/>
      <c r="CV451" s="105"/>
      <c r="CW451" s="105"/>
      <c r="CX451" s="105"/>
      <c r="CY451" s="105"/>
      <c r="CZ451" s="105"/>
      <c r="DA451" s="105"/>
      <c r="DB451" s="105"/>
      <c r="DC451" s="105"/>
      <c r="DD451" s="105"/>
      <c r="DE451" s="105"/>
      <c r="DF451" s="105"/>
      <c r="DG451" s="105"/>
      <c r="DH451" s="105"/>
      <c r="DI451" s="105"/>
      <c r="DJ451" s="105"/>
      <c r="DK451" s="105"/>
      <c r="DL451" s="105"/>
      <c r="DM451" s="105"/>
      <c r="DN451" s="105"/>
      <c r="DO451" s="105"/>
      <c r="DP451" s="105"/>
      <c r="DQ451" s="105"/>
      <c r="DR451" s="105"/>
      <c r="DS451" s="105"/>
      <c r="DT451" s="105"/>
      <c r="DU451" s="105"/>
      <c r="DV451" s="105"/>
      <c r="DW451" s="105"/>
      <c r="DX451" s="105"/>
      <c r="DY451" s="105"/>
      <c r="DZ451" s="105"/>
      <c r="EA451" s="105"/>
      <c r="EB451" s="105"/>
      <c r="EC451" s="105"/>
      <c r="ED451" s="105"/>
      <c r="EE451" s="105"/>
      <c r="EF451" s="105"/>
      <c r="EG451" s="105"/>
      <c r="EH451" s="105"/>
      <c r="EI451" s="105"/>
      <c r="EJ451" s="105"/>
      <c r="EK451" s="105"/>
      <c r="EL451" s="105"/>
      <c r="EM451" s="105"/>
      <c r="EN451" s="105"/>
      <c r="EO451" s="105"/>
      <c r="EP451" s="105"/>
      <c r="EQ451" s="105"/>
      <c r="ER451" s="105"/>
      <c r="ES451" s="105"/>
      <c r="ET451" s="105"/>
      <c r="EU451" s="105"/>
      <c r="EV451" s="105"/>
      <c r="EW451" s="105"/>
      <c r="EX451" s="105"/>
      <c r="EY451" s="105"/>
      <c r="EZ451" s="105"/>
      <c r="FA451" s="105"/>
      <c r="FB451" s="105"/>
      <c r="FC451" s="105"/>
      <c r="FD451" s="105"/>
      <c r="FE451" s="105"/>
      <c r="FF451" s="105"/>
      <c r="FG451" s="105"/>
      <c r="FH451" s="105"/>
      <c r="FI451" s="105"/>
      <c r="FJ451" s="105"/>
      <c r="FK451" s="105"/>
      <c r="FL451" s="105"/>
      <c r="FM451" s="105"/>
      <c r="FN451" s="105"/>
      <c r="FO451" s="105"/>
      <c r="FP451" s="105"/>
      <c r="FQ451" s="105"/>
      <c r="FR451" s="105"/>
      <c r="FS451" s="105"/>
      <c r="FT451" s="105"/>
      <c r="FU451" s="105"/>
      <c r="FV451" s="105"/>
      <c r="FW451" s="105"/>
      <c r="FX451" s="105"/>
      <c r="FY451" s="105"/>
      <c r="FZ451" s="105"/>
      <c r="GA451" s="105"/>
      <c r="GB451" s="105"/>
      <c r="GC451" s="105"/>
      <c r="GD451" s="105"/>
      <c r="GE451" s="105"/>
      <c r="GF451" s="105"/>
      <c r="GG451" s="105"/>
      <c r="GH451" s="105"/>
      <c r="GI451" s="105"/>
      <c r="GJ451" s="105"/>
      <c r="GK451" s="105"/>
      <c r="GL451" s="105"/>
      <c r="GM451" s="105"/>
      <c r="GN451" s="105"/>
      <c r="GO451" s="105"/>
      <c r="GP451" s="105"/>
      <c r="GQ451" s="105"/>
      <c r="GR451" s="105"/>
      <c r="GS451" s="105"/>
      <c r="GT451" s="105"/>
      <c r="GU451" s="105"/>
      <c r="GV451" s="105"/>
      <c r="GW451" s="105"/>
      <c r="GX451" s="105"/>
      <c r="GY451" s="105"/>
      <c r="GZ451" s="105"/>
      <c r="HA451" s="105"/>
      <c r="HB451" s="105"/>
      <c r="HC451" s="105"/>
      <c r="HD451" s="105"/>
      <c r="HE451" s="105"/>
      <c r="HF451" s="105"/>
      <c r="HG451" s="105"/>
      <c r="HH451" s="105"/>
      <c r="HI451" s="105"/>
      <c r="HJ451" s="105"/>
      <c r="HK451" s="105"/>
      <c r="HL451" s="105"/>
      <c r="HM451" s="105"/>
      <c r="HN451" s="105"/>
      <c r="HO451" s="105"/>
      <c r="HP451" s="105"/>
      <c r="HQ451" s="105"/>
      <c r="HR451" s="105"/>
      <c r="HS451" s="105"/>
      <c r="HT451" s="105"/>
      <c r="HU451" s="105"/>
      <c r="HV451" s="105"/>
      <c r="HW451" s="105"/>
      <c r="HX451" s="105"/>
      <c r="HY451" s="105"/>
      <c r="HZ451" s="105"/>
      <c r="IA451" s="105"/>
      <c r="IB451" s="105"/>
      <c r="IC451" s="105"/>
      <c r="ID451" s="105"/>
      <c r="IE451" s="105"/>
      <c r="IF451" s="105"/>
      <c r="IG451" s="105"/>
      <c r="IH451" s="105"/>
      <c r="II451" s="105"/>
      <c r="IJ451" s="105"/>
      <c r="IK451" s="105"/>
      <c r="IL451" s="105"/>
      <c r="IM451" s="105"/>
      <c r="IN451" s="105"/>
      <c r="IO451" s="105"/>
      <c r="IP451" s="105"/>
      <c r="IQ451" s="105"/>
      <c r="IR451" s="105"/>
      <c r="IS451" s="105"/>
      <c r="IT451" s="105"/>
      <c r="IU451" s="105"/>
      <c r="IV451" s="105"/>
    </row>
    <row r="452" spans="1:256" s="415" customFormat="1" x14ac:dyDescent="0.2">
      <c r="A452" s="136">
        <v>44587</v>
      </c>
      <c r="B452" s="137" t="s">
        <v>635</v>
      </c>
      <c r="C452" s="137">
        <v>2022</v>
      </c>
      <c r="D452" s="137" t="s">
        <v>7</v>
      </c>
      <c r="E452" s="139">
        <v>-231</v>
      </c>
      <c r="F452" s="139" t="s">
        <v>33</v>
      </c>
      <c r="G452" s="140">
        <v>103950</v>
      </c>
      <c r="H452" s="141">
        <v>275</v>
      </c>
      <c r="I452" s="139" t="s">
        <v>80</v>
      </c>
      <c r="J452" s="139" t="s">
        <v>725</v>
      </c>
      <c r="K452" s="139">
        <v>231</v>
      </c>
      <c r="L452" s="139" t="s">
        <v>135</v>
      </c>
      <c r="M452" s="139" t="s">
        <v>992</v>
      </c>
      <c r="N452" s="142" t="s">
        <v>993</v>
      </c>
      <c r="O452" s="137"/>
      <c r="P452" s="137" t="s">
        <v>137</v>
      </c>
      <c r="Q452" s="809">
        <v>39.972700000000003</v>
      </c>
      <c r="R452" s="644">
        <v>-85.908000000000001</v>
      </c>
      <c r="S452" s="137" t="s">
        <v>61</v>
      </c>
      <c r="T452" s="137"/>
      <c r="U452" s="137" t="s">
        <v>51</v>
      </c>
      <c r="V452" s="136"/>
      <c r="W452" s="143">
        <f>IF(AC452="Intr",0,G452*Definitions!$B$53)</f>
        <v>15592.5</v>
      </c>
      <c r="X452" s="143">
        <f>IF(AC452="Intr",0,G452*Definitions!$B$54)</f>
        <v>72765</v>
      </c>
      <c r="Y452" s="143">
        <f>IF(AC452="Intr",G452,G452*Definitions!$B$55)</f>
        <v>15592.5</v>
      </c>
      <c r="Z452" s="143" t="s">
        <v>966</v>
      </c>
      <c r="AA452" s="143" t="s">
        <v>965</v>
      </c>
      <c r="AB452" s="143"/>
      <c r="AC452" s="137"/>
      <c r="AD452" s="137"/>
      <c r="AE452" s="137"/>
      <c r="AF452" s="137"/>
      <c r="AG452" s="144"/>
      <c r="AH452" s="137" t="s">
        <v>994</v>
      </c>
      <c r="AI452" s="105"/>
      <c r="AJ452" s="105"/>
      <c r="AK452" s="105"/>
      <c r="AL452" s="105"/>
      <c r="AM452" s="105"/>
      <c r="AN452" s="105"/>
      <c r="AO452" s="105"/>
      <c r="AP452" s="105"/>
      <c r="AQ452" s="105"/>
      <c r="AR452" s="105"/>
      <c r="AS452" s="105"/>
      <c r="AT452" s="105"/>
      <c r="AU452" s="105"/>
      <c r="AV452" s="105"/>
      <c r="AW452" s="105"/>
      <c r="AX452" s="105"/>
      <c r="AY452" s="105"/>
      <c r="AZ452" s="105"/>
      <c r="BA452" s="105"/>
      <c r="BB452" s="105"/>
      <c r="BC452" s="105"/>
      <c r="BD452" s="105"/>
      <c r="BE452" s="105"/>
      <c r="BF452" s="105"/>
      <c r="BG452" s="105"/>
      <c r="BH452" s="105"/>
      <c r="BI452" s="105"/>
      <c r="BJ452" s="105"/>
      <c r="BK452" s="105"/>
      <c r="BL452" s="105"/>
      <c r="BM452" s="105"/>
      <c r="BN452" s="105"/>
      <c r="BO452" s="105"/>
      <c r="BP452" s="105"/>
      <c r="BQ452" s="105"/>
      <c r="BR452" s="105"/>
      <c r="BS452" s="105"/>
      <c r="BT452" s="105"/>
      <c r="BU452" s="105"/>
      <c r="BV452" s="105"/>
      <c r="BW452" s="105"/>
      <c r="BX452" s="105"/>
      <c r="BY452" s="105"/>
      <c r="BZ452" s="105"/>
      <c r="CA452" s="105"/>
      <c r="CB452" s="105"/>
      <c r="CC452" s="105"/>
      <c r="CD452" s="105"/>
      <c r="CE452" s="105"/>
      <c r="CF452" s="105"/>
      <c r="CG452" s="105"/>
      <c r="CH452" s="105"/>
      <c r="CI452" s="105"/>
      <c r="CJ452" s="105"/>
      <c r="CK452" s="105"/>
      <c r="CL452" s="105"/>
      <c r="CM452" s="105"/>
      <c r="CN452" s="105"/>
      <c r="CO452" s="105"/>
      <c r="CP452" s="105"/>
      <c r="CQ452" s="105"/>
      <c r="CR452" s="105"/>
      <c r="CS452" s="105"/>
      <c r="CT452" s="105"/>
      <c r="CU452" s="105"/>
      <c r="CV452" s="105"/>
      <c r="CW452" s="105"/>
      <c r="CX452" s="105"/>
      <c r="CY452" s="105"/>
      <c r="CZ452" s="105"/>
      <c r="DA452" s="105"/>
      <c r="DB452" s="105"/>
      <c r="DC452" s="105"/>
      <c r="DD452" s="105"/>
      <c r="DE452" s="105"/>
      <c r="DF452" s="105"/>
      <c r="DG452" s="105"/>
      <c r="DH452" s="105"/>
      <c r="DI452" s="105"/>
      <c r="DJ452" s="105"/>
      <c r="DK452" s="105"/>
      <c r="DL452" s="105"/>
      <c r="DM452" s="105"/>
      <c r="DN452" s="105"/>
      <c r="DO452" s="105"/>
      <c r="DP452" s="105"/>
      <c r="DQ452" s="105"/>
      <c r="DR452" s="105"/>
      <c r="DS452" s="105"/>
      <c r="DT452" s="105"/>
      <c r="DU452" s="105"/>
      <c r="DV452" s="105"/>
      <c r="DW452" s="105"/>
      <c r="DX452" s="105"/>
      <c r="DY452" s="105"/>
      <c r="DZ452" s="105"/>
      <c r="EA452" s="105"/>
      <c r="EB452" s="105"/>
      <c r="EC452" s="105"/>
      <c r="ED452" s="105"/>
      <c r="EE452" s="105"/>
      <c r="EF452" s="105"/>
      <c r="EG452" s="105"/>
      <c r="EH452" s="105"/>
      <c r="EI452" s="105"/>
      <c r="EJ452" s="105"/>
      <c r="EK452" s="105"/>
      <c r="EL452" s="105"/>
      <c r="EM452" s="105"/>
      <c r="EN452" s="105"/>
      <c r="EO452" s="105"/>
      <c r="EP452" s="105"/>
      <c r="EQ452" s="105"/>
      <c r="ER452" s="105"/>
      <c r="ES452" s="105"/>
      <c r="ET452" s="105"/>
      <c r="EU452" s="105"/>
      <c r="EV452" s="105"/>
      <c r="EW452" s="105"/>
      <c r="EX452" s="105"/>
      <c r="EY452" s="105"/>
      <c r="EZ452" s="105"/>
      <c r="FA452" s="105"/>
      <c r="FB452" s="105"/>
      <c r="FC452" s="105"/>
      <c r="FD452" s="105"/>
      <c r="FE452" s="105"/>
      <c r="FF452" s="105"/>
      <c r="FG452" s="105"/>
      <c r="FH452" s="105"/>
      <c r="FI452" s="105"/>
      <c r="FJ452" s="105"/>
      <c r="FK452" s="105"/>
      <c r="FL452" s="105"/>
      <c r="FM452" s="105"/>
      <c r="FN452" s="105"/>
      <c r="FO452" s="105"/>
      <c r="FP452" s="105"/>
      <c r="FQ452" s="105"/>
      <c r="FR452" s="105"/>
      <c r="FS452" s="105"/>
      <c r="FT452" s="105"/>
      <c r="FU452" s="105"/>
      <c r="FV452" s="105"/>
      <c r="FW452" s="105"/>
      <c r="FX452" s="105"/>
      <c r="FY452" s="105"/>
      <c r="FZ452" s="105"/>
      <c r="GA452" s="105"/>
      <c r="GB452" s="105"/>
      <c r="GC452" s="105"/>
      <c r="GD452" s="105"/>
      <c r="GE452" s="105"/>
      <c r="GF452" s="105"/>
      <c r="GG452" s="105"/>
      <c r="GH452" s="105"/>
      <c r="GI452" s="105"/>
      <c r="GJ452" s="105"/>
      <c r="GK452" s="105"/>
      <c r="GL452" s="105"/>
      <c r="GM452" s="105"/>
      <c r="GN452" s="105"/>
      <c r="GO452" s="105"/>
      <c r="GP452" s="105"/>
      <c r="GQ452" s="105"/>
      <c r="GR452" s="105"/>
      <c r="GS452" s="105"/>
      <c r="GT452" s="105"/>
      <c r="GU452" s="105"/>
      <c r="GV452" s="105"/>
      <c r="GW452" s="105"/>
      <c r="GX452" s="105"/>
      <c r="GY452" s="105"/>
      <c r="GZ452" s="105"/>
      <c r="HA452" s="105"/>
      <c r="HB452" s="105"/>
      <c r="HC452" s="105"/>
      <c r="HD452" s="105"/>
      <c r="HE452" s="105"/>
      <c r="HF452" s="105"/>
      <c r="HG452" s="105"/>
      <c r="HH452" s="105"/>
      <c r="HI452" s="105"/>
      <c r="HJ452" s="105"/>
      <c r="HK452" s="105"/>
      <c r="HL452" s="105"/>
      <c r="HM452" s="105"/>
      <c r="HN452" s="105"/>
      <c r="HO452" s="105"/>
      <c r="HP452" s="105"/>
      <c r="HQ452" s="105"/>
      <c r="HR452" s="105"/>
      <c r="HS452" s="105"/>
      <c r="HT452" s="105"/>
      <c r="HU452" s="105"/>
      <c r="HV452" s="105"/>
      <c r="HW452" s="105"/>
      <c r="HX452" s="105"/>
      <c r="HY452" s="105"/>
      <c r="HZ452" s="105"/>
      <c r="IA452" s="105"/>
      <c r="IB452" s="105"/>
      <c r="IC452" s="105"/>
      <c r="ID452" s="105"/>
      <c r="IE452" s="105"/>
      <c r="IF452" s="105"/>
      <c r="IG452" s="105"/>
      <c r="IH452" s="105"/>
      <c r="II452" s="105"/>
      <c r="IJ452" s="105"/>
      <c r="IK452" s="105"/>
      <c r="IL452" s="105"/>
      <c r="IM452" s="105"/>
      <c r="IN452" s="105"/>
      <c r="IO452" s="105"/>
      <c r="IP452" s="105"/>
      <c r="IQ452" s="105"/>
      <c r="IR452" s="105"/>
      <c r="IS452" s="105"/>
      <c r="IT452" s="105"/>
      <c r="IU452" s="105"/>
      <c r="IV452" s="105"/>
    </row>
    <row r="453" spans="1:256" x14ac:dyDescent="0.2">
      <c r="A453" s="136">
        <v>44587</v>
      </c>
      <c r="B453" s="137" t="s">
        <v>635</v>
      </c>
      <c r="C453" s="137">
        <v>2022</v>
      </c>
      <c r="D453" s="137" t="s">
        <v>7</v>
      </c>
      <c r="E453" s="139">
        <v>-2.14</v>
      </c>
      <c r="F453" s="139" t="s">
        <v>32</v>
      </c>
      <c r="G453" s="140">
        <v>171200</v>
      </c>
      <c r="H453" s="141">
        <v>275</v>
      </c>
      <c r="I453" s="139" t="s">
        <v>80</v>
      </c>
      <c r="J453" s="139" t="s">
        <v>38</v>
      </c>
      <c r="K453" s="139">
        <v>0.53500000000000003</v>
      </c>
      <c r="L453" s="139" t="s">
        <v>135</v>
      </c>
      <c r="M453" s="139" t="s">
        <v>992</v>
      </c>
      <c r="N453" s="142" t="s">
        <v>993</v>
      </c>
      <c r="O453" s="137"/>
      <c r="P453" s="137" t="s">
        <v>137</v>
      </c>
      <c r="Q453" s="728">
        <v>39.972700000000003</v>
      </c>
      <c r="R453" s="644">
        <v>-85.908000000000001</v>
      </c>
      <c r="S453" s="137" t="s">
        <v>61</v>
      </c>
      <c r="T453" s="137"/>
      <c r="U453" s="137" t="s">
        <v>51</v>
      </c>
      <c r="V453" s="136"/>
      <c r="W453" s="143">
        <f>IF(AC453="Intr",0,G453*Definitions!$B$53)</f>
        <v>25680</v>
      </c>
      <c r="X453" s="143">
        <f>IF(AC453="Intr",0,G453*Definitions!$B$54)</f>
        <v>119839.99999999999</v>
      </c>
      <c r="Y453" s="143">
        <f>IF(AC453="Intr",G453,G453*Definitions!$B$55)</f>
        <v>25680</v>
      </c>
      <c r="Z453" s="143" t="s">
        <v>966</v>
      </c>
      <c r="AA453" s="143" t="s">
        <v>965</v>
      </c>
      <c r="AB453" s="143"/>
      <c r="AC453" s="137"/>
      <c r="AD453" s="137"/>
      <c r="AE453" s="137"/>
      <c r="AF453" s="137"/>
      <c r="AG453" s="144"/>
      <c r="AH453" s="137" t="s">
        <v>995</v>
      </c>
    </row>
    <row r="454" spans="1:256" s="388" customFormat="1" x14ac:dyDescent="0.2">
      <c r="A454" s="176">
        <v>44600</v>
      </c>
      <c r="B454" s="251" t="s">
        <v>163</v>
      </c>
      <c r="C454" s="251">
        <v>2022</v>
      </c>
      <c r="D454" s="251" t="s">
        <v>1</v>
      </c>
      <c r="E454" s="252">
        <v>-3.0000000000000001E-3</v>
      </c>
      <c r="F454" s="252" t="s">
        <v>32</v>
      </c>
      <c r="G454" s="254">
        <f>-(E454*95000)</f>
        <v>285</v>
      </c>
      <c r="H454" s="252">
        <v>274</v>
      </c>
      <c r="I454" s="253" t="s">
        <v>80</v>
      </c>
      <c r="J454" s="252" t="s">
        <v>36</v>
      </c>
      <c r="K454" s="252">
        <v>1.4E-3</v>
      </c>
      <c r="L454" s="252" t="s">
        <v>987</v>
      </c>
      <c r="M454" s="252" t="s">
        <v>1003</v>
      </c>
      <c r="N454" s="252" t="s">
        <v>1004</v>
      </c>
      <c r="O454" s="252"/>
      <c r="P454" s="255" t="s">
        <v>227</v>
      </c>
      <c r="Q454" s="798">
        <v>41.519300000000001</v>
      </c>
      <c r="R454" s="695">
        <v>-87.259100000000004</v>
      </c>
      <c r="S454" s="255" t="s">
        <v>63</v>
      </c>
      <c r="T454" s="251"/>
      <c r="U454" s="251" t="s">
        <v>51</v>
      </c>
      <c r="V454" s="176"/>
      <c r="W454" s="256">
        <f>IF(AC454="Intr",0,G454*Definitions!$B$53)</f>
        <v>42.75</v>
      </c>
      <c r="X454" s="256">
        <f>IF(AC454="Intr",0,G454*Definitions!$B$54)</f>
        <v>199.5</v>
      </c>
      <c r="Y454" s="256">
        <f>IF(AC454="Intr",G454,G454*Definitions!$B$55)</f>
        <v>42.75</v>
      </c>
      <c r="Z454" s="256" t="s">
        <v>967</v>
      </c>
      <c r="AA454" s="256" t="s">
        <v>965</v>
      </c>
      <c r="AB454" s="256"/>
      <c r="AC454" s="251"/>
      <c r="AD454" s="251"/>
      <c r="AE454" s="251"/>
      <c r="AF454" s="251"/>
      <c r="AG454" s="257"/>
      <c r="AH454" s="255" t="s">
        <v>1006</v>
      </c>
      <c r="AI454" s="105"/>
      <c r="AJ454" s="105"/>
      <c r="AK454" s="105"/>
      <c r="AL454" s="105"/>
      <c r="AM454" s="105"/>
      <c r="AN454" s="105"/>
      <c r="AO454" s="105"/>
      <c r="AP454" s="105"/>
      <c r="AQ454" s="105"/>
      <c r="AR454" s="105"/>
      <c r="AS454" s="105"/>
      <c r="AT454" s="105"/>
      <c r="AU454" s="105"/>
      <c r="AV454" s="105"/>
      <c r="AW454" s="105"/>
      <c r="AX454" s="105"/>
      <c r="AY454" s="105"/>
      <c r="AZ454" s="105"/>
      <c r="BA454" s="105"/>
      <c r="BB454" s="105"/>
      <c r="BC454" s="105"/>
      <c r="BD454" s="105"/>
      <c r="BE454" s="105"/>
      <c r="BF454" s="105"/>
      <c r="BG454" s="105"/>
      <c r="BH454" s="105"/>
      <c r="BI454" s="105"/>
      <c r="BJ454" s="105"/>
      <c r="BK454" s="105"/>
      <c r="BL454" s="105"/>
      <c r="BM454" s="105"/>
      <c r="BN454" s="105"/>
      <c r="BO454" s="105"/>
      <c r="BP454" s="105"/>
      <c r="BQ454" s="105"/>
      <c r="BR454" s="105"/>
      <c r="BS454" s="105"/>
      <c r="BT454" s="105"/>
      <c r="BU454" s="105"/>
      <c r="BV454" s="105"/>
      <c r="BW454" s="105"/>
      <c r="BX454" s="105"/>
      <c r="BY454" s="105"/>
      <c r="BZ454" s="105"/>
      <c r="CA454" s="105"/>
      <c r="CB454" s="105"/>
      <c r="CC454" s="105"/>
      <c r="CD454" s="105"/>
      <c r="CE454" s="105"/>
      <c r="CF454" s="105"/>
      <c r="CG454" s="105"/>
      <c r="CH454" s="105"/>
      <c r="CI454" s="105"/>
      <c r="CJ454" s="105"/>
      <c r="CK454" s="105"/>
      <c r="CL454" s="105"/>
      <c r="CM454" s="105"/>
      <c r="CN454" s="105"/>
      <c r="CO454" s="105"/>
      <c r="CP454" s="105"/>
      <c r="CQ454" s="105"/>
      <c r="CR454" s="105"/>
      <c r="CS454" s="105"/>
      <c r="CT454" s="105"/>
      <c r="CU454" s="105"/>
      <c r="CV454" s="105"/>
      <c r="CW454" s="105"/>
      <c r="CX454" s="105"/>
      <c r="CY454" s="105"/>
      <c r="CZ454" s="105"/>
      <c r="DA454" s="105"/>
      <c r="DB454" s="105"/>
      <c r="DC454" s="105"/>
      <c r="DD454" s="105"/>
      <c r="DE454" s="105"/>
      <c r="DF454" s="105"/>
      <c r="DG454" s="105"/>
      <c r="DH454" s="105"/>
      <c r="DI454" s="105"/>
      <c r="DJ454" s="105"/>
      <c r="DK454" s="105"/>
      <c r="DL454" s="105"/>
      <c r="DM454" s="105"/>
      <c r="DN454" s="105"/>
      <c r="DO454" s="105"/>
      <c r="DP454" s="105"/>
      <c r="DQ454" s="105"/>
      <c r="DR454" s="105"/>
      <c r="DS454" s="105"/>
      <c r="DT454" s="105"/>
      <c r="DU454" s="105"/>
      <c r="DV454" s="105"/>
      <c r="DW454" s="105"/>
      <c r="DX454" s="105"/>
      <c r="DY454" s="105"/>
      <c r="DZ454" s="105"/>
      <c r="EA454" s="105"/>
      <c r="EB454" s="105"/>
      <c r="EC454" s="105"/>
      <c r="ED454" s="105"/>
      <c r="EE454" s="105"/>
      <c r="EF454" s="105"/>
      <c r="EG454" s="105"/>
      <c r="EH454" s="105"/>
      <c r="EI454" s="105"/>
      <c r="EJ454" s="105"/>
      <c r="EK454" s="105"/>
      <c r="EL454" s="105"/>
      <c r="EM454" s="105"/>
      <c r="EN454" s="105"/>
      <c r="EO454" s="105"/>
      <c r="EP454" s="105"/>
      <c r="EQ454" s="105"/>
      <c r="ER454" s="105"/>
      <c r="ES454" s="105"/>
      <c r="ET454" s="105"/>
      <c r="EU454" s="105"/>
      <c r="EV454" s="105"/>
      <c r="EW454" s="105"/>
      <c r="EX454" s="105"/>
      <c r="EY454" s="105"/>
      <c r="EZ454" s="105"/>
      <c r="FA454" s="105"/>
      <c r="FB454" s="105"/>
      <c r="FC454" s="105"/>
      <c r="FD454" s="105"/>
      <c r="FE454" s="105"/>
      <c r="FF454" s="105"/>
      <c r="FG454" s="105"/>
      <c r="FH454" s="105"/>
      <c r="FI454" s="105"/>
      <c r="FJ454" s="105"/>
      <c r="FK454" s="105"/>
      <c r="FL454" s="105"/>
      <c r="FM454" s="105"/>
      <c r="FN454" s="105"/>
      <c r="FO454" s="105"/>
      <c r="FP454" s="105"/>
      <c r="FQ454" s="105"/>
      <c r="FR454" s="105"/>
      <c r="FS454" s="105"/>
      <c r="FT454" s="105"/>
      <c r="FU454" s="105"/>
      <c r="FV454" s="105"/>
      <c r="FW454" s="105"/>
      <c r="FX454" s="105"/>
      <c r="FY454" s="105"/>
      <c r="FZ454" s="105"/>
      <c r="GA454" s="105"/>
      <c r="GB454" s="105"/>
      <c r="GC454" s="105"/>
      <c r="GD454" s="105"/>
      <c r="GE454" s="105"/>
      <c r="GF454" s="105"/>
      <c r="GG454" s="105"/>
      <c r="GH454" s="105"/>
      <c r="GI454" s="105"/>
      <c r="GJ454" s="105"/>
      <c r="GK454" s="105"/>
      <c r="GL454" s="105"/>
      <c r="GM454" s="105"/>
      <c r="GN454" s="105"/>
      <c r="GO454" s="105"/>
      <c r="GP454" s="105"/>
      <c r="GQ454" s="105"/>
      <c r="GR454" s="105"/>
      <c r="GS454" s="105"/>
      <c r="GT454" s="105"/>
      <c r="GU454" s="105"/>
      <c r="GV454" s="105"/>
      <c r="GW454" s="105"/>
      <c r="GX454" s="105"/>
      <c r="GY454" s="105"/>
      <c r="GZ454" s="105"/>
      <c r="HA454" s="105"/>
      <c r="HB454" s="105"/>
      <c r="HC454" s="105"/>
      <c r="HD454" s="105"/>
      <c r="HE454" s="105"/>
      <c r="HF454" s="105"/>
      <c r="HG454" s="105"/>
      <c r="HH454" s="105"/>
      <c r="HI454" s="105"/>
      <c r="HJ454" s="105"/>
      <c r="HK454" s="105"/>
      <c r="HL454" s="105"/>
      <c r="HM454" s="105"/>
      <c r="HN454" s="105"/>
      <c r="HO454" s="105"/>
      <c r="HP454" s="105"/>
      <c r="HQ454" s="105"/>
      <c r="HR454" s="105"/>
      <c r="HS454" s="105"/>
      <c r="HT454" s="105"/>
      <c r="HU454" s="105"/>
      <c r="HV454" s="105"/>
      <c r="HW454" s="105"/>
      <c r="HX454" s="105"/>
      <c r="HY454" s="105"/>
      <c r="HZ454" s="105"/>
      <c r="IA454" s="105"/>
      <c r="IB454" s="105"/>
      <c r="IC454" s="105"/>
      <c r="ID454" s="105"/>
      <c r="IE454" s="105"/>
      <c r="IF454" s="105"/>
      <c r="IG454" s="105"/>
      <c r="IH454" s="105"/>
      <c r="II454" s="105"/>
      <c r="IJ454" s="105"/>
      <c r="IK454" s="105"/>
      <c r="IL454" s="105"/>
      <c r="IM454" s="105"/>
      <c r="IN454" s="105"/>
      <c r="IO454" s="105"/>
      <c r="IP454" s="105"/>
      <c r="IQ454" s="105"/>
      <c r="IR454" s="105"/>
      <c r="IS454" s="105"/>
      <c r="IT454" s="105"/>
      <c r="IU454" s="105"/>
      <c r="IV454" s="105"/>
    </row>
    <row r="455" spans="1:256" s="388" customFormat="1" x14ac:dyDescent="0.2">
      <c r="A455" s="41">
        <v>44600</v>
      </c>
      <c r="B455" s="42" t="s">
        <v>163</v>
      </c>
      <c r="C455" s="42">
        <v>2022</v>
      </c>
      <c r="D455" s="42" t="s">
        <v>6</v>
      </c>
      <c r="E455" s="320">
        <v>-6.8000000000000005E-2</v>
      </c>
      <c r="F455" s="320" t="s">
        <v>32</v>
      </c>
      <c r="G455" s="343">
        <v>5440</v>
      </c>
      <c r="H455" s="344">
        <v>276</v>
      </c>
      <c r="I455" s="320" t="s">
        <v>81</v>
      </c>
      <c r="J455" s="320" t="s">
        <v>36</v>
      </c>
      <c r="K455" s="320">
        <v>4.4999999999999998E-2</v>
      </c>
      <c r="L455" s="320" t="s">
        <v>726</v>
      </c>
      <c r="M455" s="320" t="s">
        <v>103</v>
      </c>
      <c r="N455" s="73" t="s">
        <v>1007</v>
      </c>
      <c r="O455" s="42"/>
      <c r="P455" s="42" t="s">
        <v>1008</v>
      </c>
      <c r="Q455" s="731">
        <v>40.454700000000003</v>
      </c>
      <c r="R455" s="593">
        <v>-87.373999999999995</v>
      </c>
      <c r="S455" s="42" t="s">
        <v>63</v>
      </c>
      <c r="T455" s="42"/>
      <c r="U455" s="42" t="s">
        <v>51</v>
      </c>
      <c r="V455" s="41"/>
      <c r="W455" s="43">
        <f>IF(AC455="Intr",0,G455*Definitions!$B$53)</f>
        <v>816</v>
      </c>
      <c r="X455" s="43">
        <f>IF(AC455="Intr",0,G455*Definitions!$B$54)</f>
        <v>3807.9999999999995</v>
      </c>
      <c r="Y455" s="43">
        <f>IF(AC455="Intr",G455,G455*Definitions!$B$55)</f>
        <v>816</v>
      </c>
      <c r="Z455" s="43" t="s">
        <v>966</v>
      </c>
      <c r="AA455" s="43" t="s">
        <v>963</v>
      </c>
      <c r="AB455" s="43" t="s">
        <v>970</v>
      </c>
      <c r="AC455" s="42"/>
      <c r="AD455" s="42"/>
      <c r="AE455" s="42"/>
      <c r="AF455" s="42"/>
      <c r="AG455" s="44"/>
      <c r="AH455" s="75" t="s">
        <v>1009</v>
      </c>
      <c r="AI455" s="105"/>
      <c r="AJ455" s="105"/>
      <c r="AK455" s="105"/>
      <c r="AL455" s="105"/>
      <c r="AM455" s="105"/>
      <c r="AN455" s="105"/>
      <c r="AO455" s="105"/>
      <c r="AP455" s="105"/>
      <c r="AQ455" s="105"/>
      <c r="AR455" s="105"/>
      <c r="AS455" s="105"/>
      <c r="AT455" s="105"/>
      <c r="AU455" s="105"/>
      <c r="AV455" s="105"/>
      <c r="AW455" s="105"/>
      <c r="AX455" s="105"/>
      <c r="AY455" s="105"/>
      <c r="AZ455" s="105"/>
      <c r="BA455" s="105"/>
      <c r="BB455" s="105"/>
      <c r="BC455" s="105"/>
      <c r="BD455" s="105"/>
      <c r="BE455" s="105"/>
      <c r="BF455" s="105"/>
      <c r="BG455" s="105"/>
      <c r="BH455" s="105"/>
      <c r="BI455" s="105"/>
      <c r="BJ455" s="105"/>
      <c r="BK455" s="105"/>
      <c r="BL455" s="105"/>
      <c r="BM455" s="105"/>
      <c r="BN455" s="105"/>
      <c r="BO455" s="105"/>
      <c r="BP455" s="105"/>
      <c r="BQ455" s="105"/>
      <c r="BR455" s="105"/>
      <c r="BS455" s="105"/>
      <c r="BT455" s="105"/>
      <c r="BU455" s="105"/>
      <c r="BV455" s="105"/>
      <c r="BW455" s="105"/>
      <c r="BX455" s="105"/>
      <c r="BY455" s="105"/>
      <c r="BZ455" s="105"/>
      <c r="CA455" s="105"/>
      <c r="CB455" s="105"/>
      <c r="CC455" s="105"/>
      <c r="CD455" s="105"/>
      <c r="CE455" s="105"/>
      <c r="CF455" s="105"/>
      <c r="CG455" s="105"/>
      <c r="CH455" s="105"/>
      <c r="CI455" s="105"/>
      <c r="CJ455" s="105"/>
      <c r="CK455" s="105"/>
      <c r="CL455" s="105"/>
      <c r="CM455" s="105"/>
      <c r="CN455" s="105"/>
      <c r="CO455" s="105"/>
      <c r="CP455" s="105"/>
      <c r="CQ455" s="105"/>
      <c r="CR455" s="105"/>
      <c r="CS455" s="105"/>
      <c r="CT455" s="105"/>
      <c r="CU455" s="105"/>
      <c r="CV455" s="105"/>
      <c r="CW455" s="105"/>
      <c r="CX455" s="105"/>
      <c r="CY455" s="105"/>
      <c r="CZ455" s="105"/>
      <c r="DA455" s="105"/>
      <c r="DB455" s="105"/>
      <c r="DC455" s="105"/>
      <c r="DD455" s="105"/>
      <c r="DE455" s="105"/>
      <c r="DF455" s="105"/>
      <c r="DG455" s="105"/>
      <c r="DH455" s="105"/>
      <c r="DI455" s="105"/>
      <c r="DJ455" s="105"/>
      <c r="DK455" s="105"/>
      <c r="DL455" s="105"/>
      <c r="DM455" s="105"/>
      <c r="DN455" s="105"/>
      <c r="DO455" s="105"/>
      <c r="DP455" s="105"/>
      <c r="DQ455" s="105"/>
      <c r="DR455" s="105"/>
      <c r="DS455" s="105"/>
      <c r="DT455" s="105"/>
      <c r="DU455" s="105"/>
      <c r="DV455" s="105"/>
      <c r="DW455" s="105"/>
      <c r="DX455" s="105"/>
      <c r="DY455" s="105"/>
      <c r="DZ455" s="105"/>
      <c r="EA455" s="105"/>
      <c r="EB455" s="105"/>
      <c r="EC455" s="105"/>
      <c r="ED455" s="105"/>
      <c r="EE455" s="105"/>
      <c r="EF455" s="105"/>
      <c r="EG455" s="105"/>
      <c r="EH455" s="105"/>
      <c r="EI455" s="105"/>
      <c r="EJ455" s="105"/>
      <c r="EK455" s="105"/>
      <c r="EL455" s="105"/>
      <c r="EM455" s="105"/>
      <c r="EN455" s="105"/>
      <c r="EO455" s="105"/>
      <c r="EP455" s="105"/>
      <c r="EQ455" s="105"/>
      <c r="ER455" s="105"/>
      <c r="ES455" s="105"/>
      <c r="ET455" s="105"/>
      <c r="EU455" s="105"/>
      <c r="EV455" s="105"/>
      <c r="EW455" s="105"/>
      <c r="EX455" s="105"/>
      <c r="EY455" s="105"/>
      <c r="EZ455" s="105"/>
      <c r="FA455" s="105"/>
      <c r="FB455" s="105"/>
      <c r="FC455" s="105"/>
      <c r="FD455" s="105"/>
      <c r="FE455" s="105"/>
      <c r="FF455" s="105"/>
      <c r="FG455" s="105"/>
      <c r="FH455" s="105"/>
      <c r="FI455" s="105"/>
      <c r="FJ455" s="105"/>
      <c r="FK455" s="105"/>
      <c r="FL455" s="105"/>
      <c r="FM455" s="105"/>
      <c r="FN455" s="105"/>
      <c r="FO455" s="105"/>
      <c r="FP455" s="105"/>
      <c r="FQ455" s="105"/>
      <c r="FR455" s="105"/>
      <c r="FS455" s="105"/>
      <c r="FT455" s="105"/>
      <c r="FU455" s="105"/>
      <c r="FV455" s="105"/>
      <c r="FW455" s="105"/>
      <c r="FX455" s="105"/>
      <c r="FY455" s="105"/>
      <c r="FZ455" s="105"/>
      <c r="GA455" s="105"/>
      <c r="GB455" s="105"/>
      <c r="GC455" s="105"/>
      <c r="GD455" s="105"/>
      <c r="GE455" s="105"/>
      <c r="GF455" s="105"/>
      <c r="GG455" s="105"/>
      <c r="GH455" s="105"/>
      <c r="GI455" s="105"/>
      <c r="GJ455" s="105"/>
      <c r="GK455" s="105"/>
      <c r="GL455" s="105"/>
      <c r="GM455" s="105"/>
      <c r="GN455" s="105"/>
      <c r="GO455" s="105"/>
      <c r="GP455" s="105"/>
      <c r="GQ455" s="105"/>
      <c r="GR455" s="105"/>
      <c r="GS455" s="105"/>
      <c r="GT455" s="105"/>
      <c r="GU455" s="105"/>
      <c r="GV455" s="105"/>
      <c r="GW455" s="105"/>
      <c r="GX455" s="105"/>
      <c r="GY455" s="105"/>
      <c r="GZ455" s="105"/>
      <c r="HA455" s="105"/>
      <c r="HB455" s="105"/>
      <c r="HC455" s="105"/>
      <c r="HD455" s="105"/>
      <c r="HE455" s="105"/>
      <c r="HF455" s="105"/>
      <c r="HG455" s="105"/>
      <c r="HH455" s="105"/>
      <c r="HI455" s="105"/>
      <c r="HJ455" s="105"/>
      <c r="HK455" s="105"/>
      <c r="HL455" s="105"/>
      <c r="HM455" s="105"/>
      <c r="HN455" s="105"/>
      <c r="HO455" s="105"/>
      <c r="HP455" s="105"/>
      <c r="HQ455" s="105"/>
      <c r="HR455" s="105"/>
      <c r="HS455" s="105"/>
      <c r="HT455" s="105"/>
      <c r="HU455" s="105"/>
      <c r="HV455" s="105"/>
      <c r="HW455" s="105"/>
      <c r="HX455" s="105"/>
      <c r="HY455" s="105"/>
      <c r="HZ455" s="105"/>
      <c r="IA455" s="105"/>
      <c r="IB455" s="105"/>
      <c r="IC455" s="105"/>
      <c r="ID455" s="105"/>
      <c r="IE455" s="105"/>
      <c r="IF455" s="105"/>
      <c r="IG455" s="105"/>
      <c r="IH455" s="105"/>
      <c r="II455" s="105"/>
      <c r="IJ455" s="105"/>
      <c r="IK455" s="105"/>
      <c r="IL455" s="105"/>
      <c r="IM455" s="105"/>
      <c r="IN455" s="105"/>
      <c r="IO455" s="105"/>
      <c r="IP455" s="105"/>
      <c r="IQ455" s="105"/>
      <c r="IR455" s="105"/>
      <c r="IS455" s="105"/>
      <c r="IT455" s="105"/>
      <c r="IU455" s="105"/>
      <c r="IV455" s="105"/>
    </row>
    <row r="456" spans="1:256" s="416" customFormat="1" x14ac:dyDescent="0.2">
      <c r="A456" s="136">
        <v>44600</v>
      </c>
      <c r="B456" s="137" t="s">
        <v>163</v>
      </c>
      <c r="C456" s="137">
        <v>2022</v>
      </c>
      <c r="D456" s="137" t="s">
        <v>5</v>
      </c>
      <c r="E456" s="139">
        <v>-39</v>
      </c>
      <c r="F456" s="139" t="s">
        <v>33</v>
      </c>
      <c r="G456" s="140">
        <v>15600</v>
      </c>
      <c r="H456" s="141">
        <v>289</v>
      </c>
      <c r="I456" s="139" t="s">
        <v>80</v>
      </c>
      <c r="J456" s="139" t="s">
        <v>731</v>
      </c>
      <c r="K456" s="139">
        <v>26</v>
      </c>
      <c r="L456" s="139" t="s">
        <v>1000</v>
      </c>
      <c r="M456" s="139" t="s">
        <v>1001</v>
      </c>
      <c r="N456" s="142" t="s">
        <v>1002</v>
      </c>
      <c r="O456" s="137"/>
      <c r="P456" s="137" t="s">
        <v>404</v>
      </c>
      <c r="Q456" s="728">
        <v>40.433100000000003</v>
      </c>
      <c r="R456" s="644">
        <v>86.140900000000002</v>
      </c>
      <c r="S456" s="137" t="s">
        <v>63</v>
      </c>
      <c r="T456" s="137"/>
      <c r="U456" s="137" t="s">
        <v>51</v>
      </c>
      <c r="V456" s="136"/>
      <c r="W456" s="143">
        <f>IF(AC456="Intr",0,G456*Definitions!$B$53)</f>
        <v>2340</v>
      </c>
      <c r="X456" s="143">
        <f>IF(AC456="Intr",0,G456*Definitions!$B$54)</f>
        <v>10920</v>
      </c>
      <c r="Y456" s="143">
        <f>IF(AC456="Intr",G456,G456*Definitions!$B$55)</f>
        <v>2340</v>
      </c>
      <c r="Z456" s="143" t="s">
        <v>966</v>
      </c>
      <c r="AA456" s="143" t="s">
        <v>965</v>
      </c>
      <c r="AB456" s="143"/>
      <c r="AC456" s="137"/>
      <c r="AD456" s="137"/>
      <c r="AE456" s="137"/>
      <c r="AF456" s="137"/>
      <c r="AG456" s="144"/>
      <c r="AH456" s="72" t="s">
        <v>1005</v>
      </c>
      <c r="AI456" s="105"/>
      <c r="AJ456" s="105"/>
      <c r="AK456" s="105"/>
      <c r="AL456" s="105"/>
      <c r="AM456" s="105"/>
      <c r="AN456" s="105"/>
      <c r="AO456" s="105"/>
      <c r="AP456" s="105"/>
      <c r="AQ456" s="105"/>
      <c r="AR456" s="105"/>
      <c r="AS456" s="105"/>
      <c r="AT456" s="105"/>
      <c r="AU456" s="105"/>
      <c r="AV456" s="105"/>
      <c r="AW456" s="105"/>
      <c r="AX456" s="105"/>
      <c r="AY456" s="105"/>
      <c r="AZ456" s="105"/>
      <c r="BA456" s="105"/>
      <c r="BB456" s="105"/>
      <c r="BC456" s="105"/>
      <c r="BD456" s="105"/>
      <c r="BE456" s="105"/>
      <c r="BF456" s="105"/>
      <c r="BG456" s="105"/>
      <c r="BH456" s="105"/>
      <c r="BI456" s="105"/>
      <c r="BJ456" s="105"/>
      <c r="BK456" s="105"/>
      <c r="BL456" s="105"/>
      <c r="BM456" s="105"/>
      <c r="BN456" s="105"/>
      <c r="BO456" s="105"/>
      <c r="BP456" s="105"/>
      <c r="BQ456" s="105"/>
      <c r="BR456" s="105"/>
      <c r="BS456" s="105"/>
      <c r="BT456" s="105"/>
      <c r="BU456" s="105"/>
      <c r="BV456" s="105"/>
      <c r="BW456" s="105"/>
      <c r="BX456" s="105"/>
      <c r="BY456" s="105"/>
      <c r="BZ456" s="105"/>
      <c r="CA456" s="105"/>
      <c r="CB456" s="105"/>
      <c r="CC456" s="105"/>
      <c r="CD456" s="105"/>
      <c r="CE456" s="105"/>
      <c r="CF456" s="105"/>
      <c r="CG456" s="105"/>
      <c r="CH456" s="105"/>
      <c r="CI456" s="105"/>
      <c r="CJ456" s="105"/>
      <c r="CK456" s="105"/>
      <c r="CL456" s="105"/>
      <c r="CM456" s="105"/>
      <c r="CN456" s="105"/>
      <c r="CO456" s="105"/>
      <c r="CP456" s="105"/>
      <c r="CQ456" s="105"/>
      <c r="CR456" s="105"/>
      <c r="CS456" s="105"/>
      <c r="CT456" s="105"/>
      <c r="CU456" s="105"/>
      <c r="CV456" s="105"/>
      <c r="CW456" s="105"/>
      <c r="CX456" s="105"/>
      <c r="CY456" s="105"/>
      <c r="CZ456" s="105"/>
      <c r="DA456" s="105"/>
      <c r="DB456" s="105"/>
      <c r="DC456" s="105"/>
      <c r="DD456" s="105"/>
      <c r="DE456" s="105"/>
      <c r="DF456" s="105"/>
      <c r="DG456" s="105"/>
      <c r="DH456" s="105"/>
      <c r="DI456" s="105"/>
      <c r="DJ456" s="105"/>
      <c r="DK456" s="105"/>
      <c r="DL456" s="105"/>
      <c r="DM456" s="105"/>
      <c r="DN456" s="105"/>
      <c r="DO456" s="105"/>
      <c r="DP456" s="105"/>
      <c r="DQ456" s="105"/>
      <c r="DR456" s="105"/>
      <c r="DS456" s="105"/>
      <c r="DT456" s="105"/>
      <c r="DU456" s="105"/>
      <c r="DV456" s="105"/>
      <c r="DW456" s="105"/>
      <c r="DX456" s="105"/>
      <c r="DY456" s="105"/>
      <c r="DZ456" s="105"/>
      <c r="EA456" s="105"/>
      <c r="EB456" s="105"/>
      <c r="EC456" s="105"/>
      <c r="ED456" s="105"/>
      <c r="EE456" s="105"/>
      <c r="EF456" s="105"/>
      <c r="EG456" s="105"/>
      <c r="EH456" s="105"/>
      <c r="EI456" s="105"/>
      <c r="EJ456" s="105"/>
      <c r="EK456" s="105"/>
      <c r="EL456" s="105"/>
      <c r="EM456" s="105"/>
      <c r="EN456" s="105"/>
      <c r="EO456" s="105"/>
      <c r="EP456" s="105"/>
      <c r="EQ456" s="105"/>
      <c r="ER456" s="105"/>
      <c r="ES456" s="105"/>
      <c r="ET456" s="105"/>
      <c r="EU456" s="105"/>
      <c r="EV456" s="105"/>
      <c r="EW456" s="105"/>
      <c r="EX456" s="105"/>
      <c r="EY456" s="105"/>
      <c r="EZ456" s="105"/>
      <c r="FA456" s="105"/>
      <c r="FB456" s="105"/>
      <c r="FC456" s="105"/>
      <c r="FD456" s="105"/>
      <c r="FE456" s="105"/>
      <c r="FF456" s="105"/>
      <c r="FG456" s="105"/>
      <c r="FH456" s="105"/>
      <c r="FI456" s="105"/>
      <c r="FJ456" s="105"/>
      <c r="FK456" s="105"/>
      <c r="FL456" s="105"/>
      <c r="FM456" s="105"/>
      <c r="FN456" s="105"/>
      <c r="FO456" s="105"/>
      <c r="FP456" s="105"/>
      <c r="FQ456" s="105"/>
      <c r="FR456" s="105"/>
      <c r="FS456" s="105"/>
      <c r="FT456" s="105"/>
      <c r="FU456" s="105"/>
      <c r="FV456" s="105"/>
      <c r="FW456" s="105"/>
      <c r="FX456" s="105"/>
      <c r="FY456" s="105"/>
      <c r="FZ456" s="105"/>
      <c r="GA456" s="105"/>
      <c r="GB456" s="105"/>
      <c r="GC456" s="105"/>
      <c r="GD456" s="105"/>
      <c r="GE456" s="105"/>
      <c r="GF456" s="105"/>
      <c r="GG456" s="105"/>
      <c r="GH456" s="105"/>
      <c r="GI456" s="105"/>
      <c r="GJ456" s="105"/>
      <c r="GK456" s="105"/>
      <c r="GL456" s="105"/>
      <c r="GM456" s="105"/>
      <c r="GN456" s="105"/>
      <c r="GO456" s="105"/>
      <c r="GP456" s="105"/>
      <c r="GQ456" s="105"/>
      <c r="GR456" s="105"/>
      <c r="GS456" s="105"/>
      <c r="GT456" s="105"/>
      <c r="GU456" s="105"/>
      <c r="GV456" s="105"/>
      <c r="GW456" s="105"/>
      <c r="GX456" s="105"/>
      <c r="GY456" s="105"/>
      <c r="GZ456" s="105"/>
      <c r="HA456" s="105"/>
      <c r="HB456" s="105"/>
      <c r="HC456" s="105"/>
      <c r="HD456" s="105"/>
      <c r="HE456" s="105"/>
      <c r="HF456" s="105"/>
      <c r="HG456" s="105"/>
      <c r="HH456" s="105"/>
      <c r="HI456" s="105"/>
      <c r="HJ456" s="105"/>
      <c r="HK456" s="105"/>
      <c r="HL456" s="105"/>
      <c r="HM456" s="105"/>
      <c r="HN456" s="105"/>
      <c r="HO456" s="105"/>
      <c r="HP456" s="105"/>
      <c r="HQ456" s="105"/>
      <c r="HR456" s="105"/>
      <c r="HS456" s="105"/>
      <c r="HT456" s="105"/>
      <c r="HU456" s="105"/>
      <c r="HV456" s="105"/>
      <c r="HW456" s="105"/>
      <c r="HX456" s="105"/>
      <c r="HY456" s="105"/>
      <c r="HZ456" s="105"/>
      <c r="IA456" s="105"/>
      <c r="IB456" s="105"/>
      <c r="IC456" s="105"/>
      <c r="ID456" s="105"/>
      <c r="IE456" s="105"/>
      <c r="IF456" s="105"/>
      <c r="IG456" s="105"/>
      <c r="IH456" s="105"/>
      <c r="II456" s="105"/>
      <c r="IJ456" s="105"/>
      <c r="IK456" s="105"/>
      <c r="IL456" s="105"/>
      <c r="IM456" s="105"/>
      <c r="IN456" s="105"/>
      <c r="IO456" s="105"/>
      <c r="IP456" s="105"/>
      <c r="IQ456" s="105"/>
      <c r="IR456" s="105"/>
      <c r="IS456" s="105"/>
      <c r="IT456" s="105"/>
      <c r="IU456" s="105"/>
      <c r="IV456" s="105"/>
    </row>
    <row r="457" spans="1:256" s="416" customFormat="1" x14ac:dyDescent="0.2">
      <c r="A457" s="176">
        <v>44600</v>
      </c>
      <c r="B457" s="251" t="s">
        <v>163</v>
      </c>
      <c r="C457" s="251">
        <v>2022</v>
      </c>
      <c r="D457" s="251" t="s">
        <v>7</v>
      </c>
      <c r="E457" s="252">
        <v>-1.56</v>
      </c>
      <c r="F457" s="252" t="s">
        <v>32</v>
      </c>
      <c r="G457" s="254">
        <f>-(E457*80000)</f>
        <v>124800</v>
      </c>
      <c r="H457" s="252">
        <v>287</v>
      </c>
      <c r="I457" s="253" t="s">
        <v>81</v>
      </c>
      <c r="J457" s="253" t="s">
        <v>38</v>
      </c>
      <c r="K457" s="252">
        <v>0.78</v>
      </c>
      <c r="L457" s="252" t="s">
        <v>997</v>
      </c>
      <c r="M457" s="253" t="s">
        <v>103</v>
      </c>
      <c r="N457" s="252" t="s">
        <v>998</v>
      </c>
      <c r="O457" s="252"/>
      <c r="P457" s="255" t="s">
        <v>137</v>
      </c>
      <c r="Q457" s="798">
        <v>39.899299999999997</v>
      </c>
      <c r="R457" s="695">
        <v>-86.053600000000003</v>
      </c>
      <c r="S457" s="255" t="s">
        <v>61</v>
      </c>
      <c r="T457" s="251"/>
      <c r="U457" s="176" t="s">
        <v>51</v>
      </c>
      <c r="V457" s="256"/>
      <c r="W457" s="256">
        <f>IF(AC457="Intr",0,G457*Definitions!$B$53)</f>
        <v>18720</v>
      </c>
      <c r="X457" s="256">
        <f>IF(AC457="Intr",0,G457*Definitions!$B$54)</f>
        <v>87360</v>
      </c>
      <c r="Y457" s="256">
        <f>IF(AC457="Intr",G457,G457*Definitions!$B$55)</f>
        <v>18720</v>
      </c>
      <c r="Z457" s="256" t="s">
        <v>966</v>
      </c>
      <c r="AA457" s="256" t="s">
        <v>963</v>
      </c>
      <c r="AB457" s="256" t="s">
        <v>1245</v>
      </c>
      <c r="AC457" s="251"/>
      <c r="AD457" s="251"/>
      <c r="AE457" s="251"/>
      <c r="AF457" s="257"/>
      <c r="AG457" s="251"/>
      <c r="AH457" s="255" t="s">
        <v>999</v>
      </c>
      <c r="AI457" s="105"/>
      <c r="AJ457" s="105"/>
      <c r="AK457" s="105"/>
      <c r="AL457" s="105"/>
      <c r="AM457" s="105"/>
      <c r="AN457" s="105"/>
      <c r="AO457" s="105"/>
      <c r="AP457" s="105"/>
      <c r="AQ457" s="105"/>
      <c r="AR457" s="105"/>
      <c r="AS457" s="105"/>
      <c r="AT457" s="105"/>
      <c r="AU457" s="105"/>
      <c r="AV457" s="105"/>
      <c r="AW457" s="105"/>
      <c r="AX457" s="105"/>
      <c r="AY457" s="105"/>
      <c r="AZ457" s="105"/>
      <c r="BA457" s="105"/>
      <c r="BB457" s="105"/>
      <c r="BC457" s="105"/>
      <c r="BD457" s="105"/>
      <c r="BE457" s="105"/>
      <c r="BF457" s="105"/>
      <c r="BG457" s="105"/>
      <c r="BH457" s="105"/>
      <c r="BI457" s="105"/>
      <c r="BJ457" s="105"/>
      <c r="BK457" s="105"/>
      <c r="BL457" s="105"/>
      <c r="BM457" s="105"/>
      <c r="BN457" s="105"/>
      <c r="BO457" s="105"/>
      <c r="BP457" s="105"/>
      <c r="BQ457" s="105"/>
      <c r="BR457" s="105"/>
      <c r="BS457" s="105"/>
      <c r="BT457" s="105"/>
      <c r="BU457" s="105"/>
      <c r="BV457" s="105"/>
      <c r="BW457" s="105"/>
      <c r="BX457" s="105"/>
      <c r="BY457" s="105"/>
      <c r="BZ457" s="105"/>
      <c r="CA457" s="105"/>
      <c r="CB457" s="105"/>
      <c r="CC457" s="105"/>
      <c r="CD457" s="105"/>
      <c r="CE457" s="105"/>
      <c r="CF457" s="105"/>
      <c r="CG457" s="105"/>
      <c r="CH457" s="105"/>
      <c r="CI457" s="105"/>
      <c r="CJ457" s="105"/>
      <c r="CK457" s="105"/>
      <c r="CL457" s="105"/>
      <c r="CM457" s="105"/>
      <c r="CN457" s="105"/>
      <c r="CO457" s="105"/>
      <c r="CP457" s="105"/>
      <c r="CQ457" s="105"/>
      <c r="CR457" s="105"/>
      <c r="CS457" s="105"/>
      <c r="CT457" s="105"/>
      <c r="CU457" s="105"/>
      <c r="CV457" s="105"/>
      <c r="CW457" s="105"/>
      <c r="CX457" s="105"/>
      <c r="CY457" s="105"/>
      <c r="CZ457" s="105"/>
      <c r="DA457" s="105"/>
      <c r="DB457" s="105"/>
      <c r="DC457" s="105"/>
      <c r="DD457" s="105"/>
      <c r="DE457" s="105"/>
      <c r="DF457" s="105"/>
      <c r="DG457" s="105"/>
      <c r="DH457" s="105"/>
      <c r="DI457" s="105"/>
      <c r="DJ457" s="105"/>
      <c r="DK457" s="105"/>
      <c r="DL457" s="105"/>
      <c r="DM457" s="105"/>
      <c r="DN457" s="105"/>
      <c r="DO457" s="105"/>
      <c r="DP457" s="105"/>
      <c r="DQ457" s="105"/>
      <c r="DR457" s="105"/>
      <c r="DS457" s="105"/>
      <c r="DT457" s="105"/>
      <c r="DU457" s="105"/>
      <c r="DV457" s="105"/>
      <c r="DW457" s="105"/>
      <c r="DX457" s="105"/>
      <c r="DY457" s="105"/>
      <c r="DZ457" s="105"/>
      <c r="EA457" s="105"/>
      <c r="EB457" s="105"/>
      <c r="EC457" s="105"/>
      <c r="ED457" s="105"/>
      <c r="EE457" s="105"/>
      <c r="EF457" s="105"/>
      <c r="EG457" s="105"/>
      <c r="EH457" s="105"/>
      <c r="EI457" s="105"/>
      <c r="EJ457" s="105"/>
      <c r="EK457" s="105"/>
      <c r="EL457" s="105"/>
      <c r="EM457" s="105"/>
      <c r="EN457" s="105"/>
      <c r="EO457" s="105"/>
      <c r="EP457" s="105"/>
      <c r="EQ457" s="105"/>
      <c r="ER457" s="105"/>
      <c r="ES457" s="105"/>
      <c r="ET457" s="105"/>
      <c r="EU457" s="105"/>
      <c r="EV457" s="105"/>
      <c r="EW457" s="105"/>
      <c r="EX457" s="105"/>
      <c r="EY457" s="105"/>
      <c r="EZ457" s="105"/>
      <c r="FA457" s="105"/>
      <c r="FB457" s="105"/>
      <c r="FC457" s="105"/>
      <c r="FD457" s="105"/>
      <c r="FE457" s="105"/>
      <c r="FF457" s="105"/>
      <c r="FG457" s="105"/>
      <c r="FH457" s="105"/>
      <c r="FI457" s="105"/>
      <c r="FJ457" s="105"/>
      <c r="FK457" s="105"/>
      <c r="FL457" s="105"/>
      <c r="FM457" s="105"/>
      <c r="FN457" s="105"/>
      <c r="FO457" s="105"/>
      <c r="FP457" s="105"/>
      <c r="FQ457" s="105"/>
      <c r="FR457" s="105"/>
      <c r="FS457" s="105"/>
      <c r="FT457" s="105"/>
      <c r="FU457" s="105"/>
      <c r="FV457" s="105"/>
      <c r="FW457" s="105"/>
      <c r="FX457" s="105"/>
      <c r="FY457" s="105"/>
      <c r="FZ457" s="105"/>
      <c r="GA457" s="105"/>
      <c r="GB457" s="105"/>
      <c r="GC457" s="105"/>
      <c r="GD457" s="105"/>
      <c r="GE457" s="105"/>
      <c r="GF457" s="105"/>
      <c r="GG457" s="105"/>
      <c r="GH457" s="105"/>
      <c r="GI457" s="105"/>
      <c r="GJ457" s="105"/>
      <c r="GK457" s="105"/>
      <c r="GL457" s="105"/>
      <c r="GM457" s="105"/>
      <c r="GN457" s="105"/>
      <c r="GO457" s="105"/>
      <c r="GP457" s="105"/>
      <c r="GQ457" s="105"/>
      <c r="GR457" s="105"/>
      <c r="GS457" s="105"/>
      <c r="GT457" s="105"/>
      <c r="GU457" s="105"/>
      <c r="GV457" s="105"/>
      <c r="GW457" s="105"/>
      <c r="GX457" s="105"/>
      <c r="GY457" s="105"/>
      <c r="GZ457" s="105"/>
      <c r="HA457" s="105"/>
      <c r="HB457" s="105"/>
      <c r="HC457" s="105"/>
      <c r="HD457" s="105"/>
      <c r="HE457" s="105"/>
      <c r="HF457" s="105"/>
      <c r="HG457" s="105"/>
      <c r="HH457" s="105"/>
      <c r="HI457" s="105"/>
      <c r="HJ457" s="105"/>
      <c r="HK457" s="105"/>
      <c r="HL457" s="105"/>
      <c r="HM457" s="105"/>
      <c r="HN457" s="105"/>
      <c r="HO457" s="105"/>
      <c r="HP457" s="105"/>
      <c r="HQ457" s="105"/>
      <c r="HR457" s="105"/>
      <c r="HS457" s="105"/>
      <c r="HT457" s="105"/>
      <c r="HU457" s="105"/>
      <c r="HV457" s="105"/>
      <c r="HW457" s="105"/>
      <c r="HX457" s="105"/>
      <c r="HY457" s="105"/>
      <c r="HZ457" s="105"/>
      <c r="IA457" s="105"/>
      <c r="IB457" s="105"/>
      <c r="IC457" s="105"/>
      <c r="ID457" s="105"/>
      <c r="IE457" s="105"/>
      <c r="IF457" s="105"/>
      <c r="IG457" s="105"/>
      <c r="IH457" s="105"/>
      <c r="II457" s="105"/>
      <c r="IJ457" s="105"/>
      <c r="IK457" s="105"/>
      <c r="IL457" s="105"/>
      <c r="IM457" s="105"/>
      <c r="IN457" s="105"/>
      <c r="IO457" s="105"/>
      <c r="IP457" s="105"/>
      <c r="IQ457" s="105"/>
      <c r="IR457" s="105"/>
      <c r="IS457" s="105"/>
      <c r="IT457" s="105"/>
      <c r="IU457" s="105"/>
      <c r="IV457" s="105"/>
    </row>
    <row r="458" spans="1:256" s="449" customFormat="1" x14ac:dyDescent="0.2">
      <c r="A458" s="45">
        <v>44601</v>
      </c>
      <c r="B458" s="46" t="s">
        <v>163</v>
      </c>
      <c r="C458" s="46">
        <v>2022</v>
      </c>
      <c r="D458" s="46" t="s">
        <v>1</v>
      </c>
      <c r="E458" s="181">
        <v>-93</v>
      </c>
      <c r="F458" s="181" t="s">
        <v>33</v>
      </c>
      <c r="G458" s="182">
        <v>55800</v>
      </c>
      <c r="H458" s="183">
        <v>278</v>
      </c>
      <c r="I458" s="181" t="s">
        <v>80</v>
      </c>
      <c r="J458" s="181" t="s">
        <v>725</v>
      </c>
      <c r="K458" s="181">
        <v>93</v>
      </c>
      <c r="L458" s="181" t="s">
        <v>726</v>
      </c>
      <c r="M458" s="181" t="s">
        <v>1014</v>
      </c>
      <c r="N458" s="76" t="s">
        <v>1015</v>
      </c>
      <c r="O458" s="46"/>
      <c r="P458" s="46" t="s">
        <v>166</v>
      </c>
      <c r="Q458" s="761">
        <v>41.687600000000003</v>
      </c>
      <c r="R458" s="873">
        <v>-86.7637</v>
      </c>
      <c r="S458" s="46" t="s">
        <v>63</v>
      </c>
      <c r="T458" s="46"/>
      <c r="U458" s="46" t="s">
        <v>51</v>
      </c>
      <c r="V458" s="45"/>
      <c r="W458" s="47">
        <f>IF(AC458="Intr",0,G458*Definitions!$B$53)</f>
        <v>8370</v>
      </c>
      <c r="X458" s="47">
        <f>IF(AC458="Intr",0,G458*Definitions!$B$54)</f>
        <v>39060</v>
      </c>
      <c r="Y458" s="47">
        <f>IF(AC458="Intr",G458,G458*Definitions!$B$55)</f>
        <v>8370</v>
      </c>
      <c r="Z458" s="47" t="s">
        <v>967</v>
      </c>
      <c r="AA458" s="47" t="s">
        <v>965</v>
      </c>
      <c r="AB458" s="47"/>
      <c r="AC458" s="46"/>
      <c r="AD458" s="46"/>
      <c r="AE458" s="46"/>
      <c r="AF458" s="46"/>
      <c r="AG458" s="48"/>
      <c r="AH458" s="78" t="s">
        <v>1016</v>
      </c>
      <c r="AI458" s="105"/>
      <c r="AJ458" s="105"/>
      <c r="AK458" s="105"/>
      <c r="AL458" s="105"/>
      <c r="AM458" s="105"/>
      <c r="AN458" s="105"/>
      <c r="AO458" s="105"/>
      <c r="AP458" s="105"/>
      <c r="AQ458" s="105"/>
      <c r="AR458" s="105"/>
      <c r="AS458" s="105"/>
      <c r="AT458" s="105"/>
      <c r="AU458" s="105"/>
      <c r="AV458" s="105"/>
      <c r="AW458" s="105"/>
      <c r="AX458" s="105"/>
      <c r="AY458" s="105"/>
      <c r="AZ458" s="105"/>
      <c r="BA458" s="105"/>
      <c r="BB458" s="105"/>
      <c r="BC458" s="105"/>
      <c r="BD458" s="105"/>
      <c r="BE458" s="105"/>
      <c r="BF458" s="105"/>
      <c r="BG458" s="105"/>
      <c r="BH458" s="105"/>
      <c r="BI458" s="105"/>
      <c r="BJ458" s="105"/>
      <c r="BK458" s="105"/>
      <c r="BL458" s="105"/>
      <c r="BM458" s="105"/>
      <c r="BN458" s="105"/>
      <c r="BO458" s="105"/>
      <c r="BP458" s="105"/>
      <c r="BQ458" s="105"/>
      <c r="BR458" s="105"/>
      <c r="BS458" s="105"/>
      <c r="BT458" s="105"/>
      <c r="BU458" s="105"/>
      <c r="BV458" s="105"/>
      <c r="BW458" s="105"/>
      <c r="BX458" s="105"/>
      <c r="BY458" s="105"/>
      <c r="BZ458" s="105"/>
      <c r="CA458" s="105"/>
      <c r="CB458" s="105"/>
      <c r="CC458" s="105"/>
      <c r="CD458" s="105"/>
      <c r="CE458" s="105"/>
      <c r="CF458" s="105"/>
      <c r="CG458" s="105"/>
      <c r="CH458" s="105"/>
      <c r="CI458" s="105"/>
      <c r="CJ458" s="105"/>
      <c r="CK458" s="105"/>
      <c r="CL458" s="105"/>
      <c r="CM458" s="105"/>
      <c r="CN458" s="105"/>
      <c r="CO458" s="105"/>
      <c r="CP458" s="105"/>
      <c r="CQ458" s="105"/>
      <c r="CR458" s="105"/>
      <c r="CS458" s="105"/>
      <c r="CT458" s="105"/>
      <c r="CU458" s="105"/>
      <c r="CV458" s="105"/>
      <c r="CW458" s="105"/>
      <c r="CX458" s="105"/>
      <c r="CY458" s="105"/>
      <c r="CZ458" s="105"/>
      <c r="DA458" s="105"/>
      <c r="DB458" s="105"/>
      <c r="DC458" s="105"/>
      <c r="DD458" s="105"/>
      <c r="DE458" s="105"/>
      <c r="DF458" s="105"/>
      <c r="DG458" s="105"/>
      <c r="DH458" s="105"/>
      <c r="DI458" s="105"/>
      <c r="DJ458" s="105"/>
      <c r="DK458" s="105"/>
      <c r="DL458" s="105"/>
      <c r="DM458" s="105"/>
      <c r="DN458" s="105"/>
      <c r="DO458" s="105"/>
      <c r="DP458" s="105"/>
      <c r="DQ458" s="105"/>
      <c r="DR458" s="105"/>
      <c r="DS458" s="105"/>
      <c r="DT458" s="105"/>
      <c r="DU458" s="105"/>
      <c r="DV458" s="105"/>
      <c r="DW458" s="105"/>
      <c r="DX458" s="105"/>
      <c r="DY458" s="105"/>
      <c r="DZ458" s="105"/>
      <c r="EA458" s="105"/>
      <c r="EB458" s="105"/>
      <c r="EC458" s="105"/>
      <c r="ED458" s="105"/>
      <c r="EE458" s="105"/>
      <c r="EF458" s="105"/>
      <c r="EG458" s="105"/>
      <c r="EH458" s="105"/>
      <c r="EI458" s="105"/>
      <c r="EJ458" s="105"/>
      <c r="EK458" s="105"/>
      <c r="EL458" s="105"/>
      <c r="EM458" s="105"/>
      <c r="EN458" s="105"/>
      <c r="EO458" s="105"/>
      <c r="EP458" s="105"/>
      <c r="EQ458" s="105"/>
      <c r="ER458" s="105"/>
      <c r="ES458" s="105"/>
      <c r="ET458" s="105"/>
      <c r="EU458" s="105"/>
      <c r="EV458" s="105"/>
      <c r="EW458" s="105"/>
      <c r="EX458" s="105"/>
      <c r="EY458" s="105"/>
      <c r="EZ458" s="105"/>
      <c r="FA458" s="105"/>
      <c r="FB458" s="105"/>
      <c r="FC458" s="105"/>
      <c r="FD458" s="105"/>
      <c r="FE458" s="105"/>
      <c r="FF458" s="105"/>
      <c r="FG458" s="105"/>
      <c r="FH458" s="105"/>
      <c r="FI458" s="105"/>
      <c r="FJ458" s="105"/>
      <c r="FK458" s="105"/>
      <c r="FL458" s="105"/>
      <c r="FM458" s="105"/>
      <c r="FN458" s="105"/>
      <c r="FO458" s="105"/>
      <c r="FP458" s="105"/>
      <c r="FQ458" s="105"/>
      <c r="FR458" s="105"/>
      <c r="FS458" s="105"/>
      <c r="FT458" s="105"/>
      <c r="FU458" s="105"/>
      <c r="FV458" s="105"/>
      <c r="FW458" s="105"/>
      <c r="FX458" s="105"/>
      <c r="FY458" s="105"/>
      <c r="FZ458" s="105"/>
      <c r="GA458" s="105"/>
      <c r="GB458" s="105"/>
      <c r="GC458" s="105"/>
      <c r="GD458" s="105"/>
      <c r="GE458" s="105"/>
      <c r="GF458" s="105"/>
      <c r="GG458" s="105"/>
      <c r="GH458" s="105"/>
      <c r="GI458" s="105"/>
      <c r="GJ458" s="105"/>
      <c r="GK458" s="105"/>
      <c r="GL458" s="105"/>
      <c r="GM458" s="105"/>
      <c r="GN458" s="105"/>
      <c r="GO458" s="105"/>
      <c r="GP458" s="105"/>
      <c r="GQ458" s="105"/>
      <c r="GR458" s="105"/>
      <c r="GS458" s="105"/>
      <c r="GT458" s="105"/>
      <c r="GU458" s="105"/>
      <c r="GV458" s="105"/>
      <c r="GW458" s="105"/>
      <c r="GX458" s="105"/>
      <c r="GY458" s="105"/>
      <c r="GZ458" s="105"/>
      <c r="HA458" s="105"/>
      <c r="HB458" s="105"/>
      <c r="HC458" s="105"/>
      <c r="HD458" s="105"/>
      <c r="HE458" s="105"/>
      <c r="HF458" s="105"/>
      <c r="HG458" s="105"/>
      <c r="HH458" s="105"/>
      <c r="HI458" s="105"/>
      <c r="HJ458" s="105"/>
      <c r="HK458" s="105"/>
      <c r="HL458" s="105"/>
      <c r="HM458" s="105"/>
      <c r="HN458" s="105"/>
      <c r="HO458" s="105"/>
      <c r="HP458" s="105"/>
      <c r="HQ458" s="105"/>
      <c r="HR458" s="105"/>
      <c r="HS458" s="105"/>
      <c r="HT458" s="105"/>
      <c r="HU458" s="105"/>
      <c r="HV458" s="105"/>
      <c r="HW458" s="105"/>
      <c r="HX458" s="105"/>
      <c r="HY458" s="105"/>
      <c r="HZ458" s="105"/>
      <c r="IA458" s="105"/>
      <c r="IB458" s="105"/>
      <c r="IC458" s="105"/>
      <c r="ID458" s="105"/>
      <c r="IE458" s="105"/>
      <c r="IF458" s="105"/>
      <c r="IG458" s="105"/>
      <c r="IH458" s="105"/>
      <c r="II458" s="105"/>
      <c r="IJ458" s="105"/>
      <c r="IK458" s="105"/>
      <c r="IL458" s="105"/>
      <c r="IM458" s="105"/>
      <c r="IN458" s="105"/>
      <c r="IO458" s="105"/>
      <c r="IP458" s="105"/>
      <c r="IQ458" s="105"/>
      <c r="IR458" s="105"/>
      <c r="IS458" s="105"/>
      <c r="IT458" s="105"/>
      <c r="IU458" s="105"/>
      <c r="IV458" s="105"/>
    </row>
    <row r="459" spans="1:256" s="415" customFormat="1" x14ac:dyDescent="0.2">
      <c r="A459" s="45">
        <v>44601</v>
      </c>
      <c r="B459" s="46" t="s">
        <v>163</v>
      </c>
      <c r="C459" s="46">
        <v>2022</v>
      </c>
      <c r="D459" s="46" t="s">
        <v>1</v>
      </c>
      <c r="E459" s="181">
        <v>-0.24</v>
      </c>
      <c r="F459" s="181" t="s">
        <v>32</v>
      </c>
      <c r="G459" s="182">
        <v>22800</v>
      </c>
      <c r="H459" s="183">
        <v>278</v>
      </c>
      <c r="I459" s="181" t="s">
        <v>80</v>
      </c>
      <c r="J459" s="181" t="s">
        <v>36</v>
      </c>
      <c r="K459" s="181">
        <v>0.12</v>
      </c>
      <c r="L459" s="181" t="s">
        <v>726</v>
      </c>
      <c r="M459" s="181" t="s">
        <v>1014</v>
      </c>
      <c r="N459" s="76" t="s">
        <v>1015</v>
      </c>
      <c r="O459" s="46"/>
      <c r="P459" s="46" t="s">
        <v>166</v>
      </c>
      <c r="Q459" s="761">
        <v>41.687600000000003</v>
      </c>
      <c r="R459" s="660">
        <v>-86.7637</v>
      </c>
      <c r="S459" s="46" t="s">
        <v>63</v>
      </c>
      <c r="T459" s="46"/>
      <c r="U459" s="46" t="s">
        <v>51</v>
      </c>
      <c r="V459" s="45"/>
      <c r="W459" s="47">
        <f>IF(AC459="Intr",0,G459*Definitions!$B$53)</f>
        <v>3420</v>
      </c>
      <c r="X459" s="47">
        <f>IF(AC459="Intr",0,G459*Definitions!$B$54)</f>
        <v>15959.999999999998</v>
      </c>
      <c r="Y459" s="47">
        <f>IF(AC459="Intr",G459,G459*Definitions!$B$55)</f>
        <v>3420</v>
      </c>
      <c r="Z459" s="47" t="s">
        <v>967</v>
      </c>
      <c r="AA459" s="47" t="s">
        <v>965</v>
      </c>
      <c r="AB459" s="47"/>
      <c r="AC459" s="46"/>
      <c r="AD459" s="46"/>
      <c r="AE459" s="46"/>
      <c r="AF459" s="46"/>
      <c r="AG459" s="48"/>
      <c r="AH459" s="78" t="s">
        <v>1016</v>
      </c>
      <c r="AI459" s="105"/>
      <c r="AJ459" s="105"/>
      <c r="AK459" s="105"/>
      <c r="AL459" s="105"/>
      <c r="AM459" s="105"/>
      <c r="AN459" s="105"/>
      <c r="AO459" s="105"/>
      <c r="AP459" s="105"/>
      <c r="AQ459" s="105"/>
      <c r="AR459" s="105"/>
      <c r="AS459" s="105"/>
      <c r="AT459" s="105"/>
      <c r="AU459" s="105"/>
      <c r="AV459" s="105"/>
      <c r="AW459" s="105"/>
      <c r="AX459" s="105"/>
      <c r="AY459" s="105"/>
      <c r="AZ459" s="105"/>
      <c r="BA459" s="105"/>
      <c r="BB459" s="105"/>
      <c r="BC459" s="105"/>
      <c r="BD459" s="105"/>
      <c r="BE459" s="105"/>
      <c r="BF459" s="105"/>
      <c r="BG459" s="105"/>
      <c r="BH459" s="105"/>
      <c r="BI459" s="105"/>
      <c r="BJ459" s="105"/>
      <c r="BK459" s="105"/>
      <c r="BL459" s="105"/>
      <c r="BM459" s="105"/>
      <c r="BN459" s="105"/>
      <c r="BO459" s="105"/>
      <c r="BP459" s="105"/>
      <c r="BQ459" s="105"/>
      <c r="BR459" s="105"/>
      <c r="BS459" s="105"/>
      <c r="BT459" s="105"/>
      <c r="BU459" s="105"/>
      <c r="BV459" s="105"/>
      <c r="BW459" s="105"/>
      <c r="BX459" s="105"/>
      <c r="BY459" s="105"/>
      <c r="BZ459" s="105"/>
      <c r="CA459" s="105"/>
      <c r="CB459" s="105"/>
      <c r="CC459" s="105"/>
      <c r="CD459" s="105"/>
      <c r="CE459" s="105"/>
      <c r="CF459" s="105"/>
      <c r="CG459" s="105"/>
      <c r="CH459" s="105"/>
      <c r="CI459" s="105"/>
      <c r="CJ459" s="105"/>
      <c r="CK459" s="105"/>
      <c r="CL459" s="105"/>
      <c r="CM459" s="105"/>
      <c r="CN459" s="105"/>
      <c r="CO459" s="105"/>
      <c r="CP459" s="105"/>
      <c r="CQ459" s="105"/>
      <c r="CR459" s="105"/>
      <c r="CS459" s="105"/>
      <c r="CT459" s="105"/>
      <c r="CU459" s="105"/>
      <c r="CV459" s="105"/>
      <c r="CW459" s="105"/>
      <c r="CX459" s="105"/>
      <c r="CY459" s="105"/>
      <c r="CZ459" s="105"/>
      <c r="DA459" s="105"/>
      <c r="DB459" s="105"/>
      <c r="DC459" s="105"/>
      <c r="DD459" s="105"/>
      <c r="DE459" s="105"/>
      <c r="DF459" s="105"/>
      <c r="DG459" s="105"/>
      <c r="DH459" s="105"/>
      <c r="DI459" s="105"/>
      <c r="DJ459" s="105"/>
      <c r="DK459" s="105"/>
      <c r="DL459" s="105"/>
      <c r="DM459" s="105"/>
      <c r="DN459" s="105"/>
      <c r="DO459" s="105"/>
      <c r="DP459" s="105"/>
      <c r="DQ459" s="105"/>
      <c r="DR459" s="105"/>
      <c r="DS459" s="105"/>
      <c r="DT459" s="105"/>
      <c r="DU459" s="105"/>
      <c r="DV459" s="105"/>
      <c r="DW459" s="105"/>
      <c r="DX459" s="105"/>
      <c r="DY459" s="105"/>
      <c r="DZ459" s="105"/>
      <c r="EA459" s="105"/>
      <c r="EB459" s="105"/>
      <c r="EC459" s="105"/>
      <c r="ED459" s="105"/>
      <c r="EE459" s="105"/>
      <c r="EF459" s="105"/>
      <c r="EG459" s="105"/>
      <c r="EH459" s="105"/>
      <c r="EI459" s="105"/>
      <c r="EJ459" s="105"/>
      <c r="EK459" s="105"/>
      <c r="EL459" s="105"/>
      <c r="EM459" s="105"/>
      <c r="EN459" s="105"/>
      <c r="EO459" s="105"/>
      <c r="EP459" s="105"/>
      <c r="EQ459" s="105"/>
      <c r="ER459" s="105"/>
      <c r="ES459" s="105"/>
      <c r="ET459" s="105"/>
      <c r="EU459" s="105"/>
      <c r="EV459" s="105"/>
      <c r="EW459" s="105"/>
      <c r="EX459" s="105"/>
      <c r="EY459" s="105"/>
      <c r="EZ459" s="105"/>
      <c r="FA459" s="105"/>
      <c r="FB459" s="105"/>
      <c r="FC459" s="105"/>
      <c r="FD459" s="105"/>
      <c r="FE459" s="105"/>
      <c r="FF459" s="105"/>
      <c r="FG459" s="105"/>
      <c r="FH459" s="105"/>
      <c r="FI459" s="105"/>
      <c r="FJ459" s="105"/>
      <c r="FK459" s="105"/>
      <c r="FL459" s="105"/>
      <c r="FM459" s="105"/>
      <c r="FN459" s="105"/>
      <c r="FO459" s="105"/>
      <c r="FP459" s="105"/>
      <c r="FQ459" s="105"/>
      <c r="FR459" s="105"/>
      <c r="FS459" s="105"/>
      <c r="FT459" s="105"/>
      <c r="FU459" s="105"/>
      <c r="FV459" s="105"/>
      <c r="FW459" s="105"/>
      <c r="FX459" s="105"/>
      <c r="FY459" s="105"/>
      <c r="FZ459" s="105"/>
      <c r="GA459" s="105"/>
      <c r="GB459" s="105"/>
      <c r="GC459" s="105"/>
      <c r="GD459" s="105"/>
      <c r="GE459" s="105"/>
      <c r="GF459" s="105"/>
      <c r="GG459" s="105"/>
      <c r="GH459" s="105"/>
      <c r="GI459" s="105"/>
      <c r="GJ459" s="105"/>
      <c r="GK459" s="105"/>
      <c r="GL459" s="105"/>
      <c r="GM459" s="105"/>
      <c r="GN459" s="105"/>
      <c r="GO459" s="105"/>
      <c r="GP459" s="105"/>
      <c r="GQ459" s="105"/>
      <c r="GR459" s="105"/>
      <c r="GS459" s="105"/>
      <c r="GT459" s="105"/>
      <c r="GU459" s="105"/>
      <c r="GV459" s="105"/>
      <c r="GW459" s="105"/>
      <c r="GX459" s="105"/>
      <c r="GY459" s="105"/>
      <c r="GZ459" s="105"/>
      <c r="HA459" s="105"/>
      <c r="HB459" s="105"/>
      <c r="HC459" s="105"/>
      <c r="HD459" s="105"/>
      <c r="HE459" s="105"/>
      <c r="HF459" s="105"/>
      <c r="HG459" s="105"/>
      <c r="HH459" s="105"/>
      <c r="HI459" s="105"/>
      <c r="HJ459" s="105"/>
      <c r="HK459" s="105"/>
      <c r="HL459" s="105"/>
      <c r="HM459" s="105"/>
      <c r="HN459" s="105"/>
      <c r="HO459" s="105"/>
      <c r="HP459" s="105"/>
      <c r="HQ459" s="105"/>
      <c r="HR459" s="105"/>
      <c r="HS459" s="105"/>
      <c r="HT459" s="105"/>
      <c r="HU459" s="105"/>
      <c r="HV459" s="105"/>
      <c r="HW459" s="105"/>
      <c r="HX459" s="105"/>
      <c r="HY459" s="105"/>
      <c r="HZ459" s="105"/>
      <c r="IA459" s="105"/>
      <c r="IB459" s="105"/>
      <c r="IC459" s="105"/>
      <c r="ID459" s="105"/>
      <c r="IE459" s="105"/>
      <c r="IF459" s="105"/>
      <c r="IG459" s="105"/>
      <c r="IH459" s="105"/>
      <c r="II459" s="105"/>
      <c r="IJ459" s="105"/>
      <c r="IK459" s="105"/>
      <c r="IL459" s="105"/>
      <c r="IM459" s="105"/>
      <c r="IN459" s="105"/>
      <c r="IO459" s="105"/>
      <c r="IP459" s="105"/>
      <c r="IQ459" s="105"/>
      <c r="IR459" s="105"/>
      <c r="IS459" s="105"/>
      <c r="IT459" s="105"/>
      <c r="IU459" s="105"/>
      <c r="IV459" s="105"/>
    </row>
    <row r="460" spans="1:256" s="416" customFormat="1" x14ac:dyDescent="0.2">
      <c r="A460" s="37">
        <v>44601</v>
      </c>
      <c r="B460" s="38" t="s">
        <v>163</v>
      </c>
      <c r="C460" s="38">
        <v>2022</v>
      </c>
      <c r="D460" s="38" t="s">
        <v>2</v>
      </c>
      <c r="E460" s="177">
        <v>-63</v>
      </c>
      <c r="F460" s="177" t="s">
        <v>33</v>
      </c>
      <c r="G460" s="269">
        <v>31500</v>
      </c>
      <c r="H460" s="179">
        <v>279</v>
      </c>
      <c r="I460" s="177" t="s">
        <v>80</v>
      </c>
      <c r="J460" s="177" t="s">
        <v>725</v>
      </c>
      <c r="K460" s="177">
        <v>63</v>
      </c>
      <c r="L460" s="177" t="s">
        <v>726</v>
      </c>
      <c r="M460" s="177" t="s">
        <v>1010</v>
      </c>
      <c r="N460" s="381" t="s">
        <v>1011</v>
      </c>
      <c r="O460" s="537"/>
      <c r="P460" s="38" t="s">
        <v>1012</v>
      </c>
      <c r="Q460" s="760">
        <v>41.1905</v>
      </c>
      <c r="R460" s="853">
        <v>-86.251300000000001</v>
      </c>
      <c r="S460" s="38" t="s">
        <v>63</v>
      </c>
      <c r="T460" s="38"/>
      <c r="U460" s="38" t="s">
        <v>51</v>
      </c>
      <c r="V460" s="37"/>
      <c r="W460" s="39">
        <f>IF(AC460="Intr",0,G460*Definitions!$B$53)</f>
        <v>4725</v>
      </c>
      <c r="X460" s="39">
        <f>IF(AC460="Intr",0,G460*Definitions!$B$54)</f>
        <v>22050</v>
      </c>
      <c r="Y460" s="39">
        <f>IF(AC460="Intr",G460,G460*Definitions!$B$55)</f>
        <v>4725</v>
      </c>
      <c r="Z460" s="39" t="s">
        <v>966</v>
      </c>
      <c r="AA460" s="39" t="s">
        <v>965</v>
      </c>
      <c r="AB460" s="39"/>
      <c r="AC460" s="38"/>
      <c r="AD460" s="38"/>
      <c r="AE460" s="38"/>
      <c r="AF460" s="38"/>
      <c r="AG460" s="40"/>
      <c r="AH460" s="72" t="s">
        <v>1013</v>
      </c>
      <c r="AI460" s="105"/>
      <c r="AJ460" s="105"/>
      <c r="AK460" s="105"/>
      <c r="AL460" s="105"/>
      <c r="AM460" s="105"/>
      <c r="AN460" s="105"/>
      <c r="AO460" s="105"/>
      <c r="AP460" s="105"/>
      <c r="AQ460" s="105"/>
      <c r="AR460" s="105"/>
      <c r="AS460" s="105"/>
      <c r="AT460" s="105"/>
      <c r="AU460" s="105"/>
      <c r="AV460" s="105"/>
      <c r="AW460" s="105"/>
      <c r="AX460" s="105"/>
      <c r="AY460" s="105"/>
      <c r="AZ460" s="105"/>
      <c r="BA460" s="105"/>
      <c r="BB460" s="105"/>
      <c r="BC460" s="105"/>
      <c r="BD460" s="105"/>
      <c r="BE460" s="105"/>
      <c r="BF460" s="105"/>
      <c r="BG460" s="105"/>
      <c r="BH460" s="105"/>
      <c r="BI460" s="105"/>
      <c r="BJ460" s="105"/>
      <c r="BK460" s="105"/>
      <c r="BL460" s="105"/>
      <c r="BM460" s="105"/>
      <c r="BN460" s="105"/>
      <c r="BO460" s="105"/>
      <c r="BP460" s="105"/>
      <c r="BQ460" s="105"/>
      <c r="BR460" s="105"/>
      <c r="BS460" s="105"/>
      <c r="BT460" s="105"/>
      <c r="BU460" s="105"/>
      <c r="BV460" s="105"/>
      <c r="BW460" s="105"/>
      <c r="BX460" s="105"/>
      <c r="BY460" s="105"/>
      <c r="BZ460" s="105"/>
      <c r="CA460" s="105"/>
      <c r="CB460" s="105"/>
      <c r="CC460" s="105"/>
      <c r="CD460" s="105"/>
      <c r="CE460" s="105"/>
      <c r="CF460" s="105"/>
      <c r="CG460" s="105"/>
      <c r="CH460" s="105"/>
      <c r="CI460" s="105"/>
      <c r="CJ460" s="105"/>
      <c r="CK460" s="105"/>
      <c r="CL460" s="105"/>
      <c r="CM460" s="105"/>
      <c r="CN460" s="105"/>
      <c r="CO460" s="105"/>
      <c r="CP460" s="105"/>
      <c r="CQ460" s="105"/>
      <c r="CR460" s="105"/>
      <c r="CS460" s="105"/>
      <c r="CT460" s="105"/>
      <c r="CU460" s="105"/>
      <c r="CV460" s="105"/>
      <c r="CW460" s="105"/>
      <c r="CX460" s="105"/>
      <c r="CY460" s="105"/>
      <c r="CZ460" s="105"/>
      <c r="DA460" s="105"/>
      <c r="DB460" s="105"/>
      <c r="DC460" s="105"/>
      <c r="DD460" s="105"/>
      <c r="DE460" s="105"/>
      <c r="DF460" s="105"/>
      <c r="DG460" s="105"/>
      <c r="DH460" s="105"/>
      <c r="DI460" s="105"/>
      <c r="DJ460" s="105"/>
      <c r="DK460" s="105"/>
      <c r="DL460" s="105"/>
      <c r="DM460" s="105"/>
      <c r="DN460" s="105"/>
      <c r="DO460" s="105"/>
      <c r="DP460" s="105"/>
      <c r="DQ460" s="105"/>
      <c r="DR460" s="105"/>
      <c r="DS460" s="105"/>
      <c r="DT460" s="105"/>
      <c r="DU460" s="105"/>
      <c r="DV460" s="105"/>
      <c r="DW460" s="105"/>
      <c r="DX460" s="105"/>
      <c r="DY460" s="105"/>
      <c r="DZ460" s="105"/>
      <c r="EA460" s="105"/>
      <c r="EB460" s="105"/>
      <c r="EC460" s="105"/>
      <c r="ED460" s="105"/>
      <c r="EE460" s="105"/>
      <c r="EF460" s="105"/>
      <c r="EG460" s="105"/>
      <c r="EH460" s="105"/>
      <c r="EI460" s="105"/>
      <c r="EJ460" s="105"/>
      <c r="EK460" s="105"/>
      <c r="EL460" s="105"/>
      <c r="EM460" s="105"/>
      <c r="EN460" s="105"/>
      <c r="EO460" s="105"/>
      <c r="EP460" s="105"/>
      <c r="EQ460" s="105"/>
      <c r="ER460" s="105"/>
      <c r="ES460" s="105"/>
      <c r="ET460" s="105"/>
      <c r="EU460" s="105"/>
      <c r="EV460" s="105"/>
      <c r="EW460" s="105"/>
      <c r="EX460" s="105"/>
      <c r="EY460" s="105"/>
      <c r="EZ460" s="105"/>
      <c r="FA460" s="105"/>
      <c r="FB460" s="105"/>
      <c r="FC460" s="105"/>
      <c r="FD460" s="105"/>
      <c r="FE460" s="105"/>
      <c r="FF460" s="105"/>
      <c r="FG460" s="105"/>
      <c r="FH460" s="105"/>
      <c r="FI460" s="105"/>
      <c r="FJ460" s="105"/>
      <c r="FK460" s="105"/>
      <c r="FL460" s="105"/>
      <c r="FM460" s="105"/>
      <c r="FN460" s="105"/>
      <c r="FO460" s="105"/>
      <c r="FP460" s="105"/>
      <c r="FQ460" s="105"/>
      <c r="FR460" s="105"/>
      <c r="FS460" s="105"/>
      <c r="FT460" s="105"/>
      <c r="FU460" s="105"/>
      <c r="FV460" s="105"/>
      <c r="FW460" s="105"/>
      <c r="FX460" s="105"/>
      <c r="FY460" s="105"/>
      <c r="FZ460" s="105"/>
      <c r="GA460" s="105"/>
      <c r="GB460" s="105"/>
      <c r="GC460" s="105"/>
      <c r="GD460" s="105"/>
      <c r="GE460" s="105"/>
      <c r="GF460" s="105"/>
      <c r="GG460" s="105"/>
      <c r="GH460" s="105"/>
      <c r="GI460" s="105"/>
      <c r="GJ460" s="105"/>
      <c r="GK460" s="105"/>
      <c r="GL460" s="105"/>
      <c r="GM460" s="105"/>
      <c r="GN460" s="105"/>
      <c r="GO460" s="105"/>
      <c r="GP460" s="105"/>
      <c r="GQ460" s="105"/>
      <c r="GR460" s="105"/>
      <c r="GS460" s="105"/>
      <c r="GT460" s="105"/>
      <c r="GU460" s="105"/>
      <c r="GV460" s="105"/>
      <c r="GW460" s="105"/>
      <c r="GX460" s="105"/>
      <c r="GY460" s="105"/>
      <c r="GZ460" s="105"/>
      <c r="HA460" s="105"/>
      <c r="HB460" s="105"/>
      <c r="HC460" s="105"/>
      <c r="HD460" s="105"/>
      <c r="HE460" s="105"/>
      <c r="HF460" s="105"/>
      <c r="HG460" s="105"/>
      <c r="HH460" s="105"/>
      <c r="HI460" s="105"/>
      <c r="HJ460" s="105"/>
      <c r="HK460" s="105"/>
      <c r="HL460" s="105"/>
      <c r="HM460" s="105"/>
      <c r="HN460" s="105"/>
      <c r="HO460" s="105"/>
      <c r="HP460" s="105"/>
      <c r="HQ460" s="105"/>
      <c r="HR460" s="105"/>
      <c r="HS460" s="105"/>
      <c r="HT460" s="105"/>
      <c r="HU460" s="105"/>
      <c r="HV460" s="105"/>
      <c r="HW460" s="105"/>
      <c r="HX460" s="105"/>
      <c r="HY460" s="105"/>
      <c r="HZ460" s="105"/>
      <c r="IA460" s="105"/>
      <c r="IB460" s="105"/>
      <c r="IC460" s="105"/>
      <c r="ID460" s="105"/>
      <c r="IE460" s="105"/>
      <c r="IF460" s="105"/>
      <c r="IG460" s="105"/>
      <c r="IH460" s="105"/>
      <c r="II460" s="105"/>
      <c r="IJ460" s="105"/>
      <c r="IK460" s="105"/>
      <c r="IL460" s="105"/>
      <c r="IM460" s="105"/>
      <c r="IN460" s="105"/>
      <c r="IO460" s="105"/>
      <c r="IP460" s="105"/>
      <c r="IQ460" s="105"/>
      <c r="IR460" s="105"/>
      <c r="IS460" s="105"/>
      <c r="IT460" s="105"/>
      <c r="IU460" s="105"/>
      <c r="IV460" s="105"/>
    </row>
    <row r="461" spans="1:256" s="415" customFormat="1" x14ac:dyDescent="0.2">
      <c r="A461" s="33">
        <v>44601</v>
      </c>
      <c r="B461" s="34" t="s">
        <v>163</v>
      </c>
      <c r="C461" s="34">
        <v>2022</v>
      </c>
      <c r="D461" s="34" t="s">
        <v>7</v>
      </c>
      <c r="E461" s="271">
        <v>-5501.3</v>
      </c>
      <c r="F461" s="271" t="s">
        <v>33</v>
      </c>
      <c r="G461" s="272">
        <v>2475585</v>
      </c>
      <c r="H461" s="273">
        <v>283</v>
      </c>
      <c r="I461" s="271" t="s">
        <v>80</v>
      </c>
      <c r="J461" s="271" t="s">
        <v>725</v>
      </c>
      <c r="K461" s="271">
        <v>9404.7000000000007</v>
      </c>
      <c r="L461" s="271" t="s">
        <v>726</v>
      </c>
      <c r="M461" s="271" t="s">
        <v>1017</v>
      </c>
      <c r="N461" s="116" t="s">
        <v>1018</v>
      </c>
      <c r="O461" s="34"/>
      <c r="P461" s="34" t="s">
        <v>143</v>
      </c>
      <c r="Q461" s="773">
        <v>39.865000000000002</v>
      </c>
      <c r="R461" s="874">
        <v>-86.046999999999997</v>
      </c>
      <c r="S461" s="34" t="s">
        <v>63</v>
      </c>
      <c r="T461" s="34"/>
      <c r="U461" s="34" t="s">
        <v>51</v>
      </c>
      <c r="V461" s="33"/>
      <c r="W461" s="35">
        <f>IF(AC461="Intr",0,G461*Definitions!$B$53)</f>
        <v>371337.75</v>
      </c>
      <c r="X461" s="35">
        <f>IF(AC461="Intr",0,G461*Definitions!$B$54)</f>
        <v>1732909.5</v>
      </c>
      <c r="Y461" s="35">
        <f>IF(AC461="Intr",G461,G461*Definitions!$B$55)</f>
        <v>371337.75</v>
      </c>
      <c r="Z461" s="35" t="s">
        <v>966</v>
      </c>
      <c r="AA461" s="35" t="s">
        <v>965</v>
      </c>
      <c r="AB461" s="35"/>
      <c r="AC461" s="34"/>
      <c r="AD461" s="34"/>
      <c r="AE461" s="34"/>
      <c r="AF461" s="34"/>
      <c r="AG461" s="36"/>
      <c r="AH461" s="120" t="s">
        <v>1019</v>
      </c>
      <c r="AI461" s="105"/>
      <c r="AJ461" s="105"/>
      <c r="AK461" s="105"/>
      <c r="AL461" s="105"/>
      <c r="AM461" s="105"/>
      <c r="AN461" s="105"/>
      <c r="AO461" s="105"/>
      <c r="AP461" s="105"/>
      <c r="AQ461" s="105"/>
      <c r="AR461" s="105"/>
      <c r="AS461" s="105"/>
      <c r="AT461" s="105"/>
      <c r="AU461" s="105"/>
      <c r="AV461" s="105"/>
      <c r="AW461" s="105"/>
      <c r="AX461" s="105"/>
      <c r="AY461" s="105"/>
      <c r="AZ461" s="105"/>
      <c r="BA461" s="105"/>
      <c r="BB461" s="105"/>
      <c r="BC461" s="105"/>
      <c r="BD461" s="105"/>
      <c r="BE461" s="105"/>
      <c r="BF461" s="105"/>
      <c r="BG461" s="105"/>
      <c r="BH461" s="105"/>
      <c r="BI461" s="105"/>
      <c r="BJ461" s="105"/>
      <c r="BK461" s="105"/>
      <c r="BL461" s="105"/>
      <c r="BM461" s="105"/>
      <c r="BN461" s="105"/>
      <c r="BO461" s="105"/>
      <c r="BP461" s="105"/>
      <c r="BQ461" s="105"/>
      <c r="BR461" s="105"/>
      <c r="BS461" s="105"/>
      <c r="BT461" s="105"/>
      <c r="BU461" s="105"/>
      <c r="BV461" s="105"/>
      <c r="BW461" s="105"/>
      <c r="BX461" s="105"/>
      <c r="BY461" s="105"/>
      <c r="BZ461" s="105"/>
      <c r="CA461" s="105"/>
      <c r="CB461" s="105"/>
      <c r="CC461" s="105"/>
      <c r="CD461" s="105"/>
      <c r="CE461" s="105"/>
      <c r="CF461" s="105"/>
      <c r="CG461" s="105"/>
      <c r="CH461" s="105"/>
      <c r="CI461" s="105"/>
      <c r="CJ461" s="105"/>
      <c r="CK461" s="105"/>
      <c r="CL461" s="105"/>
      <c r="CM461" s="105"/>
      <c r="CN461" s="105"/>
      <c r="CO461" s="105"/>
      <c r="CP461" s="105"/>
      <c r="CQ461" s="105"/>
      <c r="CR461" s="105"/>
      <c r="CS461" s="105"/>
      <c r="CT461" s="105"/>
      <c r="CU461" s="105"/>
      <c r="CV461" s="105"/>
      <c r="CW461" s="105"/>
      <c r="CX461" s="105"/>
      <c r="CY461" s="105"/>
      <c r="CZ461" s="105"/>
      <c r="DA461" s="105"/>
      <c r="DB461" s="105"/>
      <c r="DC461" s="105"/>
      <c r="DD461" s="105"/>
      <c r="DE461" s="105"/>
      <c r="DF461" s="105"/>
      <c r="DG461" s="105"/>
      <c r="DH461" s="105"/>
      <c r="DI461" s="105"/>
      <c r="DJ461" s="105"/>
      <c r="DK461" s="105"/>
      <c r="DL461" s="105"/>
      <c r="DM461" s="105"/>
      <c r="DN461" s="105"/>
      <c r="DO461" s="105"/>
      <c r="DP461" s="105"/>
      <c r="DQ461" s="105"/>
      <c r="DR461" s="105"/>
      <c r="DS461" s="105"/>
      <c r="DT461" s="105"/>
      <c r="DU461" s="105"/>
      <c r="DV461" s="105"/>
      <c r="DW461" s="105"/>
      <c r="DX461" s="105"/>
      <c r="DY461" s="105"/>
      <c r="DZ461" s="105"/>
      <c r="EA461" s="105"/>
      <c r="EB461" s="105"/>
      <c r="EC461" s="105"/>
      <c r="ED461" s="105"/>
      <c r="EE461" s="105"/>
      <c r="EF461" s="105"/>
      <c r="EG461" s="105"/>
      <c r="EH461" s="105"/>
      <c r="EI461" s="105"/>
      <c r="EJ461" s="105"/>
      <c r="EK461" s="105"/>
      <c r="EL461" s="105"/>
      <c r="EM461" s="105"/>
      <c r="EN461" s="105"/>
      <c r="EO461" s="105"/>
      <c r="EP461" s="105"/>
      <c r="EQ461" s="105"/>
      <c r="ER461" s="105"/>
      <c r="ES461" s="105"/>
      <c r="ET461" s="105"/>
      <c r="EU461" s="105"/>
      <c r="EV461" s="105"/>
      <c r="EW461" s="105"/>
      <c r="EX461" s="105"/>
      <c r="EY461" s="105"/>
      <c r="EZ461" s="105"/>
      <c r="FA461" s="105"/>
      <c r="FB461" s="105"/>
      <c r="FC461" s="105"/>
      <c r="FD461" s="105"/>
      <c r="FE461" s="105"/>
      <c r="FF461" s="105"/>
      <c r="FG461" s="105"/>
      <c r="FH461" s="105"/>
      <c r="FI461" s="105"/>
      <c r="FJ461" s="105"/>
      <c r="FK461" s="105"/>
      <c r="FL461" s="105"/>
      <c r="FM461" s="105"/>
      <c r="FN461" s="105"/>
      <c r="FO461" s="105"/>
      <c r="FP461" s="105"/>
      <c r="FQ461" s="105"/>
      <c r="FR461" s="105"/>
      <c r="FS461" s="105"/>
      <c r="FT461" s="105"/>
      <c r="FU461" s="105"/>
      <c r="FV461" s="105"/>
      <c r="FW461" s="105"/>
      <c r="FX461" s="105"/>
      <c r="FY461" s="105"/>
      <c r="FZ461" s="105"/>
      <c r="GA461" s="105"/>
      <c r="GB461" s="105"/>
      <c r="GC461" s="105"/>
      <c r="GD461" s="105"/>
      <c r="GE461" s="105"/>
      <c r="GF461" s="105"/>
      <c r="GG461" s="105"/>
      <c r="GH461" s="105"/>
      <c r="GI461" s="105"/>
      <c r="GJ461" s="105"/>
      <c r="GK461" s="105"/>
      <c r="GL461" s="105"/>
      <c r="GM461" s="105"/>
      <c r="GN461" s="105"/>
      <c r="GO461" s="105"/>
      <c r="GP461" s="105"/>
      <c r="GQ461" s="105"/>
      <c r="GR461" s="105"/>
      <c r="GS461" s="105"/>
      <c r="GT461" s="105"/>
      <c r="GU461" s="105"/>
      <c r="GV461" s="105"/>
      <c r="GW461" s="105"/>
      <c r="GX461" s="105"/>
      <c r="GY461" s="105"/>
      <c r="GZ461" s="105"/>
      <c r="HA461" s="105"/>
      <c r="HB461" s="105"/>
      <c r="HC461" s="105"/>
      <c r="HD461" s="105"/>
      <c r="HE461" s="105"/>
      <c r="HF461" s="105"/>
      <c r="HG461" s="105"/>
      <c r="HH461" s="105"/>
      <c r="HI461" s="105"/>
      <c r="HJ461" s="105"/>
      <c r="HK461" s="105"/>
      <c r="HL461" s="105"/>
      <c r="HM461" s="105"/>
      <c r="HN461" s="105"/>
      <c r="HO461" s="105"/>
      <c r="HP461" s="105"/>
      <c r="HQ461" s="105"/>
      <c r="HR461" s="105"/>
      <c r="HS461" s="105"/>
      <c r="HT461" s="105"/>
      <c r="HU461" s="105"/>
      <c r="HV461" s="105"/>
      <c r="HW461" s="105"/>
      <c r="HX461" s="105"/>
      <c r="HY461" s="105"/>
      <c r="HZ461" s="105"/>
      <c r="IA461" s="105"/>
      <c r="IB461" s="105"/>
      <c r="IC461" s="105"/>
      <c r="ID461" s="105"/>
      <c r="IE461" s="105"/>
      <c r="IF461" s="105"/>
      <c r="IG461" s="105"/>
      <c r="IH461" s="105"/>
      <c r="II461" s="105"/>
      <c r="IJ461" s="105"/>
      <c r="IK461" s="105"/>
      <c r="IL461" s="105"/>
      <c r="IM461" s="105"/>
      <c r="IN461" s="105"/>
      <c r="IO461" s="105"/>
      <c r="IP461" s="105"/>
      <c r="IQ461" s="105"/>
      <c r="IR461" s="105"/>
      <c r="IS461" s="105"/>
      <c r="IT461" s="105"/>
      <c r="IU461" s="105"/>
      <c r="IV461" s="105"/>
    </row>
    <row r="462" spans="1:256" s="419" customFormat="1" x14ac:dyDescent="0.2">
      <c r="A462" s="33">
        <v>44601</v>
      </c>
      <c r="B462" s="34" t="s">
        <v>163</v>
      </c>
      <c r="C462" s="34">
        <v>2022</v>
      </c>
      <c r="D462" s="34" t="s">
        <v>7</v>
      </c>
      <c r="E462" s="271">
        <v>-68.3</v>
      </c>
      <c r="F462" s="271" t="s">
        <v>33</v>
      </c>
      <c r="G462" s="272">
        <v>30735</v>
      </c>
      <c r="H462" s="273">
        <v>283</v>
      </c>
      <c r="I462" s="271" t="s">
        <v>80</v>
      </c>
      <c r="J462" s="271" t="s">
        <v>731</v>
      </c>
      <c r="K462" s="271">
        <v>863.3</v>
      </c>
      <c r="L462" s="271" t="s">
        <v>726</v>
      </c>
      <c r="M462" s="271" t="s">
        <v>1017</v>
      </c>
      <c r="N462" s="116" t="s">
        <v>1018</v>
      </c>
      <c r="O462" s="34"/>
      <c r="P462" s="34" t="s">
        <v>143</v>
      </c>
      <c r="Q462" s="773">
        <v>39.865000000000002</v>
      </c>
      <c r="R462" s="592">
        <v>-86.046999999999997</v>
      </c>
      <c r="S462" s="34" t="s">
        <v>63</v>
      </c>
      <c r="T462" s="34"/>
      <c r="U462" s="34" t="s">
        <v>51</v>
      </c>
      <c r="V462" s="33"/>
      <c r="W462" s="35">
        <f>IF(AC462="Intr",0,G462*Definitions!$B$53)</f>
        <v>4610.25</v>
      </c>
      <c r="X462" s="35">
        <f>IF(AC462="Intr",0,G462*Definitions!$B$54)</f>
        <v>21514.5</v>
      </c>
      <c r="Y462" s="35">
        <f>IF(AC462="Intr",G462,G462*Definitions!$B$55)</f>
        <v>4610.25</v>
      </c>
      <c r="Z462" s="35" t="s">
        <v>966</v>
      </c>
      <c r="AA462" s="35" t="s">
        <v>965</v>
      </c>
      <c r="AB462" s="35"/>
      <c r="AC462" s="34"/>
      <c r="AD462" s="34"/>
      <c r="AE462" s="34"/>
      <c r="AF462" s="34"/>
      <c r="AG462" s="36"/>
      <c r="AH462" s="120" t="s">
        <v>1020</v>
      </c>
      <c r="AI462" s="105"/>
      <c r="AJ462" s="105"/>
      <c r="AK462" s="105"/>
      <c r="AL462" s="105"/>
      <c r="AM462" s="105"/>
      <c r="AN462" s="105"/>
      <c r="AO462" s="105"/>
      <c r="AP462" s="105"/>
      <c r="AQ462" s="105"/>
      <c r="AR462" s="105"/>
      <c r="AS462" s="105"/>
      <c r="AT462" s="105"/>
      <c r="AU462" s="105"/>
      <c r="AV462" s="105"/>
      <c r="AW462" s="105"/>
      <c r="AX462" s="105"/>
      <c r="AY462" s="105"/>
      <c r="AZ462" s="105"/>
      <c r="BA462" s="105"/>
      <c r="BB462" s="105"/>
      <c r="BC462" s="105"/>
      <c r="BD462" s="105"/>
      <c r="BE462" s="105"/>
      <c r="BF462" s="105"/>
      <c r="BG462" s="105"/>
      <c r="BH462" s="105"/>
      <c r="BI462" s="105"/>
      <c r="BJ462" s="105"/>
      <c r="BK462" s="105"/>
      <c r="BL462" s="105"/>
      <c r="BM462" s="105"/>
      <c r="BN462" s="105"/>
      <c r="BO462" s="105"/>
      <c r="BP462" s="105"/>
      <c r="BQ462" s="105"/>
      <c r="BR462" s="105"/>
      <c r="BS462" s="105"/>
      <c r="BT462" s="105"/>
      <c r="BU462" s="105"/>
      <c r="BV462" s="105"/>
      <c r="BW462" s="105"/>
      <c r="BX462" s="105"/>
      <c r="BY462" s="105"/>
      <c r="BZ462" s="105"/>
      <c r="CA462" s="105"/>
      <c r="CB462" s="105"/>
      <c r="CC462" s="105"/>
      <c r="CD462" s="105"/>
      <c r="CE462" s="105"/>
      <c r="CF462" s="105"/>
      <c r="CG462" s="105"/>
      <c r="CH462" s="105"/>
      <c r="CI462" s="105"/>
      <c r="CJ462" s="105"/>
      <c r="CK462" s="105"/>
      <c r="CL462" s="105"/>
      <c r="CM462" s="105"/>
      <c r="CN462" s="105"/>
      <c r="CO462" s="105"/>
      <c r="CP462" s="105"/>
      <c r="CQ462" s="105"/>
      <c r="CR462" s="105"/>
      <c r="CS462" s="105"/>
      <c r="CT462" s="105"/>
      <c r="CU462" s="105"/>
      <c r="CV462" s="105"/>
      <c r="CW462" s="105"/>
      <c r="CX462" s="105"/>
      <c r="CY462" s="105"/>
      <c r="CZ462" s="105"/>
      <c r="DA462" s="105"/>
      <c r="DB462" s="105"/>
      <c r="DC462" s="105"/>
      <c r="DD462" s="105"/>
      <c r="DE462" s="105"/>
      <c r="DF462" s="105"/>
      <c r="DG462" s="105"/>
      <c r="DH462" s="105"/>
      <c r="DI462" s="105"/>
      <c r="DJ462" s="105"/>
      <c r="DK462" s="105"/>
      <c r="DL462" s="105"/>
      <c r="DM462" s="105"/>
      <c r="DN462" s="105"/>
      <c r="DO462" s="105"/>
      <c r="DP462" s="105"/>
      <c r="DQ462" s="105"/>
      <c r="DR462" s="105"/>
      <c r="DS462" s="105"/>
      <c r="DT462" s="105"/>
      <c r="DU462" s="105"/>
      <c r="DV462" s="105"/>
      <c r="DW462" s="105"/>
      <c r="DX462" s="105"/>
      <c r="DY462" s="105"/>
      <c r="DZ462" s="105"/>
      <c r="EA462" s="105"/>
      <c r="EB462" s="105"/>
      <c r="EC462" s="105"/>
      <c r="ED462" s="105"/>
      <c r="EE462" s="105"/>
      <c r="EF462" s="105"/>
      <c r="EG462" s="105"/>
      <c r="EH462" s="105"/>
      <c r="EI462" s="105"/>
      <c r="EJ462" s="105"/>
      <c r="EK462" s="105"/>
      <c r="EL462" s="105"/>
      <c r="EM462" s="105"/>
      <c r="EN462" s="105"/>
      <c r="EO462" s="105"/>
      <c r="EP462" s="105"/>
      <c r="EQ462" s="105"/>
      <c r="ER462" s="105"/>
      <c r="ES462" s="105"/>
      <c r="ET462" s="105"/>
      <c r="EU462" s="105"/>
      <c r="EV462" s="105"/>
      <c r="EW462" s="105"/>
      <c r="EX462" s="105"/>
      <c r="EY462" s="105"/>
      <c r="EZ462" s="105"/>
      <c r="FA462" s="105"/>
      <c r="FB462" s="105"/>
      <c r="FC462" s="105"/>
      <c r="FD462" s="105"/>
      <c r="FE462" s="105"/>
      <c r="FF462" s="105"/>
      <c r="FG462" s="105"/>
      <c r="FH462" s="105"/>
      <c r="FI462" s="105"/>
      <c r="FJ462" s="105"/>
      <c r="FK462" s="105"/>
      <c r="FL462" s="105"/>
      <c r="FM462" s="105"/>
      <c r="FN462" s="105"/>
      <c r="FO462" s="105"/>
      <c r="FP462" s="105"/>
      <c r="FQ462" s="105"/>
      <c r="FR462" s="105"/>
      <c r="FS462" s="105"/>
      <c r="FT462" s="105"/>
      <c r="FU462" s="105"/>
      <c r="FV462" s="105"/>
      <c r="FW462" s="105"/>
      <c r="FX462" s="105"/>
      <c r="FY462" s="105"/>
      <c r="FZ462" s="105"/>
      <c r="GA462" s="105"/>
      <c r="GB462" s="105"/>
      <c r="GC462" s="105"/>
      <c r="GD462" s="105"/>
      <c r="GE462" s="105"/>
      <c r="GF462" s="105"/>
      <c r="GG462" s="105"/>
      <c r="GH462" s="105"/>
      <c r="GI462" s="105"/>
      <c r="GJ462" s="105"/>
      <c r="GK462" s="105"/>
      <c r="GL462" s="105"/>
      <c r="GM462" s="105"/>
      <c r="GN462" s="105"/>
      <c r="GO462" s="105"/>
      <c r="GP462" s="105"/>
      <c r="GQ462" s="105"/>
      <c r="GR462" s="105"/>
      <c r="GS462" s="105"/>
      <c r="GT462" s="105"/>
      <c r="GU462" s="105"/>
      <c r="GV462" s="105"/>
      <c r="GW462" s="105"/>
      <c r="GX462" s="105"/>
      <c r="GY462" s="105"/>
      <c r="GZ462" s="105"/>
      <c r="HA462" s="105"/>
      <c r="HB462" s="105"/>
      <c r="HC462" s="105"/>
      <c r="HD462" s="105"/>
      <c r="HE462" s="105"/>
      <c r="HF462" s="105"/>
      <c r="HG462" s="105"/>
      <c r="HH462" s="105"/>
      <c r="HI462" s="105"/>
      <c r="HJ462" s="105"/>
      <c r="HK462" s="105"/>
      <c r="HL462" s="105"/>
      <c r="HM462" s="105"/>
      <c r="HN462" s="105"/>
      <c r="HO462" s="105"/>
      <c r="HP462" s="105"/>
      <c r="HQ462" s="105"/>
      <c r="HR462" s="105"/>
      <c r="HS462" s="105"/>
      <c r="HT462" s="105"/>
      <c r="HU462" s="105"/>
      <c r="HV462" s="105"/>
      <c r="HW462" s="105"/>
      <c r="HX462" s="105"/>
      <c r="HY462" s="105"/>
      <c r="HZ462" s="105"/>
      <c r="IA462" s="105"/>
      <c r="IB462" s="105"/>
      <c r="IC462" s="105"/>
      <c r="ID462" s="105"/>
      <c r="IE462" s="105"/>
      <c r="IF462" s="105"/>
      <c r="IG462" s="105"/>
      <c r="IH462" s="105"/>
      <c r="II462" s="105"/>
      <c r="IJ462" s="105"/>
      <c r="IK462" s="105"/>
      <c r="IL462" s="105"/>
      <c r="IM462" s="105"/>
      <c r="IN462" s="105"/>
      <c r="IO462" s="105"/>
      <c r="IP462" s="105"/>
      <c r="IQ462" s="105"/>
      <c r="IR462" s="105"/>
      <c r="IS462" s="105"/>
      <c r="IT462" s="105"/>
      <c r="IU462" s="105"/>
      <c r="IV462" s="105"/>
    </row>
    <row r="463" spans="1:256" x14ac:dyDescent="0.2">
      <c r="A463" s="33">
        <v>44601</v>
      </c>
      <c r="B463" s="34" t="s">
        <v>163</v>
      </c>
      <c r="C463" s="34">
        <v>2022</v>
      </c>
      <c r="D463" s="34" t="s">
        <v>7</v>
      </c>
      <c r="E463" s="271">
        <v>-4.0000000000000001E-3</v>
      </c>
      <c r="F463" s="271" t="s">
        <v>32</v>
      </c>
      <c r="G463" s="272">
        <v>320</v>
      </c>
      <c r="H463" s="273">
        <v>283</v>
      </c>
      <c r="I463" s="271" t="s">
        <v>80</v>
      </c>
      <c r="J463" s="271" t="s">
        <v>38</v>
      </c>
      <c r="K463" s="271">
        <v>1E-3</v>
      </c>
      <c r="L463" s="271" t="s">
        <v>726</v>
      </c>
      <c r="M463" s="271" t="s">
        <v>1017</v>
      </c>
      <c r="N463" s="116" t="s">
        <v>1018</v>
      </c>
      <c r="O463" s="34"/>
      <c r="P463" s="34" t="s">
        <v>143</v>
      </c>
      <c r="Q463" s="773">
        <v>39.865000000000002</v>
      </c>
      <c r="R463" s="592">
        <v>-86.046999999999997</v>
      </c>
      <c r="S463" s="34" t="s">
        <v>63</v>
      </c>
      <c r="T463" s="34"/>
      <c r="U463" s="34" t="s">
        <v>51</v>
      </c>
      <c r="V463" s="33"/>
      <c r="W463" s="35">
        <f>IF(AC463="Intr",0,G463*Definitions!$B$53)</f>
        <v>48</v>
      </c>
      <c r="X463" s="35">
        <f>IF(AC463="Intr",0,G463*Definitions!$B$54)</f>
        <v>224</v>
      </c>
      <c r="Y463" s="35">
        <f>IF(AC463="Intr",G463,G463*Definitions!$B$55)</f>
        <v>48</v>
      </c>
      <c r="Z463" s="35" t="s">
        <v>966</v>
      </c>
      <c r="AA463" s="35" t="s">
        <v>965</v>
      </c>
      <c r="AB463" s="35"/>
      <c r="AC463" s="34"/>
      <c r="AD463" s="34"/>
      <c r="AE463" s="34"/>
      <c r="AF463" s="34"/>
      <c r="AG463" s="36"/>
      <c r="AH463" s="120" t="s">
        <v>1021</v>
      </c>
    </row>
    <row r="464" spans="1:256" s="407" customFormat="1" x14ac:dyDescent="0.2">
      <c r="A464" s="307">
        <v>44602</v>
      </c>
      <c r="B464" s="308" t="s">
        <v>163</v>
      </c>
      <c r="C464" s="308">
        <v>2022</v>
      </c>
      <c r="D464" s="308" t="s">
        <v>9</v>
      </c>
      <c r="E464" s="309">
        <v>-1.2E-2</v>
      </c>
      <c r="F464" s="309" t="s">
        <v>32</v>
      </c>
      <c r="G464" s="310">
        <v>960</v>
      </c>
      <c r="H464" s="311">
        <v>277</v>
      </c>
      <c r="I464" s="309" t="s">
        <v>81</v>
      </c>
      <c r="J464" s="309" t="s">
        <v>36</v>
      </c>
      <c r="K464" s="309">
        <v>6.0000000000000001E-3</v>
      </c>
      <c r="L464" s="309" t="s">
        <v>987</v>
      </c>
      <c r="M464" s="309" t="s">
        <v>103</v>
      </c>
      <c r="N464" s="312" t="s">
        <v>1022</v>
      </c>
      <c r="O464" s="308"/>
      <c r="P464" s="308" t="s">
        <v>1023</v>
      </c>
      <c r="Q464" s="737">
        <v>38.724705999999998</v>
      </c>
      <c r="R464" s="651">
        <v>-86.672685999999999</v>
      </c>
      <c r="S464" s="308" t="s">
        <v>63</v>
      </c>
      <c r="T464" s="308"/>
      <c r="U464" s="308" t="s">
        <v>51</v>
      </c>
      <c r="V464" s="307"/>
      <c r="W464" s="313">
        <f>IF(AC464="Intr",0,G464*Definitions!$B$53)</f>
        <v>144</v>
      </c>
      <c r="X464" s="313">
        <f>IF(AC464="Intr",0,G464*Definitions!$B$54)</f>
        <v>672</v>
      </c>
      <c r="Y464" s="313">
        <f>IF(AC464="Intr",G464,G464*Definitions!$B$55)</f>
        <v>144</v>
      </c>
      <c r="Z464" s="308" t="s">
        <v>966</v>
      </c>
      <c r="AA464" s="308" t="s">
        <v>963</v>
      </c>
      <c r="AB464" s="308" t="s">
        <v>970</v>
      </c>
      <c r="AC464" s="308"/>
      <c r="AD464" s="308"/>
      <c r="AE464" s="308"/>
      <c r="AF464" s="308"/>
      <c r="AG464" s="314"/>
      <c r="AH464" s="316" t="s">
        <v>1024</v>
      </c>
      <c r="AI464" s="105"/>
      <c r="AJ464" s="105"/>
      <c r="AK464" s="105"/>
      <c r="AL464" s="105"/>
      <c r="AM464" s="105"/>
      <c r="AN464" s="105"/>
      <c r="AO464" s="105"/>
      <c r="AP464" s="105"/>
      <c r="AQ464" s="105"/>
      <c r="AR464" s="105"/>
      <c r="AS464" s="105"/>
      <c r="AT464" s="105"/>
      <c r="AU464" s="105"/>
      <c r="AV464" s="105"/>
      <c r="AW464" s="105"/>
      <c r="AX464" s="105"/>
      <c r="AY464" s="105"/>
      <c r="AZ464" s="105"/>
      <c r="BA464" s="105"/>
      <c r="BB464" s="105"/>
      <c r="BC464" s="105"/>
      <c r="BD464" s="105"/>
      <c r="BE464" s="105"/>
      <c r="BF464" s="105"/>
      <c r="BG464" s="105"/>
      <c r="BH464" s="105"/>
      <c r="BI464" s="105"/>
      <c r="BJ464" s="105"/>
      <c r="BK464" s="105"/>
      <c r="BL464" s="105"/>
      <c r="BM464" s="105"/>
      <c r="BN464" s="105"/>
      <c r="BO464" s="105"/>
      <c r="BP464" s="105"/>
      <c r="BQ464" s="105"/>
      <c r="BR464" s="105"/>
      <c r="BS464" s="105"/>
      <c r="BT464" s="105"/>
      <c r="BU464" s="105"/>
      <c r="BV464" s="105"/>
      <c r="BW464" s="105"/>
      <c r="BX464" s="105"/>
      <c r="BY464" s="105"/>
      <c r="BZ464" s="105"/>
      <c r="CA464" s="105"/>
      <c r="CB464" s="105"/>
      <c r="CC464" s="105"/>
      <c r="CD464" s="105"/>
      <c r="CE464" s="105"/>
      <c r="CF464" s="105"/>
      <c r="CG464" s="105"/>
      <c r="CH464" s="105"/>
      <c r="CI464" s="105"/>
      <c r="CJ464" s="105"/>
      <c r="CK464" s="105"/>
      <c r="CL464" s="105"/>
      <c r="CM464" s="105"/>
      <c r="CN464" s="105"/>
      <c r="CO464" s="105"/>
      <c r="CP464" s="105"/>
      <c r="CQ464" s="105"/>
      <c r="CR464" s="105"/>
      <c r="CS464" s="105"/>
      <c r="CT464" s="105"/>
      <c r="CU464" s="105"/>
      <c r="CV464" s="105"/>
      <c r="CW464" s="105"/>
      <c r="CX464" s="105"/>
      <c r="CY464" s="105"/>
      <c r="CZ464" s="105"/>
      <c r="DA464" s="105"/>
      <c r="DB464" s="105"/>
      <c r="DC464" s="105"/>
      <c r="DD464" s="105"/>
      <c r="DE464" s="105"/>
      <c r="DF464" s="105"/>
      <c r="DG464" s="105"/>
      <c r="DH464" s="105"/>
      <c r="DI464" s="105"/>
      <c r="DJ464" s="105"/>
      <c r="DK464" s="105"/>
      <c r="DL464" s="105"/>
      <c r="DM464" s="105"/>
      <c r="DN464" s="105"/>
      <c r="DO464" s="105"/>
      <c r="DP464" s="105"/>
      <c r="DQ464" s="105"/>
      <c r="DR464" s="105"/>
      <c r="DS464" s="105"/>
      <c r="DT464" s="105"/>
      <c r="DU464" s="105"/>
      <c r="DV464" s="105"/>
      <c r="DW464" s="105"/>
      <c r="DX464" s="105"/>
      <c r="DY464" s="105"/>
      <c r="DZ464" s="105"/>
      <c r="EA464" s="105"/>
      <c r="EB464" s="105"/>
      <c r="EC464" s="105"/>
      <c r="ED464" s="105"/>
      <c r="EE464" s="105"/>
      <c r="EF464" s="105"/>
      <c r="EG464" s="105"/>
      <c r="EH464" s="105"/>
      <c r="EI464" s="105"/>
      <c r="EJ464" s="105"/>
      <c r="EK464" s="105"/>
      <c r="EL464" s="105"/>
      <c r="EM464" s="105"/>
      <c r="EN464" s="105"/>
      <c r="EO464" s="105"/>
      <c r="EP464" s="105"/>
      <c r="EQ464" s="105"/>
      <c r="ER464" s="105"/>
      <c r="ES464" s="105"/>
      <c r="ET464" s="105"/>
      <c r="EU464" s="105"/>
      <c r="EV464" s="105"/>
      <c r="EW464" s="105"/>
      <c r="EX464" s="105"/>
      <c r="EY464" s="105"/>
      <c r="EZ464" s="105"/>
      <c r="FA464" s="105"/>
      <c r="FB464" s="105"/>
      <c r="FC464" s="105"/>
      <c r="FD464" s="105"/>
      <c r="FE464" s="105"/>
      <c r="FF464" s="105"/>
      <c r="FG464" s="105"/>
      <c r="FH464" s="105"/>
      <c r="FI464" s="105"/>
      <c r="FJ464" s="105"/>
      <c r="FK464" s="105"/>
      <c r="FL464" s="105"/>
      <c r="FM464" s="105"/>
      <c r="FN464" s="105"/>
      <c r="FO464" s="105"/>
      <c r="FP464" s="105"/>
      <c r="FQ464" s="105"/>
      <c r="FR464" s="105"/>
      <c r="FS464" s="105"/>
      <c r="FT464" s="105"/>
      <c r="FU464" s="105"/>
      <c r="FV464" s="105"/>
      <c r="FW464" s="105"/>
      <c r="FX464" s="105"/>
      <c r="FY464" s="105"/>
      <c r="FZ464" s="105"/>
      <c r="GA464" s="105"/>
      <c r="GB464" s="105"/>
      <c r="GC464" s="105"/>
      <c r="GD464" s="105"/>
      <c r="GE464" s="105"/>
      <c r="GF464" s="105"/>
      <c r="GG464" s="105"/>
      <c r="GH464" s="105"/>
      <c r="GI464" s="105"/>
      <c r="GJ464" s="105"/>
      <c r="GK464" s="105"/>
      <c r="GL464" s="105"/>
      <c r="GM464" s="105"/>
      <c r="GN464" s="105"/>
      <c r="GO464" s="105"/>
      <c r="GP464" s="105"/>
      <c r="GQ464" s="105"/>
      <c r="GR464" s="105"/>
      <c r="GS464" s="105"/>
      <c r="GT464" s="105"/>
      <c r="GU464" s="105"/>
      <c r="GV464" s="105"/>
      <c r="GW464" s="105"/>
      <c r="GX464" s="105"/>
      <c r="GY464" s="105"/>
      <c r="GZ464" s="105"/>
      <c r="HA464" s="105"/>
      <c r="HB464" s="105"/>
      <c r="HC464" s="105"/>
      <c r="HD464" s="105"/>
      <c r="HE464" s="105"/>
      <c r="HF464" s="105"/>
      <c r="HG464" s="105"/>
      <c r="HH464" s="105"/>
      <c r="HI464" s="105"/>
      <c r="HJ464" s="105"/>
      <c r="HK464" s="105"/>
      <c r="HL464" s="105"/>
      <c r="HM464" s="105"/>
      <c r="HN464" s="105"/>
      <c r="HO464" s="105"/>
      <c r="HP464" s="105"/>
      <c r="HQ464" s="105"/>
      <c r="HR464" s="105"/>
      <c r="HS464" s="105"/>
      <c r="HT464" s="105"/>
      <c r="HU464" s="105"/>
      <c r="HV464" s="105"/>
      <c r="HW464" s="105"/>
      <c r="HX464" s="105"/>
      <c r="HY464" s="105"/>
      <c r="HZ464" s="105"/>
      <c r="IA464" s="105"/>
      <c r="IB464" s="105"/>
      <c r="IC464" s="105"/>
      <c r="ID464" s="105"/>
      <c r="IE464" s="105"/>
      <c r="IF464" s="105"/>
      <c r="IG464" s="105"/>
      <c r="IH464" s="105"/>
      <c r="II464" s="105"/>
      <c r="IJ464" s="105"/>
      <c r="IK464" s="105"/>
      <c r="IL464" s="105"/>
      <c r="IM464" s="105"/>
      <c r="IN464" s="105"/>
      <c r="IO464" s="105"/>
      <c r="IP464" s="105"/>
      <c r="IQ464" s="105"/>
      <c r="IR464" s="105"/>
      <c r="IS464" s="105"/>
      <c r="IT464" s="105"/>
      <c r="IU464" s="105"/>
      <c r="IV464" s="105"/>
    </row>
    <row r="465" spans="1:256" s="407" customFormat="1" x14ac:dyDescent="0.2">
      <c r="A465" s="307">
        <v>44602</v>
      </c>
      <c r="B465" s="308" t="s">
        <v>163</v>
      </c>
      <c r="C465" s="308">
        <v>2022</v>
      </c>
      <c r="D465" s="308" t="s">
        <v>9</v>
      </c>
      <c r="E465" s="309">
        <v>-1.2E-2</v>
      </c>
      <c r="F465" s="309" t="s">
        <v>32</v>
      </c>
      <c r="G465" s="310">
        <v>960</v>
      </c>
      <c r="H465" s="311">
        <v>277</v>
      </c>
      <c r="I465" s="309" t="s">
        <v>81</v>
      </c>
      <c r="J465" s="309" t="s">
        <v>37</v>
      </c>
      <c r="K465" s="309">
        <v>6.0000000000000001E-3</v>
      </c>
      <c r="L465" s="309" t="s">
        <v>726</v>
      </c>
      <c r="M465" s="309" t="s">
        <v>103</v>
      </c>
      <c r="N465" s="312" t="s">
        <v>1022</v>
      </c>
      <c r="O465" s="308"/>
      <c r="P465" s="308" t="s">
        <v>1023</v>
      </c>
      <c r="Q465" s="737">
        <v>38.724705999999998</v>
      </c>
      <c r="R465" s="651">
        <v>-86.672685999999999</v>
      </c>
      <c r="S465" s="308" t="s">
        <v>63</v>
      </c>
      <c r="T465" s="308"/>
      <c r="U465" s="308" t="s">
        <v>51</v>
      </c>
      <c r="V465" s="307"/>
      <c r="W465" s="313">
        <f>IF(AC465="Intr",0,G465*Definitions!$B$53)</f>
        <v>144</v>
      </c>
      <c r="X465" s="313">
        <f>IF(AC465="Intr",0,G465*Definitions!$B$54)</f>
        <v>672</v>
      </c>
      <c r="Y465" s="313">
        <f>IF(AC465="Intr",G465,G465*Definitions!$B$55)</f>
        <v>144</v>
      </c>
      <c r="Z465" s="308" t="s">
        <v>966</v>
      </c>
      <c r="AA465" s="308" t="s">
        <v>963</v>
      </c>
      <c r="AB465" s="308" t="s">
        <v>970</v>
      </c>
      <c r="AC465" s="308"/>
      <c r="AD465" s="308"/>
      <c r="AE465" s="308"/>
      <c r="AF465" s="308"/>
      <c r="AG465" s="314"/>
      <c r="AH465" s="316" t="s">
        <v>1024</v>
      </c>
      <c r="AI465" s="105"/>
      <c r="AJ465" s="105"/>
      <c r="AK465" s="105"/>
      <c r="AL465" s="105"/>
      <c r="AM465" s="105"/>
      <c r="AN465" s="105"/>
      <c r="AO465" s="105"/>
      <c r="AP465" s="105"/>
      <c r="AQ465" s="105"/>
      <c r="AR465" s="105"/>
      <c r="AS465" s="105"/>
      <c r="AT465" s="105"/>
      <c r="AU465" s="105"/>
      <c r="AV465" s="105"/>
      <c r="AW465" s="105"/>
      <c r="AX465" s="105"/>
      <c r="AY465" s="105"/>
      <c r="AZ465" s="105"/>
      <c r="BA465" s="105"/>
      <c r="BB465" s="105"/>
      <c r="BC465" s="105"/>
      <c r="BD465" s="105"/>
      <c r="BE465" s="105"/>
      <c r="BF465" s="105"/>
      <c r="BG465" s="105"/>
      <c r="BH465" s="105"/>
      <c r="BI465" s="105"/>
      <c r="BJ465" s="105"/>
      <c r="BK465" s="105"/>
      <c r="BL465" s="105"/>
      <c r="BM465" s="105"/>
      <c r="BN465" s="105"/>
      <c r="BO465" s="105"/>
      <c r="BP465" s="105"/>
      <c r="BQ465" s="105"/>
      <c r="BR465" s="105"/>
      <c r="BS465" s="105"/>
      <c r="BT465" s="105"/>
      <c r="BU465" s="105"/>
      <c r="BV465" s="105"/>
      <c r="BW465" s="105"/>
      <c r="BX465" s="105"/>
      <c r="BY465" s="105"/>
      <c r="BZ465" s="105"/>
      <c r="CA465" s="105"/>
      <c r="CB465" s="105"/>
      <c r="CC465" s="105"/>
      <c r="CD465" s="105"/>
      <c r="CE465" s="105"/>
      <c r="CF465" s="105"/>
      <c r="CG465" s="105"/>
      <c r="CH465" s="105"/>
      <c r="CI465" s="105"/>
      <c r="CJ465" s="105"/>
      <c r="CK465" s="105"/>
      <c r="CL465" s="105"/>
      <c r="CM465" s="105"/>
      <c r="CN465" s="105"/>
      <c r="CO465" s="105"/>
      <c r="CP465" s="105"/>
      <c r="CQ465" s="105"/>
      <c r="CR465" s="105"/>
      <c r="CS465" s="105"/>
      <c r="CT465" s="105"/>
      <c r="CU465" s="105"/>
      <c r="CV465" s="105"/>
      <c r="CW465" s="105"/>
      <c r="CX465" s="105"/>
      <c r="CY465" s="105"/>
      <c r="CZ465" s="105"/>
      <c r="DA465" s="105"/>
      <c r="DB465" s="105"/>
      <c r="DC465" s="105"/>
      <c r="DD465" s="105"/>
      <c r="DE465" s="105"/>
      <c r="DF465" s="105"/>
      <c r="DG465" s="105"/>
      <c r="DH465" s="105"/>
      <c r="DI465" s="105"/>
      <c r="DJ465" s="105"/>
      <c r="DK465" s="105"/>
      <c r="DL465" s="105"/>
      <c r="DM465" s="105"/>
      <c r="DN465" s="105"/>
      <c r="DO465" s="105"/>
      <c r="DP465" s="105"/>
      <c r="DQ465" s="105"/>
      <c r="DR465" s="105"/>
      <c r="DS465" s="105"/>
      <c r="DT465" s="105"/>
      <c r="DU465" s="105"/>
      <c r="DV465" s="105"/>
      <c r="DW465" s="105"/>
      <c r="DX465" s="105"/>
      <c r="DY465" s="105"/>
      <c r="DZ465" s="105"/>
      <c r="EA465" s="105"/>
      <c r="EB465" s="105"/>
      <c r="EC465" s="105"/>
      <c r="ED465" s="105"/>
      <c r="EE465" s="105"/>
      <c r="EF465" s="105"/>
      <c r="EG465" s="105"/>
      <c r="EH465" s="105"/>
      <c r="EI465" s="105"/>
      <c r="EJ465" s="105"/>
      <c r="EK465" s="105"/>
      <c r="EL465" s="105"/>
      <c r="EM465" s="105"/>
      <c r="EN465" s="105"/>
      <c r="EO465" s="105"/>
      <c r="EP465" s="105"/>
      <c r="EQ465" s="105"/>
      <c r="ER465" s="105"/>
      <c r="ES465" s="105"/>
      <c r="ET465" s="105"/>
      <c r="EU465" s="105"/>
      <c r="EV465" s="105"/>
      <c r="EW465" s="105"/>
      <c r="EX465" s="105"/>
      <c r="EY465" s="105"/>
      <c r="EZ465" s="105"/>
      <c r="FA465" s="105"/>
      <c r="FB465" s="105"/>
      <c r="FC465" s="105"/>
      <c r="FD465" s="105"/>
      <c r="FE465" s="105"/>
      <c r="FF465" s="105"/>
      <c r="FG465" s="105"/>
      <c r="FH465" s="105"/>
      <c r="FI465" s="105"/>
      <c r="FJ465" s="105"/>
      <c r="FK465" s="105"/>
      <c r="FL465" s="105"/>
      <c r="FM465" s="105"/>
      <c r="FN465" s="105"/>
      <c r="FO465" s="105"/>
      <c r="FP465" s="105"/>
      <c r="FQ465" s="105"/>
      <c r="FR465" s="105"/>
      <c r="FS465" s="105"/>
      <c r="FT465" s="105"/>
      <c r="FU465" s="105"/>
      <c r="FV465" s="105"/>
      <c r="FW465" s="105"/>
      <c r="FX465" s="105"/>
      <c r="FY465" s="105"/>
      <c r="FZ465" s="105"/>
      <c r="GA465" s="105"/>
      <c r="GB465" s="105"/>
      <c r="GC465" s="105"/>
      <c r="GD465" s="105"/>
      <c r="GE465" s="105"/>
      <c r="GF465" s="105"/>
      <c r="GG465" s="105"/>
      <c r="GH465" s="105"/>
      <c r="GI465" s="105"/>
      <c r="GJ465" s="105"/>
      <c r="GK465" s="105"/>
      <c r="GL465" s="105"/>
      <c r="GM465" s="105"/>
      <c r="GN465" s="105"/>
      <c r="GO465" s="105"/>
      <c r="GP465" s="105"/>
      <c r="GQ465" s="105"/>
      <c r="GR465" s="105"/>
      <c r="GS465" s="105"/>
      <c r="GT465" s="105"/>
      <c r="GU465" s="105"/>
      <c r="GV465" s="105"/>
      <c r="GW465" s="105"/>
      <c r="GX465" s="105"/>
      <c r="GY465" s="105"/>
      <c r="GZ465" s="105"/>
      <c r="HA465" s="105"/>
      <c r="HB465" s="105"/>
      <c r="HC465" s="105"/>
      <c r="HD465" s="105"/>
      <c r="HE465" s="105"/>
      <c r="HF465" s="105"/>
      <c r="HG465" s="105"/>
      <c r="HH465" s="105"/>
      <c r="HI465" s="105"/>
      <c r="HJ465" s="105"/>
      <c r="HK465" s="105"/>
      <c r="HL465" s="105"/>
      <c r="HM465" s="105"/>
      <c r="HN465" s="105"/>
      <c r="HO465" s="105"/>
      <c r="HP465" s="105"/>
      <c r="HQ465" s="105"/>
      <c r="HR465" s="105"/>
      <c r="HS465" s="105"/>
      <c r="HT465" s="105"/>
      <c r="HU465" s="105"/>
      <c r="HV465" s="105"/>
      <c r="HW465" s="105"/>
      <c r="HX465" s="105"/>
      <c r="HY465" s="105"/>
      <c r="HZ465" s="105"/>
      <c r="IA465" s="105"/>
      <c r="IB465" s="105"/>
      <c r="IC465" s="105"/>
      <c r="ID465" s="105"/>
      <c r="IE465" s="105"/>
      <c r="IF465" s="105"/>
      <c r="IG465" s="105"/>
      <c r="IH465" s="105"/>
      <c r="II465" s="105"/>
      <c r="IJ465" s="105"/>
      <c r="IK465" s="105"/>
      <c r="IL465" s="105"/>
      <c r="IM465" s="105"/>
      <c r="IN465" s="105"/>
      <c r="IO465" s="105"/>
      <c r="IP465" s="105"/>
      <c r="IQ465" s="105"/>
      <c r="IR465" s="105"/>
      <c r="IS465" s="105"/>
      <c r="IT465" s="105"/>
      <c r="IU465" s="105"/>
      <c r="IV465" s="105"/>
    </row>
    <row r="466" spans="1:256" s="410" customFormat="1" x14ac:dyDescent="0.2">
      <c r="A466" s="307">
        <v>44602</v>
      </c>
      <c r="B466" s="308" t="s">
        <v>163</v>
      </c>
      <c r="C466" s="308">
        <v>2022</v>
      </c>
      <c r="D466" s="308" t="s">
        <v>9</v>
      </c>
      <c r="E466" s="309">
        <v>-0.1</v>
      </c>
      <c r="F466" s="309" t="s">
        <v>32</v>
      </c>
      <c r="G466" s="310">
        <v>8000</v>
      </c>
      <c r="H466" s="311">
        <v>277</v>
      </c>
      <c r="I466" s="309" t="s">
        <v>81</v>
      </c>
      <c r="J466" s="309" t="s">
        <v>38</v>
      </c>
      <c r="K466" s="309">
        <v>0.04</v>
      </c>
      <c r="L466" s="309" t="s">
        <v>726</v>
      </c>
      <c r="M466" s="309" t="s">
        <v>103</v>
      </c>
      <c r="N466" s="312" t="s">
        <v>1022</v>
      </c>
      <c r="O466" s="308"/>
      <c r="P466" s="308" t="s">
        <v>1023</v>
      </c>
      <c r="Q466" s="737">
        <v>38.724705999999998</v>
      </c>
      <c r="R466" s="651">
        <v>-86.672685999999999</v>
      </c>
      <c r="S466" s="308" t="s">
        <v>63</v>
      </c>
      <c r="T466" s="308"/>
      <c r="U466" s="308" t="s">
        <v>51</v>
      </c>
      <c r="V466" s="307"/>
      <c r="W466" s="313">
        <f>IF(AC466="Intr",0,G466*Definitions!$B$53)</f>
        <v>1200</v>
      </c>
      <c r="X466" s="313">
        <f>IF(AC466="Intr",0,G466*Definitions!$B$54)</f>
        <v>5600</v>
      </c>
      <c r="Y466" s="313">
        <f>IF(AC466="Intr",G466,G466*Definitions!$B$55)</f>
        <v>1200</v>
      </c>
      <c r="Z466" s="308" t="s">
        <v>966</v>
      </c>
      <c r="AA466" s="308" t="s">
        <v>963</v>
      </c>
      <c r="AB466" s="308" t="s">
        <v>1245</v>
      </c>
      <c r="AC466" s="308"/>
      <c r="AD466" s="308"/>
      <c r="AE466" s="308"/>
      <c r="AF466" s="308"/>
      <c r="AG466" s="314"/>
      <c r="AH466" s="316" t="s">
        <v>1024</v>
      </c>
      <c r="AI466" s="105"/>
      <c r="AJ466" s="105"/>
      <c r="AK466" s="105"/>
      <c r="AL466" s="105"/>
      <c r="AM466" s="105"/>
      <c r="AN466" s="105"/>
      <c r="AO466" s="105"/>
      <c r="AP466" s="105"/>
      <c r="AQ466" s="105"/>
      <c r="AR466" s="105"/>
      <c r="AS466" s="105"/>
      <c r="AT466" s="105"/>
      <c r="AU466" s="105"/>
      <c r="AV466" s="105"/>
      <c r="AW466" s="105"/>
      <c r="AX466" s="105"/>
      <c r="AY466" s="105"/>
      <c r="AZ466" s="105"/>
      <c r="BA466" s="105"/>
      <c r="BB466" s="105"/>
      <c r="BC466" s="105"/>
      <c r="BD466" s="105"/>
      <c r="BE466" s="105"/>
      <c r="BF466" s="105"/>
      <c r="BG466" s="105"/>
      <c r="BH466" s="105"/>
      <c r="BI466" s="105"/>
      <c r="BJ466" s="105"/>
      <c r="BK466" s="105"/>
      <c r="BL466" s="105"/>
      <c r="BM466" s="105"/>
      <c r="BN466" s="105"/>
      <c r="BO466" s="105"/>
      <c r="BP466" s="105"/>
      <c r="BQ466" s="105"/>
      <c r="BR466" s="105"/>
      <c r="BS466" s="105"/>
      <c r="BT466" s="105"/>
      <c r="BU466" s="105"/>
      <c r="BV466" s="105"/>
      <c r="BW466" s="105"/>
      <c r="BX466" s="105"/>
      <c r="BY466" s="105"/>
      <c r="BZ466" s="105"/>
      <c r="CA466" s="105"/>
      <c r="CB466" s="105"/>
      <c r="CC466" s="105"/>
      <c r="CD466" s="105"/>
      <c r="CE466" s="105"/>
      <c r="CF466" s="105"/>
      <c r="CG466" s="105"/>
      <c r="CH466" s="105"/>
      <c r="CI466" s="105"/>
      <c r="CJ466" s="105"/>
      <c r="CK466" s="105"/>
      <c r="CL466" s="105"/>
      <c r="CM466" s="105"/>
      <c r="CN466" s="105"/>
      <c r="CO466" s="105"/>
      <c r="CP466" s="105"/>
      <c r="CQ466" s="105"/>
      <c r="CR466" s="105"/>
      <c r="CS466" s="105"/>
      <c r="CT466" s="105"/>
      <c r="CU466" s="105"/>
      <c r="CV466" s="105"/>
      <c r="CW466" s="105"/>
      <c r="CX466" s="105"/>
      <c r="CY466" s="105"/>
      <c r="CZ466" s="105"/>
      <c r="DA466" s="105"/>
      <c r="DB466" s="105"/>
      <c r="DC466" s="105"/>
      <c r="DD466" s="105"/>
      <c r="DE466" s="105"/>
      <c r="DF466" s="105"/>
      <c r="DG466" s="105"/>
      <c r="DH466" s="105"/>
      <c r="DI466" s="105"/>
      <c r="DJ466" s="105"/>
      <c r="DK466" s="105"/>
      <c r="DL466" s="105"/>
      <c r="DM466" s="105"/>
      <c r="DN466" s="105"/>
      <c r="DO466" s="105"/>
      <c r="DP466" s="105"/>
      <c r="DQ466" s="105"/>
      <c r="DR466" s="105"/>
      <c r="DS466" s="105"/>
      <c r="DT466" s="105"/>
      <c r="DU466" s="105"/>
      <c r="DV466" s="105"/>
      <c r="DW466" s="105"/>
      <c r="DX466" s="105"/>
      <c r="DY466" s="105"/>
      <c r="DZ466" s="105"/>
      <c r="EA466" s="105"/>
      <c r="EB466" s="105"/>
      <c r="EC466" s="105"/>
      <c r="ED466" s="105"/>
      <c r="EE466" s="105"/>
      <c r="EF466" s="105"/>
      <c r="EG466" s="105"/>
      <c r="EH466" s="105"/>
      <c r="EI466" s="105"/>
      <c r="EJ466" s="105"/>
      <c r="EK466" s="105"/>
      <c r="EL466" s="105"/>
      <c r="EM466" s="105"/>
      <c r="EN466" s="105"/>
      <c r="EO466" s="105"/>
      <c r="EP466" s="105"/>
      <c r="EQ466" s="105"/>
      <c r="ER466" s="105"/>
      <c r="ES466" s="105"/>
      <c r="ET466" s="105"/>
      <c r="EU466" s="105"/>
      <c r="EV466" s="105"/>
      <c r="EW466" s="105"/>
      <c r="EX466" s="105"/>
      <c r="EY466" s="105"/>
      <c r="EZ466" s="105"/>
      <c r="FA466" s="105"/>
      <c r="FB466" s="105"/>
      <c r="FC466" s="105"/>
      <c r="FD466" s="105"/>
      <c r="FE466" s="105"/>
      <c r="FF466" s="105"/>
      <c r="FG466" s="105"/>
      <c r="FH466" s="105"/>
      <c r="FI466" s="105"/>
      <c r="FJ466" s="105"/>
      <c r="FK466" s="105"/>
      <c r="FL466" s="105"/>
      <c r="FM466" s="105"/>
      <c r="FN466" s="105"/>
      <c r="FO466" s="105"/>
      <c r="FP466" s="105"/>
      <c r="FQ466" s="105"/>
      <c r="FR466" s="105"/>
      <c r="FS466" s="105"/>
      <c r="FT466" s="105"/>
      <c r="FU466" s="105"/>
      <c r="FV466" s="105"/>
      <c r="FW466" s="105"/>
      <c r="FX466" s="105"/>
      <c r="FY466" s="105"/>
      <c r="FZ466" s="105"/>
      <c r="GA466" s="105"/>
      <c r="GB466" s="105"/>
      <c r="GC466" s="105"/>
      <c r="GD466" s="105"/>
      <c r="GE466" s="105"/>
      <c r="GF466" s="105"/>
      <c r="GG466" s="105"/>
      <c r="GH466" s="105"/>
      <c r="GI466" s="105"/>
      <c r="GJ466" s="105"/>
      <c r="GK466" s="105"/>
      <c r="GL466" s="105"/>
      <c r="GM466" s="105"/>
      <c r="GN466" s="105"/>
      <c r="GO466" s="105"/>
      <c r="GP466" s="105"/>
      <c r="GQ466" s="105"/>
      <c r="GR466" s="105"/>
      <c r="GS466" s="105"/>
      <c r="GT466" s="105"/>
      <c r="GU466" s="105"/>
      <c r="GV466" s="105"/>
      <c r="GW466" s="105"/>
      <c r="GX466" s="105"/>
      <c r="GY466" s="105"/>
      <c r="GZ466" s="105"/>
      <c r="HA466" s="105"/>
      <c r="HB466" s="105"/>
      <c r="HC466" s="105"/>
      <c r="HD466" s="105"/>
      <c r="HE466" s="105"/>
      <c r="HF466" s="105"/>
      <c r="HG466" s="105"/>
      <c r="HH466" s="105"/>
      <c r="HI466" s="105"/>
      <c r="HJ466" s="105"/>
      <c r="HK466" s="105"/>
      <c r="HL466" s="105"/>
      <c r="HM466" s="105"/>
      <c r="HN466" s="105"/>
      <c r="HO466" s="105"/>
      <c r="HP466" s="105"/>
      <c r="HQ466" s="105"/>
      <c r="HR466" s="105"/>
      <c r="HS466" s="105"/>
      <c r="HT466" s="105"/>
      <c r="HU466" s="105"/>
      <c r="HV466" s="105"/>
      <c r="HW466" s="105"/>
      <c r="HX466" s="105"/>
      <c r="HY466" s="105"/>
      <c r="HZ466" s="105"/>
      <c r="IA466" s="105"/>
      <c r="IB466" s="105"/>
      <c r="IC466" s="105"/>
      <c r="ID466" s="105"/>
      <c r="IE466" s="105"/>
      <c r="IF466" s="105"/>
      <c r="IG466" s="105"/>
      <c r="IH466" s="105"/>
      <c r="II466" s="105"/>
      <c r="IJ466" s="105"/>
      <c r="IK466" s="105"/>
      <c r="IL466" s="105"/>
      <c r="IM466" s="105"/>
      <c r="IN466" s="105"/>
      <c r="IO466" s="105"/>
      <c r="IP466" s="105"/>
      <c r="IQ466" s="105"/>
      <c r="IR466" s="105"/>
      <c r="IS466" s="105"/>
      <c r="IT466" s="105"/>
      <c r="IU466" s="105"/>
      <c r="IV466" s="105"/>
    </row>
    <row r="467" spans="1:256" s="410" customFormat="1" x14ac:dyDescent="0.2">
      <c r="A467" s="168">
        <v>44617</v>
      </c>
      <c r="B467" s="169" t="s">
        <v>163</v>
      </c>
      <c r="C467" s="169">
        <v>2022</v>
      </c>
      <c r="D467" s="169" t="s">
        <v>1</v>
      </c>
      <c r="E467" s="170">
        <v>-2.5</v>
      </c>
      <c r="F467" s="170" t="s">
        <v>32</v>
      </c>
      <c r="G467" s="171">
        <v>237500</v>
      </c>
      <c r="H467" s="172">
        <v>286</v>
      </c>
      <c r="I467" s="170" t="s">
        <v>80</v>
      </c>
      <c r="J467" s="170" t="s">
        <v>36</v>
      </c>
      <c r="K467" s="170">
        <v>2.04</v>
      </c>
      <c r="L467" s="170" t="s">
        <v>696</v>
      </c>
      <c r="M467" s="170" t="s">
        <v>1028</v>
      </c>
      <c r="N467" s="173" t="s">
        <v>1029</v>
      </c>
      <c r="O467" s="169"/>
      <c r="P467" s="169" t="s">
        <v>227</v>
      </c>
      <c r="Q467" s="732">
        <v>41.573615420000003</v>
      </c>
      <c r="R467" s="646">
        <v>-87.518517250000002</v>
      </c>
      <c r="S467" s="169" t="s">
        <v>63</v>
      </c>
      <c r="T467" s="169"/>
      <c r="U467" s="169" t="s">
        <v>51</v>
      </c>
      <c r="V467" s="168"/>
      <c r="W467" s="174">
        <f>IF(AC467="Intr",0,G467*Definitions!$B$53)</f>
        <v>35625</v>
      </c>
      <c r="X467" s="174">
        <f>IF(AC467="Intr",0,G467*Definitions!$B$54)</f>
        <v>166250</v>
      </c>
      <c r="Y467" s="174">
        <f>IF(AC467="Intr",G467,G467*Definitions!$B$55)</f>
        <v>35625</v>
      </c>
      <c r="Z467" s="174" t="s">
        <v>967</v>
      </c>
      <c r="AA467" s="174" t="s">
        <v>965</v>
      </c>
      <c r="AB467" s="174"/>
      <c r="AC467" s="169"/>
      <c r="AD467" s="169"/>
      <c r="AE467" s="169"/>
      <c r="AF467" s="169"/>
      <c r="AG467" s="175"/>
      <c r="AH467" s="169"/>
      <c r="AI467" s="105"/>
      <c r="AJ467" s="105"/>
      <c r="AK467" s="105"/>
      <c r="AL467" s="105"/>
      <c r="AM467" s="105"/>
      <c r="AN467" s="105"/>
      <c r="AO467" s="105"/>
      <c r="AP467" s="105"/>
      <c r="AQ467" s="105"/>
      <c r="AR467" s="105"/>
      <c r="AS467" s="105"/>
      <c r="AT467" s="105"/>
      <c r="AU467" s="105"/>
      <c r="AV467" s="105"/>
      <c r="AW467" s="105"/>
      <c r="AX467" s="105"/>
      <c r="AY467" s="105"/>
      <c r="AZ467" s="105"/>
      <c r="BA467" s="105"/>
      <c r="BB467" s="105"/>
      <c r="BC467" s="105"/>
      <c r="BD467" s="105"/>
      <c r="BE467" s="105"/>
      <c r="BF467" s="105"/>
      <c r="BG467" s="105"/>
      <c r="BH467" s="105"/>
      <c r="BI467" s="105"/>
      <c r="BJ467" s="105"/>
      <c r="BK467" s="105"/>
      <c r="BL467" s="105"/>
      <c r="BM467" s="105"/>
      <c r="BN467" s="105"/>
      <c r="BO467" s="105"/>
      <c r="BP467" s="105"/>
      <c r="BQ467" s="105"/>
      <c r="BR467" s="105"/>
      <c r="BS467" s="105"/>
      <c r="BT467" s="105"/>
      <c r="BU467" s="105"/>
      <c r="BV467" s="105"/>
      <c r="BW467" s="105"/>
      <c r="BX467" s="105"/>
      <c r="BY467" s="105"/>
      <c r="BZ467" s="105"/>
      <c r="CA467" s="105"/>
      <c r="CB467" s="105"/>
      <c r="CC467" s="105"/>
      <c r="CD467" s="105"/>
      <c r="CE467" s="105"/>
      <c r="CF467" s="105"/>
      <c r="CG467" s="105"/>
      <c r="CH467" s="105"/>
      <c r="CI467" s="105"/>
      <c r="CJ467" s="105"/>
      <c r="CK467" s="105"/>
      <c r="CL467" s="105"/>
      <c r="CM467" s="105"/>
      <c r="CN467" s="105"/>
      <c r="CO467" s="105"/>
      <c r="CP467" s="105"/>
      <c r="CQ467" s="105"/>
      <c r="CR467" s="105"/>
      <c r="CS467" s="105"/>
      <c r="CT467" s="105"/>
      <c r="CU467" s="105"/>
      <c r="CV467" s="105"/>
      <c r="CW467" s="105"/>
      <c r="CX467" s="105"/>
      <c r="CY467" s="105"/>
      <c r="CZ467" s="105"/>
      <c r="DA467" s="105"/>
      <c r="DB467" s="105"/>
      <c r="DC467" s="105"/>
      <c r="DD467" s="105"/>
      <c r="DE467" s="105"/>
      <c r="DF467" s="105"/>
      <c r="DG467" s="105"/>
      <c r="DH467" s="105"/>
      <c r="DI467" s="105"/>
      <c r="DJ467" s="105"/>
      <c r="DK467" s="105"/>
      <c r="DL467" s="105"/>
      <c r="DM467" s="105"/>
      <c r="DN467" s="105"/>
      <c r="DO467" s="105"/>
      <c r="DP467" s="105"/>
      <c r="DQ467" s="105"/>
      <c r="DR467" s="105"/>
      <c r="DS467" s="105"/>
      <c r="DT467" s="105"/>
      <c r="DU467" s="105"/>
      <c r="DV467" s="105"/>
      <c r="DW467" s="105"/>
      <c r="DX467" s="105"/>
      <c r="DY467" s="105"/>
      <c r="DZ467" s="105"/>
      <c r="EA467" s="105"/>
      <c r="EB467" s="105"/>
      <c r="EC467" s="105"/>
      <c r="ED467" s="105"/>
      <c r="EE467" s="105"/>
      <c r="EF467" s="105"/>
      <c r="EG467" s="105"/>
      <c r="EH467" s="105"/>
      <c r="EI467" s="105"/>
      <c r="EJ467" s="105"/>
      <c r="EK467" s="105"/>
      <c r="EL467" s="105"/>
      <c r="EM467" s="105"/>
      <c r="EN467" s="105"/>
      <c r="EO467" s="105"/>
      <c r="EP467" s="105"/>
      <c r="EQ467" s="105"/>
      <c r="ER467" s="105"/>
      <c r="ES467" s="105"/>
      <c r="ET467" s="105"/>
      <c r="EU467" s="105"/>
      <c r="EV467" s="105"/>
      <c r="EW467" s="105"/>
      <c r="EX467" s="105"/>
      <c r="EY467" s="105"/>
      <c r="EZ467" s="105"/>
      <c r="FA467" s="105"/>
      <c r="FB467" s="105"/>
      <c r="FC467" s="105"/>
      <c r="FD467" s="105"/>
      <c r="FE467" s="105"/>
      <c r="FF467" s="105"/>
      <c r="FG467" s="105"/>
      <c r="FH467" s="105"/>
      <c r="FI467" s="105"/>
      <c r="FJ467" s="105"/>
      <c r="FK467" s="105"/>
      <c r="FL467" s="105"/>
      <c r="FM467" s="105"/>
      <c r="FN467" s="105"/>
      <c r="FO467" s="105"/>
      <c r="FP467" s="105"/>
      <c r="FQ467" s="105"/>
      <c r="FR467" s="105"/>
      <c r="FS467" s="105"/>
      <c r="FT467" s="105"/>
      <c r="FU467" s="105"/>
      <c r="FV467" s="105"/>
      <c r="FW467" s="105"/>
      <c r="FX467" s="105"/>
      <c r="FY467" s="105"/>
      <c r="FZ467" s="105"/>
      <c r="GA467" s="105"/>
      <c r="GB467" s="105"/>
      <c r="GC467" s="105"/>
      <c r="GD467" s="105"/>
      <c r="GE467" s="105"/>
      <c r="GF467" s="105"/>
      <c r="GG467" s="105"/>
      <c r="GH467" s="105"/>
      <c r="GI467" s="105"/>
      <c r="GJ467" s="105"/>
      <c r="GK467" s="105"/>
      <c r="GL467" s="105"/>
      <c r="GM467" s="105"/>
      <c r="GN467" s="105"/>
      <c r="GO467" s="105"/>
      <c r="GP467" s="105"/>
      <c r="GQ467" s="105"/>
      <c r="GR467" s="105"/>
      <c r="GS467" s="105"/>
      <c r="GT467" s="105"/>
      <c r="GU467" s="105"/>
      <c r="GV467" s="105"/>
      <c r="GW467" s="105"/>
      <c r="GX467" s="105"/>
      <c r="GY467" s="105"/>
      <c r="GZ467" s="105"/>
      <c r="HA467" s="105"/>
      <c r="HB467" s="105"/>
      <c r="HC467" s="105"/>
      <c r="HD467" s="105"/>
      <c r="HE467" s="105"/>
      <c r="HF467" s="105"/>
      <c r="HG467" s="105"/>
      <c r="HH467" s="105"/>
      <c r="HI467" s="105"/>
      <c r="HJ467" s="105"/>
      <c r="HK467" s="105"/>
      <c r="HL467" s="105"/>
      <c r="HM467" s="105"/>
      <c r="HN467" s="105"/>
      <c r="HO467" s="105"/>
      <c r="HP467" s="105"/>
      <c r="HQ467" s="105"/>
      <c r="HR467" s="105"/>
      <c r="HS467" s="105"/>
      <c r="HT467" s="105"/>
      <c r="HU467" s="105"/>
      <c r="HV467" s="105"/>
      <c r="HW467" s="105"/>
      <c r="HX467" s="105"/>
      <c r="HY467" s="105"/>
      <c r="HZ467" s="105"/>
      <c r="IA467" s="105"/>
      <c r="IB467" s="105"/>
      <c r="IC467" s="105"/>
      <c r="ID467" s="105"/>
      <c r="IE467" s="105"/>
      <c r="IF467" s="105"/>
      <c r="IG467" s="105"/>
      <c r="IH467" s="105"/>
      <c r="II467" s="105"/>
      <c r="IJ467" s="105"/>
      <c r="IK467" s="105"/>
      <c r="IL467" s="105"/>
      <c r="IM467" s="105"/>
      <c r="IN467" s="105"/>
      <c r="IO467" s="105"/>
      <c r="IP467" s="105"/>
      <c r="IQ467" s="105"/>
      <c r="IR467" s="105"/>
      <c r="IS467" s="105"/>
      <c r="IT467" s="105"/>
      <c r="IU467" s="105"/>
      <c r="IV467" s="105"/>
    </row>
    <row r="468" spans="1:256" s="410" customFormat="1" x14ac:dyDescent="0.2">
      <c r="A468" s="168">
        <v>44617</v>
      </c>
      <c r="B468" s="169" t="s">
        <v>163</v>
      </c>
      <c r="C468" s="169">
        <v>2022</v>
      </c>
      <c r="D468" s="169" t="s">
        <v>1</v>
      </c>
      <c r="E468" s="170">
        <v>-3.6</v>
      </c>
      <c r="F468" s="170" t="s">
        <v>32</v>
      </c>
      <c r="G468" s="171">
        <v>342000</v>
      </c>
      <c r="H468" s="172">
        <v>286</v>
      </c>
      <c r="I468" s="170" t="s">
        <v>80</v>
      </c>
      <c r="J468" s="170" t="s">
        <v>38</v>
      </c>
      <c r="K468" s="170">
        <v>1.02</v>
      </c>
      <c r="L468" s="170" t="s">
        <v>696</v>
      </c>
      <c r="M468" s="170" t="s">
        <v>1028</v>
      </c>
      <c r="N468" s="173" t="s">
        <v>1029</v>
      </c>
      <c r="O468" s="169"/>
      <c r="P468" s="169" t="s">
        <v>227</v>
      </c>
      <c r="Q468" s="820">
        <v>41.573615420000003</v>
      </c>
      <c r="R468" s="708">
        <v>-87.518517250000002</v>
      </c>
      <c r="S468" s="169" t="s">
        <v>63</v>
      </c>
      <c r="T468" s="169"/>
      <c r="U468" s="169" t="s">
        <v>51</v>
      </c>
      <c r="V468" s="168"/>
      <c r="W468" s="174">
        <f>IF(AC468="Intr",0,G468*Definitions!$B$53)</f>
        <v>51300</v>
      </c>
      <c r="X468" s="174">
        <f>IF(AC468="Intr",0,G468*Definitions!$B$54)</f>
        <v>239399.99999999997</v>
      </c>
      <c r="Y468" s="174">
        <f>IF(AC468="Intr",G468,G468*Definitions!$B$55)</f>
        <v>51300</v>
      </c>
      <c r="Z468" s="174" t="s">
        <v>967</v>
      </c>
      <c r="AA468" s="174" t="s">
        <v>965</v>
      </c>
      <c r="AB468" s="174"/>
      <c r="AC468" s="169"/>
      <c r="AD468" s="169"/>
      <c r="AE468" s="169"/>
      <c r="AF468" s="169"/>
      <c r="AG468" s="175"/>
      <c r="AH468" s="169"/>
      <c r="AI468" s="105"/>
      <c r="AJ468" s="105"/>
      <c r="AK468" s="105"/>
      <c r="AL468" s="105"/>
      <c r="AM468" s="105"/>
      <c r="AN468" s="105"/>
      <c r="AO468" s="105"/>
      <c r="AP468" s="105"/>
      <c r="AQ468" s="105"/>
      <c r="AR468" s="105"/>
      <c r="AS468" s="105"/>
      <c r="AT468" s="105"/>
      <c r="AU468" s="105"/>
      <c r="AV468" s="105"/>
      <c r="AW468" s="105"/>
      <c r="AX468" s="105"/>
      <c r="AY468" s="105"/>
      <c r="AZ468" s="105"/>
      <c r="BA468" s="105"/>
      <c r="BB468" s="105"/>
      <c r="BC468" s="105"/>
      <c r="BD468" s="105"/>
      <c r="BE468" s="105"/>
      <c r="BF468" s="105"/>
      <c r="BG468" s="105"/>
      <c r="BH468" s="105"/>
      <c r="BI468" s="105"/>
      <c r="BJ468" s="105"/>
      <c r="BK468" s="105"/>
      <c r="BL468" s="105"/>
      <c r="BM468" s="105"/>
      <c r="BN468" s="105"/>
      <c r="BO468" s="105"/>
      <c r="BP468" s="105"/>
      <c r="BQ468" s="105"/>
      <c r="BR468" s="105"/>
      <c r="BS468" s="105"/>
      <c r="BT468" s="105"/>
      <c r="BU468" s="105"/>
      <c r="BV468" s="105"/>
      <c r="BW468" s="105"/>
      <c r="BX468" s="105"/>
      <c r="BY468" s="105"/>
      <c r="BZ468" s="105"/>
      <c r="CA468" s="105"/>
      <c r="CB468" s="105"/>
      <c r="CC468" s="105"/>
      <c r="CD468" s="105"/>
      <c r="CE468" s="105"/>
      <c r="CF468" s="105"/>
      <c r="CG468" s="105"/>
      <c r="CH468" s="105"/>
      <c r="CI468" s="105"/>
      <c r="CJ468" s="105"/>
      <c r="CK468" s="105"/>
      <c r="CL468" s="105"/>
      <c r="CM468" s="105"/>
      <c r="CN468" s="105"/>
      <c r="CO468" s="105"/>
      <c r="CP468" s="105"/>
      <c r="CQ468" s="105"/>
      <c r="CR468" s="105"/>
      <c r="CS468" s="105"/>
      <c r="CT468" s="105"/>
      <c r="CU468" s="105"/>
      <c r="CV468" s="105"/>
      <c r="CW468" s="105"/>
      <c r="CX468" s="105"/>
      <c r="CY468" s="105"/>
      <c r="CZ468" s="105"/>
      <c r="DA468" s="105"/>
      <c r="DB468" s="105"/>
      <c r="DC468" s="105"/>
      <c r="DD468" s="105"/>
      <c r="DE468" s="105"/>
      <c r="DF468" s="105"/>
      <c r="DG468" s="105"/>
      <c r="DH468" s="105"/>
      <c r="DI468" s="105"/>
      <c r="DJ468" s="105"/>
      <c r="DK468" s="105"/>
      <c r="DL468" s="105"/>
      <c r="DM468" s="105"/>
      <c r="DN468" s="105"/>
      <c r="DO468" s="105"/>
      <c r="DP468" s="105"/>
      <c r="DQ468" s="105"/>
      <c r="DR468" s="105"/>
      <c r="DS468" s="105"/>
      <c r="DT468" s="105"/>
      <c r="DU468" s="105"/>
      <c r="DV468" s="105"/>
      <c r="DW468" s="105"/>
      <c r="DX468" s="105"/>
      <c r="DY468" s="105"/>
      <c r="DZ468" s="105"/>
      <c r="EA468" s="105"/>
      <c r="EB468" s="105"/>
      <c r="EC468" s="105"/>
      <c r="ED468" s="105"/>
      <c r="EE468" s="105"/>
      <c r="EF468" s="105"/>
      <c r="EG468" s="105"/>
      <c r="EH468" s="105"/>
      <c r="EI468" s="105"/>
      <c r="EJ468" s="105"/>
      <c r="EK468" s="105"/>
      <c r="EL468" s="105"/>
      <c r="EM468" s="105"/>
      <c r="EN468" s="105"/>
      <c r="EO468" s="105"/>
      <c r="EP468" s="105"/>
      <c r="EQ468" s="105"/>
      <c r="ER468" s="105"/>
      <c r="ES468" s="105"/>
      <c r="ET468" s="105"/>
      <c r="EU468" s="105"/>
      <c r="EV468" s="105"/>
      <c r="EW468" s="105"/>
      <c r="EX468" s="105"/>
      <c r="EY468" s="105"/>
      <c r="EZ468" s="105"/>
      <c r="FA468" s="105"/>
      <c r="FB468" s="105"/>
      <c r="FC468" s="105"/>
      <c r="FD468" s="105"/>
      <c r="FE468" s="105"/>
      <c r="FF468" s="105"/>
      <c r="FG468" s="105"/>
      <c r="FH468" s="105"/>
      <c r="FI468" s="105"/>
      <c r="FJ468" s="105"/>
      <c r="FK468" s="105"/>
      <c r="FL468" s="105"/>
      <c r="FM468" s="105"/>
      <c r="FN468" s="105"/>
      <c r="FO468" s="105"/>
      <c r="FP468" s="105"/>
      <c r="FQ468" s="105"/>
      <c r="FR468" s="105"/>
      <c r="FS468" s="105"/>
      <c r="FT468" s="105"/>
      <c r="FU468" s="105"/>
      <c r="FV468" s="105"/>
      <c r="FW468" s="105"/>
      <c r="FX468" s="105"/>
      <c r="FY468" s="105"/>
      <c r="FZ468" s="105"/>
      <c r="GA468" s="105"/>
      <c r="GB468" s="105"/>
      <c r="GC468" s="105"/>
      <c r="GD468" s="105"/>
      <c r="GE468" s="105"/>
      <c r="GF468" s="105"/>
      <c r="GG468" s="105"/>
      <c r="GH468" s="105"/>
      <c r="GI468" s="105"/>
      <c r="GJ468" s="105"/>
      <c r="GK468" s="105"/>
      <c r="GL468" s="105"/>
      <c r="GM468" s="105"/>
      <c r="GN468" s="105"/>
      <c r="GO468" s="105"/>
      <c r="GP468" s="105"/>
      <c r="GQ468" s="105"/>
      <c r="GR468" s="105"/>
      <c r="GS468" s="105"/>
      <c r="GT468" s="105"/>
      <c r="GU468" s="105"/>
      <c r="GV468" s="105"/>
      <c r="GW468" s="105"/>
      <c r="GX468" s="105"/>
      <c r="GY468" s="105"/>
      <c r="GZ468" s="105"/>
      <c r="HA468" s="105"/>
      <c r="HB468" s="105"/>
      <c r="HC468" s="105"/>
      <c r="HD468" s="105"/>
      <c r="HE468" s="105"/>
      <c r="HF468" s="105"/>
      <c r="HG468" s="105"/>
      <c r="HH468" s="105"/>
      <c r="HI468" s="105"/>
      <c r="HJ468" s="105"/>
      <c r="HK468" s="105"/>
      <c r="HL468" s="105"/>
      <c r="HM468" s="105"/>
      <c r="HN468" s="105"/>
      <c r="HO468" s="105"/>
      <c r="HP468" s="105"/>
      <c r="HQ468" s="105"/>
      <c r="HR468" s="105"/>
      <c r="HS468" s="105"/>
      <c r="HT468" s="105"/>
      <c r="HU468" s="105"/>
      <c r="HV468" s="105"/>
      <c r="HW468" s="105"/>
      <c r="HX468" s="105"/>
      <c r="HY468" s="105"/>
      <c r="HZ468" s="105"/>
      <c r="IA468" s="105"/>
      <c r="IB468" s="105"/>
      <c r="IC468" s="105"/>
      <c r="ID468" s="105"/>
      <c r="IE468" s="105"/>
      <c r="IF468" s="105"/>
      <c r="IG468" s="105"/>
      <c r="IH468" s="105"/>
      <c r="II468" s="105"/>
      <c r="IJ468" s="105"/>
      <c r="IK468" s="105"/>
      <c r="IL468" s="105"/>
      <c r="IM468" s="105"/>
      <c r="IN468" s="105"/>
      <c r="IO468" s="105"/>
      <c r="IP468" s="105"/>
      <c r="IQ468" s="105"/>
      <c r="IR468" s="105"/>
      <c r="IS468" s="105"/>
      <c r="IT468" s="105"/>
      <c r="IU468" s="105"/>
      <c r="IV468" s="105"/>
    </row>
    <row r="469" spans="1:256" s="406" customFormat="1" x14ac:dyDescent="0.2">
      <c r="A469" s="37">
        <v>44617</v>
      </c>
      <c r="B469" s="38" t="s">
        <v>163</v>
      </c>
      <c r="C469" s="38">
        <v>2022</v>
      </c>
      <c r="D469" s="38" t="s">
        <v>8</v>
      </c>
      <c r="E469" s="177">
        <v>-0.1</v>
      </c>
      <c r="F469" s="177" t="s">
        <v>32</v>
      </c>
      <c r="G469" s="269">
        <v>8000</v>
      </c>
      <c r="H469" s="179">
        <v>68</v>
      </c>
      <c r="I469" s="177" t="s">
        <v>80</v>
      </c>
      <c r="J469" s="177" t="s">
        <v>36</v>
      </c>
      <c r="K469" s="177">
        <v>4.3999999999999997E-2</v>
      </c>
      <c r="L469" s="177" t="s">
        <v>1025</v>
      </c>
      <c r="M469" s="177" t="s">
        <v>1026</v>
      </c>
      <c r="N469" s="70" t="s">
        <v>1027</v>
      </c>
      <c r="O469" s="38"/>
      <c r="P469" s="38" t="s">
        <v>101</v>
      </c>
      <c r="Q469" s="760">
        <v>39.47645</v>
      </c>
      <c r="R469" s="590">
        <v>-86.076970000000003</v>
      </c>
      <c r="S469" s="38" t="s">
        <v>61</v>
      </c>
      <c r="T469" s="38"/>
      <c r="U469" s="38" t="s">
        <v>51</v>
      </c>
      <c r="V469" s="37"/>
      <c r="W469" s="39">
        <f>IF(AC469="Intr",0,G469*Definitions!$B$53)</f>
        <v>1200</v>
      </c>
      <c r="X469" s="39">
        <f>IF(AC469="Intr",0,G469*Definitions!$B$54)</f>
        <v>5600</v>
      </c>
      <c r="Y469" s="39">
        <f>IF(AC469="Intr",G469,G469*Definitions!$B$55)</f>
        <v>1200</v>
      </c>
      <c r="Z469" s="39" t="s">
        <v>966</v>
      </c>
      <c r="AA469" s="39" t="s">
        <v>965</v>
      </c>
      <c r="AB469" s="39"/>
      <c r="AC469" s="38"/>
      <c r="AD469" s="38"/>
      <c r="AE469" s="38"/>
      <c r="AF469" s="38"/>
      <c r="AG469" s="40"/>
      <c r="AH469" s="38"/>
      <c r="AI469" s="105"/>
      <c r="AJ469" s="105"/>
      <c r="AK469" s="105"/>
      <c r="AL469" s="105"/>
      <c r="AM469" s="105"/>
      <c r="AN469" s="105"/>
      <c r="AO469" s="105"/>
      <c r="AP469" s="105"/>
      <c r="AQ469" s="105"/>
      <c r="AR469" s="105"/>
      <c r="AS469" s="105"/>
      <c r="AT469" s="105"/>
      <c r="AU469" s="105"/>
      <c r="AV469" s="105"/>
      <c r="AW469" s="105"/>
      <c r="AX469" s="105"/>
      <c r="AY469" s="105"/>
      <c r="AZ469" s="105"/>
      <c r="BA469" s="105"/>
      <c r="BB469" s="105"/>
      <c r="BC469" s="105"/>
      <c r="BD469" s="105"/>
      <c r="BE469" s="105"/>
      <c r="BF469" s="105"/>
      <c r="BG469" s="105"/>
      <c r="BH469" s="105"/>
      <c r="BI469" s="105"/>
      <c r="BJ469" s="105"/>
      <c r="BK469" s="105"/>
      <c r="BL469" s="105"/>
      <c r="BM469" s="105"/>
      <c r="BN469" s="105"/>
      <c r="BO469" s="105"/>
      <c r="BP469" s="105"/>
      <c r="BQ469" s="105"/>
      <c r="BR469" s="105"/>
      <c r="BS469" s="105"/>
      <c r="BT469" s="105"/>
      <c r="BU469" s="105"/>
      <c r="BV469" s="105"/>
      <c r="BW469" s="105"/>
      <c r="BX469" s="105"/>
      <c r="BY469" s="105"/>
      <c r="BZ469" s="105"/>
      <c r="CA469" s="105"/>
      <c r="CB469" s="105"/>
      <c r="CC469" s="105"/>
      <c r="CD469" s="105"/>
      <c r="CE469" s="105"/>
      <c r="CF469" s="105"/>
      <c r="CG469" s="105"/>
      <c r="CH469" s="105"/>
      <c r="CI469" s="105"/>
      <c r="CJ469" s="105"/>
      <c r="CK469" s="105"/>
      <c r="CL469" s="105"/>
      <c r="CM469" s="105"/>
      <c r="CN469" s="105"/>
      <c r="CO469" s="105"/>
      <c r="CP469" s="105"/>
      <c r="CQ469" s="105"/>
      <c r="CR469" s="105"/>
      <c r="CS469" s="105"/>
      <c r="CT469" s="105"/>
      <c r="CU469" s="105"/>
      <c r="CV469" s="105"/>
      <c r="CW469" s="105"/>
      <c r="CX469" s="105"/>
      <c r="CY469" s="105"/>
      <c r="CZ469" s="105"/>
      <c r="DA469" s="105"/>
      <c r="DB469" s="105"/>
      <c r="DC469" s="105"/>
      <c r="DD469" s="105"/>
      <c r="DE469" s="105"/>
      <c r="DF469" s="105"/>
      <c r="DG469" s="105"/>
      <c r="DH469" s="105"/>
      <c r="DI469" s="105"/>
      <c r="DJ469" s="105"/>
      <c r="DK469" s="105"/>
      <c r="DL469" s="105"/>
      <c r="DM469" s="105"/>
      <c r="DN469" s="105"/>
      <c r="DO469" s="105"/>
      <c r="DP469" s="105"/>
      <c r="DQ469" s="105"/>
      <c r="DR469" s="105"/>
      <c r="DS469" s="105"/>
      <c r="DT469" s="105"/>
      <c r="DU469" s="105"/>
      <c r="DV469" s="105"/>
      <c r="DW469" s="105"/>
      <c r="DX469" s="105"/>
      <c r="DY469" s="105"/>
      <c r="DZ469" s="105"/>
      <c r="EA469" s="105"/>
      <c r="EB469" s="105"/>
      <c r="EC469" s="105"/>
      <c r="ED469" s="105"/>
      <c r="EE469" s="105"/>
      <c r="EF469" s="105"/>
      <c r="EG469" s="105"/>
      <c r="EH469" s="105"/>
      <c r="EI469" s="105"/>
      <c r="EJ469" s="105"/>
      <c r="EK469" s="105"/>
      <c r="EL469" s="105"/>
      <c r="EM469" s="105"/>
      <c r="EN469" s="105"/>
      <c r="EO469" s="105"/>
      <c r="EP469" s="105"/>
      <c r="EQ469" s="105"/>
      <c r="ER469" s="105"/>
      <c r="ES469" s="105"/>
      <c r="ET469" s="105"/>
      <c r="EU469" s="105"/>
      <c r="EV469" s="105"/>
      <c r="EW469" s="105"/>
      <c r="EX469" s="105"/>
      <c r="EY469" s="105"/>
      <c r="EZ469" s="105"/>
      <c r="FA469" s="105"/>
      <c r="FB469" s="105"/>
      <c r="FC469" s="105"/>
      <c r="FD469" s="105"/>
      <c r="FE469" s="105"/>
      <c r="FF469" s="105"/>
      <c r="FG469" s="105"/>
      <c r="FH469" s="105"/>
      <c r="FI469" s="105"/>
      <c r="FJ469" s="105"/>
      <c r="FK469" s="105"/>
      <c r="FL469" s="105"/>
      <c r="FM469" s="105"/>
      <c r="FN469" s="105"/>
      <c r="FO469" s="105"/>
      <c r="FP469" s="105"/>
      <c r="FQ469" s="105"/>
      <c r="FR469" s="105"/>
      <c r="FS469" s="105"/>
      <c r="FT469" s="105"/>
      <c r="FU469" s="105"/>
      <c r="FV469" s="105"/>
      <c r="FW469" s="105"/>
      <c r="FX469" s="105"/>
      <c r="FY469" s="105"/>
      <c r="FZ469" s="105"/>
      <c r="GA469" s="105"/>
      <c r="GB469" s="105"/>
      <c r="GC469" s="105"/>
      <c r="GD469" s="105"/>
      <c r="GE469" s="105"/>
      <c r="GF469" s="105"/>
      <c r="GG469" s="105"/>
      <c r="GH469" s="105"/>
      <c r="GI469" s="105"/>
      <c r="GJ469" s="105"/>
      <c r="GK469" s="105"/>
      <c r="GL469" s="105"/>
      <c r="GM469" s="105"/>
      <c r="GN469" s="105"/>
      <c r="GO469" s="105"/>
      <c r="GP469" s="105"/>
      <c r="GQ469" s="105"/>
      <c r="GR469" s="105"/>
      <c r="GS469" s="105"/>
      <c r="GT469" s="105"/>
      <c r="GU469" s="105"/>
      <c r="GV469" s="105"/>
      <c r="GW469" s="105"/>
      <c r="GX469" s="105"/>
      <c r="GY469" s="105"/>
      <c r="GZ469" s="105"/>
      <c r="HA469" s="105"/>
      <c r="HB469" s="105"/>
      <c r="HC469" s="105"/>
      <c r="HD469" s="105"/>
      <c r="HE469" s="105"/>
      <c r="HF469" s="105"/>
      <c r="HG469" s="105"/>
      <c r="HH469" s="105"/>
      <c r="HI469" s="105"/>
      <c r="HJ469" s="105"/>
      <c r="HK469" s="105"/>
      <c r="HL469" s="105"/>
      <c r="HM469" s="105"/>
      <c r="HN469" s="105"/>
      <c r="HO469" s="105"/>
      <c r="HP469" s="105"/>
      <c r="HQ469" s="105"/>
      <c r="HR469" s="105"/>
      <c r="HS469" s="105"/>
      <c r="HT469" s="105"/>
      <c r="HU469" s="105"/>
      <c r="HV469" s="105"/>
      <c r="HW469" s="105"/>
      <c r="HX469" s="105"/>
      <c r="HY469" s="105"/>
      <c r="HZ469" s="105"/>
      <c r="IA469" s="105"/>
      <c r="IB469" s="105"/>
      <c r="IC469" s="105"/>
      <c r="ID469" s="105"/>
      <c r="IE469" s="105"/>
      <c r="IF469" s="105"/>
      <c r="IG469" s="105"/>
      <c r="IH469" s="105"/>
      <c r="II469" s="105"/>
      <c r="IJ469" s="105"/>
      <c r="IK469" s="105"/>
      <c r="IL469" s="105"/>
      <c r="IM469" s="105"/>
      <c r="IN469" s="105"/>
      <c r="IO469" s="105"/>
      <c r="IP469" s="105"/>
      <c r="IQ469" s="105"/>
      <c r="IR469" s="105"/>
      <c r="IS469" s="105"/>
      <c r="IT469" s="105"/>
      <c r="IU469" s="105"/>
      <c r="IV469" s="105"/>
    </row>
    <row r="470" spans="1:256" s="406" customFormat="1" x14ac:dyDescent="0.2">
      <c r="A470" s="37">
        <v>44617</v>
      </c>
      <c r="B470" s="38" t="s">
        <v>163</v>
      </c>
      <c r="C470" s="38">
        <v>2022</v>
      </c>
      <c r="D470" s="38" t="s">
        <v>8</v>
      </c>
      <c r="E470" s="177">
        <v>-340</v>
      </c>
      <c r="F470" s="177" t="s">
        <v>33</v>
      </c>
      <c r="G470" s="269">
        <v>136000</v>
      </c>
      <c r="H470" s="179">
        <v>68</v>
      </c>
      <c r="I470" s="177" t="s">
        <v>80</v>
      </c>
      <c r="J470" s="177" t="s">
        <v>725</v>
      </c>
      <c r="K470" s="177">
        <v>348</v>
      </c>
      <c r="L470" s="177" t="s">
        <v>1025</v>
      </c>
      <c r="M470" s="177" t="s">
        <v>1026</v>
      </c>
      <c r="N470" s="70" t="s">
        <v>1027</v>
      </c>
      <c r="O470" s="38"/>
      <c r="P470" s="38" t="s">
        <v>101</v>
      </c>
      <c r="Q470" s="760">
        <v>39.47645</v>
      </c>
      <c r="R470" s="590">
        <v>-86.076970000000003</v>
      </c>
      <c r="S470" s="38" t="s">
        <v>61</v>
      </c>
      <c r="T470" s="38"/>
      <c r="U470" s="38" t="s">
        <v>51</v>
      </c>
      <c r="V470" s="37"/>
      <c r="W470" s="39">
        <f>IF(AC470="Intr",0,G470*Definitions!$B$53)</f>
        <v>20400</v>
      </c>
      <c r="X470" s="39">
        <f>IF(AC470="Intr",0,G470*Definitions!$B$54)</f>
        <v>95200</v>
      </c>
      <c r="Y470" s="39">
        <f>IF(AC470="Intr",G470,G470*Definitions!$B$55)</f>
        <v>20400</v>
      </c>
      <c r="Z470" s="39" t="s">
        <v>966</v>
      </c>
      <c r="AA470" s="39" t="s">
        <v>965</v>
      </c>
      <c r="AB470" s="39"/>
      <c r="AC470" s="38"/>
      <c r="AD470" s="38"/>
      <c r="AE470" s="38"/>
      <c r="AF470" s="38"/>
      <c r="AG470" s="40"/>
      <c r="AH470" s="38"/>
      <c r="AI470" s="105"/>
      <c r="AJ470" s="105"/>
      <c r="AK470" s="105"/>
      <c r="AL470" s="105"/>
      <c r="AM470" s="105"/>
      <c r="AN470" s="105"/>
      <c r="AO470" s="105"/>
      <c r="AP470" s="105"/>
      <c r="AQ470" s="105"/>
      <c r="AR470" s="105"/>
      <c r="AS470" s="105"/>
      <c r="AT470" s="105"/>
      <c r="AU470" s="105"/>
      <c r="AV470" s="105"/>
      <c r="AW470" s="105"/>
      <c r="AX470" s="105"/>
      <c r="AY470" s="105"/>
      <c r="AZ470" s="105"/>
      <c r="BA470" s="105"/>
      <c r="BB470" s="105"/>
      <c r="BC470" s="105"/>
      <c r="BD470" s="105"/>
      <c r="BE470" s="105"/>
      <c r="BF470" s="105"/>
      <c r="BG470" s="105"/>
      <c r="BH470" s="105"/>
      <c r="BI470" s="105"/>
      <c r="BJ470" s="105"/>
      <c r="BK470" s="105"/>
      <c r="BL470" s="105"/>
      <c r="BM470" s="105"/>
      <c r="BN470" s="105"/>
      <c r="BO470" s="105"/>
      <c r="BP470" s="105"/>
      <c r="BQ470" s="105"/>
      <c r="BR470" s="105"/>
      <c r="BS470" s="105"/>
      <c r="BT470" s="105"/>
      <c r="BU470" s="105"/>
      <c r="BV470" s="105"/>
      <c r="BW470" s="105"/>
      <c r="BX470" s="105"/>
      <c r="BY470" s="105"/>
      <c r="BZ470" s="105"/>
      <c r="CA470" s="105"/>
      <c r="CB470" s="105"/>
      <c r="CC470" s="105"/>
      <c r="CD470" s="105"/>
      <c r="CE470" s="105"/>
      <c r="CF470" s="105"/>
      <c r="CG470" s="105"/>
      <c r="CH470" s="105"/>
      <c r="CI470" s="105"/>
      <c r="CJ470" s="105"/>
      <c r="CK470" s="105"/>
      <c r="CL470" s="105"/>
      <c r="CM470" s="105"/>
      <c r="CN470" s="105"/>
      <c r="CO470" s="105"/>
      <c r="CP470" s="105"/>
      <c r="CQ470" s="105"/>
      <c r="CR470" s="105"/>
      <c r="CS470" s="105"/>
      <c r="CT470" s="105"/>
      <c r="CU470" s="105"/>
      <c r="CV470" s="105"/>
      <c r="CW470" s="105"/>
      <c r="CX470" s="105"/>
      <c r="CY470" s="105"/>
      <c r="CZ470" s="105"/>
      <c r="DA470" s="105"/>
      <c r="DB470" s="105"/>
      <c r="DC470" s="105"/>
      <c r="DD470" s="105"/>
      <c r="DE470" s="105"/>
      <c r="DF470" s="105"/>
      <c r="DG470" s="105"/>
      <c r="DH470" s="105"/>
      <c r="DI470" s="105"/>
      <c r="DJ470" s="105"/>
      <c r="DK470" s="105"/>
      <c r="DL470" s="105"/>
      <c r="DM470" s="105"/>
      <c r="DN470" s="105"/>
      <c r="DO470" s="105"/>
      <c r="DP470" s="105"/>
      <c r="DQ470" s="105"/>
      <c r="DR470" s="105"/>
      <c r="DS470" s="105"/>
      <c r="DT470" s="105"/>
      <c r="DU470" s="105"/>
      <c r="DV470" s="105"/>
      <c r="DW470" s="105"/>
      <c r="DX470" s="105"/>
      <c r="DY470" s="105"/>
      <c r="DZ470" s="105"/>
      <c r="EA470" s="105"/>
      <c r="EB470" s="105"/>
      <c r="EC470" s="105"/>
      <c r="ED470" s="105"/>
      <c r="EE470" s="105"/>
      <c r="EF470" s="105"/>
      <c r="EG470" s="105"/>
      <c r="EH470" s="105"/>
      <c r="EI470" s="105"/>
      <c r="EJ470" s="105"/>
      <c r="EK470" s="105"/>
      <c r="EL470" s="105"/>
      <c r="EM470" s="105"/>
      <c r="EN470" s="105"/>
      <c r="EO470" s="105"/>
      <c r="EP470" s="105"/>
      <c r="EQ470" s="105"/>
      <c r="ER470" s="105"/>
      <c r="ES470" s="105"/>
      <c r="ET470" s="105"/>
      <c r="EU470" s="105"/>
      <c r="EV470" s="105"/>
      <c r="EW470" s="105"/>
      <c r="EX470" s="105"/>
      <c r="EY470" s="105"/>
      <c r="EZ470" s="105"/>
      <c r="FA470" s="105"/>
      <c r="FB470" s="105"/>
      <c r="FC470" s="105"/>
      <c r="FD470" s="105"/>
      <c r="FE470" s="105"/>
      <c r="FF470" s="105"/>
      <c r="FG470" s="105"/>
      <c r="FH470" s="105"/>
      <c r="FI470" s="105"/>
      <c r="FJ470" s="105"/>
      <c r="FK470" s="105"/>
      <c r="FL470" s="105"/>
      <c r="FM470" s="105"/>
      <c r="FN470" s="105"/>
      <c r="FO470" s="105"/>
      <c r="FP470" s="105"/>
      <c r="FQ470" s="105"/>
      <c r="FR470" s="105"/>
      <c r="FS470" s="105"/>
      <c r="FT470" s="105"/>
      <c r="FU470" s="105"/>
      <c r="FV470" s="105"/>
      <c r="FW470" s="105"/>
      <c r="FX470" s="105"/>
      <c r="FY470" s="105"/>
      <c r="FZ470" s="105"/>
      <c r="GA470" s="105"/>
      <c r="GB470" s="105"/>
      <c r="GC470" s="105"/>
      <c r="GD470" s="105"/>
      <c r="GE470" s="105"/>
      <c r="GF470" s="105"/>
      <c r="GG470" s="105"/>
      <c r="GH470" s="105"/>
      <c r="GI470" s="105"/>
      <c r="GJ470" s="105"/>
      <c r="GK470" s="105"/>
      <c r="GL470" s="105"/>
      <c r="GM470" s="105"/>
      <c r="GN470" s="105"/>
      <c r="GO470" s="105"/>
      <c r="GP470" s="105"/>
      <c r="GQ470" s="105"/>
      <c r="GR470" s="105"/>
      <c r="GS470" s="105"/>
      <c r="GT470" s="105"/>
      <c r="GU470" s="105"/>
      <c r="GV470" s="105"/>
      <c r="GW470" s="105"/>
      <c r="GX470" s="105"/>
      <c r="GY470" s="105"/>
      <c r="GZ470" s="105"/>
      <c r="HA470" s="105"/>
      <c r="HB470" s="105"/>
      <c r="HC470" s="105"/>
      <c r="HD470" s="105"/>
      <c r="HE470" s="105"/>
      <c r="HF470" s="105"/>
      <c r="HG470" s="105"/>
      <c r="HH470" s="105"/>
      <c r="HI470" s="105"/>
      <c r="HJ470" s="105"/>
      <c r="HK470" s="105"/>
      <c r="HL470" s="105"/>
      <c r="HM470" s="105"/>
      <c r="HN470" s="105"/>
      <c r="HO470" s="105"/>
      <c r="HP470" s="105"/>
      <c r="HQ470" s="105"/>
      <c r="HR470" s="105"/>
      <c r="HS470" s="105"/>
      <c r="HT470" s="105"/>
      <c r="HU470" s="105"/>
      <c r="HV470" s="105"/>
      <c r="HW470" s="105"/>
      <c r="HX470" s="105"/>
      <c r="HY470" s="105"/>
      <c r="HZ470" s="105"/>
      <c r="IA470" s="105"/>
      <c r="IB470" s="105"/>
      <c r="IC470" s="105"/>
      <c r="ID470" s="105"/>
      <c r="IE470" s="105"/>
      <c r="IF470" s="105"/>
      <c r="IG470" s="105"/>
      <c r="IH470" s="105"/>
      <c r="II470" s="105"/>
      <c r="IJ470" s="105"/>
      <c r="IK470" s="105"/>
      <c r="IL470" s="105"/>
      <c r="IM470" s="105"/>
      <c r="IN470" s="105"/>
      <c r="IO470" s="105"/>
      <c r="IP470" s="105"/>
      <c r="IQ470" s="105"/>
      <c r="IR470" s="105"/>
      <c r="IS470" s="105"/>
      <c r="IT470" s="105"/>
      <c r="IU470" s="105"/>
      <c r="IV470" s="105"/>
    </row>
    <row r="471" spans="1:256" s="406" customFormat="1" x14ac:dyDescent="0.2">
      <c r="A471" s="37">
        <v>44629</v>
      </c>
      <c r="B471" s="38" t="s">
        <v>1036</v>
      </c>
      <c r="C471" s="38">
        <v>2022</v>
      </c>
      <c r="D471" s="38" t="s">
        <v>7</v>
      </c>
      <c r="E471" s="177">
        <v>-0.8</v>
      </c>
      <c r="F471" s="177" t="s">
        <v>32</v>
      </c>
      <c r="G471" s="269">
        <v>64000</v>
      </c>
      <c r="H471" s="179">
        <v>284</v>
      </c>
      <c r="I471" s="177" t="s">
        <v>81</v>
      </c>
      <c r="J471" s="177" t="s">
        <v>36</v>
      </c>
      <c r="K471" s="177">
        <v>0.54</v>
      </c>
      <c r="L471" s="177" t="s">
        <v>1034</v>
      </c>
      <c r="M471" s="177" t="s">
        <v>103</v>
      </c>
      <c r="N471" s="70" t="s">
        <v>1035</v>
      </c>
      <c r="O471" s="38"/>
      <c r="P471" s="38" t="s">
        <v>137</v>
      </c>
      <c r="Q471" s="760">
        <v>40.040506000000001</v>
      </c>
      <c r="R471" s="590">
        <v>-86.096855000000005</v>
      </c>
      <c r="S471" s="38" t="s">
        <v>61</v>
      </c>
      <c r="T471" s="38"/>
      <c r="U471" s="38" t="s">
        <v>51</v>
      </c>
      <c r="V471" s="37"/>
      <c r="W471" s="39">
        <f>IF(AC471="Intr",0,G471*Definitions!$B$53)</f>
        <v>9600</v>
      </c>
      <c r="X471" s="39">
        <f>IF(AC471="Intr",0,G471*Definitions!$B$54)</f>
        <v>44800</v>
      </c>
      <c r="Y471" s="39">
        <f>IF(AC471="Intr",G471,G471*Definitions!$B$55)</f>
        <v>9600</v>
      </c>
      <c r="Z471" s="39" t="s">
        <v>966</v>
      </c>
      <c r="AA471" s="39" t="s">
        <v>963</v>
      </c>
      <c r="AB471" s="39" t="s">
        <v>970</v>
      </c>
      <c r="AC471" s="38"/>
      <c r="AD471" s="38"/>
      <c r="AE471" s="38"/>
      <c r="AF471" s="38"/>
      <c r="AG471" s="40"/>
      <c r="AH471" s="38"/>
      <c r="AI471" s="105"/>
      <c r="AJ471" s="105"/>
      <c r="AK471" s="105"/>
      <c r="AL471" s="105"/>
      <c r="AM471" s="105"/>
      <c r="AN471" s="105"/>
      <c r="AO471" s="105"/>
      <c r="AP471" s="105"/>
      <c r="AQ471" s="105"/>
      <c r="AR471" s="105"/>
      <c r="AS471" s="105"/>
      <c r="AT471" s="105"/>
      <c r="AU471" s="105"/>
      <c r="AV471" s="105"/>
      <c r="AW471" s="105"/>
      <c r="AX471" s="105"/>
      <c r="AY471" s="105"/>
      <c r="AZ471" s="105"/>
      <c r="BA471" s="105"/>
      <c r="BB471" s="105"/>
      <c r="BC471" s="105"/>
      <c r="BD471" s="105"/>
      <c r="BE471" s="105"/>
      <c r="BF471" s="105"/>
      <c r="BG471" s="105"/>
      <c r="BH471" s="105"/>
      <c r="BI471" s="105"/>
      <c r="BJ471" s="105"/>
      <c r="BK471" s="105"/>
      <c r="BL471" s="105"/>
      <c r="BM471" s="105"/>
      <c r="BN471" s="105"/>
      <c r="BO471" s="105"/>
      <c r="BP471" s="105"/>
      <c r="BQ471" s="105"/>
      <c r="BR471" s="105"/>
      <c r="BS471" s="105"/>
      <c r="BT471" s="105"/>
      <c r="BU471" s="105"/>
      <c r="BV471" s="105"/>
      <c r="BW471" s="105"/>
      <c r="BX471" s="105"/>
      <c r="BY471" s="105"/>
      <c r="BZ471" s="105"/>
      <c r="CA471" s="105"/>
      <c r="CB471" s="105"/>
      <c r="CC471" s="105"/>
      <c r="CD471" s="105"/>
      <c r="CE471" s="105"/>
      <c r="CF471" s="105"/>
      <c r="CG471" s="105"/>
      <c r="CH471" s="105"/>
      <c r="CI471" s="105"/>
      <c r="CJ471" s="105"/>
      <c r="CK471" s="105"/>
      <c r="CL471" s="105"/>
      <c r="CM471" s="105"/>
      <c r="CN471" s="105"/>
      <c r="CO471" s="105"/>
      <c r="CP471" s="105"/>
      <c r="CQ471" s="105"/>
      <c r="CR471" s="105"/>
      <c r="CS471" s="105"/>
      <c r="CT471" s="105"/>
      <c r="CU471" s="105"/>
      <c r="CV471" s="105"/>
      <c r="CW471" s="105"/>
      <c r="CX471" s="105"/>
      <c r="CY471" s="105"/>
      <c r="CZ471" s="105"/>
      <c r="DA471" s="105"/>
      <c r="DB471" s="105"/>
      <c r="DC471" s="105"/>
      <c r="DD471" s="105"/>
      <c r="DE471" s="105"/>
      <c r="DF471" s="105"/>
      <c r="DG471" s="105"/>
      <c r="DH471" s="105"/>
      <c r="DI471" s="105"/>
      <c r="DJ471" s="105"/>
      <c r="DK471" s="105"/>
      <c r="DL471" s="105"/>
      <c r="DM471" s="105"/>
      <c r="DN471" s="105"/>
      <c r="DO471" s="105"/>
      <c r="DP471" s="105"/>
      <c r="DQ471" s="105"/>
      <c r="DR471" s="105"/>
      <c r="DS471" s="105"/>
      <c r="DT471" s="105"/>
      <c r="DU471" s="105"/>
      <c r="DV471" s="105"/>
      <c r="DW471" s="105"/>
      <c r="DX471" s="105"/>
      <c r="DY471" s="105"/>
      <c r="DZ471" s="105"/>
      <c r="EA471" s="105"/>
      <c r="EB471" s="105"/>
      <c r="EC471" s="105"/>
      <c r="ED471" s="105"/>
      <c r="EE471" s="105"/>
      <c r="EF471" s="105"/>
      <c r="EG471" s="105"/>
      <c r="EH471" s="105"/>
      <c r="EI471" s="105"/>
      <c r="EJ471" s="105"/>
      <c r="EK471" s="105"/>
      <c r="EL471" s="105"/>
      <c r="EM471" s="105"/>
      <c r="EN471" s="105"/>
      <c r="EO471" s="105"/>
      <c r="EP471" s="105"/>
      <c r="EQ471" s="105"/>
      <c r="ER471" s="105"/>
      <c r="ES471" s="105"/>
      <c r="ET471" s="105"/>
      <c r="EU471" s="105"/>
      <c r="EV471" s="105"/>
      <c r="EW471" s="105"/>
      <c r="EX471" s="105"/>
      <c r="EY471" s="105"/>
      <c r="EZ471" s="105"/>
      <c r="FA471" s="105"/>
      <c r="FB471" s="105"/>
      <c r="FC471" s="105"/>
      <c r="FD471" s="105"/>
      <c r="FE471" s="105"/>
      <c r="FF471" s="105"/>
      <c r="FG471" s="105"/>
      <c r="FH471" s="105"/>
      <c r="FI471" s="105"/>
      <c r="FJ471" s="105"/>
      <c r="FK471" s="105"/>
      <c r="FL471" s="105"/>
      <c r="FM471" s="105"/>
      <c r="FN471" s="105"/>
      <c r="FO471" s="105"/>
      <c r="FP471" s="105"/>
      <c r="FQ471" s="105"/>
      <c r="FR471" s="105"/>
      <c r="FS471" s="105"/>
      <c r="FT471" s="105"/>
      <c r="FU471" s="105"/>
      <c r="FV471" s="105"/>
      <c r="FW471" s="105"/>
      <c r="FX471" s="105"/>
      <c r="FY471" s="105"/>
      <c r="FZ471" s="105"/>
      <c r="GA471" s="105"/>
      <c r="GB471" s="105"/>
      <c r="GC471" s="105"/>
      <c r="GD471" s="105"/>
      <c r="GE471" s="105"/>
      <c r="GF471" s="105"/>
      <c r="GG471" s="105"/>
      <c r="GH471" s="105"/>
      <c r="GI471" s="105"/>
      <c r="GJ471" s="105"/>
      <c r="GK471" s="105"/>
      <c r="GL471" s="105"/>
      <c r="GM471" s="105"/>
      <c r="GN471" s="105"/>
      <c r="GO471" s="105"/>
      <c r="GP471" s="105"/>
      <c r="GQ471" s="105"/>
      <c r="GR471" s="105"/>
      <c r="GS471" s="105"/>
      <c r="GT471" s="105"/>
      <c r="GU471" s="105"/>
      <c r="GV471" s="105"/>
      <c r="GW471" s="105"/>
      <c r="GX471" s="105"/>
      <c r="GY471" s="105"/>
      <c r="GZ471" s="105"/>
      <c r="HA471" s="105"/>
      <c r="HB471" s="105"/>
      <c r="HC471" s="105"/>
      <c r="HD471" s="105"/>
      <c r="HE471" s="105"/>
      <c r="HF471" s="105"/>
      <c r="HG471" s="105"/>
      <c r="HH471" s="105"/>
      <c r="HI471" s="105"/>
      <c r="HJ471" s="105"/>
      <c r="HK471" s="105"/>
      <c r="HL471" s="105"/>
      <c r="HM471" s="105"/>
      <c r="HN471" s="105"/>
      <c r="HO471" s="105"/>
      <c r="HP471" s="105"/>
      <c r="HQ471" s="105"/>
      <c r="HR471" s="105"/>
      <c r="HS471" s="105"/>
      <c r="HT471" s="105"/>
      <c r="HU471" s="105"/>
      <c r="HV471" s="105"/>
      <c r="HW471" s="105"/>
      <c r="HX471" s="105"/>
      <c r="HY471" s="105"/>
      <c r="HZ471" s="105"/>
      <c r="IA471" s="105"/>
      <c r="IB471" s="105"/>
      <c r="IC471" s="105"/>
      <c r="ID471" s="105"/>
      <c r="IE471" s="105"/>
      <c r="IF471" s="105"/>
      <c r="IG471" s="105"/>
      <c r="IH471" s="105"/>
      <c r="II471" s="105"/>
      <c r="IJ471" s="105"/>
      <c r="IK471" s="105"/>
      <c r="IL471" s="105"/>
      <c r="IM471" s="105"/>
      <c r="IN471" s="105"/>
      <c r="IO471" s="105"/>
      <c r="IP471" s="105"/>
      <c r="IQ471" s="105"/>
      <c r="IR471" s="105"/>
      <c r="IS471" s="105"/>
      <c r="IT471" s="105"/>
      <c r="IU471" s="105"/>
      <c r="IV471" s="105"/>
    </row>
    <row r="472" spans="1:256" x14ac:dyDescent="0.2">
      <c r="A472" s="136">
        <v>44629</v>
      </c>
      <c r="B472" s="137" t="s">
        <v>173</v>
      </c>
      <c r="C472" s="137">
        <v>2022</v>
      </c>
      <c r="D472" s="137" t="s">
        <v>8</v>
      </c>
      <c r="E472" s="139">
        <v>-53</v>
      </c>
      <c r="F472" s="139" t="s">
        <v>33</v>
      </c>
      <c r="G472" s="140">
        <v>21200</v>
      </c>
      <c r="H472" s="141">
        <v>290</v>
      </c>
      <c r="I472" s="139" t="s">
        <v>80</v>
      </c>
      <c r="J472" s="139" t="s">
        <v>731</v>
      </c>
      <c r="K472" s="139">
        <v>44</v>
      </c>
      <c r="L472" s="139" t="s">
        <v>1030</v>
      </c>
      <c r="M472" s="139" t="s">
        <v>1031</v>
      </c>
      <c r="N472" s="522" t="s">
        <v>1050</v>
      </c>
      <c r="O472" s="137"/>
      <c r="P472" s="137" t="s">
        <v>125</v>
      </c>
      <c r="Q472" s="728">
        <v>39.115299999999998</v>
      </c>
      <c r="R472" s="644">
        <v>-85.985699999999994</v>
      </c>
      <c r="S472" s="137" t="s">
        <v>63</v>
      </c>
      <c r="T472" s="137"/>
      <c r="U472" s="137" t="s">
        <v>51</v>
      </c>
      <c r="V472" s="136"/>
      <c r="W472" s="143">
        <f>IF(AC472="Intr",0,G472*Definitions!$B$53)</f>
        <v>3180</v>
      </c>
      <c r="X472" s="143">
        <f>IF(AC472="Intr",0,G472*Definitions!$B$54)</f>
        <v>14839.999999999998</v>
      </c>
      <c r="Y472" s="143">
        <f>IF(AC472="Intr",G472,G472*Definitions!$B$55)</f>
        <v>3180</v>
      </c>
      <c r="Z472" s="143" t="s">
        <v>966</v>
      </c>
      <c r="AA472" s="143" t="s">
        <v>965</v>
      </c>
      <c r="AB472" s="143"/>
      <c r="AC472" s="137"/>
      <c r="AD472" s="137"/>
      <c r="AE472" s="137"/>
      <c r="AF472" s="137"/>
      <c r="AG472" s="144"/>
      <c r="AH472" s="485" t="s">
        <v>1032</v>
      </c>
    </row>
    <row r="473" spans="1:256" x14ac:dyDescent="0.2">
      <c r="A473" s="136">
        <v>44629</v>
      </c>
      <c r="B473" s="137" t="s">
        <v>173</v>
      </c>
      <c r="C473" s="137">
        <v>2022</v>
      </c>
      <c r="D473" s="137" t="s">
        <v>8</v>
      </c>
      <c r="E473" s="139">
        <v>-0.6</v>
      </c>
      <c r="F473" s="139" t="s">
        <v>32</v>
      </c>
      <c r="G473" s="140">
        <v>48000</v>
      </c>
      <c r="H473" s="141">
        <v>290</v>
      </c>
      <c r="I473" s="139" t="s">
        <v>80</v>
      </c>
      <c r="J473" s="139" t="s">
        <v>36</v>
      </c>
      <c r="K473" s="139">
        <v>0.25</v>
      </c>
      <c r="L473" s="139" t="s">
        <v>1030</v>
      </c>
      <c r="M473" s="139" t="s">
        <v>1031</v>
      </c>
      <c r="N473" s="522" t="s">
        <v>1050</v>
      </c>
      <c r="O473" s="137"/>
      <c r="P473" s="137" t="s">
        <v>125</v>
      </c>
      <c r="Q473" s="728">
        <v>39.115299999999998</v>
      </c>
      <c r="R473" s="644">
        <v>-85.985699999999994</v>
      </c>
      <c r="S473" s="137" t="s">
        <v>63</v>
      </c>
      <c r="T473" s="137"/>
      <c r="U473" s="137" t="s">
        <v>51</v>
      </c>
      <c r="V473" s="136"/>
      <c r="W473" s="143">
        <f>IF(AC473="Intr",0,G473*Definitions!$B$53)</f>
        <v>7200</v>
      </c>
      <c r="X473" s="143">
        <f>IF(AC473="Intr",0,G473*Definitions!$B$54)</f>
        <v>33600</v>
      </c>
      <c r="Y473" s="143">
        <f>IF(AC473="Intr",G473,G473*Definitions!$B$55)</f>
        <v>7200</v>
      </c>
      <c r="Z473" s="143" t="s">
        <v>966</v>
      </c>
      <c r="AA473" s="143" t="s">
        <v>965</v>
      </c>
      <c r="AB473" s="143"/>
      <c r="AC473" s="137"/>
      <c r="AD473" s="137"/>
      <c r="AE473" s="137"/>
      <c r="AF473" s="137"/>
      <c r="AG473" s="144"/>
      <c r="AH473" s="485" t="s">
        <v>1032</v>
      </c>
    </row>
    <row r="474" spans="1:256" s="390" customFormat="1" x14ac:dyDescent="0.2">
      <c r="A474" s="136">
        <v>44629</v>
      </c>
      <c r="B474" s="137" t="s">
        <v>173</v>
      </c>
      <c r="C474" s="137">
        <v>2022</v>
      </c>
      <c r="D474" s="137" t="s">
        <v>8</v>
      </c>
      <c r="E474" s="139">
        <v>-0.08</v>
      </c>
      <c r="F474" s="139" t="s">
        <v>33</v>
      </c>
      <c r="G474" s="140">
        <v>6400</v>
      </c>
      <c r="H474" s="141">
        <v>290</v>
      </c>
      <c r="I474" s="139" t="s">
        <v>80</v>
      </c>
      <c r="J474" s="139" t="s">
        <v>39</v>
      </c>
      <c r="K474" s="139">
        <v>0.02</v>
      </c>
      <c r="L474" s="139" t="s">
        <v>1030</v>
      </c>
      <c r="M474" s="139" t="s">
        <v>1031</v>
      </c>
      <c r="N474" s="522" t="s">
        <v>1050</v>
      </c>
      <c r="O474" s="137"/>
      <c r="P474" s="137" t="s">
        <v>125</v>
      </c>
      <c r="Q474" s="728">
        <v>39.115299999999998</v>
      </c>
      <c r="R474" s="644">
        <v>-85.985699999999994</v>
      </c>
      <c r="S474" s="137" t="s">
        <v>63</v>
      </c>
      <c r="T474" s="137"/>
      <c r="U474" s="137" t="s">
        <v>51</v>
      </c>
      <c r="V474" s="136"/>
      <c r="W474" s="143">
        <f>IF(AC474="Intr",0,G474*Definitions!$B$53)</f>
        <v>960</v>
      </c>
      <c r="X474" s="143">
        <f>IF(AC474="Intr",0,G474*Definitions!$B$54)</f>
        <v>4480</v>
      </c>
      <c r="Y474" s="143">
        <f>IF(AC474="Intr",G474,G474*Definitions!$B$55)</f>
        <v>960</v>
      </c>
      <c r="Z474" s="143" t="s">
        <v>966</v>
      </c>
      <c r="AA474" s="143" t="s">
        <v>965</v>
      </c>
      <c r="AB474" s="143"/>
      <c r="AC474" s="137"/>
      <c r="AD474" s="137"/>
      <c r="AE474" s="137"/>
      <c r="AF474" s="137"/>
      <c r="AG474" s="144"/>
      <c r="AH474" s="485" t="s">
        <v>1033</v>
      </c>
      <c r="AI474" s="105"/>
      <c r="AJ474" s="105"/>
      <c r="AK474" s="105"/>
      <c r="AL474" s="105"/>
      <c r="AM474" s="105"/>
      <c r="AN474" s="105"/>
      <c r="AO474" s="105"/>
      <c r="AP474" s="105"/>
      <c r="AQ474" s="105"/>
      <c r="AR474" s="105"/>
      <c r="AS474" s="105"/>
      <c r="AT474" s="105"/>
      <c r="AU474" s="105"/>
      <c r="AV474" s="105"/>
      <c r="AW474" s="105"/>
      <c r="AX474" s="105"/>
      <c r="AY474" s="105"/>
      <c r="AZ474" s="105"/>
      <c r="BA474" s="105"/>
      <c r="BB474" s="105"/>
      <c r="BC474" s="105"/>
      <c r="BD474" s="105"/>
      <c r="BE474" s="105"/>
      <c r="BF474" s="105"/>
      <c r="BG474" s="105"/>
      <c r="BH474" s="105"/>
      <c r="BI474" s="105"/>
      <c r="BJ474" s="105"/>
      <c r="BK474" s="105"/>
      <c r="BL474" s="105"/>
      <c r="BM474" s="105"/>
      <c r="BN474" s="105"/>
      <c r="BO474" s="105"/>
      <c r="BP474" s="105"/>
      <c r="BQ474" s="105"/>
      <c r="BR474" s="105"/>
      <c r="BS474" s="105"/>
      <c r="BT474" s="105"/>
      <c r="BU474" s="105"/>
      <c r="BV474" s="105"/>
      <c r="BW474" s="105"/>
      <c r="BX474" s="105"/>
      <c r="BY474" s="105"/>
      <c r="BZ474" s="105"/>
      <c r="CA474" s="105"/>
      <c r="CB474" s="105"/>
      <c r="CC474" s="105"/>
      <c r="CD474" s="105"/>
      <c r="CE474" s="105"/>
      <c r="CF474" s="105"/>
      <c r="CG474" s="105"/>
      <c r="CH474" s="105"/>
      <c r="CI474" s="105"/>
      <c r="CJ474" s="105"/>
      <c r="CK474" s="105"/>
      <c r="CL474" s="105"/>
      <c r="CM474" s="105"/>
      <c r="CN474" s="105"/>
      <c r="CO474" s="105"/>
      <c r="CP474" s="105"/>
      <c r="CQ474" s="105"/>
      <c r="CR474" s="105"/>
      <c r="CS474" s="105"/>
      <c r="CT474" s="105"/>
      <c r="CU474" s="105"/>
      <c r="CV474" s="105"/>
      <c r="CW474" s="105"/>
      <c r="CX474" s="105"/>
      <c r="CY474" s="105"/>
      <c r="CZ474" s="105"/>
      <c r="DA474" s="105"/>
      <c r="DB474" s="105"/>
      <c r="DC474" s="105"/>
      <c r="DD474" s="105"/>
      <c r="DE474" s="105"/>
      <c r="DF474" s="105"/>
      <c r="DG474" s="105"/>
      <c r="DH474" s="105"/>
      <c r="DI474" s="105"/>
      <c r="DJ474" s="105"/>
      <c r="DK474" s="105"/>
      <c r="DL474" s="105"/>
      <c r="DM474" s="105"/>
      <c r="DN474" s="105"/>
      <c r="DO474" s="105"/>
      <c r="DP474" s="105"/>
      <c r="DQ474" s="105"/>
      <c r="DR474" s="105"/>
      <c r="DS474" s="105"/>
      <c r="DT474" s="105"/>
      <c r="DU474" s="105"/>
      <c r="DV474" s="105"/>
      <c r="DW474" s="105"/>
      <c r="DX474" s="105"/>
      <c r="DY474" s="105"/>
      <c r="DZ474" s="105"/>
      <c r="EA474" s="105"/>
      <c r="EB474" s="105"/>
      <c r="EC474" s="105"/>
      <c r="ED474" s="105"/>
      <c r="EE474" s="105"/>
      <c r="EF474" s="105"/>
      <c r="EG474" s="105"/>
      <c r="EH474" s="105"/>
      <c r="EI474" s="105"/>
      <c r="EJ474" s="105"/>
      <c r="EK474" s="105"/>
      <c r="EL474" s="105"/>
      <c r="EM474" s="105"/>
      <c r="EN474" s="105"/>
      <c r="EO474" s="105"/>
      <c r="EP474" s="105"/>
      <c r="EQ474" s="105"/>
      <c r="ER474" s="105"/>
      <c r="ES474" s="105"/>
      <c r="ET474" s="105"/>
      <c r="EU474" s="105"/>
      <c r="EV474" s="105"/>
      <c r="EW474" s="105"/>
      <c r="EX474" s="105"/>
      <c r="EY474" s="105"/>
      <c r="EZ474" s="105"/>
      <c r="FA474" s="105"/>
      <c r="FB474" s="105"/>
      <c r="FC474" s="105"/>
      <c r="FD474" s="105"/>
      <c r="FE474" s="105"/>
      <c r="FF474" s="105"/>
      <c r="FG474" s="105"/>
      <c r="FH474" s="105"/>
      <c r="FI474" s="105"/>
      <c r="FJ474" s="105"/>
      <c r="FK474" s="105"/>
      <c r="FL474" s="105"/>
      <c r="FM474" s="105"/>
      <c r="FN474" s="105"/>
      <c r="FO474" s="105"/>
      <c r="FP474" s="105"/>
      <c r="FQ474" s="105"/>
      <c r="FR474" s="105"/>
      <c r="FS474" s="105"/>
      <c r="FT474" s="105"/>
      <c r="FU474" s="105"/>
      <c r="FV474" s="105"/>
      <c r="FW474" s="105"/>
      <c r="FX474" s="105"/>
      <c r="FY474" s="105"/>
      <c r="FZ474" s="105"/>
      <c r="GA474" s="105"/>
      <c r="GB474" s="105"/>
      <c r="GC474" s="105"/>
      <c r="GD474" s="105"/>
      <c r="GE474" s="105"/>
      <c r="GF474" s="105"/>
      <c r="GG474" s="105"/>
      <c r="GH474" s="105"/>
      <c r="GI474" s="105"/>
      <c r="GJ474" s="105"/>
      <c r="GK474" s="105"/>
      <c r="GL474" s="105"/>
      <c r="GM474" s="105"/>
      <c r="GN474" s="105"/>
      <c r="GO474" s="105"/>
      <c r="GP474" s="105"/>
      <c r="GQ474" s="105"/>
      <c r="GR474" s="105"/>
      <c r="GS474" s="105"/>
      <c r="GT474" s="105"/>
      <c r="GU474" s="105"/>
      <c r="GV474" s="105"/>
      <c r="GW474" s="105"/>
      <c r="GX474" s="105"/>
      <c r="GY474" s="105"/>
      <c r="GZ474" s="105"/>
      <c r="HA474" s="105"/>
      <c r="HB474" s="105"/>
      <c r="HC474" s="105"/>
      <c r="HD474" s="105"/>
      <c r="HE474" s="105"/>
      <c r="HF474" s="105"/>
      <c r="HG474" s="105"/>
      <c r="HH474" s="105"/>
      <c r="HI474" s="105"/>
      <c r="HJ474" s="105"/>
      <c r="HK474" s="105"/>
      <c r="HL474" s="105"/>
      <c r="HM474" s="105"/>
      <c r="HN474" s="105"/>
      <c r="HO474" s="105"/>
      <c r="HP474" s="105"/>
      <c r="HQ474" s="105"/>
      <c r="HR474" s="105"/>
      <c r="HS474" s="105"/>
      <c r="HT474" s="105"/>
      <c r="HU474" s="105"/>
      <c r="HV474" s="105"/>
      <c r="HW474" s="105"/>
      <c r="HX474" s="105"/>
      <c r="HY474" s="105"/>
      <c r="HZ474" s="105"/>
      <c r="IA474" s="105"/>
      <c r="IB474" s="105"/>
      <c r="IC474" s="105"/>
      <c r="ID474" s="105"/>
      <c r="IE474" s="105"/>
      <c r="IF474" s="105"/>
      <c r="IG474" s="105"/>
      <c r="IH474" s="105"/>
      <c r="II474" s="105"/>
      <c r="IJ474" s="105"/>
      <c r="IK474" s="105"/>
      <c r="IL474" s="105"/>
      <c r="IM474" s="105"/>
      <c r="IN474" s="105"/>
      <c r="IO474" s="105"/>
      <c r="IP474" s="105"/>
      <c r="IQ474" s="105"/>
      <c r="IR474" s="105"/>
      <c r="IS474" s="105"/>
      <c r="IT474" s="105"/>
      <c r="IU474" s="105"/>
      <c r="IV474" s="105"/>
    </row>
    <row r="475" spans="1:256" s="390" customFormat="1" x14ac:dyDescent="0.2">
      <c r="A475" s="58">
        <v>44636</v>
      </c>
      <c r="B475" s="59" t="s">
        <v>173</v>
      </c>
      <c r="C475" s="59">
        <v>2022</v>
      </c>
      <c r="D475" s="59" t="s">
        <v>3</v>
      </c>
      <c r="E475" s="60">
        <v>-91.27</v>
      </c>
      <c r="F475" s="60" t="s">
        <v>33</v>
      </c>
      <c r="G475" s="61">
        <v>54762</v>
      </c>
      <c r="H475" s="62">
        <v>269</v>
      </c>
      <c r="I475" s="60" t="s">
        <v>80</v>
      </c>
      <c r="J475" s="60" t="s">
        <v>731</v>
      </c>
      <c r="K475" s="60">
        <v>91.27</v>
      </c>
      <c r="L475" s="60" t="s">
        <v>726</v>
      </c>
      <c r="M475" s="60" t="s">
        <v>1037</v>
      </c>
      <c r="N475" s="63" t="s">
        <v>1038</v>
      </c>
      <c r="O475" s="59"/>
      <c r="P475" s="59" t="s">
        <v>270</v>
      </c>
      <c r="Q475" s="745">
        <v>41.574416999999997</v>
      </c>
      <c r="R475" s="637">
        <v>-85.838414999999998</v>
      </c>
      <c r="S475" s="59" t="s">
        <v>63</v>
      </c>
      <c r="T475" s="59"/>
      <c r="U475" s="59" t="s">
        <v>51</v>
      </c>
      <c r="V475" s="58"/>
      <c r="W475" s="65">
        <f>IF(AC475="Intr",0,G475*Definitions!$B$53)</f>
        <v>8214.2999999999993</v>
      </c>
      <c r="X475" s="65">
        <f>IF(AC475="Intr",0,G475*Definitions!$B$54)</f>
        <v>38333.399999999994</v>
      </c>
      <c r="Y475" s="65">
        <f>IF(AC475="Intr",G475,G475*Definitions!$B$55)</f>
        <v>8214.2999999999993</v>
      </c>
      <c r="Z475" s="65" t="s">
        <v>964</v>
      </c>
      <c r="AA475" s="65" t="s">
        <v>965</v>
      </c>
      <c r="AB475" s="65"/>
      <c r="AC475" s="59"/>
      <c r="AD475" s="59"/>
      <c r="AE475" s="59"/>
      <c r="AF475" s="59"/>
      <c r="AG475" s="66"/>
      <c r="AH475" s="64" t="s">
        <v>1041</v>
      </c>
      <c r="AI475" s="105"/>
      <c r="AJ475" s="105"/>
      <c r="AK475" s="105"/>
      <c r="AL475" s="105"/>
      <c r="AM475" s="105"/>
      <c r="AN475" s="105"/>
      <c r="AO475" s="105"/>
      <c r="AP475" s="105"/>
      <c r="AQ475" s="105"/>
      <c r="AR475" s="105"/>
      <c r="AS475" s="105"/>
      <c r="AT475" s="105"/>
      <c r="AU475" s="105"/>
      <c r="AV475" s="105"/>
      <c r="AW475" s="105"/>
      <c r="AX475" s="105"/>
      <c r="AY475" s="105"/>
      <c r="AZ475" s="105"/>
      <c r="BA475" s="105"/>
      <c r="BB475" s="105"/>
      <c r="BC475" s="105"/>
      <c r="BD475" s="105"/>
      <c r="BE475" s="105"/>
      <c r="BF475" s="105"/>
      <c r="BG475" s="105"/>
      <c r="BH475" s="105"/>
      <c r="BI475" s="105"/>
      <c r="BJ475" s="105"/>
      <c r="BK475" s="105"/>
      <c r="BL475" s="105"/>
      <c r="BM475" s="105"/>
      <c r="BN475" s="105"/>
      <c r="BO475" s="105"/>
      <c r="BP475" s="105"/>
      <c r="BQ475" s="105"/>
      <c r="BR475" s="105"/>
      <c r="BS475" s="105"/>
      <c r="BT475" s="105"/>
      <c r="BU475" s="105"/>
      <c r="BV475" s="105"/>
      <c r="BW475" s="105"/>
      <c r="BX475" s="105"/>
      <c r="BY475" s="105"/>
      <c r="BZ475" s="105"/>
      <c r="CA475" s="105"/>
      <c r="CB475" s="105"/>
      <c r="CC475" s="105"/>
      <c r="CD475" s="105"/>
      <c r="CE475" s="105"/>
      <c r="CF475" s="105"/>
      <c r="CG475" s="105"/>
      <c r="CH475" s="105"/>
      <c r="CI475" s="105"/>
      <c r="CJ475" s="105"/>
      <c r="CK475" s="105"/>
      <c r="CL475" s="105"/>
      <c r="CM475" s="105"/>
      <c r="CN475" s="105"/>
      <c r="CO475" s="105"/>
      <c r="CP475" s="105"/>
      <c r="CQ475" s="105"/>
      <c r="CR475" s="105"/>
      <c r="CS475" s="105"/>
      <c r="CT475" s="105"/>
      <c r="CU475" s="105"/>
      <c r="CV475" s="105"/>
      <c r="CW475" s="105"/>
      <c r="CX475" s="105"/>
      <c r="CY475" s="105"/>
      <c r="CZ475" s="105"/>
      <c r="DA475" s="105"/>
      <c r="DB475" s="105"/>
      <c r="DC475" s="105"/>
      <c r="DD475" s="105"/>
      <c r="DE475" s="105"/>
      <c r="DF475" s="105"/>
      <c r="DG475" s="105"/>
      <c r="DH475" s="105"/>
      <c r="DI475" s="105"/>
      <c r="DJ475" s="105"/>
      <c r="DK475" s="105"/>
      <c r="DL475" s="105"/>
      <c r="DM475" s="105"/>
      <c r="DN475" s="105"/>
      <c r="DO475" s="105"/>
      <c r="DP475" s="105"/>
      <c r="DQ475" s="105"/>
      <c r="DR475" s="105"/>
      <c r="DS475" s="105"/>
      <c r="DT475" s="105"/>
      <c r="DU475" s="105"/>
      <c r="DV475" s="105"/>
      <c r="DW475" s="105"/>
      <c r="DX475" s="105"/>
      <c r="DY475" s="105"/>
      <c r="DZ475" s="105"/>
      <c r="EA475" s="105"/>
      <c r="EB475" s="105"/>
      <c r="EC475" s="105"/>
      <c r="ED475" s="105"/>
      <c r="EE475" s="105"/>
      <c r="EF475" s="105"/>
      <c r="EG475" s="105"/>
      <c r="EH475" s="105"/>
      <c r="EI475" s="105"/>
      <c r="EJ475" s="105"/>
      <c r="EK475" s="105"/>
      <c r="EL475" s="105"/>
      <c r="EM475" s="105"/>
      <c r="EN475" s="105"/>
      <c r="EO475" s="105"/>
      <c r="EP475" s="105"/>
      <c r="EQ475" s="105"/>
      <c r="ER475" s="105"/>
      <c r="ES475" s="105"/>
      <c r="ET475" s="105"/>
      <c r="EU475" s="105"/>
      <c r="EV475" s="105"/>
      <c r="EW475" s="105"/>
      <c r="EX475" s="105"/>
      <c r="EY475" s="105"/>
      <c r="EZ475" s="105"/>
      <c r="FA475" s="105"/>
      <c r="FB475" s="105"/>
      <c r="FC475" s="105"/>
      <c r="FD475" s="105"/>
      <c r="FE475" s="105"/>
      <c r="FF475" s="105"/>
      <c r="FG475" s="105"/>
      <c r="FH475" s="105"/>
      <c r="FI475" s="105"/>
      <c r="FJ475" s="105"/>
      <c r="FK475" s="105"/>
      <c r="FL475" s="105"/>
      <c r="FM475" s="105"/>
      <c r="FN475" s="105"/>
      <c r="FO475" s="105"/>
      <c r="FP475" s="105"/>
      <c r="FQ475" s="105"/>
      <c r="FR475" s="105"/>
      <c r="FS475" s="105"/>
      <c r="FT475" s="105"/>
      <c r="FU475" s="105"/>
      <c r="FV475" s="105"/>
      <c r="FW475" s="105"/>
      <c r="FX475" s="105"/>
      <c r="FY475" s="105"/>
      <c r="FZ475" s="105"/>
      <c r="GA475" s="105"/>
      <c r="GB475" s="105"/>
      <c r="GC475" s="105"/>
      <c r="GD475" s="105"/>
      <c r="GE475" s="105"/>
      <c r="GF475" s="105"/>
      <c r="GG475" s="105"/>
      <c r="GH475" s="105"/>
      <c r="GI475" s="105"/>
      <c r="GJ475" s="105"/>
      <c r="GK475" s="105"/>
      <c r="GL475" s="105"/>
      <c r="GM475" s="105"/>
      <c r="GN475" s="105"/>
      <c r="GO475" s="105"/>
      <c r="GP475" s="105"/>
      <c r="GQ475" s="105"/>
      <c r="GR475" s="105"/>
      <c r="GS475" s="105"/>
      <c r="GT475" s="105"/>
      <c r="GU475" s="105"/>
      <c r="GV475" s="105"/>
      <c r="GW475" s="105"/>
      <c r="GX475" s="105"/>
      <c r="GY475" s="105"/>
      <c r="GZ475" s="105"/>
      <c r="HA475" s="105"/>
      <c r="HB475" s="105"/>
      <c r="HC475" s="105"/>
      <c r="HD475" s="105"/>
      <c r="HE475" s="105"/>
      <c r="HF475" s="105"/>
      <c r="HG475" s="105"/>
      <c r="HH475" s="105"/>
      <c r="HI475" s="105"/>
      <c r="HJ475" s="105"/>
      <c r="HK475" s="105"/>
      <c r="HL475" s="105"/>
      <c r="HM475" s="105"/>
      <c r="HN475" s="105"/>
      <c r="HO475" s="105"/>
      <c r="HP475" s="105"/>
      <c r="HQ475" s="105"/>
      <c r="HR475" s="105"/>
      <c r="HS475" s="105"/>
      <c r="HT475" s="105"/>
      <c r="HU475" s="105"/>
      <c r="HV475" s="105"/>
      <c r="HW475" s="105"/>
      <c r="HX475" s="105"/>
      <c r="HY475" s="105"/>
      <c r="HZ475" s="105"/>
      <c r="IA475" s="105"/>
      <c r="IB475" s="105"/>
      <c r="IC475" s="105"/>
      <c r="ID475" s="105"/>
      <c r="IE475" s="105"/>
      <c r="IF475" s="105"/>
      <c r="IG475" s="105"/>
      <c r="IH475" s="105"/>
      <c r="II475" s="105"/>
      <c r="IJ475" s="105"/>
      <c r="IK475" s="105"/>
      <c r="IL475" s="105"/>
      <c r="IM475" s="105"/>
      <c r="IN475" s="105"/>
      <c r="IO475" s="105"/>
      <c r="IP475" s="105"/>
      <c r="IQ475" s="105"/>
      <c r="IR475" s="105"/>
      <c r="IS475" s="105"/>
      <c r="IT475" s="105"/>
      <c r="IU475" s="105"/>
      <c r="IV475" s="105"/>
    </row>
    <row r="476" spans="1:256" s="416" customFormat="1" x14ac:dyDescent="0.2">
      <c r="A476" s="58">
        <v>44636</v>
      </c>
      <c r="B476" s="59" t="s">
        <v>173</v>
      </c>
      <c r="C476" s="59">
        <v>2022</v>
      </c>
      <c r="D476" s="59" t="s">
        <v>3</v>
      </c>
      <c r="E476" s="60">
        <v>-0.28360000000000002</v>
      </c>
      <c r="F476" s="60" t="s">
        <v>32</v>
      </c>
      <c r="G476" s="61">
        <v>34032</v>
      </c>
      <c r="H476" s="62">
        <v>269</v>
      </c>
      <c r="I476" s="60" t="s">
        <v>80</v>
      </c>
      <c r="J476" s="60" t="s">
        <v>38</v>
      </c>
      <c r="K476" s="60">
        <v>7.0900000000000005E-2</v>
      </c>
      <c r="L476" s="60" t="s">
        <v>726</v>
      </c>
      <c r="M476" s="60" t="s">
        <v>1039</v>
      </c>
      <c r="N476" s="581" t="s">
        <v>1038</v>
      </c>
      <c r="O476" s="59"/>
      <c r="P476" s="59" t="s">
        <v>270</v>
      </c>
      <c r="Q476" s="745">
        <v>41.574416999999997</v>
      </c>
      <c r="R476" s="637">
        <v>-85.838414999999998</v>
      </c>
      <c r="S476" s="59" t="s">
        <v>63</v>
      </c>
      <c r="T476" s="59"/>
      <c r="U476" s="59" t="s">
        <v>51</v>
      </c>
      <c r="V476" s="58"/>
      <c r="W476" s="65">
        <f>IF(AC476="Intr",0,G476*Definitions!$B$53)</f>
        <v>5104.8</v>
      </c>
      <c r="X476" s="65">
        <f>IF(AC476="Intr",0,G476*Definitions!$B$54)</f>
        <v>23822.399999999998</v>
      </c>
      <c r="Y476" s="65">
        <f>IF(AC476="Intr",G476,G476*Definitions!$B$55)</f>
        <v>5104.8</v>
      </c>
      <c r="Z476" s="65" t="s">
        <v>964</v>
      </c>
      <c r="AA476" s="65" t="s">
        <v>965</v>
      </c>
      <c r="AB476" s="65"/>
      <c r="AC476" s="59"/>
      <c r="AD476" s="59"/>
      <c r="AE476" s="59"/>
      <c r="AF476" s="59"/>
      <c r="AG476" s="66"/>
      <c r="AH476" s="64" t="s">
        <v>1040</v>
      </c>
      <c r="AI476" s="105"/>
      <c r="AJ476" s="105"/>
      <c r="AK476" s="105"/>
      <c r="AL476" s="105"/>
      <c r="AM476" s="105"/>
      <c r="AN476" s="105"/>
      <c r="AO476" s="105"/>
      <c r="AP476" s="105"/>
      <c r="AQ476" s="105"/>
      <c r="AR476" s="105"/>
      <c r="AS476" s="105"/>
      <c r="AT476" s="105"/>
      <c r="AU476" s="105"/>
      <c r="AV476" s="105"/>
      <c r="AW476" s="105"/>
      <c r="AX476" s="105"/>
      <c r="AY476" s="105"/>
      <c r="AZ476" s="105"/>
      <c r="BA476" s="105"/>
      <c r="BB476" s="105"/>
      <c r="BC476" s="105"/>
      <c r="BD476" s="105"/>
      <c r="BE476" s="105"/>
      <c r="BF476" s="105"/>
      <c r="BG476" s="105"/>
      <c r="BH476" s="105"/>
      <c r="BI476" s="105"/>
      <c r="BJ476" s="105"/>
      <c r="BK476" s="105"/>
      <c r="BL476" s="105"/>
      <c r="BM476" s="105"/>
      <c r="BN476" s="105"/>
      <c r="BO476" s="105"/>
      <c r="BP476" s="105"/>
      <c r="BQ476" s="105"/>
      <c r="BR476" s="105"/>
      <c r="BS476" s="105"/>
      <c r="BT476" s="105"/>
      <c r="BU476" s="105"/>
      <c r="BV476" s="105"/>
      <c r="BW476" s="105"/>
      <c r="BX476" s="105"/>
      <c r="BY476" s="105"/>
      <c r="BZ476" s="105"/>
      <c r="CA476" s="105"/>
      <c r="CB476" s="105"/>
      <c r="CC476" s="105"/>
      <c r="CD476" s="105"/>
      <c r="CE476" s="105"/>
      <c r="CF476" s="105"/>
      <c r="CG476" s="105"/>
      <c r="CH476" s="105"/>
      <c r="CI476" s="105"/>
      <c r="CJ476" s="105"/>
      <c r="CK476" s="105"/>
      <c r="CL476" s="105"/>
      <c r="CM476" s="105"/>
      <c r="CN476" s="105"/>
      <c r="CO476" s="105"/>
      <c r="CP476" s="105"/>
      <c r="CQ476" s="105"/>
      <c r="CR476" s="105"/>
      <c r="CS476" s="105"/>
      <c r="CT476" s="105"/>
      <c r="CU476" s="105"/>
      <c r="CV476" s="105"/>
      <c r="CW476" s="105"/>
      <c r="CX476" s="105"/>
      <c r="CY476" s="105"/>
      <c r="CZ476" s="105"/>
      <c r="DA476" s="105"/>
      <c r="DB476" s="105"/>
      <c r="DC476" s="105"/>
      <c r="DD476" s="105"/>
      <c r="DE476" s="105"/>
      <c r="DF476" s="105"/>
      <c r="DG476" s="105"/>
      <c r="DH476" s="105"/>
      <c r="DI476" s="105"/>
      <c r="DJ476" s="105"/>
      <c r="DK476" s="105"/>
      <c r="DL476" s="105"/>
      <c r="DM476" s="105"/>
      <c r="DN476" s="105"/>
      <c r="DO476" s="105"/>
      <c r="DP476" s="105"/>
      <c r="DQ476" s="105"/>
      <c r="DR476" s="105"/>
      <c r="DS476" s="105"/>
      <c r="DT476" s="105"/>
      <c r="DU476" s="105"/>
      <c r="DV476" s="105"/>
      <c r="DW476" s="105"/>
      <c r="DX476" s="105"/>
      <c r="DY476" s="105"/>
      <c r="DZ476" s="105"/>
      <c r="EA476" s="105"/>
      <c r="EB476" s="105"/>
      <c r="EC476" s="105"/>
      <c r="ED476" s="105"/>
      <c r="EE476" s="105"/>
      <c r="EF476" s="105"/>
      <c r="EG476" s="105"/>
      <c r="EH476" s="105"/>
      <c r="EI476" s="105"/>
      <c r="EJ476" s="105"/>
      <c r="EK476" s="105"/>
      <c r="EL476" s="105"/>
      <c r="EM476" s="105"/>
      <c r="EN476" s="105"/>
      <c r="EO476" s="105"/>
      <c r="EP476" s="105"/>
      <c r="EQ476" s="105"/>
      <c r="ER476" s="105"/>
      <c r="ES476" s="105"/>
      <c r="ET476" s="105"/>
      <c r="EU476" s="105"/>
      <c r="EV476" s="105"/>
      <c r="EW476" s="105"/>
      <c r="EX476" s="105"/>
      <c r="EY476" s="105"/>
      <c r="EZ476" s="105"/>
      <c r="FA476" s="105"/>
      <c r="FB476" s="105"/>
      <c r="FC476" s="105"/>
      <c r="FD476" s="105"/>
      <c r="FE476" s="105"/>
      <c r="FF476" s="105"/>
      <c r="FG476" s="105"/>
      <c r="FH476" s="105"/>
      <c r="FI476" s="105"/>
      <c r="FJ476" s="105"/>
      <c r="FK476" s="105"/>
      <c r="FL476" s="105"/>
      <c r="FM476" s="105"/>
      <c r="FN476" s="105"/>
      <c r="FO476" s="105"/>
      <c r="FP476" s="105"/>
      <c r="FQ476" s="105"/>
      <c r="FR476" s="105"/>
      <c r="FS476" s="105"/>
      <c r="FT476" s="105"/>
      <c r="FU476" s="105"/>
      <c r="FV476" s="105"/>
      <c r="FW476" s="105"/>
      <c r="FX476" s="105"/>
      <c r="FY476" s="105"/>
      <c r="FZ476" s="105"/>
      <c r="GA476" s="105"/>
      <c r="GB476" s="105"/>
      <c r="GC476" s="105"/>
      <c r="GD476" s="105"/>
      <c r="GE476" s="105"/>
      <c r="GF476" s="105"/>
      <c r="GG476" s="105"/>
      <c r="GH476" s="105"/>
      <c r="GI476" s="105"/>
      <c r="GJ476" s="105"/>
      <c r="GK476" s="105"/>
      <c r="GL476" s="105"/>
      <c r="GM476" s="105"/>
      <c r="GN476" s="105"/>
      <c r="GO476" s="105"/>
      <c r="GP476" s="105"/>
      <c r="GQ476" s="105"/>
      <c r="GR476" s="105"/>
      <c r="GS476" s="105"/>
      <c r="GT476" s="105"/>
      <c r="GU476" s="105"/>
      <c r="GV476" s="105"/>
      <c r="GW476" s="105"/>
      <c r="GX476" s="105"/>
      <c r="GY476" s="105"/>
      <c r="GZ476" s="105"/>
      <c r="HA476" s="105"/>
      <c r="HB476" s="105"/>
      <c r="HC476" s="105"/>
      <c r="HD476" s="105"/>
      <c r="HE476" s="105"/>
      <c r="HF476" s="105"/>
      <c r="HG476" s="105"/>
      <c r="HH476" s="105"/>
      <c r="HI476" s="105"/>
      <c r="HJ476" s="105"/>
      <c r="HK476" s="105"/>
      <c r="HL476" s="105"/>
      <c r="HM476" s="105"/>
      <c r="HN476" s="105"/>
      <c r="HO476" s="105"/>
      <c r="HP476" s="105"/>
      <c r="HQ476" s="105"/>
      <c r="HR476" s="105"/>
      <c r="HS476" s="105"/>
      <c r="HT476" s="105"/>
      <c r="HU476" s="105"/>
      <c r="HV476" s="105"/>
      <c r="HW476" s="105"/>
      <c r="HX476" s="105"/>
      <c r="HY476" s="105"/>
      <c r="HZ476" s="105"/>
      <c r="IA476" s="105"/>
      <c r="IB476" s="105"/>
      <c r="IC476" s="105"/>
      <c r="ID476" s="105"/>
      <c r="IE476" s="105"/>
      <c r="IF476" s="105"/>
      <c r="IG476" s="105"/>
      <c r="IH476" s="105"/>
      <c r="II476" s="105"/>
      <c r="IJ476" s="105"/>
      <c r="IK476" s="105"/>
      <c r="IL476" s="105"/>
      <c r="IM476" s="105"/>
      <c r="IN476" s="105"/>
      <c r="IO476" s="105"/>
      <c r="IP476" s="105"/>
      <c r="IQ476" s="105"/>
      <c r="IR476" s="105"/>
      <c r="IS476" s="105"/>
      <c r="IT476" s="105"/>
      <c r="IU476" s="105"/>
      <c r="IV476" s="105"/>
    </row>
    <row r="477" spans="1:256" s="416" customFormat="1" x14ac:dyDescent="0.2">
      <c r="A477" s="45">
        <v>44636</v>
      </c>
      <c r="B477" s="46" t="s">
        <v>173</v>
      </c>
      <c r="C477" s="46">
        <v>2022</v>
      </c>
      <c r="D477" s="46" t="s">
        <v>5</v>
      </c>
      <c r="E477" s="181">
        <v>-3.98</v>
      </c>
      <c r="F477" s="181" t="s">
        <v>32</v>
      </c>
      <c r="G477" s="182">
        <v>318400</v>
      </c>
      <c r="H477" s="183">
        <v>297</v>
      </c>
      <c r="I477" s="181" t="s">
        <v>80</v>
      </c>
      <c r="J477" s="181" t="s">
        <v>36</v>
      </c>
      <c r="K477" s="181">
        <v>1.81</v>
      </c>
      <c r="L477" s="181" t="s">
        <v>1042</v>
      </c>
      <c r="M477" s="181" t="s">
        <v>1043</v>
      </c>
      <c r="N477" s="76" t="s">
        <v>1044</v>
      </c>
      <c r="O477" s="46"/>
      <c r="P477" s="46" t="s">
        <v>418</v>
      </c>
      <c r="Q477" s="761">
        <v>40.448405000000001</v>
      </c>
      <c r="R477" s="660">
        <v>-84.971175000000002</v>
      </c>
      <c r="S477" s="46" t="s">
        <v>61</v>
      </c>
      <c r="T477" s="46"/>
      <c r="U477" s="46" t="s">
        <v>51</v>
      </c>
      <c r="V477" s="45"/>
      <c r="W477" s="47">
        <f>IF(AC477="Intr",0,G477*Definitions!$B$53)</f>
        <v>47760</v>
      </c>
      <c r="X477" s="47">
        <f>IF(AC477="Intr",0,G477*Definitions!$B$54)</f>
        <v>222880</v>
      </c>
      <c r="Y477" s="47">
        <f>IF(AC477="Intr",G477,G477*Definitions!$B$55)</f>
        <v>47760</v>
      </c>
      <c r="Z477" s="47" t="s">
        <v>966</v>
      </c>
      <c r="AA477" s="47" t="s">
        <v>965</v>
      </c>
      <c r="AB477" s="47"/>
      <c r="AC477" s="46"/>
      <c r="AD477" s="46"/>
      <c r="AE477" s="46"/>
      <c r="AF477" s="46"/>
      <c r="AG477" s="48"/>
      <c r="AH477" s="46" t="s">
        <v>1045</v>
      </c>
      <c r="AI477" s="105"/>
      <c r="AJ477" s="105"/>
      <c r="AK477" s="105"/>
      <c r="AL477" s="105"/>
      <c r="AM477" s="105"/>
      <c r="AN477" s="105"/>
      <c r="AO477" s="105"/>
      <c r="AP477" s="105"/>
      <c r="AQ477" s="105"/>
      <c r="AR477" s="105"/>
      <c r="AS477" s="105"/>
      <c r="AT477" s="105"/>
      <c r="AU477" s="105"/>
      <c r="AV477" s="105"/>
      <c r="AW477" s="105"/>
      <c r="AX477" s="105"/>
      <c r="AY477" s="105"/>
      <c r="AZ477" s="105"/>
      <c r="BA477" s="105"/>
      <c r="BB477" s="105"/>
      <c r="BC477" s="105"/>
      <c r="BD477" s="105"/>
      <c r="BE477" s="105"/>
      <c r="BF477" s="105"/>
      <c r="BG477" s="105"/>
      <c r="BH477" s="105"/>
      <c r="BI477" s="105"/>
      <c r="BJ477" s="105"/>
      <c r="BK477" s="105"/>
      <c r="BL477" s="105"/>
      <c r="BM477" s="105"/>
      <c r="BN477" s="105"/>
      <c r="BO477" s="105"/>
      <c r="BP477" s="105"/>
      <c r="BQ477" s="105"/>
      <c r="BR477" s="105"/>
      <c r="BS477" s="105"/>
      <c r="BT477" s="105"/>
      <c r="BU477" s="105"/>
      <c r="BV477" s="105"/>
      <c r="BW477" s="105"/>
      <c r="BX477" s="105"/>
      <c r="BY477" s="105"/>
      <c r="BZ477" s="105"/>
      <c r="CA477" s="105"/>
      <c r="CB477" s="105"/>
      <c r="CC477" s="105"/>
      <c r="CD477" s="105"/>
      <c r="CE477" s="105"/>
      <c r="CF477" s="105"/>
      <c r="CG477" s="105"/>
      <c r="CH477" s="105"/>
      <c r="CI477" s="105"/>
      <c r="CJ477" s="105"/>
      <c r="CK477" s="105"/>
      <c r="CL477" s="105"/>
      <c r="CM477" s="105"/>
      <c r="CN477" s="105"/>
      <c r="CO477" s="105"/>
      <c r="CP477" s="105"/>
      <c r="CQ477" s="105"/>
      <c r="CR477" s="105"/>
      <c r="CS477" s="105"/>
      <c r="CT477" s="105"/>
      <c r="CU477" s="105"/>
      <c r="CV477" s="105"/>
      <c r="CW477" s="105"/>
      <c r="CX477" s="105"/>
      <c r="CY477" s="105"/>
      <c r="CZ477" s="105"/>
      <c r="DA477" s="105"/>
      <c r="DB477" s="105"/>
      <c r="DC477" s="105"/>
      <c r="DD477" s="105"/>
      <c r="DE477" s="105"/>
      <c r="DF477" s="105"/>
      <c r="DG477" s="105"/>
      <c r="DH477" s="105"/>
      <c r="DI477" s="105"/>
      <c r="DJ477" s="105"/>
      <c r="DK477" s="105"/>
      <c r="DL477" s="105"/>
      <c r="DM477" s="105"/>
      <c r="DN477" s="105"/>
      <c r="DO477" s="105"/>
      <c r="DP477" s="105"/>
      <c r="DQ477" s="105"/>
      <c r="DR477" s="105"/>
      <c r="DS477" s="105"/>
      <c r="DT477" s="105"/>
      <c r="DU477" s="105"/>
      <c r="DV477" s="105"/>
      <c r="DW477" s="105"/>
      <c r="DX477" s="105"/>
      <c r="DY477" s="105"/>
      <c r="DZ477" s="105"/>
      <c r="EA477" s="105"/>
      <c r="EB477" s="105"/>
      <c r="EC477" s="105"/>
      <c r="ED477" s="105"/>
      <c r="EE477" s="105"/>
      <c r="EF477" s="105"/>
      <c r="EG477" s="105"/>
      <c r="EH477" s="105"/>
      <c r="EI477" s="105"/>
      <c r="EJ477" s="105"/>
      <c r="EK477" s="105"/>
      <c r="EL477" s="105"/>
      <c r="EM477" s="105"/>
      <c r="EN477" s="105"/>
      <c r="EO477" s="105"/>
      <c r="EP477" s="105"/>
      <c r="EQ477" s="105"/>
      <c r="ER477" s="105"/>
      <c r="ES477" s="105"/>
      <c r="ET477" s="105"/>
      <c r="EU477" s="105"/>
      <c r="EV477" s="105"/>
      <c r="EW477" s="105"/>
      <c r="EX477" s="105"/>
      <c r="EY477" s="105"/>
      <c r="EZ477" s="105"/>
      <c r="FA477" s="105"/>
      <c r="FB477" s="105"/>
      <c r="FC477" s="105"/>
      <c r="FD477" s="105"/>
      <c r="FE477" s="105"/>
      <c r="FF477" s="105"/>
      <c r="FG477" s="105"/>
      <c r="FH477" s="105"/>
      <c r="FI477" s="105"/>
      <c r="FJ477" s="105"/>
      <c r="FK477" s="105"/>
      <c r="FL477" s="105"/>
      <c r="FM477" s="105"/>
      <c r="FN477" s="105"/>
      <c r="FO477" s="105"/>
      <c r="FP477" s="105"/>
      <c r="FQ477" s="105"/>
      <c r="FR477" s="105"/>
      <c r="FS477" s="105"/>
      <c r="FT477" s="105"/>
      <c r="FU477" s="105"/>
      <c r="FV477" s="105"/>
      <c r="FW477" s="105"/>
      <c r="FX477" s="105"/>
      <c r="FY477" s="105"/>
      <c r="FZ477" s="105"/>
      <c r="GA477" s="105"/>
      <c r="GB477" s="105"/>
      <c r="GC477" s="105"/>
      <c r="GD477" s="105"/>
      <c r="GE477" s="105"/>
      <c r="GF477" s="105"/>
      <c r="GG477" s="105"/>
      <c r="GH477" s="105"/>
      <c r="GI477" s="105"/>
      <c r="GJ477" s="105"/>
      <c r="GK477" s="105"/>
      <c r="GL477" s="105"/>
      <c r="GM477" s="105"/>
      <c r="GN477" s="105"/>
      <c r="GO477" s="105"/>
      <c r="GP477" s="105"/>
      <c r="GQ477" s="105"/>
      <c r="GR477" s="105"/>
      <c r="GS477" s="105"/>
      <c r="GT477" s="105"/>
      <c r="GU477" s="105"/>
      <c r="GV477" s="105"/>
      <c r="GW477" s="105"/>
      <c r="GX477" s="105"/>
      <c r="GY477" s="105"/>
      <c r="GZ477" s="105"/>
      <c r="HA477" s="105"/>
      <c r="HB477" s="105"/>
      <c r="HC477" s="105"/>
      <c r="HD477" s="105"/>
      <c r="HE477" s="105"/>
      <c r="HF477" s="105"/>
      <c r="HG477" s="105"/>
      <c r="HH477" s="105"/>
      <c r="HI477" s="105"/>
      <c r="HJ477" s="105"/>
      <c r="HK477" s="105"/>
      <c r="HL477" s="105"/>
      <c r="HM477" s="105"/>
      <c r="HN477" s="105"/>
      <c r="HO477" s="105"/>
      <c r="HP477" s="105"/>
      <c r="HQ477" s="105"/>
      <c r="HR477" s="105"/>
      <c r="HS477" s="105"/>
      <c r="HT477" s="105"/>
      <c r="HU477" s="105"/>
      <c r="HV477" s="105"/>
      <c r="HW477" s="105"/>
      <c r="HX477" s="105"/>
      <c r="HY477" s="105"/>
      <c r="HZ477" s="105"/>
      <c r="IA477" s="105"/>
      <c r="IB477" s="105"/>
      <c r="IC477" s="105"/>
      <c r="ID477" s="105"/>
      <c r="IE477" s="105"/>
      <c r="IF477" s="105"/>
      <c r="IG477" s="105"/>
      <c r="IH477" s="105"/>
      <c r="II477" s="105"/>
      <c r="IJ477" s="105"/>
      <c r="IK477" s="105"/>
      <c r="IL477" s="105"/>
      <c r="IM477" s="105"/>
      <c r="IN477" s="105"/>
      <c r="IO477" s="105"/>
      <c r="IP477" s="105"/>
      <c r="IQ477" s="105"/>
      <c r="IR477" s="105"/>
      <c r="IS477" s="105"/>
      <c r="IT477" s="105"/>
      <c r="IU477" s="105"/>
      <c r="IV477" s="105"/>
    </row>
    <row r="478" spans="1:256" s="416" customFormat="1" x14ac:dyDescent="0.2">
      <c r="A478" s="184">
        <v>44637</v>
      </c>
      <c r="B478" s="113" t="s">
        <v>173</v>
      </c>
      <c r="C478" s="113">
        <v>2022</v>
      </c>
      <c r="D478" s="38" t="s">
        <v>5</v>
      </c>
      <c r="E478" s="177">
        <v>-0.94</v>
      </c>
      <c r="F478" s="177" t="s">
        <v>32</v>
      </c>
      <c r="G478" s="269">
        <v>75200</v>
      </c>
      <c r="H478" s="179">
        <v>291</v>
      </c>
      <c r="I478" s="177" t="s">
        <v>80</v>
      </c>
      <c r="J478" s="177" t="s">
        <v>38</v>
      </c>
      <c r="K478" s="177">
        <v>0.23499999999999999</v>
      </c>
      <c r="L478" s="177" t="s">
        <v>1047</v>
      </c>
      <c r="M478" s="177" t="s">
        <v>1048</v>
      </c>
      <c r="N478" s="381" t="s">
        <v>1049</v>
      </c>
      <c r="O478" s="38"/>
      <c r="P478" s="38" t="s">
        <v>255</v>
      </c>
      <c r="Q478" s="760">
        <v>41.082974</v>
      </c>
      <c r="R478" s="590">
        <v>-85.332701</v>
      </c>
      <c r="S478" s="38" t="s">
        <v>61</v>
      </c>
      <c r="T478" s="38"/>
      <c r="U478" s="38" t="s">
        <v>51</v>
      </c>
      <c r="V478" s="37"/>
      <c r="W478" s="39">
        <f>IF(AC478="Intr",0,G478*Definitions!$B$53)</f>
        <v>11280</v>
      </c>
      <c r="X478" s="39">
        <f>IF(AC478="Intr",0,G478*Definitions!$B$54)</f>
        <v>52640</v>
      </c>
      <c r="Y478" s="39">
        <f>IF(AC478="Intr",G478,G478*Definitions!$B$55)</f>
        <v>11280</v>
      </c>
      <c r="Z478" s="39" t="s">
        <v>964</v>
      </c>
      <c r="AA478" s="39" t="s">
        <v>965</v>
      </c>
      <c r="AB478" s="39"/>
      <c r="AC478" s="38"/>
      <c r="AD478" s="38"/>
      <c r="AE478" s="38"/>
      <c r="AF478" s="38"/>
      <c r="AG478" s="40"/>
      <c r="AH478" s="113" t="s">
        <v>1045</v>
      </c>
      <c r="AI478" s="105"/>
      <c r="AJ478" s="105"/>
      <c r="AK478" s="105"/>
      <c r="AL478" s="105"/>
      <c r="AM478" s="105"/>
      <c r="AN478" s="105"/>
      <c r="AO478" s="105"/>
      <c r="AP478" s="105"/>
      <c r="AQ478" s="105"/>
      <c r="AR478" s="105"/>
      <c r="AS478" s="105"/>
      <c r="AT478" s="105"/>
      <c r="AU478" s="105"/>
      <c r="AV478" s="105"/>
      <c r="AW478" s="105"/>
      <c r="AX478" s="105"/>
      <c r="AY478" s="105"/>
      <c r="AZ478" s="105"/>
      <c r="BA478" s="105"/>
      <c r="BB478" s="105"/>
      <c r="BC478" s="105"/>
      <c r="BD478" s="105"/>
      <c r="BE478" s="105"/>
      <c r="BF478" s="105"/>
      <c r="BG478" s="105"/>
      <c r="BH478" s="105"/>
      <c r="BI478" s="105"/>
      <c r="BJ478" s="105"/>
      <c r="BK478" s="105"/>
      <c r="BL478" s="105"/>
      <c r="BM478" s="105"/>
      <c r="BN478" s="105"/>
      <c r="BO478" s="105"/>
      <c r="BP478" s="105"/>
      <c r="BQ478" s="105"/>
      <c r="BR478" s="105"/>
      <c r="BS478" s="105"/>
      <c r="BT478" s="105"/>
      <c r="BU478" s="105"/>
      <c r="BV478" s="105"/>
      <c r="BW478" s="105"/>
      <c r="BX478" s="105"/>
      <c r="BY478" s="105"/>
      <c r="BZ478" s="105"/>
      <c r="CA478" s="105"/>
      <c r="CB478" s="105"/>
      <c r="CC478" s="105"/>
      <c r="CD478" s="105"/>
      <c r="CE478" s="105"/>
      <c r="CF478" s="105"/>
      <c r="CG478" s="105"/>
      <c r="CH478" s="105"/>
      <c r="CI478" s="105"/>
      <c r="CJ478" s="105"/>
      <c r="CK478" s="105"/>
      <c r="CL478" s="105"/>
      <c r="CM478" s="105"/>
      <c r="CN478" s="105"/>
      <c r="CO478" s="105"/>
      <c r="CP478" s="105"/>
      <c r="CQ478" s="105"/>
      <c r="CR478" s="105"/>
      <c r="CS478" s="105"/>
      <c r="CT478" s="105"/>
      <c r="CU478" s="105"/>
      <c r="CV478" s="105"/>
      <c r="CW478" s="105"/>
      <c r="CX478" s="105"/>
      <c r="CY478" s="105"/>
      <c r="CZ478" s="105"/>
      <c r="DA478" s="105"/>
      <c r="DB478" s="105"/>
      <c r="DC478" s="105"/>
      <c r="DD478" s="105"/>
      <c r="DE478" s="105"/>
      <c r="DF478" s="105"/>
      <c r="DG478" s="105"/>
      <c r="DH478" s="105"/>
      <c r="DI478" s="105"/>
      <c r="DJ478" s="105"/>
      <c r="DK478" s="105"/>
      <c r="DL478" s="105"/>
      <c r="DM478" s="105"/>
      <c r="DN478" s="105"/>
      <c r="DO478" s="105"/>
      <c r="DP478" s="105"/>
      <c r="DQ478" s="105"/>
      <c r="DR478" s="105"/>
      <c r="DS478" s="105"/>
      <c r="DT478" s="105"/>
      <c r="DU478" s="105"/>
      <c r="DV478" s="105"/>
      <c r="DW478" s="105"/>
      <c r="DX478" s="105"/>
      <c r="DY478" s="105"/>
      <c r="DZ478" s="105"/>
      <c r="EA478" s="105"/>
      <c r="EB478" s="105"/>
      <c r="EC478" s="105"/>
      <c r="ED478" s="105"/>
      <c r="EE478" s="105"/>
      <c r="EF478" s="105"/>
      <c r="EG478" s="105"/>
      <c r="EH478" s="105"/>
      <c r="EI478" s="105"/>
      <c r="EJ478" s="105"/>
      <c r="EK478" s="105"/>
      <c r="EL478" s="105"/>
      <c r="EM478" s="105"/>
      <c r="EN478" s="105"/>
      <c r="EO478" s="105"/>
      <c r="EP478" s="105"/>
      <c r="EQ478" s="105"/>
      <c r="ER478" s="105"/>
      <c r="ES478" s="105"/>
      <c r="ET478" s="105"/>
      <c r="EU478" s="105"/>
      <c r="EV478" s="105"/>
      <c r="EW478" s="105"/>
      <c r="EX478" s="105"/>
      <c r="EY478" s="105"/>
      <c r="EZ478" s="105"/>
      <c r="FA478" s="105"/>
      <c r="FB478" s="105"/>
      <c r="FC478" s="105"/>
      <c r="FD478" s="105"/>
      <c r="FE478" s="105"/>
      <c r="FF478" s="105"/>
      <c r="FG478" s="105"/>
      <c r="FH478" s="105"/>
      <c r="FI478" s="105"/>
      <c r="FJ478" s="105"/>
      <c r="FK478" s="105"/>
      <c r="FL478" s="105"/>
      <c r="FM478" s="105"/>
      <c r="FN478" s="105"/>
      <c r="FO478" s="105"/>
      <c r="FP478" s="105"/>
      <c r="FQ478" s="105"/>
      <c r="FR478" s="105"/>
      <c r="FS478" s="105"/>
      <c r="FT478" s="105"/>
      <c r="FU478" s="105"/>
      <c r="FV478" s="105"/>
      <c r="FW478" s="105"/>
      <c r="FX478" s="105"/>
      <c r="FY478" s="105"/>
      <c r="FZ478" s="105"/>
      <c r="GA478" s="105"/>
      <c r="GB478" s="105"/>
      <c r="GC478" s="105"/>
      <c r="GD478" s="105"/>
      <c r="GE478" s="105"/>
      <c r="GF478" s="105"/>
      <c r="GG478" s="105"/>
      <c r="GH478" s="105"/>
      <c r="GI478" s="105"/>
      <c r="GJ478" s="105"/>
      <c r="GK478" s="105"/>
      <c r="GL478" s="105"/>
      <c r="GM478" s="105"/>
      <c r="GN478" s="105"/>
      <c r="GO478" s="105"/>
      <c r="GP478" s="105"/>
      <c r="GQ478" s="105"/>
      <c r="GR478" s="105"/>
      <c r="GS478" s="105"/>
      <c r="GT478" s="105"/>
      <c r="GU478" s="105"/>
      <c r="GV478" s="105"/>
      <c r="GW478" s="105"/>
      <c r="GX478" s="105"/>
      <c r="GY478" s="105"/>
      <c r="GZ478" s="105"/>
      <c r="HA478" s="105"/>
      <c r="HB478" s="105"/>
      <c r="HC478" s="105"/>
      <c r="HD478" s="105"/>
      <c r="HE478" s="105"/>
      <c r="HF478" s="105"/>
      <c r="HG478" s="105"/>
      <c r="HH478" s="105"/>
      <c r="HI478" s="105"/>
      <c r="HJ478" s="105"/>
      <c r="HK478" s="105"/>
      <c r="HL478" s="105"/>
      <c r="HM478" s="105"/>
      <c r="HN478" s="105"/>
      <c r="HO478" s="105"/>
      <c r="HP478" s="105"/>
      <c r="HQ478" s="105"/>
      <c r="HR478" s="105"/>
      <c r="HS478" s="105"/>
      <c r="HT478" s="105"/>
      <c r="HU478" s="105"/>
      <c r="HV478" s="105"/>
      <c r="HW478" s="105"/>
      <c r="HX478" s="105"/>
      <c r="HY478" s="105"/>
      <c r="HZ478" s="105"/>
      <c r="IA478" s="105"/>
      <c r="IB478" s="105"/>
      <c r="IC478" s="105"/>
      <c r="ID478" s="105"/>
      <c r="IE478" s="105"/>
      <c r="IF478" s="105"/>
      <c r="IG478" s="105"/>
      <c r="IH478" s="105"/>
      <c r="II478" s="105"/>
      <c r="IJ478" s="105"/>
      <c r="IK478" s="105"/>
      <c r="IL478" s="105"/>
      <c r="IM478" s="105"/>
      <c r="IN478" s="105"/>
      <c r="IO478" s="105"/>
      <c r="IP478" s="105"/>
      <c r="IQ478" s="105"/>
      <c r="IR478" s="105"/>
      <c r="IS478" s="105"/>
      <c r="IT478" s="105"/>
      <c r="IU478" s="105"/>
      <c r="IV478" s="105"/>
    </row>
    <row r="479" spans="1:256" x14ac:dyDescent="0.2">
      <c r="A479" s="88">
        <v>44644</v>
      </c>
      <c r="B479" s="89" t="s">
        <v>173</v>
      </c>
      <c r="C479" s="89">
        <v>2022</v>
      </c>
      <c r="D479" s="89" t="s">
        <v>1</v>
      </c>
      <c r="E479" s="90">
        <v>-0.27</v>
      </c>
      <c r="F479" s="90" t="s">
        <v>32</v>
      </c>
      <c r="G479" s="91">
        <v>25650</v>
      </c>
      <c r="H479" s="92">
        <v>172</v>
      </c>
      <c r="I479" s="90" t="s">
        <v>81</v>
      </c>
      <c r="J479" s="90" t="s">
        <v>36</v>
      </c>
      <c r="K479" s="90">
        <v>0.18</v>
      </c>
      <c r="L479" s="90" t="s">
        <v>1052</v>
      </c>
      <c r="M479" s="90" t="s">
        <v>103</v>
      </c>
      <c r="N479" s="93" t="s">
        <v>1053</v>
      </c>
      <c r="O479" s="89"/>
      <c r="P479" s="89" t="s">
        <v>227</v>
      </c>
      <c r="Q479" s="792">
        <v>41.384070000000001</v>
      </c>
      <c r="R479" s="689">
        <v>-87.323250000000002</v>
      </c>
      <c r="S479" s="89" t="s">
        <v>61</v>
      </c>
      <c r="T479" s="89"/>
      <c r="U479" s="89" t="s">
        <v>51</v>
      </c>
      <c r="V479" s="88"/>
      <c r="W479" s="95">
        <f>IF(AC479="Intr",0,G479*Definitions!$B$53)</f>
        <v>3847.5</v>
      </c>
      <c r="X479" s="95">
        <f>IF(AC479="Intr",0,G479*Definitions!$B$54)</f>
        <v>17955</v>
      </c>
      <c r="Y479" s="95">
        <f>IF(AC479="Intr",G479,G479*Definitions!$B$55)</f>
        <v>3847.5</v>
      </c>
      <c r="Z479" s="95" t="s">
        <v>967</v>
      </c>
      <c r="AA479" s="95" t="s">
        <v>963</v>
      </c>
      <c r="AB479" s="95" t="s">
        <v>969</v>
      </c>
      <c r="AC479" s="89"/>
      <c r="AD479" s="89"/>
      <c r="AE479" s="89"/>
      <c r="AF479" s="89"/>
      <c r="AG479" s="96"/>
      <c r="AH479" s="89" t="s">
        <v>1054</v>
      </c>
    </row>
    <row r="480" spans="1:256" s="402" customFormat="1" x14ac:dyDescent="0.2">
      <c r="A480" s="237">
        <v>44644</v>
      </c>
      <c r="B480" s="238" t="s">
        <v>173</v>
      </c>
      <c r="C480" s="238">
        <v>2022</v>
      </c>
      <c r="D480" s="238" t="s">
        <v>7</v>
      </c>
      <c r="E480" s="240">
        <v>-5.26</v>
      </c>
      <c r="F480" s="240" t="s">
        <v>32</v>
      </c>
      <c r="G480" s="317">
        <v>420800</v>
      </c>
      <c r="H480" s="318">
        <v>270</v>
      </c>
      <c r="I480" s="240" t="s">
        <v>81</v>
      </c>
      <c r="J480" s="240" t="s">
        <v>38</v>
      </c>
      <c r="K480" s="240">
        <v>2.63</v>
      </c>
      <c r="L480" s="240" t="s">
        <v>1056</v>
      </c>
      <c r="M480" s="240" t="s">
        <v>103</v>
      </c>
      <c r="N480" s="319" t="s">
        <v>1055</v>
      </c>
      <c r="O480" s="238"/>
      <c r="P480" s="238" t="s">
        <v>121</v>
      </c>
      <c r="Q480" s="810">
        <v>39.817</v>
      </c>
      <c r="R480" s="705">
        <v>-85.95</v>
      </c>
      <c r="S480" s="238" t="s">
        <v>61</v>
      </c>
      <c r="T480" s="238"/>
      <c r="U480" s="238" t="s">
        <v>51</v>
      </c>
      <c r="V480" s="237"/>
      <c r="W480" s="244">
        <f>IF(AC480="Intr",0,G480*Definitions!$B$53)</f>
        <v>63120</v>
      </c>
      <c r="X480" s="244">
        <f>IF(AC480="Intr",0,G480*Definitions!$B$54)</f>
        <v>294560</v>
      </c>
      <c r="Y480" s="244">
        <f>IF(AC480="Intr",G480,G480*Definitions!$B$55)</f>
        <v>63120</v>
      </c>
      <c r="Z480" s="244" t="s">
        <v>966</v>
      </c>
      <c r="AA480" s="244" t="s">
        <v>963</v>
      </c>
      <c r="AB480" s="244" t="s">
        <v>1245</v>
      </c>
      <c r="AC480" s="238"/>
      <c r="AD480" s="238"/>
      <c r="AE480" s="238"/>
      <c r="AF480" s="238"/>
      <c r="AG480" s="245"/>
      <c r="AH480" s="238" t="s">
        <v>1057</v>
      </c>
      <c r="AI480" s="105"/>
      <c r="AJ480" s="105"/>
      <c r="AK480" s="105"/>
      <c r="AL480" s="105"/>
      <c r="AM480" s="105"/>
      <c r="AN480" s="105"/>
      <c r="AO480" s="105"/>
      <c r="AP480" s="105"/>
      <c r="AQ480" s="105"/>
      <c r="AR480" s="105"/>
      <c r="AS480" s="105"/>
      <c r="AT480" s="105"/>
      <c r="AU480" s="105"/>
      <c r="AV480" s="105"/>
      <c r="AW480" s="105"/>
      <c r="AX480" s="105"/>
      <c r="AY480" s="105"/>
      <c r="AZ480" s="105"/>
      <c r="BA480" s="105"/>
      <c r="BB480" s="105"/>
      <c r="BC480" s="105"/>
      <c r="BD480" s="105"/>
      <c r="BE480" s="105"/>
      <c r="BF480" s="105"/>
      <c r="BG480" s="105"/>
      <c r="BH480" s="105"/>
      <c r="BI480" s="105"/>
      <c r="BJ480" s="105"/>
      <c r="BK480" s="105"/>
      <c r="BL480" s="105"/>
      <c r="BM480" s="105"/>
      <c r="BN480" s="105"/>
      <c r="BO480" s="105"/>
      <c r="BP480" s="105"/>
      <c r="BQ480" s="105"/>
      <c r="BR480" s="105"/>
      <c r="BS480" s="105"/>
      <c r="BT480" s="105"/>
      <c r="BU480" s="105"/>
      <c r="BV480" s="105"/>
      <c r="BW480" s="105"/>
      <c r="BX480" s="105"/>
      <c r="BY480" s="105"/>
      <c r="BZ480" s="105"/>
      <c r="CA480" s="105"/>
      <c r="CB480" s="105"/>
      <c r="CC480" s="105"/>
      <c r="CD480" s="105"/>
      <c r="CE480" s="105"/>
      <c r="CF480" s="105"/>
      <c r="CG480" s="105"/>
      <c r="CH480" s="105"/>
      <c r="CI480" s="105"/>
      <c r="CJ480" s="105"/>
      <c r="CK480" s="105"/>
      <c r="CL480" s="105"/>
      <c r="CM480" s="105"/>
      <c r="CN480" s="105"/>
      <c r="CO480" s="105"/>
      <c r="CP480" s="105"/>
      <c r="CQ480" s="105"/>
      <c r="CR480" s="105"/>
      <c r="CS480" s="105"/>
      <c r="CT480" s="105"/>
      <c r="CU480" s="105"/>
      <c r="CV480" s="105"/>
      <c r="CW480" s="105"/>
      <c r="CX480" s="105"/>
      <c r="CY480" s="105"/>
      <c r="CZ480" s="105"/>
      <c r="DA480" s="105"/>
      <c r="DB480" s="105"/>
      <c r="DC480" s="105"/>
      <c r="DD480" s="105"/>
      <c r="DE480" s="105"/>
      <c r="DF480" s="105"/>
      <c r="DG480" s="105"/>
      <c r="DH480" s="105"/>
      <c r="DI480" s="105"/>
      <c r="DJ480" s="105"/>
      <c r="DK480" s="105"/>
      <c r="DL480" s="105"/>
      <c r="DM480" s="105"/>
      <c r="DN480" s="105"/>
      <c r="DO480" s="105"/>
      <c r="DP480" s="105"/>
      <c r="DQ480" s="105"/>
      <c r="DR480" s="105"/>
      <c r="DS480" s="105"/>
      <c r="DT480" s="105"/>
      <c r="DU480" s="105"/>
      <c r="DV480" s="105"/>
      <c r="DW480" s="105"/>
      <c r="DX480" s="105"/>
      <c r="DY480" s="105"/>
      <c r="DZ480" s="105"/>
      <c r="EA480" s="105"/>
      <c r="EB480" s="105"/>
      <c r="EC480" s="105"/>
      <c r="ED480" s="105"/>
      <c r="EE480" s="105"/>
      <c r="EF480" s="105"/>
      <c r="EG480" s="105"/>
      <c r="EH480" s="105"/>
      <c r="EI480" s="105"/>
      <c r="EJ480" s="105"/>
      <c r="EK480" s="105"/>
      <c r="EL480" s="105"/>
      <c r="EM480" s="105"/>
      <c r="EN480" s="105"/>
      <c r="EO480" s="105"/>
      <c r="EP480" s="105"/>
      <c r="EQ480" s="105"/>
      <c r="ER480" s="105"/>
      <c r="ES480" s="105"/>
      <c r="ET480" s="105"/>
      <c r="EU480" s="105"/>
      <c r="EV480" s="105"/>
      <c r="EW480" s="105"/>
      <c r="EX480" s="105"/>
      <c r="EY480" s="105"/>
      <c r="EZ480" s="105"/>
      <c r="FA480" s="105"/>
      <c r="FB480" s="105"/>
      <c r="FC480" s="105"/>
      <c r="FD480" s="105"/>
      <c r="FE480" s="105"/>
      <c r="FF480" s="105"/>
      <c r="FG480" s="105"/>
      <c r="FH480" s="105"/>
      <c r="FI480" s="105"/>
      <c r="FJ480" s="105"/>
      <c r="FK480" s="105"/>
      <c r="FL480" s="105"/>
      <c r="FM480" s="105"/>
      <c r="FN480" s="105"/>
      <c r="FO480" s="105"/>
      <c r="FP480" s="105"/>
      <c r="FQ480" s="105"/>
      <c r="FR480" s="105"/>
      <c r="FS480" s="105"/>
      <c r="FT480" s="105"/>
      <c r="FU480" s="105"/>
      <c r="FV480" s="105"/>
      <c r="FW480" s="105"/>
      <c r="FX480" s="105"/>
      <c r="FY480" s="105"/>
      <c r="FZ480" s="105"/>
      <c r="GA480" s="105"/>
      <c r="GB480" s="105"/>
      <c r="GC480" s="105"/>
      <c r="GD480" s="105"/>
      <c r="GE480" s="105"/>
      <c r="GF480" s="105"/>
      <c r="GG480" s="105"/>
      <c r="GH480" s="105"/>
      <c r="GI480" s="105"/>
      <c r="GJ480" s="105"/>
      <c r="GK480" s="105"/>
      <c r="GL480" s="105"/>
      <c r="GM480" s="105"/>
      <c r="GN480" s="105"/>
      <c r="GO480" s="105"/>
      <c r="GP480" s="105"/>
      <c r="GQ480" s="105"/>
      <c r="GR480" s="105"/>
      <c r="GS480" s="105"/>
      <c r="GT480" s="105"/>
      <c r="GU480" s="105"/>
      <c r="GV480" s="105"/>
      <c r="GW480" s="105"/>
      <c r="GX480" s="105"/>
      <c r="GY480" s="105"/>
      <c r="GZ480" s="105"/>
      <c r="HA480" s="105"/>
      <c r="HB480" s="105"/>
      <c r="HC480" s="105"/>
      <c r="HD480" s="105"/>
      <c r="HE480" s="105"/>
      <c r="HF480" s="105"/>
      <c r="HG480" s="105"/>
      <c r="HH480" s="105"/>
      <c r="HI480" s="105"/>
      <c r="HJ480" s="105"/>
      <c r="HK480" s="105"/>
      <c r="HL480" s="105"/>
      <c r="HM480" s="105"/>
      <c r="HN480" s="105"/>
      <c r="HO480" s="105"/>
      <c r="HP480" s="105"/>
      <c r="HQ480" s="105"/>
      <c r="HR480" s="105"/>
      <c r="HS480" s="105"/>
      <c r="HT480" s="105"/>
      <c r="HU480" s="105"/>
      <c r="HV480" s="105"/>
      <c r="HW480" s="105"/>
      <c r="HX480" s="105"/>
      <c r="HY480" s="105"/>
      <c r="HZ480" s="105"/>
      <c r="IA480" s="105"/>
      <c r="IB480" s="105"/>
      <c r="IC480" s="105"/>
      <c r="ID480" s="105"/>
      <c r="IE480" s="105"/>
      <c r="IF480" s="105"/>
      <c r="IG480" s="105"/>
      <c r="IH480" s="105"/>
      <c r="II480" s="105"/>
      <c r="IJ480" s="105"/>
      <c r="IK480" s="105"/>
      <c r="IL480" s="105"/>
      <c r="IM480" s="105"/>
      <c r="IN480" s="105"/>
      <c r="IO480" s="105"/>
      <c r="IP480" s="105"/>
      <c r="IQ480" s="105"/>
      <c r="IR480" s="105"/>
      <c r="IS480" s="105"/>
      <c r="IT480" s="105"/>
      <c r="IU480" s="105"/>
      <c r="IV480" s="105"/>
    </row>
    <row r="481" spans="1:256" s="402" customFormat="1" x14ac:dyDescent="0.2">
      <c r="A481" s="237">
        <v>44644</v>
      </c>
      <c r="B481" s="238" t="s">
        <v>173</v>
      </c>
      <c r="C481" s="238">
        <v>2022</v>
      </c>
      <c r="D481" s="238" t="s">
        <v>7</v>
      </c>
      <c r="E481" s="240">
        <v>-1.71</v>
      </c>
      <c r="F481" s="240" t="s">
        <v>32</v>
      </c>
      <c r="G481" s="317">
        <v>136800</v>
      </c>
      <c r="H481" s="318">
        <v>270</v>
      </c>
      <c r="I481" s="240" t="s">
        <v>81</v>
      </c>
      <c r="J481" s="240" t="s">
        <v>36</v>
      </c>
      <c r="K481" s="240">
        <v>1.1399999999999999</v>
      </c>
      <c r="L481" s="240" t="s">
        <v>1056</v>
      </c>
      <c r="M481" s="240" t="s">
        <v>103</v>
      </c>
      <c r="N481" s="319" t="s">
        <v>1055</v>
      </c>
      <c r="O481" s="238"/>
      <c r="P481" s="238" t="s">
        <v>121</v>
      </c>
      <c r="Q481" s="810">
        <v>39.817</v>
      </c>
      <c r="R481" s="705">
        <v>-85.95</v>
      </c>
      <c r="S481" s="238" t="s">
        <v>61</v>
      </c>
      <c r="T481" s="238"/>
      <c r="U481" s="238" t="s">
        <v>51</v>
      </c>
      <c r="V481" s="237"/>
      <c r="W481" s="244">
        <f>IF(AC481="Intr",0,G481*Definitions!$B$53)</f>
        <v>20520</v>
      </c>
      <c r="X481" s="244">
        <f>IF(AC481="Intr",0,G481*Definitions!$B$54)</f>
        <v>95760</v>
      </c>
      <c r="Y481" s="244">
        <f>IF(AC481="Intr",G481,G481*Definitions!$B$55)</f>
        <v>20520</v>
      </c>
      <c r="Z481" s="244" t="s">
        <v>966</v>
      </c>
      <c r="AA481" s="244" t="s">
        <v>963</v>
      </c>
      <c r="AB481" s="244" t="s">
        <v>970</v>
      </c>
      <c r="AC481" s="238"/>
      <c r="AD481" s="238"/>
      <c r="AE481" s="238"/>
      <c r="AF481" s="238"/>
      <c r="AG481" s="245"/>
      <c r="AH481" s="238" t="s">
        <v>1058</v>
      </c>
      <c r="AI481" s="105"/>
      <c r="AJ481" s="105"/>
      <c r="AK481" s="105"/>
      <c r="AL481" s="105"/>
      <c r="AM481" s="105"/>
      <c r="AN481" s="105"/>
      <c r="AO481" s="105"/>
      <c r="AP481" s="105"/>
      <c r="AQ481" s="105"/>
      <c r="AR481" s="105"/>
      <c r="AS481" s="105"/>
      <c r="AT481" s="105"/>
      <c r="AU481" s="105"/>
      <c r="AV481" s="105"/>
      <c r="AW481" s="105"/>
      <c r="AX481" s="105"/>
      <c r="AY481" s="105"/>
      <c r="AZ481" s="105"/>
      <c r="BA481" s="105"/>
      <c r="BB481" s="105"/>
      <c r="BC481" s="105"/>
      <c r="BD481" s="105"/>
      <c r="BE481" s="105"/>
      <c r="BF481" s="105"/>
      <c r="BG481" s="105"/>
      <c r="BH481" s="105"/>
      <c r="BI481" s="105"/>
      <c r="BJ481" s="105"/>
      <c r="BK481" s="105"/>
      <c r="BL481" s="105"/>
      <c r="BM481" s="105"/>
      <c r="BN481" s="105"/>
      <c r="BO481" s="105"/>
      <c r="BP481" s="105"/>
      <c r="BQ481" s="105"/>
      <c r="BR481" s="105"/>
      <c r="BS481" s="105"/>
      <c r="BT481" s="105"/>
      <c r="BU481" s="105"/>
      <c r="BV481" s="105"/>
      <c r="BW481" s="105"/>
      <c r="BX481" s="105"/>
      <c r="BY481" s="105"/>
      <c r="BZ481" s="105"/>
      <c r="CA481" s="105"/>
      <c r="CB481" s="105"/>
      <c r="CC481" s="105"/>
      <c r="CD481" s="105"/>
      <c r="CE481" s="105"/>
      <c r="CF481" s="105"/>
      <c r="CG481" s="105"/>
      <c r="CH481" s="105"/>
      <c r="CI481" s="105"/>
      <c r="CJ481" s="105"/>
      <c r="CK481" s="105"/>
      <c r="CL481" s="105"/>
      <c r="CM481" s="105"/>
      <c r="CN481" s="105"/>
      <c r="CO481" s="105"/>
      <c r="CP481" s="105"/>
      <c r="CQ481" s="105"/>
      <c r="CR481" s="105"/>
      <c r="CS481" s="105"/>
      <c r="CT481" s="105"/>
      <c r="CU481" s="105"/>
      <c r="CV481" s="105"/>
      <c r="CW481" s="105"/>
      <c r="CX481" s="105"/>
      <c r="CY481" s="105"/>
      <c r="CZ481" s="105"/>
      <c r="DA481" s="105"/>
      <c r="DB481" s="105"/>
      <c r="DC481" s="105"/>
      <c r="DD481" s="105"/>
      <c r="DE481" s="105"/>
      <c r="DF481" s="105"/>
      <c r="DG481" s="105"/>
      <c r="DH481" s="105"/>
      <c r="DI481" s="105"/>
      <c r="DJ481" s="105"/>
      <c r="DK481" s="105"/>
      <c r="DL481" s="105"/>
      <c r="DM481" s="105"/>
      <c r="DN481" s="105"/>
      <c r="DO481" s="105"/>
      <c r="DP481" s="105"/>
      <c r="DQ481" s="105"/>
      <c r="DR481" s="105"/>
      <c r="DS481" s="105"/>
      <c r="DT481" s="105"/>
      <c r="DU481" s="105"/>
      <c r="DV481" s="105"/>
      <c r="DW481" s="105"/>
      <c r="DX481" s="105"/>
      <c r="DY481" s="105"/>
      <c r="DZ481" s="105"/>
      <c r="EA481" s="105"/>
      <c r="EB481" s="105"/>
      <c r="EC481" s="105"/>
      <c r="ED481" s="105"/>
      <c r="EE481" s="105"/>
      <c r="EF481" s="105"/>
      <c r="EG481" s="105"/>
      <c r="EH481" s="105"/>
      <c r="EI481" s="105"/>
      <c r="EJ481" s="105"/>
      <c r="EK481" s="105"/>
      <c r="EL481" s="105"/>
      <c r="EM481" s="105"/>
      <c r="EN481" s="105"/>
      <c r="EO481" s="105"/>
      <c r="EP481" s="105"/>
      <c r="EQ481" s="105"/>
      <c r="ER481" s="105"/>
      <c r="ES481" s="105"/>
      <c r="ET481" s="105"/>
      <c r="EU481" s="105"/>
      <c r="EV481" s="105"/>
      <c r="EW481" s="105"/>
      <c r="EX481" s="105"/>
      <c r="EY481" s="105"/>
      <c r="EZ481" s="105"/>
      <c r="FA481" s="105"/>
      <c r="FB481" s="105"/>
      <c r="FC481" s="105"/>
      <c r="FD481" s="105"/>
      <c r="FE481" s="105"/>
      <c r="FF481" s="105"/>
      <c r="FG481" s="105"/>
      <c r="FH481" s="105"/>
      <c r="FI481" s="105"/>
      <c r="FJ481" s="105"/>
      <c r="FK481" s="105"/>
      <c r="FL481" s="105"/>
      <c r="FM481" s="105"/>
      <c r="FN481" s="105"/>
      <c r="FO481" s="105"/>
      <c r="FP481" s="105"/>
      <c r="FQ481" s="105"/>
      <c r="FR481" s="105"/>
      <c r="FS481" s="105"/>
      <c r="FT481" s="105"/>
      <c r="FU481" s="105"/>
      <c r="FV481" s="105"/>
      <c r="FW481" s="105"/>
      <c r="FX481" s="105"/>
      <c r="FY481" s="105"/>
      <c r="FZ481" s="105"/>
      <c r="GA481" s="105"/>
      <c r="GB481" s="105"/>
      <c r="GC481" s="105"/>
      <c r="GD481" s="105"/>
      <c r="GE481" s="105"/>
      <c r="GF481" s="105"/>
      <c r="GG481" s="105"/>
      <c r="GH481" s="105"/>
      <c r="GI481" s="105"/>
      <c r="GJ481" s="105"/>
      <c r="GK481" s="105"/>
      <c r="GL481" s="105"/>
      <c r="GM481" s="105"/>
      <c r="GN481" s="105"/>
      <c r="GO481" s="105"/>
      <c r="GP481" s="105"/>
      <c r="GQ481" s="105"/>
      <c r="GR481" s="105"/>
      <c r="GS481" s="105"/>
      <c r="GT481" s="105"/>
      <c r="GU481" s="105"/>
      <c r="GV481" s="105"/>
      <c r="GW481" s="105"/>
      <c r="GX481" s="105"/>
      <c r="GY481" s="105"/>
      <c r="GZ481" s="105"/>
      <c r="HA481" s="105"/>
      <c r="HB481" s="105"/>
      <c r="HC481" s="105"/>
      <c r="HD481" s="105"/>
      <c r="HE481" s="105"/>
      <c r="HF481" s="105"/>
      <c r="HG481" s="105"/>
      <c r="HH481" s="105"/>
      <c r="HI481" s="105"/>
      <c r="HJ481" s="105"/>
      <c r="HK481" s="105"/>
      <c r="HL481" s="105"/>
      <c r="HM481" s="105"/>
      <c r="HN481" s="105"/>
      <c r="HO481" s="105"/>
      <c r="HP481" s="105"/>
      <c r="HQ481" s="105"/>
      <c r="HR481" s="105"/>
      <c r="HS481" s="105"/>
      <c r="HT481" s="105"/>
      <c r="HU481" s="105"/>
      <c r="HV481" s="105"/>
      <c r="HW481" s="105"/>
      <c r="HX481" s="105"/>
      <c r="HY481" s="105"/>
      <c r="HZ481" s="105"/>
      <c r="IA481" s="105"/>
      <c r="IB481" s="105"/>
      <c r="IC481" s="105"/>
      <c r="ID481" s="105"/>
      <c r="IE481" s="105"/>
      <c r="IF481" s="105"/>
      <c r="IG481" s="105"/>
      <c r="IH481" s="105"/>
      <c r="II481" s="105"/>
      <c r="IJ481" s="105"/>
      <c r="IK481" s="105"/>
      <c r="IL481" s="105"/>
      <c r="IM481" s="105"/>
      <c r="IN481" s="105"/>
      <c r="IO481" s="105"/>
      <c r="IP481" s="105"/>
      <c r="IQ481" s="105"/>
      <c r="IR481" s="105"/>
      <c r="IS481" s="105"/>
      <c r="IT481" s="105"/>
      <c r="IU481" s="105"/>
      <c r="IV481" s="105"/>
    </row>
    <row r="482" spans="1:256" s="407" customFormat="1" x14ac:dyDescent="0.2">
      <c r="A482" s="45">
        <v>44649</v>
      </c>
      <c r="B482" s="46" t="s">
        <v>173</v>
      </c>
      <c r="C482" s="46">
        <v>2022</v>
      </c>
      <c r="D482" s="46" t="s">
        <v>10</v>
      </c>
      <c r="E482" s="181">
        <v>-402</v>
      </c>
      <c r="F482" s="181" t="s">
        <v>33</v>
      </c>
      <c r="G482" s="182">
        <v>160800</v>
      </c>
      <c r="H482" s="183">
        <v>285</v>
      </c>
      <c r="I482" s="181" t="s">
        <v>80</v>
      </c>
      <c r="J482" s="181" t="s">
        <v>738</v>
      </c>
      <c r="K482" s="181">
        <v>335</v>
      </c>
      <c r="L482" s="181" t="s">
        <v>1062</v>
      </c>
      <c r="M482" s="181" t="s">
        <v>1063</v>
      </c>
      <c r="N482" s="76" t="s">
        <v>1064</v>
      </c>
      <c r="O482" s="46"/>
      <c r="P482" s="46" t="s">
        <v>771</v>
      </c>
      <c r="Q482" s="761">
        <v>38.267583999999999</v>
      </c>
      <c r="R482" s="660">
        <v>-86.005077999999997</v>
      </c>
      <c r="S482" s="46" t="s">
        <v>61</v>
      </c>
      <c r="T482" s="46"/>
      <c r="U482" s="46" t="s">
        <v>51</v>
      </c>
      <c r="V482" s="45"/>
      <c r="W482" s="47">
        <f>IF(AC482="Intr",0,G482*Definitions!$B$53)</f>
        <v>24120</v>
      </c>
      <c r="X482" s="47">
        <f>IF(AC482="Intr",0,G482*Definitions!$B$54)</f>
        <v>112560</v>
      </c>
      <c r="Y482" s="47">
        <f>IF(AC482="Intr",G482,G482*Definitions!$B$55)</f>
        <v>24120</v>
      </c>
      <c r="Z482" s="47" t="s">
        <v>966</v>
      </c>
      <c r="AA482" s="47" t="s">
        <v>965</v>
      </c>
      <c r="AB482" s="47"/>
      <c r="AC482" s="46"/>
      <c r="AD482" s="46"/>
      <c r="AE482" s="46"/>
      <c r="AF482" s="46"/>
      <c r="AG482" s="48"/>
      <c r="AH482" s="78" t="s">
        <v>1065</v>
      </c>
      <c r="AI482" s="105"/>
      <c r="AJ482" s="105"/>
      <c r="AK482" s="105"/>
      <c r="AL482" s="105"/>
      <c r="AM482" s="105"/>
      <c r="AN482" s="105"/>
      <c r="AO482" s="105"/>
      <c r="AP482" s="105"/>
      <c r="AQ482" s="105"/>
      <c r="AR482" s="105"/>
      <c r="AS482" s="105"/>
      <c r="AT482" s="105"/>
      <c r="AU482" s="105"/>
      <c r="AV482" s="105"/>
      <c r="AW482" s="105"/>
      <c r="AX482" s="105"/>
      <c r="AY482" s="105"/>
      <c r="AZ482" s="105"/>
      <c r="BA482" s="105"/>
      <c r="BB482" s="105"/>
      <c r="BC482" s="105"/>
      <c r="BD482" s="105"/>
      <c r="BE482" s="105"/>
      <c r="BF482" s="105"/>
      <c r="BG482" s="105"/>
      <c r="BH482" s="105"/>
      <c r="BI482" s="105"/>
      <c r="BJ482" s="105"/>
      <c r="BK482" s="105"/>
      <c r="BL482" s="105"/>
      <c r="BM482" s="105"/>
      <c r="BN482" s="105"/>
      <c r="BO482" s="105"/>
      <c r="BP482" s="105"/>
      <c r="BQ482" s="105"/>
      <c r="BR482" s="105"/>
      <c r="BS482" s="105"/>
      <c r="BT482" s="105"/>
      <c r="BU482" s="105"/>
      <c r="BV482" s="105"/>
      <c r="BW482" s="105"/>
      <c r="BX482" s="105"/>
      <c r="BY482" s="105"/>
      <c r="BZ482" s="105"/>
      <c r="CA482" s="105"/>
      <c r="CB482" s="105"/>
      <c r="CC482" s="105"/>
      <c r="CD482" s="105"/>
      <c r="CE482" s="105"/>
      <c r="CF482" s="105"/>
      <c r="CG482" s="105"/>
      <c r="CH482" s="105"/>
      <c r="CI482" s="105"/>
      <c r="CJ482" s="105"/>
      <c r="CK482" s="105"/>
      <c r="CL482" s="105"/>
      <c r="CM482" s="105"/>
      <c r="CN482" s="105"/>
      <c r="CO482" s="105"/>
      <c r="CP482" s="105"/>
      <c r="CQ482" s="105"/>
      <c r="CR482" s="105"/>
      <c r="CS482" s="105"/>
      <c r="CT482" s="105"/>
      <c r="CU482" s="105"/>
      <c r="CV482" s="105"/>
      <c r="CW482" s="105"/>
      <c r="CX482" s="105"/>
      <c r="CY482" s="105"/>
      <c r="CZ482" s="105"/>
      <c r="DA482" s="105"/>
      <c r="DB482" s="105"/>
      <c r="DC482" s="105"/>
      <c r="DD482" s="105"/>
      <c r="DE482" s="105"/>
      <c r="DF482" s="105"/>
      <c r="DG482" s="105"/>
      <c r="DH482" s="105"/>
      <c r="DI482" s="105"/>
      <c r="DJ482" s="105"/>
      <c r="DK482" s="105"/>
      <c r="DL482" s="105"/>
      <c r="DM482" s="105"/>
      <c r="DN482" s="105"/>
      <c r="DO482" s="105"/>
      <c r="DP482" s="105"/>
      <c r="DQ482" s="105"/>
      <c r="DR482" s="105"/>
      <c r="DS482" s="105"/>
      <c r="DT482" s="105"/>
      <c r="DU482" s="105"/>
      <c r="DV482" s="105"/>
      <c r="DW482" s="105"/>
      <c r="DX482" s="105"/>
      <c r="DY482" s="105"/>
      <c r="DZ482" s="105"/>
      <c r="EA482" s="105"/>
      <c r="EB482" s="105"/>
      <c r="EC482" s="105"/>
      <c r="ED482" s="105"/>
      <c r="EE482" s="105"/>
      <c r="EF482" s="105"/>
      <c r="EG482" s="105"/>
      <c r="EH482" s="105"/>
      <c r="EI482" s="105"/>
      <c r="EJ482" s="105"/>
      <c r="EK482" s="105"/>
      <c r="EL482" s="105"/>
      <c r="EM482" s="105"/>
      <c r="EN482" s="105"/>
      <c r="EO482" s="105"/>
      <c r="EP482" s="105"/>
      <c r="EQ482" s="105"/>
      <c r="ER482" s="105"/>
      <c r="ES482" s="105"/>
      <c r="ET482" s="105"/>
      <c r="EU482" s="105"/>
      <c r="EV482" s="105"/>
      <c r="EW482" s="105"/>
      <c r="EX482" s="105"/>
      <c r="EY482" s="105"/>
      <c r="EZ482" s="105"/>
      <c r="FA482" s="105"/>
      <c r="FB482" s="105"/>
      <c r="FC482" s="105"/>
      <c r="FD482" s="105"/>
      <c r="FE482" s="105"/>
      <c r="FF482" s="105"/>
      <c r="FG482" s="105"/>
      <c r="FH482" s="105"/>
      <c r="FI482" s="105"/>
      <c r="FJ482" s="105"/>
      <c r="FK482" s="105"/>
      <c r="FL482" s="105"/>
      <c r="FM482" s="105"/>
      <c r="FN482" s="105"/>
      <c r="FO482" s="105"/>
      <c r="FP482" s="105"/>
      <c r="FQ482" s="105"/>
      <c r="FR482" s="105"/>
      <c r="FS482" s="105"/>
      <c r="FT482" s="105"/>
      <c r="FU482" s="105"/>
      <c r="FV482" s="105"/>
      <c r="FW482" s="105"/>
      <c r="FX482" s="105"/>
      <c r="FY482" s="105"/>
      <c r="FZ482" s="105"/>
      <c r="GA482" s="105"/>
      <c r="GB482" s="105"/>
      <c r="GC482" s="105"/>
      <c r="GD482" s="105"/>
      <c r="GE482" s="105"/>
      <c r="GF482" s="105"/>
      <c r="GG482" s="105"/>
      <c r="GH482" s="105"/>
      <c r="GI482" s="105"/>
      <c r="GJ482" s="105"/>
      <c r="GK482" s="105"/>
      <c r="GL482" s="105"/>
      <c r="GM482" s="105"/>
      <c r="GN482" s="105"/>
      <c r="GO482" s="105"/>
      <c r="GP482" s="105"/>
      <c r="GQ482" s="105"/>
      <c r="GR482" s="105"/>
      <c r="GS482" s="105"/>
      <c r="GT482" s="105"/>
      <c r="GU482" s="105"/>
      <c r="GV482" s="105"/>
      <c r="GW482" s="105"/>
      <c r="GX482" s="105"/>
      <c r="GY482" s="105"/>
      <c r="GZ482" s="105"/>
      <c r="HA482" s="105"/>
      <c r="HB482" s="105"/>
      <c r="HC482" s="105"/>
      <c r="HD482" s="105"/>
      <c r="HE482" s="105"/>
      <c r="HF482" s="105"/>
      <c r="HG482" s="105"/>
      <c r="HH482" s="105"/>
      <c r="HI482" s="105"/>
      <c r="HJ482" s="105"/>
      <c r="HK482" s="105"/>
      <c r="HL482" s="105"/>
      <c r="HM482" s="105"/>
      <c r="HN482" s="105"/>
      <c r="HO482" s="105"/>
      <c r="HP482" s="105"/>
      <c r="HQ482" s="105"/>
      <c r="HR482" s="105"/>
      <c r="HS482" s="105"/>
      <c r="HT482" s="105"/>
      <c r="HU482" s="105"/>
      <c r="HV482" s="105"/>
      <c r="HW482" s="105"/>
      <c r="HX482" s="105"/>
      <c r="HY482" s="105"/>
      <c r="HZ482" s="105"/>
      <c r="IA482" s="105"/>
      <c r="IB482" s="105"/>
      <c r="IC482" s="105"/>
      <c r="ID482" s="105"/>
      <c r="IE482" s="105"/>
      <c r="IF482" s="105"/>
      <c r="IG482" s="105"/>
      <c r="IH482" s="105"/>
      <c r="II482" s="105"/>
      <c r="IJ482" s="105"/>
      <c r="IK482" s="105"/>
      <c r="IL482" s="105"/>
      <c r="IM482" s="105"/>
      <c r="IN482" s="105"/>
      <c r="IO482" s="105"/>
      <c r="IP482" s="105"/>
      <c r="IQ482" s="105"/>
      <c r="IR482" s="105"/>
      <c r="IS482" s="105"/>
      <c r="IT482" s="105"/>
      <c r="IU482" s="105"/>
      <c r="IV482" s="105"/>
    </row>
    <row r="483" spans="1:256" x14ac:dyDescent="0.2">
      <c r="A483" s="37">
        <v>44649</v>
      </c>
      <c r="B483" s="38" t="s">
        <v>173</v>
      </c>
      <c r="C483" s="38">
        <v>2022</v>
      </c>
      <c r="D483" s="38" t="s">
        <v>7</v>
      </c>
      <c r="E483" s="177">
        <v>-1.18</v>
      </c>
      <c r="F483" s="177" t="s">
        <v>32</v>
      </c>
      <c r="G483" s="269">
        <v>94400</v>
      </c>
      <c r="H483" s="179">
        <v>282</v>
      </c>
      <c r="I483" s="177" t="s">
        <v>80</v>
      </c>
      <c r="J483" s="177" t="s">
        <v>36</v>
      </c>
      <c r="K483" s="177">
        <v>0.49</v>
      </c>
      <c r="L483" s="177" t="s">
        <v>572</v>
      </c>
      <c r="M483" s="177" t="s">
        <v>1059</v>
      </c>
      <c r="N483" s="70" t="s">
        <v>1060</v>
      </c>
      <c r="O483" s="38"/>
      <c r="P483" s="38" t="s">
        <v>137</v>
      </c>
      <c r="Q483" s="760" t="s">
        <v>1061</v>
      </c>
      <c r="R483" s="590">
        <v>-86.210599999999999</v>
      </c>
      <c r="S483" s="38" t="s">
        <v>61</v>
      </c>
      <c r="T483" s="38"/>
      <c r="U483" s="38" t="s">
        <v>51</v>
      </c>
      <c r="V483" s="37"/>
      <c r="W483" s="39">
        <f>IF(AC483="Intr",0,G483*Definitions!$B$53)</f>
        <v>14160</v>
      </c>
      <c r="X483" s="39">
        <f>IF(AC483="Intr",0,G483*Definitions!$B$54)</f>
        <v>66080</v>
      </c>
      <c r="Y483" s="39">
        <f>IF(AC483="Intr",G483,G483*Definitions!$B$55)</f>
        <v>14160</v>
      </c>
      <c r="Z483" s="39" t="s">
        <v>966</v>
      </c>
      <c r="AA483" s="39" t="s">
        <v>965</v>
      </c>
      <c r="AB483" s="39"/>
      <c r="AC483" s="38"/>
      <c r="AD483" s="38"/>
      <c r="AE483" s="38"/>
      <c r="AF483" s="38"/>
      <c r="AG483" s="40"/>
      <c r="AH483" s="38"/>
    </row>
    <row r="484" spans="1:256" s="409" customFormat="1" x14ac:dyDescent="0.2">
      <c r="A484" s="37">
        <v>44651</v>
      </c>
      <c r="B484" s="38" t="s">
        <v>173</v>
      </c>
      <c r="C484" s="38">
        <v>2022</v>
      </c>
      <c r="D484" s="38" t="s">
        <v>6</v>
      </c>
      <c r="E484" s="177">
        <v>-0.25</v>
      </c>
      <c r="F484" s="177" t="s">
        <v>32</v>
      </c>
      <c r="G484" s="269">
        <v>20000</v>
      </c>
      <c r="H484" s="179">
        <v>296</v>
      </c>
      <c r="I484" s="177" t="s">
        <v>81</v>
      </c>
      <c r="J484" s="177" t="s">
        <v>38</v>
      </c>
      <c r="K484" s="177">
        <v>0.1</v>
      </c>
      <c r="L484" s="177" t="s">
        <v>1081</v>
      </c>
      <c r="M484" s="177" t="s">
        <v>103</v>
      </c>
      <c r="N484" s="70" t="s">
        <v>1082</v>
      </c>
      <c r="O484" s="38"/>
      <c r="P484" s="38" t="s">
        <v>274</v>
      </c>
      <c r="Q484" s="760">
        <v>40.475900000000003</v>
      </c>
      <c r="R484" s="590" t="s">
        <v>1083</v>
      </c>
      <c r="S484" s="38" t="s">
        <v>61</v>
      </c>
      <c r="T484" s="38"/>
      <c r="U484" s="38" t="s">
        <v>51</v>
      </c>
      <c r="V484" s="37"/>
      <c r="W484" s="39">
        <f>IF(AC484="Intr",0,G484*Definitions!$B$53)</f>
        <v>3000</v>
      </c>
      <c r="X484" s="39">
        <f>IF(AC484="Intr",0,G484*Definitions!$B$54)</f>
        <v>14000</v>
      </c>
      <c r="Y484" s="39">
        <f>IF(AC484="Intr",G484,G484*Definitions!$B$55)</f>
        <v>3000</v>
      </c>
      <c r="Z484" s="72" t="s">
        <v>966</v>
      </c>
      <c r="AA484" s="72" t="s">
        <v>963</v>
      </c>
      <c r="AB484" s="72" t="s">
        <v>1268</v>
      </c>
      <c r="AC484" s="38"/>
      <c r="AD484" s="38"/>
      <c r="AE484" s="38"/>
      <c r="AF484" s="38"/>
      <c r="AG484" s="40"/>
      <c r="AH484" s="38"/>
      <c r="AI484" s="105"/>
      <c r="AJ484" s="105"/>
      <c r="AK484" s="105"/>
      <c r="AL484" s="105"/>
      <c r="AM484" s="105"/>
      <c r="AN484" s="105"/>
      <c r="AO484" s="105"/>
      <c r="AP484" s="105"/>
      <c r="AQ484" s="105"/>
      <c r="AR484" s="105"/>
      <c r="AS484" s="105"/>
      <c r="AT484" s="105"/>
      <c r="AU484" s="105"/>
      <c r="AV484" s="105"/>
      <c r="AW484" s="105"/>
      <c r="AX484" s="105"/>
      <c r="AY484" s="105"/>
      <c r="AZ484" s="105"/>
      <c r="BA484" s="105"/>
      <c r="BB484" s="105"/>
      <c r="BC484" s="105"/>
      <c r="BD484" s="105"/>
      <c r="BE484" s="105"/>
      <c r="BF484" s="105"/>
      <c r="BG484" s="105"/>
      <c r="BH484" s="105"/>
      <c r="BI484" s="105"/>
      <c r="BJ484" s="105"/>
      <c r="BK484" s="105"/>
      <c r="BL484" s="105"/>
      <c r="BM484" s="105"/>
      <c r="BN484" s="105"/>
      <c r="BO484" s="105"/>
      <c r="BP484" s="105"/>
      <c r="BQ484" s="105"/>
      <c r="BR484" s="105"/>
      <c r="BS484" s="105"/>
      <c r="BT484" s="105"/>
      <c r="BU484" s="105"/>
      <c r="BV484" s="105"/>
      <c r="BW484" s="105"/>
      <c r="BX484" s="105"/>
      <c r="BY484" s="105"/>
      <c r="BZ484" s="105"/>
      <c r="CA484" s="105"/>
      <c r="CB484" s="105"/>
      <c r="CC484" s="105"/>
      <c r="CD484" s="105"/>
      <c r="CE484" s="105"/>
      <c r="CF484" s="105"/>
      <c r="CG484" s="105"/>
      <c r="CH484" s="105"/>
      <c r="CI484" s="105"/>
      <c r="CJ484" s="105"/>
      <c r="CK484" s="105"/>
      <c r="CL484" s="105"/>
      <c r="CM484" s="105"/>
      <c r="CN484" s="105"/>
      <c r="CO484" s="105"/>
      <c r="CP484" s="105"/>
      <c r="CQ484" s="105"/>
      <c r="CR484" s="105"/>
      <c r="CS484" s="105"/>
      <c r="CT484" s="105"/>
      <c r="CU484" s="105"/>
      <c r="CV484" s="105"/>
      <c r="CW484" s="105"/>
      <c r="CX484" s="105"/>
      <c r="CY484" s="105"/>
      <c r="CZ484" s="105"/>
      <c r="DA484" s="105"/>
      <c r="DB484" s="105"/>
      <c r="DC484" s="105"/>
      <c r="DD484" s="105"/>
      <c r="DE484" s="105"/>
      <c r="DF484" s="105"/>
      <c r="DG484" s="105"/>
      <c r="DH484" s="105"/>
      <c r="DI484" s="105"/>
      <c r="DJ484" s="105"/>
      <c r="DK484" s="105"/>
      <c r="DL484" s="105"/>
      <c r="DM484" s="105"/>
      <c r="DN484" s="105"/>
      <c r="DO484" s="105"/>
      <c r="DP484" s="105"/>
      <c r="DQ484" s="105"/>
      <c r="DR484" s="105"/>
      <c r="DS484" s="105"/>
      <c r="DT484" s="105"/>
      <c r="DU484" s="105"/>
      <c r="DV484" s="105"/>
      <c r="DW484" s="105"/>
      <c r="DX484" s="105"/>
      <c r="DY484" s="105"/>
      <c r="DZ484" s="105"/>
      <c r="EA484" s="105"/>
      <c r="EB484" s="105"/>
      <c r="EC484" s="105"/>
      <c r="ED484" s="105"/>
      <c r="EE484" s="105"/>
      <c r="EF484" s="105"/>
      <c r="EG484" s="105"/>
      <c r="EH484" s="105"/>
      <c r="EI484" s="105"/>
      <c r="EJ484" s="105"/>
      <c r="EK484" s="105"/>
      <c r="EL484" s="105"/>
      <c r="EM484" s="105"/>
      <c r="EN484" s="105"/>
      <c r="EO484" s="105"/>
      <c r="EP484" s="105"/>
      <c r="EQ484" s="105"/>
      <c r="ER484" s="105"/>
      <c r="ES484" s="105"/>
      <c r="ET484" s="105"/>
      <c r="EU484" s="105"/>
      <c r="EV484" s="105"/>
      <c r="EW484" s="105"/>
      <c r="EX484" s="105"/>
      <c r="EY484" s="105"/>
      <c r="EZ484" s="105"/>
      <c r="FA484" s="105"/>
      <c r="FB484" s="105"/>
      <c r="FC484" s="105"/>
      <c r="FD484" s="105"/>
      <c r="FE484" s="105"/>
      <c r="FF484" s="105"/>
      <c r="FG484" s="105"/>
      <c r="FH484" s="105"/>
      <c r="FI484" s="105"/>
      <c r="FJ484" s="105"/>
      <c r="FK484" s="105"/>
      <c r="FL484" s="105"/>
      <c r="FM484" s="105"/>
      <c r="FN484" s="105"/>
      <c r="FO484" s="105"/>
      <c r="FP484" s="105"/>
      <c r="FQ484" s="105"/>
      <c r="FR484" s="105"/>
      <c r="FS484" s="105"/>
      <c r="FT484" s="105"/>
      <c r="FU484" s="105"/>
      <c r="FV484" s="105"/>
      <c r="FW484" s="105"/>
      <c r="FX484" s="105"/>
      <c r="FY484" s="105"/>
      <c r="FZ484" s="105"/>
      <c r="GA484" s="105"/>
      <c r="GB484" s="105"/>
      <c r="GC484" s="105"/>
      <c r="GD484" s="105"/>
      <c r="GE484" s="105"/>
      <c r="GF484" s="105"/>
      <c r="GG484" s="105"/>
      <c r="GH484" s="105"/>
      <c r="GI484" s="105"/>
      <c r="GJ484" s="105"/>
      <c r="GK484" s="105"/>
      <c r="GL484" s="105"/>
      <c r="GM484" s="105"/>
      <c r="GN484" s="105"/>
      <c r="GO484" s="105"/>
      <c r="GP484" s="105"/>
      <c r="GQ484" s="105"/>
      <c r="GR484" s="105"/>
      <c r="GS484" s="105"/>
      <c r="GT484" s="105"/>
      <c r="GU484" s="105"/>
      <c r="GV484" s="105"/>
      <c r="GW484" s="105"/>
      <c r="GX484" s="105"/>
      <c r="GY484" s="105"/>
      <c r="GZ484" s="105"/>
      <c r="HA484" s="105"/>
      <c r="HB484" s="105"/>
      <c r="HC484" s="105"/>
      <c r="HD484" s="105"/>
      <c r="HE484" s="105"/>
      <c r="HF484" s="105"/>
      <c r="HG484" s="105"/>
      <c r="HH484" s="105"/>
      <c r="HI484" s="105"/>
      <c r="HJ484" s="105"/>
      <c r="HK484" s="105"/>
      <c r="HL484" s="105"/>
      <c r="HM484" s="105"/>
      <c r="HN484" s="105"/>
      <c r="HO484" s="105"/>
      <c r="HP484" s="105"/>
      <c r="HQ484" s="105"/>
      <c r="HR484" s="105"/>
      <c r="HS484" s="105"/>
      <c r="HT484" s="105"/>
      <c r="HU484" s="105"/>
      <c r="HV484" s="105"/>
      <c r="HW484" s="105"/>
      <c r="HX484" s="105"/>
      <c r="HY484" s="105"/>
      <c r="HZ484" s="105"/>
      <c r="IA484" s="105"/>
      <c r="IB484" s="105"/>
      <c r="IC484" s="105"/>
      <c r="ID484" s="105"/>
      <c r="IE484" s="105"/>
      <c r="IF484" s="105"/>
      <c r="IG484" s="105"/>
      <c r="IH484" s="105"/>
      <c r="II484" s="105"/>
      <c r="IJ484" s="105"/>
      <c r="IK484" s="105"/>
      <c r="IL484" s="105"/>
      <c r="IM484" s="105"/>
      <c r="IN484" s="105"/>
      <c r="IO484" s="105"/>
      <c r="IP484" s="105"/>
      <c r="IQ484" s="105"/>
      <c r="IR484" s="105"/>
      <c r="IS484" s="105"/>
      <c r="IT484" s="105"/>
      <c r="IU484" s="105"/>
      <c r="IV484" s="105"/>
    </row>
    <row r="485" spans="1:256" s="397" customFormat="1" x14ac:dyDescent="0.2">
      <c r="A485" s="37">
        <v>44651</v>
      </c>
      <c r="B485" s="38" t="s">
        <v>173</v>
      </c>
      <c r="C485" s="38">
        <v>2022</v>
      </c>
      <c r="D485" s="38" t="s">
        <v>5</v>
      </c>
      <c r="E485" s="177">
        <v>-0.62</v>
      </c>
      <c r="F485" s="177" t="s">
        <v>32</v>
      </c>
      <c r="G485" s="269">
        <v>49600</v>
      </c>
      <c r="H485" s="179">
        <v>288</v>
      </c>
      <c r="I485" s="177" t="s">
        <v>80</v>
      </c>
      <c r="J485" s="177" t="s">
        <v>38</v>
      </c>
      <c r="K485" s="177">
        <v>0.13</v>
      </c>
      <c r="L485" s="177" t="s">
        <v>1066</v>
      </c>
      <c r="M485" s="177" t="s">
        <v>1067</v>
      </c>
      <c r="N485" s="70" t="s">
        <v>1068</v>
      </c>
      <c r="O485" s="38"/>
      <c r="P485" s="38" t="s">
        <v>418</v>
      </c>
      <c r="Q485" s="760">
        <v>40.457900000000002</v>
      </c>
      <c r="R485" s="590">
        <v>-84.964799999999997</v>
      </c>
      <c r="S485" s="38" t="s">
        <v>61</v>
      </c>
      <c r="T485" s="38"/>
      <c r="U485" s="38" t="s">
        <v>51</v>
      </c>
      <c r="V485" s="37"/>
      <c r="W485" s="39">
        <f>IF(AC485="Intr",0,G485*Definitions!$B$53)</f>
        <v>7440</v>
      </c>
      <c r="X485" s="39">
        <f>IF(AC485="Intr",0,G485*Definitions!$B$54)</f>
        <v>34720</v>
      </c>
      <c r="Y485" s="39">
        <f>IF(AC485="Intr",G485,G485*Definitions!$B$55)</f>
        <v>7440</v>
      </c>
      <c r="Z485" s="39" t="s">
        <v>966</v>
      </c>
      <c r="AA485" s="39" t="s">
        <v>965</v>
      </c>
      <c r="AB485" s="39"/>
      <c r="AC485" s="38"/>
      <c r="AD485" s="38"/>
      <c r="AE485" s="38"/>
      <c r="AF485" s="38"/>
      <c r="AG485" s="40"/>
      <c r="AH485" s="427" t="s">
        <v>1069</v>
      </c>
      <c r="AI485" s="105"/>
      <c r="AJ485" s="105"/>
      <c r="AK485" s="105"/>
      <c r="AL485" s="105"/>
      <c r="AM485" s="105"/>
      <c r="AN485" s="105"/>
      <c r="AO485" s="105"/>
      <c r="AP485" s="105"/>
      <c r="AQ485" s="105"/>
      <c r="AR485" s="105"/>
      <c r="AS485" s="105"/>
      <c r="AT485" s="105"/>
      <c r="AU485" s="105"/>
      <c r="AV485" s="105"/>
      <c r="AW485" s="105"/>
      <c r="AX485" s="105"/>
      <c r="AY485" s="105"/>
      <c r="AZ485" s="105"/>
      <c r="BA485" s="105"/>
      <c r="BB485" s="105"/>
      <c r="BC485" s="105"/>
      <c r="BD485" s="105"/>
      <c r="BE485" s="105"/>
      <c r="BF485" s="105"/>
      <c r="BG485" s="105"/>
      <c r="BH485" s="105"/>
      <c r="BI485" s="105"/>
      <c r="BJ485" s="105"/>
      <c r="BK485" s="105"/>
      <c r="BL485" s="105"/>
      <c r="BM485" s="105"/>
      <c r="BN485" s="105"/>
      <c r="BO485" s="105"/>
      <c r="BP485" s="105"/>
      <c r="BQ485" s="105"/>
      <c r="BR485" s="105"/>
      <c r="BS485" s="105"/>
      <c r="BT485" s="105"/>
      <c r="BU485" s="105"/>
      <c r="BV485" s="105"/>
      <c r="BW485" s="105"/>
      <c r="BX485" s="105"/>
      <c r="BY485" s="105"/>
      <c r="BZ485" s="105"/>
      <c r="CA485" s="105"/>
      <c r="CB485" s="105"/>
      <c r="CC485" s="105"/>
      <c r="CD485" s="105"/>
      <c r="CE485" s="105"/>
      <c r="CF485" s="105"/>
      <c r="CG485" s="105"/>
      <c r="CH485" s="105"/>
      <c r="CI485" s="105"/>
      <c r="CJ485" s="105"/>
      <c r="CK485" s="105"/>
      <c r="CL485" s="105"/>
      <c r="CM485" s="105"/>
      <c r="CN485" s="105"/>
      <c r="CO485" s="105"/>
      <c r="CP485" s="105"/>
      <c r="CQ485" s="105"/>
      <c r="CR485" s="105"/>
      <c r="CS485" s="105"/>
      <c r="CT485" s="105"/>
      <c r="CU485" s="105"/>
      <c r="CV485" s="105"/>
      <c r="CW485" s="105"/>
      <c r="CX485" s="105"/>
      <c r="CY485" s="105"/>
      <c r="CZ485" s="105"/>
      <c r="DA485" s="105"/>
      <c r="DB485" s="105"/>
      <c r="DC485" s="105"/>
      <c r="DD485" s="105"/>
      <c r="DE485" s="105"/>
      <c r="DF485" s="105"/>
      <c r="DG485" s="105"/>
      <c r="DH485" s="105"/>
      <c r="DI485" s="105"/>
      <c r="DJ485" s="105"/>
      <c r="DK485" s="105"/>
      <c r="DL485" s="105"/>
      <c r="DM485" s="105"/>
      <c r="DN485" s="105"/>
      <c r="DO485" s="105"/>
      <c r="DP485" s="105"/>
      <c r="DQ485" s="105"/>
      <c r="DR485" s="105"/>
      <c r="DS485" s="105"/>
      <c r="DT485" s="105"/>
      <c r="DU485" s="105"/>
      <c r="DV485" s="105"/>
      <c r="DW485" s="105"/>
      <c r="DX485" s="105"/>
      <c r="DY485" s="105"/>
      <c r="DZ485" s="105"/>
      <c r="EA485" s="105"/>
      <c r="EB485" s="105"/>
      <c r="EC485" s="105"/>
      <c r="ED485" s="105"/>
      <c r="EE485" s="105"/>
      <c r="EF485" s="105"/>
      <c r="EG485" s="105"/>
      <c r="EH485" s="105"/>
      <c r="EI485" s="105"/>
      <c r="EJ485" s="105"/>
      <c r="EK485" s="105"/>
      <c r="EL485" s="105"/>
      <c r="EM485" s="105"/>
      <c r="EN485" s="105"/>
      <c r="EO485" s="105"/>
      <c r="EP485" s="105"/>
      <c r="EQ485" s="105"/>
      <c r="ER485" s="105"/>
      <c r="ES485" s="105"/>
      <c r="ET485" s="105"/>
      <c r="EU485" s="105"/>
      <c r="EV485" s="105"/>
      <c r="EW485" s="105"/>
      <c r="EX485" s="105"/>
      <c r="EY485" s="105"/>
      <c r="EZ485" s="105"/>
      <c r="FA485" s="105"/>
      <c r="FB485" s="105"/>
      <c r="FC485" s="105"/>
      <c r="FD485" s="105"/>
      <c r="FE485" s="105"/>
      <c r="FF485" s="105"/>
      <c r="FG485" s="105"/>
      <c r="FH485" s="105"/>
      <c r="FI485" s="105"/>
      <c r="FJ485" s="105"/>
      <c r="FK485" s="105"/>
      <c r="FL485" s="105"/>
      <c r="FM485" s="105"/>
      <c r="FN485" s="105"/>
      <c r="FO485" s="105"/>
      <c r="FP485" s="105"/>
      <c r="FQ485" s="105"/>
      <c r="FR485" s="105"/>
      <c r="FS485" s="105"/>
      <c r="FT485" s="105"/>
      <c r="FU485" s="105"/>
      <c r="FV485" s="105"/>
      <c r="FW485" s="105"/>
      <c r="FX485" s="105"/>
      <c r="FY485" s="105"/>
      <c r="FZ485" s="105"/>
      <c r="GA485" s="105"/>
      <c r="GB485" s="105"/>
      <c r="GC485" s="105"/>
      <c r="GD485" s="105"/>
      <c r="GE485" s="105"/>
      <c r="GF485" s="105"/>
      <c r="GG485" s="105"/>
      <c r="GH485" s="105"/>
      <c r="GI485" s="105"/>
      <c r="GJ485" s="105"/>
      <c r="GK485" s="105"/>
      <c r="GL485" s="105"/>
      <c r="GM485" s="105"/>
      <c r="GN485" s="105"/>
      <c r="GO485" s="105"/>
      <c r="GP485" s="105"/>
      <c r="GQ485" s="105"/>
      <c r="GR485" s="105"/>
      <c r="GS485" s="105"/>
      <c r="GT485" s="105"/>
      <c r="GU485" s="105"/>
      <c r="GV485" s="105"/>
      <c r="GW485" s="105"/>
      <c r="GX485" s="105"/>
      <c r="GY485" s="105"/>
      <c r="GZ485" s="105"/>
      <c r="HA485" s="105"/>
      <c r="HB485" s="105"/>
      <c r="HC485" s="105"/>
      <c r="HD485" s="105"/>
      <c r="HE485" s="105"/>
      <c r="HF485" s="105"/>
      <c r="HG485" s="105"/>
      <c r="HH485" s="105"/>
      <c r="HI485" s="105"/>
      <c r="HJ485" s="105"/>
      <c r="HK485" s="105"/>
      <c r="HL485" s="105"/>
      <c r="HM485" s="105"/>
      <c r="HN485" s="105"/>
      <c r="HO485" s="105"/>
      <c r="HP485" s="105"/>
      <c r="HQ485" s="105"/>
      <c r="HR485" s="105"/>
      <c r="HS485" s="105"/>
      <c r="HT485" s="105"/>
      <c r="HU485" s="105"/>
      <c r="HV485" s="105"/>
      <c r="HW485" s="105"/>
      <c r="HX485" s="105"/>
      <c r="HY485" s="105"/>
      <c r="HZ485" s="105"/>
      <c r="IA485" s="105"/>
      <c r="IB485" s="105"/>
      <c r="IC485" s="105"/>
      <c r="ID485" s="105"/>
      <c r="IE485" s="105"/>
      <c r="IF485" s="105"/>
      <c r="IG485" s="105"/>
      <c r="IH485" s="105"/>
      <c r="II485" s="105"/>
      <c r="IJ485" s="105"/>
      <c r="IK485" s="105"/>
      <c r="IL485" s="105"/>
      <c r="IM485" s="105"/>
      <c r="IN485" s="105"/>
      <c r="IO485" s="105"/>
      <c r="IP485" s="105"/>
      <c r="IQ485" s="105"/>
      <c r="IR485" s="105"/>
      <c r="IS485" s="105"/>
      <c r="IT485" s="105"/>
      <c r="IU485" s="105"/>
      <c r="IV485" s="105"/>
    </row>
    <row r="486" spans="1:256" s="397" customFormat="1" x14ac:dyDescent="0.2">
      <c r="A486" s="79">
        <v>44651</v>
      </c>
      <c r="B486" s="80" t="s">
        <v>173</v>
      </c>
      <c r="C486" s="80">
        <v>2022</v>
      </c>
      <c r="D486" s="80" t="s">
        <v>7</v>
      </c>
      <c r="E486" s="81">
        <v>-0.53</v>
      </c>
      <c r="F486" s="81" t="s">
        <v>32</v>
      </c>
      <c r="G486" s="82">
        <v>42400</v>
      </c>
      <c r="H486" s="83">
        <v>293</v>
      </c>
      <c r="I486" s="81" t="s">
        <v>80</v>
      </c>
      <c r="J486" s="81" t="s">
        <v>36</v>
      </c>
      <c r="K486" s="81">
        <v>5.0999999999999997E-2</v>
      </c>
      <c r="L486" s="81" t="s">
        <v>1070</v>
      </c>
      <c r="M486" s="81" t="s">
        <v>1071</v>
      </c>
      <c r="N486" s="84" t="s">
        <v>1072</v>
      </c>
      <c r="O486" s="80"/>
      <c r="P486" s="80" t="s">
        <v>137</v>
      </c>
      <c r="Q486" s="770">
        <v>39.93</v>
      </c>
      <c r="R486" s="668">
        <v>-86.07</v>
      </c>
      <c r="S486" s="80" t="s">
        <v>61</v>
      </c>
      <c r="T486" s="80"/>
      <c r="U486" s="80" t="s">
        <v>51</v>
      </c>
      <c r="V486" s="79"/>
      <c r="W486" s="86">
        <f>IF(AC486="Intr",0,G486*Definitions!$B$53)</f>
        <v>6360</v>
      </c>
      <c r="X486" s="86">
        <f>IF(AC486="Intr",0,G486*Definitions!$B$54)</f>
        <v>29679.999999999996</v>
      </c>
      <c r="Y486" s="86">
        <f>IF(AC486="Intr",G486,G486*Definitions!$B$55)</f>
        <v>6360</v>
      </c>
      <c r="Z486" s="86" t="s">
        <v>966</v>
      </c>
      <c r="AA486" s="86" t="s">
        <v>965</v>
      </c>
      <c r="AB486" s="86"/>
      <c r="AC486" s="80"/>
      <c r="AD486" s="80"/>
      <c r="AE486" s="80"/>
      <c r="AF486" s="80"/>
      <c r="AG486" s="87"/>
      <c r="AH486" s="85" t="s">
        <v>1073</v>
      </c>
      <c r="AI486" s="105"/>
      <c r="AJ486" s="105"/>
      <c r="AK486" s="105"/>
      <c r="AL486" s="105"/>
      <c r="AM486" s="105"/>
      <c r="AN486" s="105"/>
      <c r="AO486" s="105"/>
      <c r="AP486" s="105"/>
      <c r="AQ486" s="105"/>
      <c r="AR486" s="105"/>
      <c r="AS486" s="105"/>
      <c r="AT486" s="105"/>
      <c r="AU486" s="105"/>
      <c r="AV486" s="105"/>
      <c r="AW486" s="105"/>
      <c r="AX486" s="105"/>
      <c r="AY486" s="105"/>
      <c r="AZ486" s="105"/>
      <c r="BA486" s="105"/>
      <c r="BB486" s="105"/>
      <c r="BC486" s="105"/>
      <c r="BD486" s="105"/>
      <c r="BE486" s="105"/>
      <c r="BF486" s="105"/>
      <c r="BG486" s="105"/>
      <c r="BH486" s="105"/>
      <c r="BI486" s="105"/>
      <c r="BJ486" s="105"/>
      <c r="BK486" s="105"/>
      <c r="BL486" s="105"/>
      <c r="BM486" s="105"/>
      <c r="BN486" s="105"/>
      <c r="BO486" s="105"/>
      <c r="BP486" s="105"/>
      <c r="BQ486" s="105"/>
      <c r="BR486" s="105"/>
      <c r="BS486" s="105"/>
      <c r="BT486" s="105"/>
      <c r="BU486" s="105"/>
      <c r="BV486" s="105"/>
      <c r="BW486" s="105"/>
      <c r="BX486" s="105"/>
      <c r="BY486" s="105"/>
      <c r="BZ486" s="105"/>
      <c r="CA486" s="105"/>
      <c r="CB486" s="105"/>
      <c r="CC486" s="105"/>
      <c r="CD486" s="105"/>
      <c r="CE486" s="105"/>
      <c r="CF486" s="105"/>
      <c r="CG486" s="105"/>
      <c r="CH486" s="105"/>
      <c r="CI486" s="105"/>
      <c r="CJ486" s="105"/>
      <c r="CK486" s="105"/>
      <c r="CL486" s="105"/>
      <c r="CM486" s="105"/>
      <c r="CN486" s="105"/>
      <c r="CO486" s="105"/>
      <c r="CP486" s="105"/>
      <c r="CQ486" s="105"/>
      <c r="CR486" s="105"/>
      <c r="CS486" s="105"/>
      <c r="CT486" s="105"/>
      <c r="CU486" s="105"/>
      <c r="CV486" s="105"/>
      <c r="CW486" s="105"/>
      <c r="CX486" s="105"/>
      <c r="CY486" s="105"/>
      <c r="CZ486" s="105"/>
      <c r="DA486" s="105"/>
      <c r="DB486" s="105"/>
      <c r="DC486" s="105"/>
      <c r="DD486" s="105"/>
      <c r="DE486" s="105"/>
      <c r="DF486" s="105"/>
      <c r="DG486" s="105"/>
      <c r="DH486" s="105"/>
      <c r="DI486" s="105"/>
      <c r="DJ486" s="105"/>
      <c r="DK486" s="105"/>
      <c r="DL486" s="105"/>
      <c r="DM486" s="105"/>
      <c r="DN486" s="105"/>
      <c r="DO486" s="105"/>
      <c r="DP486" s="105"/>
      <c r="DQ486" s="105"/>
      <c r="DR486" s="105"/>
      <c r="DS486" s="105"/>
      <c r="DT486" s="105"/>
      <c r="DU486" s="105"/>
      <c r="DV486" s="105"/>
      <c r="DW486" s="105"/>
      <c r="DX486" s="105"/>
      <c r="DY486" s="105"/>
      <c r="DZ486" s="105"/>
      <c r="EA486" s="105"/>
      <c r="EB486" s="105"/>
      <c r="EC486" s="105"/>
      <c r="ED486" s="105"/>
      <c r="EE486" s="105"/>
      <c r="EF486" s="105"/>
      <c r="EG486" s="105"/>
      <c r="EH486" s="105"/>
      <c r="EI486" s="105"/>
      <c r="EJ486" s="105"/>
      <c r="EK486" s="105"/>
      <c r="EL486" s="105"/>
      <c r="EM486" s="105"/>
      <c r="EN486" s="105"/>
      <c r="EO486" s="105"/>
      <c r="EP486" s="105"/>
      <c r="EQ486" s="105"/>
      <c r="ER486" s="105"/>
      <c r="ES486" s="105"/>
      <c r="ET486" s="105"/>
      <c r="EU486" s="105"/>
      <c r="EV486" s="105"/>
      <c r="EW486" s="105"/>
      <c r="EX486" s="105"/>
      <c r="EY486" s="105"/>
      <c r="EZ486" s="105"/>
      <c r="FA486" s="105"/>
      <c r="FB486" s="105"/>
      <c r="FC486" s="105"/>
      <c r="FD486" s="105"/>
      <c r="FE486" s="105"/>
      <c r="FF486" s="105"/>
      <c r="FG486" s="105"/>
      <c r="FH486" s="105"/>
      <c r="FI486" s="105"/>
      <c r="FJ486" s="105"/>
      <c r="FK486" s="105"/>
      <c r="FL486" s="105"/>
      <c r="FM486" s="105"/>
      <c r="FN486" s="105"/>
      <c r="FO486" s="105"/>
      <c r="FP486" s="105"/>
      <c r="FQ486" s="105"/>
      <c r="FR486" s="105"/>
      <c r="FS486" s="105"/>
      <c r="FT486" s="105"/>
      <c r="FU486" s="105"/>
      <c r="FV486" s="105"/>
      <c r="FW486" s="105"/>
      <c r="FX486" s="105"/>
      <c r="FY486" s="105"/>
      <c r="FZ486" s="105"/>
      <c r="GA486" s="105"/>
      <c r="GB486" s="105"/>
      <c r="GC486" s="105"/>
      <c r="GD486" s="105"/>
      <c r="GE486" s="105"/>
      <c r="GF486" s="105"/>
      <c r="GG486" s="105"/>
      <c r="GH486" s="105"/>
      <c r="GI486" s="105"/>
      <c r="GJ486" s="105"/>
      <c r="GK486" s="105"/>
      <c r="GL486" s="105"/>
      <c r="GM486" s="105"/>
      <c r="GN486" s="105"/>
      <c r="GO486" s="105"/>
      <c r="GP486" s="105"/>
      <c r="GQ486" s="105"/>
      <c r="GR486" s="105"/>
      <c r="GS486" s="105"/>
      <c r="GT486" s="105"/>
      <c r="GU486" s="105"/>
      <c r="GV486" s="105"/>
      <c r="GW486" s="105"/>
      <c r="GX486" s="105"/>
      <c r="GY486" s="105"/>
      <c r="GZ486" s="105"/>
      <c r="HA486" s="105"/>
      <c r="HB486" s="105"/>
      <c r="HC486" s="105"/>
      <c r="HD486" s="105"/>
      <c r="HE486" s="105"/>
      <c r="HF486" s="105"/>
      <c r="HG486" s="105"/>
      <c r="HH486" s="105"/>
      <c r="HI486" s="105"/>
      <c r="HJ486" s="105"/>
      <c r="HK486" s="105"/>
      <c r="HL486" s="105"/>
      <c r="HM486" s="105"/>
      <c r="HN486" s="105"/>
      <c r="HO486" s="105"/>
      <c r="HP486" s="105"/>
      <c r="HQ486" s="105"/>
      <c r="HR486" s="105"/>
      <c r="HS486" s="105"/>
      <c r="HT486" s="105"/>
      <c r="HU486" s="105"/>
      <c r="HV486" s="105"/>
      <c r="HW486" s="105"/>
      <c r="HX486" s="105"/>
      <c r="HY486" s="105"/>
      <c r="HZ486" s="105"/>
      <c r="IA486" s="105"/>
      <c r="IB486" s="105"/>
      <c r="IC486" s="105"/>
      <c r="ID486" s="105"/>
      <c r="IE486" s="105"/>
      <c r="IF486" s="105"/>
      <c r="IG486" s="105"/>
      <c r="IH486" s="105"/>
      <c r="II486" s="105"/>
      <c r="IJ486" s="105"/>
      <c r="IK486" s="105"/>
      <c r="IL486" s="105"/>
      <c r="IM486" s="105"/>
      <c r="IN486" s="105"/>
      <c r="IO486" s="105"/>
      <c r="IP486" s="105"/>
      <c r="IQ486" s="105"/>
      <c r="IR486" s="105"/>
      <c r="IS486" s="105"/>
      <c r="IT486" s="105"/>
      <c r="IU486" s="105"/>
      <c r="IV486" s="105"/>
    </row>
    <row r="487" spans="1:256" x14ac:dyDescent="0.2">
      <c r="A487" s="79">
        <v>44651</v>
      </c>
      <c r="B487" s="80" t="s">
        <v>173</v>
      </c>
      <c r="C487" s="80">
        <v>2022</v>
      </c>
      <c r="D487" s="80" t="s">
        <v>7</v>
      </c>
      <c r="E487" s="81">
        <v>-0.18</v>
      </c>
      <c r="F487" s="81" t="s">
        <v>32</v>
      </c>
      <c r="G487" s="82">
        <v>14400</v>
      </c>
      <c r="H487" s="83">
        <v>293</v>
      </c>
      <c r="I487" s="81" t="s">
        <v>80</v>
      </c>
      <c r="J487" s="81" t="s">
        <v>37</v>
      </c>
      <c r="K487" s="81">
        <v>0.219</v>
      </c>
      <c r="L487" s="81" t="s">
        <v>1070</v>
      </c>
      <c r="M487" s="81" t="s">
        <v>1071</v>
      </c>
      <c r="N487" s="84" t="s">
        <v>1072</v>
      </c>
      <c r="O487" s="80"/>
      <c r="P487" s="80" t="s">
        <v>137</v>
      </c>
      <c r="Q487" s="770">
        <v>39.93</v>
      </c>
      <c r="R487" s="668">
        <v>-86.07</v>
      </c>
      <c r="S487" s="80" t="s">
        <v>61</v>
      </c>
      <c r="T487" s="80"/>
      <c r="U487" s="80" t="s">
        <v>51</v>
      </c>
      <c r="V487" s="79"/>
      <c r="W487" s="86">
        <f>IF(AC487="Intr",0,G487*Definitions!$B$53)</f>
        <v>2160</v>
      </c>
      <c r="X487" s="86">
        <f>IF(AC487="Intr",0,G487*Definitions!$B$54)</f>
        <v>10080</v>
      </c>
      <c r="Y487" s="86">
        <f>IF(AC487="Intr",G487,G487*Definitions!$B$55)</f>
        <v>2160</v>
      </c>
      <c r="Z487" s="86" t="s">
        <v>966</v>
      </c>
      <c r="AA487" s="86" t="s">
        <v>965</v>
      </c>
      <c r="AB487" s="86"/>
      <c r="AC487" s="80"/>
      <c r="AD487" s="80"/>
      <c r="AE487" s="80"/>
      <c r="AF487" s="80"/>
      <c r="AG487" s="87"/>
      <c r="AH487" s="85" t="s">
        <v>1074</v>
      </c>
    </row>
    <row r="488" spans="1:256" s="407" customFormat="1" x14ac:dyDescent="0.2">
      <c r="A488" s="79">
        <v>44651</v>
      </c>
      <c r="B488" s="80" t="s">
        <v>173</v>
      </c>
      <c r="C488" s="80">
        <v>2022</v>
      </c>
      <c r="D488" s="80" t="s">
        <v>7</v>
      </c>
      <c r="E488" s="81">
        <v>-96</v>
      </c>
      <c r="F488" s="81" t="s">
        <v>33</v>
      </c>
      <c r="G488" s="82">
        <v>43200</v>
      </c>
      <c r="H488" s="83">
        <v>293</v>
      </c>
      <c r="I488" s="81" t="s">
        <v>80</v>
      </c>
      <c r="J488" s="81" t="s">
        <v>725</v>
      </c>
      <c r="K488" s="81">
        <v>791</v>
      </c>
      <c r="L488" s="81" t="s">
        <v>1070</v>
      </c>
      <c r="M488" s="81" t="s">
        <v>1071</v>
      </c>
      <c r="N488" s="84" t="s">
        <v>1072</v>
      </c>
      <c r="O488" s="80"/>
      <c r="P488" s="80" t="s">
        <v>137</v>
      </c>
      <c r="Q488" s="770">
        <v>39.93</v>
      </c>
      <c r="R488" s="668">
        <v>-86.07</v>
      </c>
      <c r="S488" s="80" t="s">
        <v>61</v>
      </c>
      <c r="T488" s="80"/>
      <c r="U488" s="80" t="s">
        <v>51</v>
      </c>
      <c r="V488" s="79"/>
      <c r="W488" s="86">
        <f>IF(AC488="Intr",0,G488*Definitions!$B$53)</f>
        <v>6480</v>
      </c>
      <c r="X488" s="86">
        <f>IF(AC488="Intr",0,G488*Definitions!$B$54)</f>
        <v>30239.999999999996</v>
      </c>
      <c r="Y488" s="86">
        <f>IF(AC488="Intr",G488,G488*Definitions!$B$55)</f>
        <v>6480</v>
      </c>
      <c r="Z488" s="86" t="s">
        <v>966</v>
      </c>
      <c r="AA488" s="86" t="s">
        <v>965</v>
      </c>
      <c r="AB488" s="86"/>
      <c r="AC488" s="80"/>
      <c r="AD488" s="80"/>
      <c r="AE488" s="80"/>
      <c r="AF488" s="80"/>
      <c r="AG488" s="87"/>
      <c r="AH488" s="85" t="s">
        <v>1075</v>
      </c>
      <c r="AI488" s="105"/>
      <c r="AJ488" s="105"/>
      <c r="AK488" s="105"/>
      <c r="AL488" s="105"/>
      <c r="AM488" s="105"/>
      <c r="AN488" s="105"/>
      <c r="AO488" s="105"/>
      <c r="AP488" s="105"/>
      <c r="AQ488" s="105"/>
      <c r="AR488" s="105"/>
      <c r="AS488" s="105"/>
      <c r="AT488" s="105"/>
      <c r="AU488" s="105"/>
      <c r="AV488" s="105"/>
      <c r="AW488" s="105"/>
      <c r="AX488" s="105"/>
      <c r="AY488" s="105"/>
      <c r="AZ488" s="105"/>
      <c r="BA488" s="105"/>
      <c r="BB488" s="105"/>
      <c r="BC488" s="105"/>
      <c r="BD488" s="105"/>
      <c r="BE488" s="105"/>
      <c r="BF488" s="105"/>
      <c r="BG488" s="105"/>
      <c r="BH488" s="105"/>
      <c r="BI488" s="105"/>
      <c r="BJ488" s="105"/>
      <c r="BK488" s="105"/>
      <c r="BL488" s="105"/>
      <c r="BM488" s="105"/>
      <c r="BN488" s="105"/>
      <c r="BO488" s="105"/>
      <c r="BP488" s="105"/>
      <c r="BQ488" s="105"/>
      <c r="BR488" s="105"/>
      <c r="BS488" s="105"/>
      <c r="BT488" s="105"/>
      <c r="BU488" s="105"/>
      <c r="BV488" s="105"/>
      <c r="BW488" s="105"/>
      <c r="BX488" s="105"/>
      <c r="BY488" s="105"/>
      <c r="BZ488" s="105"/>
      <c r="CA488" s="105"/>
      <c r="CB488" s="105"/>
      <c r="CC488" s="105"/>
      <c r="CD488" s="105"/>
      <c r="CE488" s="105"/>
      <c r="CF488" s="105"/>
      <c r="CG488" s="105"/>
      <c r="CH488" s="105"/>
      <c r="CI488" s="105"/>
      <c r="CJ488" s="105"/>
      <c r="CK488" s="105"/>
      <c r="CL488" s="105"/>
      <c r="CM488" s="105"/>
      <c r="CN488" s="105"/>
      <c r="CO488" s="105"/>
      <c r="CP488" s="105"/>
      <c r="CQ488" s="105"/>
      <c r="CR488" s="105"/>
      <c r="CS488" s="105"/>
      <c r="CT488" s="105"/>
      <c r="CU488" s="105"/>
      <c r="CV488" s="105"/>
      <c r="CW488" s="105"/>
      <c r="CX488" s="105"/>
      <c r="CY488" s="105"/>
      <c r="CZ488" s="105"/>
      <c r="DA488" s="105"/>
      <c r="DB488" s="105"/>
      <c r="DC488" s="105"/>
      <c r="DD488" s="105"/>
      <c r="DE488" s="105"/>
      <c r="DF488" s="105"/>
      <c r="DG488" s="105"/>
      <c r="DH488" s="105"/>
      <c r="DI488" s="105"/>
      <c r="DJ488" s="105"/>
      <c r="DK488" s="105"/>
      <c r="DL488" s="105"/>
      <c r="DM488" s="105"/>
      <c r="DN488" s="105"/>
      <c r="DO488" s="105"/>
      <c r="DP488" s="105"/>
      <c r="DQ488" s="105"/>
      <c r="DR488" s="105"/>
      <c r="DS488" s="105"/>
      <c r="DT488" s="105"/>
      <c r="DU488" s="105"/>
      <c r="DV488" s="105"/>
      <c r="DW488" s="105"/>
      <c r="DX488" s="105"/>
      <c r="DY488" s="105"/>
      <c r="DZ488" s="105"/>
      <c r="EA488" s="105"/>
      <c r="EB488" s="105"/>
      <c r="EC488" s="105"/>
      <c r="ED488" s="105"/>
      <c r="EE488" s="105"/>
      <c r="EF488" s="105"/>
      <c r="EG488" s="105"/>
      <c r="EH488" s="105"/>
      <c r="EI488" s="105"/>
      <c r="EJ488" s="105"/>
      <c r="EK488" s="105"/>
      <c r="EL488" s="105"/>
      <c r="EM488" s="105"/>
      <c r="EN488" s="105"/>
      <c r="EO488" s="105"/>
      <c r="EP488" s="105"/>
      <c r="EQ488" s="105"/>
      <c r="ER488" s="105"/>
      <c r="ES488" s="105"/>
      <c r="ET488" s="105"/>
      <c r="EU488" s="105"/>
      <c r="EV488" s="105"/>
      <c r="EW488" s="105"/>
      <c r="EX488" s="105"/>
      <c r="EY488" s="105"/>
      <c r="EZ488" s="105"/>
      <c r="FA488" s="105"/>
      <c r="FB488" s="105"/>
      <c r="FC488" s="105"/>
      <c r="FD488" s="105"/>
      <c r="FE488" s="105"/>
      <c r="FF488" s="105"/>
      <c r="FG488" s="105"/>
      <c r="FH488" s="105"/>
      <c r="FI488" s="105"/>
      <c r="FJ488" s="105"/>
      <c r="FK488" s="105"/>
      <c r="FL488" s="105"/>
      <c r="FM488" s="105"/>
      <c r="FN488" s="105"/>
      <c r="FO488" s="105"/>
      <c r="FP488" s="105"/>
      <c r="FQ488" s="105"/>
      <c r="FR488" s="105"/>
      <c r="FS488" s="105"/>
      <c r="FT488" s="105"/>
      <c r="FU488" s="105"/>
      <c r="FV488" s="105"/>
      <c r="FW488" s="105"/>
      <c r="FX488" s="105"/>
      <c r="FY488" s="105"/>
      <c r="FZ488" s="105"/>
      <c r="GA488" s="105"/>
      <c r="GB488" s="105"/>
      <c r="GC488" s="105"/>
      <c r="GD488" s="105"/>
      <c r="GE488" s="105"/>
      <c r="GF488" s="105"/>
      <c r="GG488" s="105"/>
      <c r="GH488" s="105"/>
      <c r="GI488" s="105"/>
      <c r="GJ488" s="105"/>
      <c r="GK488" s="105"/>
      <c r="GL488" s="105"/>
      <c r="GM488" s="105"/>
      <c r="GN488" s="105"/>
      <c r="GO488" s="105"/>
      <c r="GP488" s="105"/>
      <c r="GQ488" s="105"/>
      <c r="GR488" s="105"/>
      <c r="GS488" s="105"/>
      <c r="GT488" s="105"/>
      <c r="GU488" s="105"/>
      <c r="GV488" s="105"/>
      <c r="GW488" s="105"/>
      <c r="GX488" s="105"/>
      <c r="GY488" s="105"/>
      <c r="GZ488" s="105"/>
      <c r="HA488" s="105"/>
      <c r="HB488" s="105"/>
      <c r="HC488" s="105"/>
      <c r="HD488" s="105"/>
      <c r="HE488" s="105"/>
      <c r="HF488" s="105"/>
      <c r="HG488" s="105"/>
      <c r="HH488" s="105"/>
      <c r="HI488" s="105"/>
      <c r="HJ488" s="105"/>
      <c r="HK488" s="105"/>
      <c r="HL488" s="105"/>
      <c r="HM488" s="105"/>
      <c r="HN488" s="105"/>
      <c r="HO488" s="105"/>
      <c r="HP488" s="105"/>
      <c r="HQ488" s="105"/>
      <c r="HR488" s="105"/>
      <c r="HS488" s="105"/>
      <c r="HT488" s="105"/>
      <c r="HU488" s="105"/>
      <c r="HV488" s="105"/>
      <c r="HW488" s="105"/>
      <c r="HX488" s="105"/>
      <c r="HY488" s="105"/>
      <c r="HZ488" s="105"/>
      <c r="IA488" s="105"/>
      <c r="IB488" s="105"/>
      <c r="IC488" s="105"/>
      <c r="ID488" s="105"/>
      <c r="IE488" s="105"/>
      <c r="IF488" s="105"/>
      <c r="IG488" s="105"/>
      <c r="IH488" s="105"/>
      <c r="II488" s="105"/>
      <c r="IJ488" s="105"/>
      <c r="IK488" s="105"/>
      <c r="IL488" s="105"/>
      <c r="IM488" s="105"/>
      <c r="IN488" s="105"/>
      <c r="IO488" s="105"/>
      <c r="IP488" s="105"/>
      <c r="IQ488" s="105"/>
      <c r="IR488" s="105"/>
      <c r="IS488" s="105"/>
      <c r="IT488" s="105"/>
      <c r="IU488" s="105"/>
      <c r="IV488" s="105"/>
    </row>
    <row r="489" spans="1:256" x14ac:dyDescent="0.2">
      <c r="A489" s="145">
        <v>44651</v>
      </c>
      <c r="B489" s="112" t="s">
        <v>173</v>
      </c>
      <c r="C489" s="112">
        <v>2022</v>
      </c>
      <c r="D489" s="112" t="s">
        <v>7</v>
      </c>
      <c r="E489" s="146">
        <v>-282</v>
      </c>
      <c r="F489" s="146" t="s">
        <v>33</v>
      </c>
      <c r="G489" s="147">
        <v>126900</v>
      </c>
      <c r="H489" s="148">
        <v>294</v>
      </c>
      <c r="I489" s="146" t="s">
        <v>80</v>
      </c>
      <c r="J489" s="146" t="s">
        <v>725</v>
      </c>
      <c r="K489" s="146">
        <v>414</v>
      </c>
      <c r="L489" s="146" t="s">
        <v>1076</v>
      </c>
      <c r="M489" s="146" t="s">
        <v>1077</v>
      </c>
      <c r="N489" s="149" t="s">
        <v>1078</v>
      </c>
      <c r="O489" s="112"/>
      <c r="P489" s="112" t="s">
        <v>137</v>
      </c>
      <c r="Q489" s="729">
        <v>39.936799999999998</v>
      </c>
      <c r="R489" s="875">
        <v>-86.186599999999999</v>
      </c>
      <c r="S489" s="112" t="s">
        <v>61</v>
      </c>
      <c r="T489" s="112"/>
      <c r="U489" s="112" t="s">
        <v>51</v>
      </c>
      <c r="V489" s="145"/>
      <c r="W489" s="150">
        <f>IF(AC489="Intr",0,G489*Definitions!$B$53)</f>
        <v>19035</v>
      </c>
      <c r="X489" s="150">
        <f>IF(AC489="Intr",0,G489*Definitions!$B$54)</f>
        <v>88830</v>
      </c>
      <c r="Y489" s="150">
        <f>IF(AC489="Intr",G489,G489*Definitions!$B$55)</f>
        <v>19035</v>
      </c>
      <c r="Z489" s="150" t="s">
        <v>966</v>
      </c>
      <c r="AA489" s="150" t="s">
        <v>965</v>
      </c>
      <c r="AB489" s="150"/>
      <c r="AC489" s="112"/>
      <c r="AD489" s="112"/>
      <c r="AE489" s="112"/>
      <c r="AF489" s="112"/>
      <c r="AG489" s="151"/>
      <c r="AH489" s="342" t="s">
        <v>1079</v>
      </c>
    </row>
    <row r="490" spans="1:256" s="432" customFormat="1" x14ac:dyDescent="0.2">
      <c r="A490" s="145">
        <v>44651</v>
      </c>
      <c r="B490" s="112" t="s">
        <v>173</v>
      </c>
      <c r="C490" s="112">
        <v>2022</v>
      </c>
      <c r="D490" s="112" t="s">
        <v>7</v>
      </c>
      <c r="E490" s="146">
        <v>-0.32</v>
      </c>
      <c r="F490" s="146" t="s">
        <v>32</v>
      </c>
      <c r="G490" s="147">
        <v>25600</v>
      </c>
      <c r="H490" s="148">
        <v>294</v>
      </c>
      <c r="I490" s="146" t="s">
        <v>80</v>
      </c>
      <c r="J490" s="146" t="s">
        <v>36</v>
      </c>
      <c r="K490" s="146">
        <v>0.26900000000000002</v>
      </c>
      <c r="L490" s="146" t="s">
        <v>1076</v>
      </c>
      <c r="M490" s="146" t="s">
        <v>1077</v>
      </c>
      <c r="N490" s="149" t="s">
        <v>1078</v>
      </c>
      <c r="O490" s="112"/>
      <c r="P490" s="112" t="s">
        <v>137</v>
      </c>
      <c r="Q490" s="729">
        <v>39.936799999999998</v>
      </c>
      <c r="R490" s="591">
        <v>-86.186599999999999</v>
      </c>
      <c r="S490" s="112" t="s">
        <v>61</v>
      </c>
      <c r="T490" s="112"/>
      <c r="U490" s="112" t="s">
        <v>51</v>
      </c>
      <c r="V490" s="145"/>
      <c r="W490" s="150">
        <f>IF(AC490="Intr",0,G490*Definitions!$B$53)</f>
        <v>3840</v>
      </c>
      <c r="X490" s="150">
        <f>IF(AC490="Intr",0,G490*Definitions!$B$54)</f>
        <v>17920</v>
      </c>
      <c r="Y490" s="150">
        <f>IF(AC490="Intr",G490,G490*Definitions!$B$55)</f>
        <v>3840</v>
      </c>
      <c r="Z490" s="150" t="s">
        <v>966</v>
      </c>
      <c r="AA490" s="150" t="s">
        <v>965</v>
      </c>
      <c r="AB490" s="150"/>
      <c r="AC490" s="112"/>
      <c r="AD490" s="112"/>
      <c r="AE490" s="112"/>
      <c r="AF490" s="112"/>
      <c r="AG490" s="151"/>
      <c r="AH490" s="342" t="s">
        <v>1080</v>
      </c>
      <c r="AI490" s="105"/>
      <c r="AJ490" s="105"/>
      <c r="AK490" s="105"/>
      <c r="AL490" s="105"/>
      <c r="AM490" s="105"/>
      <c r="AN490" s="105"/>
      <c r="AO490" s="105"/>
      <c r="AP490" s="105"/>
      <c r="AQ490" s="105"/>
      <c r="AR490" s="105"/>
      <c r="AS490" s="105"/>
      <c r="AT490" s="105"/>
      <c r="AU490" s="105"/>
      <c r="AV490" s="105"/>
      <c r="AW490" s="105"/>
      <c r="AX490" s="105"/>
      <c r="AY490" s="105"/>
      <c r="AZ490" s="105"/>
      <c r="BA490" s="105"/>
      <c r="BB490" s="105"/>
      <c r="BC490" s="105"/>
      <c r="BD490" s="105"/>
      <c r="BE490" s="105"/>
      <c r="BF490" s="105"/>
      <c r="BG490" s="105"/>
      <c r="BH490" s="105"/>
      <c r="BI490" s="105"/>
      <c r="BJ490" s="105"/>
      <c r="BK490" s="105"/>
      <c r="BL490" s="105"/>
      <c r="BM490" s="105"/>
      <c r="BN490" s="105"/>
      <c r="BO490" s="105"/>
      <c r="BP490" s="105"/>
      <c r="BQ490" s="105"/>
      <c r="BR490" s="105"/>
      <c r="BS490" s="105"/>
      <c r="BT490" s="105"/>
      <c r="BU490" s="105"/>
      <c r="BV490" s="105"/>
      <c r="BW490" s="105"/>
      <c r="BX490" s="105"/>
      <c r="BY490" s="105"/>
      <c r="BZ490" s="105"/>
      <c r="CA490" s="105"/>
      <c r="CB490" s="105"/>
      <c r="CC490" s="105"/>
      <c r="CD490" s="105"/>
      <c r="CE490" s="105"/>
      <c r="CF490" s="105"/>
      <c r="CG490" s="105"/>
      <c r="CH490" s="105"/>
      <c r="CI490" s="105"/>
      <c r="CJ490" s="105"/>
      <c r="CK490" s="105"/>
      <c r="CL490" s="105"/>
      <c r="CM490" s="105"/>
      <c r="CN490" s="105"/>
      <c r="CO490" s="105"/>
      <c r="CP490" s="105"/>
      <c r="CQ490" s="105"/>
      <c r="CR490" s="105"/>
      <c r="CS490" s="105"/>
      <c r="CT490" s="105"/>
      <c r="CU490" s="105"/>
      <c r="CV490" s="105"/>
      <c r="CW490" s="105"/>
      <c r="CX490" s="105"/>
      <c r="CY490" s="105"/>
      <c r="CZ490" s="105"/>
      <c r="DA490" s="105"/>
      <c r="DB490" s="105"/>
      <c r="DC490" s="105"/>
      <c r="DD490" s="105"/>
      <c r="DE490" s="105"/>
      <c r="DF490" s="105"/>
      <c r="DG490" s="105"/>
      <c r="DH490" s="105"/>
      <c r="DI490" s="105"/>
      <c r="DJ490" s="105"/>
      <c r="DK490" s="105"/>
      <c r="DL490" s="105"/>
      <c r="DM490" s="105"/>
      <c r="DN490" s="105"/>
      <c r="DO490" s="105"/>
      <c r="DP490" s="105"/>
      <c r="DQ490" s="105"/>
      <c r="DR490" s="105"/>
      <c r="DS490" s="105"/>
      <c r="DT490" s="105"/>
      <c r="DU490" s="105"/>
      <c r="DV490" s="105"/>
      <c r="DW490" s="105"/>
      <c r="DX490" s="105"/>
      <c r="DY490" s="105"/>
      <c r="DZ490" s="105"/>
      <c r="EA490" s="105"/>
      <c r="EB490" s="105"/>
      <c r="EC490" s="105"/>
      <c r="ED490" s="105"/>
      <c r="EE490" s="105"/>
      <c r="EF490" s="105"/>
      <c r="EG490" s="105"/>
      <c r="EH490" s="105"/>
      <c r="EI490" s="105"/>
      <c r="EJ490" s="105"/>
      <c r="EK490" s="105"/>
      <c r="EL490" s="105"/>
      <c r="EM490" s="105"/>
      <c r="EN490" s="105"/>
      <c r="EO490" s="105"/>
      <c r="EP490" s="105"/>
      <c r="EQ490" s="105"/>
      <c r="ER490" s="105"/>
      <c r="ES490" s="105"/>
      <c r="ET490" s="105"/>
      <c r="EU490" s="105"/>
      <c r="EV490" s="105"/>
      <c r="EW490" s="105"/>
      <c r="EX490" s="105"/>
      <c r="EY490" s="105"/>
      <c r="EZ490" s="105"/>
      <c r="FA490" s="105"/>
      <c r="FB490" s="105"/>
      <c r="FC490" s="105"/>
      <c r="FD490" s="105"/>
      <c r="FE490" s="105"/>
      <c r="FF490" s="105"/>
      <c r="FG490" s="105"/>
      <c r="FH490" s="105"/>
      <c r="FI490" s="105"/>
      <c r="FJ490" s="105"/>
      <c r="FK490" s="105"/>
      <c r="FL490" s="105"/>
      <c r="FM490" s="105"/>
      <c r="FN490" s="105"/>
      <c r="FO490" s="105"/>
      <c r="FP490" s="105"/>
      <c r="FQ490" s="105"/>
      <c r="FR490" s="105"/>
      <c r="FS490" s="105"/>
      <c r="FT490" s="105"/>
      <c r="FU490" s="105"/>
      <c r="FV490" s="105"/>
      <c r="FW490" s="105"/>
      <c r="FX490" s="105"/>
      <c r="FY490" s="105"/>
      <c r="FZ490" s="105"/>
      <c r="GA490" s="105"/>
      <c r="GB490" s="105"/>
      <c r="GC490" s="105"/>
      <c r="GD490" s="105"/>
      <c r="GE490" s="105"/>
      <c r="GF490" s="105"/>
      <c r="GG490" s="105"/>
      <c r="GH490" s="105"/>
      <c r="GI490" s="105"/>
      <c r="GJ490" s="105"/>
      <c r="GK490" s="105"/>
      <c r="GL490" s="105"/>
      <c r="GM490" s="105"/>
      <c r="GN490" s="105"/>
      <c r="GO490" s="105"/>
      <c r="GP490" s="105"/>
      <c r="GQ490" s="105"/>
      <c r="GR490" s="105"/>
      <c r="GS490" s="105"/>
      <c r="GT490" s="105"/>
      <c r="GU490" s="105"/>
      <c r="GV490" s="105"/>
      <c r="GW490" s="105"/>
      <c r="GX490" s="105"/>
      <c r="GY490" s="105"/>
      <c r="GZ490" s="105"/>
      <c r="HA490" s="105"/>
      <c r="HB490" s="105"/>
      <c r="HC490" s="105"/>
      <c r="HD490" s="105"/>
      <c r="HE490" s="105"/>
      <c r="HF490" s="105"/>
      <c r="HG490" s="105"/>
      <c r="HH490" s="105"/>
      <c r="HI490" s="105"/>
      <c r="HJ490" s="105"/>
      <c r="HK490" s="105"/>
      <c r="HL490" s="105"/>
      <c r="HM490" s="105"/>
      <c r="HN490" s="105"/>
      <c r="HO490" s="105"/>
      <c r="HP490" s="105"/>
      <c r="HQ490" s="105"/>
      <c r="HR490" s="105"/>
      <c r="HS490" s="105"/>
      <c r="HT490" s="105"/>
      <c r="HU490" s="105"/>
      <c r="HV490" s="105"/>
      <c r="HW490" s="105"/>
      <c r="HX490" s="105"/>
      <c r="HY490" s="105"/>
      <c r="HZ490" s="105"/>
      <c r="IA490" s="105"/>
      <c r="IB490" s="105"/>
      <c r="IC490" s="105"/>
      <c r="ID490" s="105"/>
      <c r="IE490" s="105"/>
      <c r="IF490" s="105"/>
      <c r="IG490" s="105"/>
      <c r="IH490" s="105"/>
      <c r="II490" s="105"/>
      <c r="IJ490" s="105"/>
      <c r="IK490" s="105"/>
      <c r="IL490" s="105"/>
      <c r="IM490" s="105"/>
      <c r="IN490" s="105"/>
      <c r="IO490" s="105"/>
      <c r="IP490" s="105"/>
      <c r="IQ490" s="105"/>
      <c r="IR490" s="105"/>
      <c r="IS490" s="105"/>
      <c r="IT490" s="105"/>
      <c r="IU490" s="105"/>
      <c r="IV490" s="105"/>
    </row>
    <row r="491" spans="1:256" s="432" customFormat="1" ht="25.5" x14ac:dyDescent="0.2">
      <c r="A491" s="282">
        <v>44657</v>
      </c>
      <c r="B491" s="114" t="s">
        <v>193</v>
      </c>
      <c r="C491" s="114">
        <v>2022</v>
      </c>
      <c r="D491" s="114" t="s">
        <v>7</v>
      </c>
      <c r="E491" s="270">
        <v>-3000</v>
      </c>
      <c r="F491" s="270" t="s">
        <v>33</v>
      </c>
      <c r="G491" s="283">
        <v>1350000</v>
      </c>
      <c r="H491" s="284">
        <v>299</v>
      </c>
      <c r="I491" s="270" t="s">
        <v>80</v>
      </c>
      <c r="J491" s="270" t="s">
        <v>725</v>
      </c>
      <c r="K491" s="270">
        <v>1834</v>
      </c>
      <c r="L491" s="270" t="s">
        <v>726</v>
      </c>
      <c r="M491" s="270" t="s">
        <v>1084</v>
      </c>
      <c r="N491" s="285" t="s">
        <v>1085</v>
      </c>
      <c r="O491" s="114"/>
      <c r="P491" s="114" t="s">
        <v>143</v>
      </c>
      <c r="Q491" s="750">
        <v>39.865000000000002</v>
      </c>
      <c r="R491" s="635">
        <v>-86.046999999999997</v>
      </c>
      <c r="S491" s="114" t="s">
        <v>63</v>
      </c>
      <c r="T491" s="114"/>
      <c r="U491" s="114" t="s">
        <v>51</v>
      </c>
      <c r="V491" s="282"/>
      <c r="W491" s="286">
        <f>IF(AC491="Intr",0,G491*Definitions!$B$53)</f>
        <v>202500</v>
      </c>
      <c r="X491" s="286">
        <f>IF(AC491="Intr",0,G491*Definitions!$B$54)</f>
        <v>944999.99999999988</v>
      </c>
      <c r="Y491" s="286">
        <f>IF(AC491="Intr",G491,G491*Definitions!$B$55)</f>
        <v>202500</v>
      </c>
      <c r="Z491" s="286" t="s">
        <v>966</v>
      </c>
      <c r="AA491" s="286" t="s">
        <v>965</v>
      </c>
      <c r="AB491" s="286"/>
      <c r="AC491" s="114"/>
      <c r="AD491" s="114"/>
      <c r="AE491" s="114"/>
      <c r="AF491" s="114"/>
      <c r="AG491" s="287"/>
      <c r="AH491" s="356" t="s">
        <v>1090</v>
      </c>
      <c r="AI491" s="105"/>
      <c r="AJ491" s="105"/>
      <c r="AK491" s="105"/>
      <c r="AL491" s="105"/>
      <c r="AM491" s="105"/>
      <c r="AN491" s="105"/>
      <c r="AO491" s="105"/>
      <c r="AP491" s="105"/>
      <c r="AQ491" s="105"/>
      <c r="AR491" s="105"/>
      <c r="AS491" s="105"/>
      <c r="AT491" s="105"/>
      <c r="AU491" s="105"/>
      <c r="AV491" s="105"/>
      <c r="AW491" s="105"/>
      <c r="AX491" s="105"/>
      <c r="AY491" s="105"/>
      <c r="AZ491" s="105"/>
      <c r="BA491" s="105"/>
      <c r="BB491" s="105"/>
      <c r="BC491" s="105"/>
      <c r="BD491" s="105"/>
      <c r="BE491" s="105"/>
      <c r="BF491" s="105"/>
      <c r="BG491" s="105"/>
      <c r="BH491" s="105"/>
      <c r="BI491" s="105"/>
      <c r="BJ491" s="105"/>
      <c r="BK491" s="105"/>
      <c r="BL491" s="105"/>
      <c r="BM491" s="105"/>
      <c r="BN491" s="105"/>
      <c r="BO491" s="105"/>
      <c r="BP491" s="105"/>
      <c r="BQ491" s="105"/>
      <c r="BR491" s="105"/>
      <c r="BS491" s="105"/>
      <c r="BT491" s="105"/>
      <c r="BU491" s="105"/>
      <c r="BV491" s="105"/>
      <c r="BW491" s="105"/>
      <c r="BX491" s="105"/>
      <c r="BY491" s="105"/>
      <c r="BZ491" s="105"/>
      <c r="CA491" s="105"/>
      <c r="CB491" s="105"/>
      <c r="CC491" s="105"/>
      <c r="CD491" s="105"/>
      <c r="CE491" s="105"/>
      <c r="CF491" s="105"/>
      <c r="CG491" s="105"/>
      <c r="CH491" s="105"/>
      <c r="CI491" s="105"/>
      <c r="CJ491" s="105"/>
      <c r="CK491" s="105"/>
      <c r="CL491" s="105"/>
      <c r="CM491" s="105"/>
      <c r="CN491" s="105"/>
      <c r="CO491" s="105"/>
      <c r="CP491" s="105"/>
      <c r="CQ491" s="105"/>
      <c r="CR491" s="105"/>
      <c r="CS491" s="105"/>
      <c r="CT491" s="105"/>
      <c r="CU491" s="105"/>
      <c r="CV491" s="105"/>
      <c r="CW491" s="105"/>
      <c r="CX491" s="105"/>
      <c r="CY491" s="105"/>
      <c r="CZ491" s="105"/>
      <c r="DA491" s="105"/>
      <c r="DB491" s="105"/>
      <c r="DC491" s="105"/>
      <c r="DD491" s="105"/>
      <c r="DE491" s="105"/>
      <c r="DF491" s="105"/>
      <c r="DG491" s="105"/>
      <c r="DH491" s="105"/>
      <c r="DI491" s="105"/>
      <c r="DJ491" s="105"/>
      <c r="DK491" s="105"/>
      <c r="DL491" s="105"/>
      <c r="DM491" s="105"/>
      <c r="DN491" s="105"/>
      <c r="DO491" s="105"/>
      <c r="DP491" s="105"/>
      <c r="DQ491" s="105"/>
      <c r="DR491" s="105"/>
      <c r="DS491" s="105"/>
      <c r="DT491" s="105"/>
      <c r="DU491" s="105"/>
      <c r="DV491" s="105"/>
      <c r="DW491" s="105"/>
      <c r="DX491" s="105"/>
      <c r="DY491" s="105"/>
      <c r="DZ491" s="105"/>
      <c r="EA491" s="105"/>
      <c r="EB491" s="105"/>
      <c r="EC491" s="105"/>
      <c r="ED491" s="105"/>
      <c r="EE491" s="105"/>
      <c r="EF491" s="105"/>
      <c r="EG491" s="105"/>
      <c r="EH491" s="105"/>
      <c r="EI491" s="105"/>
      <c r="EJ491" s="105"/>
      <c r="EK491" s="105"/>
      <c r="EL491" s="105"/>
      <c r="EM491" s="105"/>
      <c r="EN491" s="105"/>
      <c r="EO491" s="105"/>
      <c r="EP491" s="105"/>
      <c r="EQ491" s="105"/>
      <c r="ER491" s="105"/>
      <c r="ES491" s="105"/>
      <c r="ET491" s="105"/>
      <c r="EU491" s="105"/>
      <c r="EV491" s="105"/>
      <c r="EW491" s="105"/>
      <c r="EX491" s="105"/>
      <c r="EY491" s="105"/>
      <c r="EZ491" s="105"/>
      <c r="FA491" s="105"/>
      <c r="FB491" s="105"/>
      <c r="FC491" s="105"/>
      <c r="FD491" s="105"/>
      <c r="FE491" s="105"/>
      <c r="FF491" s="105"/>
      <c r="FG491" s="105"/>
      <c r="FH491" s="105"/>
      <c r="FI491" s="105"/>
      <c r="FJ491" s="105"/>
      <c r="FK491" s="105"/>
      <c r="FL491" s="105"/>
      <c r="FM491" s="105"/>
      <c r="FN491" s="105"/>
      <c r="FO491" s="105"/>
      <c r="FP491" s="105"/>
      <c r="FQ491" s="105"/>
      <c r="FR491" s="105"/>
      <c r="FS491" s="105"/>
      <c r="FT491" s="105"/>
      <c r="FU491" s="105"/>
      <c r="FV491" s="105"/>
      <c r="FW491" s="105"/>
      <c r="FX491" s="105"/>
      <c r="FY491" s="105"/>
      <c r="FZ491" s="105"/>
      <c r="GA491" s="105"/>
      <c r="GB491" s="105"/>
      <c r="GC491" s="105"/>
      <c r="GD491" s="105"/>
      <c r="GE491" s="105"/>
      <c r="GF491" s="105"/>
      <c r="GG491" s="105"/>
      <c r="GH491" s="105"/>
      <c r="GI491" s="105"/>
      <c r="GJ491" s="105"/>
      <c r="GK491" s="105"/>
      <c r="GL491" s="105"/>
      <c r="GM491" s="105"/>
      <c r="GN491" s="105"/>
      <c r="GO491" s="105"/>
      <c r="GP491" s="105"/>
      <c r="GQ491" s="105"/>
      <c r="GR491" s="105"/>
      <c r="GS491" s="105"/>
      <c r="GT491" s="105"/>
      <c r="GU491" s="105"/>
      <c r="GV491" s="105"/>
      <c r="GW491" s="105"/>
      <c r="GX491" s="105"/>
      <c r="GY491" s="105"/>
      <c r="GZ491" s="105"/>
      <c r="HA491" s="105"/>
      <c r="HB491" s="105"/>
      <c r="HC491" s="105"/>
      <c r="HD491" s="105"/>
      <c r="HE491" s="105"/>
      <c r="HF491" s="105"/>
      <c r="HG491" s="105"/>
      <c r="HH491" s="105"/>
      <c r="HI491" s="105"/>
      <c r="HJ491" s="105"/>
      <c r="HK491" s="105"/>
      <c r="HL491" s="105"/>
      <c r="HM491" s="105"/>
      <c r="HN491" s="105"/>
      <c r="HO491" s="105"/>
      <c r="HP491" s="105"/>
      <c r="HQ491" s="105"/>
      <c r="HR491" s="105"/>
      <c r="HS491" s="105"/>
      <c r="HT491" s="105"/>
      <c r="HU491" s="105"/>
      <c r="HV491" s="105"/>
      <c r="HW491" s="105"/>
      <c r="HX491" s="105"/>
      <c r="HY491" s="105"/>
      <c r="HZ491" s="105"/>
      <c r="IA491" s="105"/>
      <c r="IB491" s="105"/>
      <c r="IC491" s="105"/>
      <c r="ID491" s="105"/>
      <c r="IE491" s="105"/>
      <c r="IF491" s="105"/>
      <c r="IG491" s="105"/>
      <c r="IH491" s="105"/>
      <c r="II491" s="105"/>
      <c r="IJ491" s="105"/>
      <c r="IK491" s="105"/>
      <c r="IL491" s="105"/>
      <c r="IM491" s="105"/>
      <c r="IN491" s="105"/>
      <c r="IO491" s="105"/>
      <c r="IP491" s="105"/>
      <c r="IQ491" s="105"/>
      <c r="IR491" s="105"/>
      <c r="IS491" s="105"/>
      <c r="IT491" s="105"/>
      <c r="IU491" s="105"/>
      <c r="IV491" s="105"/>
    </row>
    <row r="492" spans="1:256" s="432" customFormat="1" ht="25.5" x14ac:dyDescent="0.2">
      <c r="A492" s="45">
        <v>44657</v>
      </c>
      <c r="B492" s="46" t="s">
        <v>193</v>
      </c>
      <c r="C492" s="46">
        <v>2022</v>
      </c>
      <c r="D492" s="46" t="s">
        <v>7</v>
      </c>
      <c r="E492" s="181">
        <v>-640</v>
      </c>
      <c r="F492" s="181" t="s">
        <v>33</v>
      </c>
      <c r="G492" s="182">
        <v>288000</v>
      </c>
      <c r="H492" s="183">
        <v>299</v>
      </c>
      <c r="I492" s="181" t="s">
        <v>80</v>
      </c>
      <c r="J492" s="181" t="s">
        <v>725</v>
      </c>
      <c r="K492" s="181">
        <v>273</v>
      </c>
      <c r="L492" s="181" t="s">
        <v>726</v>
      </c>
      <c r="M492" s="181" t="s">
        <v>1086</v>
      </c>
      <c r="N492" s="76" t="s">
        <v>1087</v>
      </c>
      <c r="O492" s="46"/>
      <c r="P492" s="46" t="s">
        <v>162</v>
      </c>
      <c r="Q492" s="761">
        <v>39.750999999999998</v>
      </c>
      <c r="R492" s="660">
        <v>-86.528000000000006</v>
      </c>
      <c r="S492" s="46" t="s">
        <v>63</v>
      </c>
      <c r="T492" s="46"/>
      <c r="U492" s="46" t="s">
        <v>51</v>
      </c>
      <c r="V492" s="45"/>
      <c r="W492" s="47">
        <f>IF(AC492="Intr",0,G492*Definitions!$B$53)</f>
        <v>43200</v>
      </c>
      <c r="X492" s="47">
        <f>IF(AC492="Intr",0,G492*Definitions!$B$54)</f>
        <v>201600</v>
      </c>
      <c r="Y492" s="47">
        <f>IF(AC492="Intr",G492,G492*Definitions!$B$55)</f>
        <v>43200</v>
      </c>
      <c r="Z492" s="47" t="s">
        <v>966</v>
      </c>
      <c r="AA492" s="47" t="s">
        <v>965</v>
      </c>
      <c r="AB492" s="47"/>
      <c r="AC492" s="46"/>
      <c r="AD492" s="46"/>
      <c r="AE492" s="46"/>
      <c r="AF492" s="46"/>
      <c r="AG492" s="48"/>
      <c r="AH492" s="78" t="s">
        <v>1091</v>
      </c>
      <c r="AI492" s="105"/>
      <c r="AJ492" s="105"/>
      <c r="AK492" s="105"/>
      <c r="AL492" s="105"/>
      <c r="AM492" s="105"/>
      <c r="AN492" s="105"/>
      <c r="AO492" s="105"/>
      <c r="AP492" s="105"/>
      <c r="AQ492" s="105"/>
      <c r="AR492" s="105"/>
      <c r="AS492" s="105"/>
      <c r="AT492" s="105"/>
      <c r="AU492" s="105"/>
      <c r="AV492" s="105"/>
      <c r="AW492" s="105"/>
      <c r="AX492" s="105"/>
      <c r="AY492" s="105"/>
      <c r="AZ492" s="105"/>
      <c r="BA492" s="105"/>
      <c r="BB492" s="105"/>
      <c r="BC492" s="105"/>
      <c r="BD492" s="105"/>
      <c r="BE492" s="105"/>
      <c r="BF492" s="105"/>
      <c r="BG492" s="105"/>
      <c r="BH492" s="105"/>
      <c r="BI492" s="105"/>
      <c r="BJ492" s="105"/>
      <c r="BK492" s="105"/>
      <c r="BL492" s="105"/>
      <c r="BM492" s="105"/>
      <c r="BN492" s="105"/>
      <c r="BO492" s="105"/>
      <c r="BP492" s="105"/>
      <c r="BQ492" s="105"/>
      <c r="BR492" s="105"/>
      <c r="BS492" s="105"/>
      <c r="BT492" s="105"/>
      <c r="BU492" s="105"/>
      <c r="BV492" s="105"/>
      <c r="BW492" s="105"/>
      <c r="BX492" s="105"/>
      <c r="BY492" s="105"/>
      <c r="BZ492" s="105"/>
      <c r="CA492" s="105"/>
      <c r="CB492" s="105"/>
      <c r="CC492" s="105"/>
      <c r="CD492" s="105"/>
      <c r="CE492" s="105"/>
      <c r="CF492" s="105"/>
      <c r="CG492" s="105"/>
      <c r="CH492" s="105"/>
      <c r="CI492" s="105"/>
      <c r="CJ492" s="105"/>
      <c r="CK492" s="105"/>
      <c r="CL492" s="105"/>
      <c r="CM492" s="105"/>
      <c r="CN492" s="105"/>
      <c r="CO492" s="105"/>
      <c r="CP492" s="105"/>
      <c r="CQ492" s="105"/>
      <c r="CR492" s="105"/>
      <c r="CS492" s="105"/>
      <c r="CT492" s="105"/>
      <c r="CU492" s="105"/>
      <c r="CV492" s="105"/>
      <c r="CW492" s="105"/>
      <c r="CX492" s="105"/>
      <c r="CY492" s="105"/>
      <c r="CZ492" s="105"/>
      <c r="DA492" s="105"/>
      <c r="DB492" s="105"/>
      <c r="DC492" s="105"/>
      <c r="DD492" s="105"/>
      <c r="DE492" s="105"/>
      <c r="DF492" s="105"/>
      <c r="DG492" s="105"/>
      <c r="DH492" s="105"/>
      <c r="DI492" s="105"/>
      <c r="DJ492" s="105"/>
      <c r="DK492" s="105"/>
      <c r="DL492" s="105"/>
      <c r="DM492" s="105"/>
      <c r="DN492" s="105"/>
      <c r="DO492" s="105"/>
      <c r="DP492" s="105"/>
      <c r="DQ492" s="105"/>
      <c r="DR492" s="105"/>
      <c r="DS492" s="105"/>
      <c r="DT492" s="105"/>
      <c r="DU492" s="105"/>
      <c r="DV492" s="105"/>
      <c r="DW492" s="105"/>
      <c r="DX492" s="105"/>
      <c r="DY492" s="105"/>
      <c r="DZ492" s="105"/>
      <c r="EA492" s="105"/>
      <c r="EB492" s="105"/>
      <c r="EC492" s="105"/>
      <c r="ED492" s="105"/>
      <c r="EE492" s="105"/>
      <c r="EF492" s="105"/>
      <c r="EG492" s="105"/>
      <c r="EH492" s="105"/>
      <c r="EI492" s="105"/>
      <c r="EJ492" s="105"/>
      <c r="EK492" s="105"/>
      <c r="EL492" s="105"/>
      <c r="EM492" s="105"/>
      <c r="EN492" s="105"/>
      <c r="EO492" s="105"/>
      <c r="EP492" s="105"/>
      <c r="EQ492" s="105"/>
      <c r="ER492" s="105"/>
      <c r="ES492" s="105"/>
      <c r="ET492" s="105"/>
      <c r="EU492" s="105"/>
      <c r="EV492" s="105"/>
      <c r="EW492" s="105"/>
      <c r="EX492" s="105"/>
      <c r="EY492" s="105"/>
      <c r="EZ492" s="105"/>
      <c r="FA492" s="105"/>
      <c r="FB492" s="105"/>
      <c r="FC492" s="105"/>
      <c r="FD492" s="105"/>
      <c r="FE492" s="105"/>
      <c r="FF492" s="105"/>
      <c r="FG492" s="105"/>
      <c r="FH492" s="105"/>
      <c r="FI492" s="105"/>
      <c r="FJ492" s="105"/>
      <c r="FK492" s="105"/>
      <c r="FL492" s="105"/>
      <c r="FM492" s="105"/>
      <c r="FN492" s="105"/>
      <c r="FO492" s="105"/>
      <c r="FP492" s="105"/>
      <c r="FQ492" s="105"/>
      <c r="FR492" s="105"/>
      <c r="FS492" s="105"/>
      <c r="FT492" s="105"/>
      <c r="FU492" s="105"/>
      <c r="FV492" s="105"/>
      <c r="FW492" s="105"/>
      <c r="FX492" s="105"/>
      <c r="FY492" s="105"/>
      <c r="FZ492" s="105"/>
      <c r="GA492" s="105"/>
      <c r="GB492" s="105"/>
      <c r="GC492" s="105"/>
      <c r="GD492" s="105"/>
      <c r="GE492" s="105"/>
      <c r="GF492" s="105"/>
      <c r="GG492" s="105"/>
      <c r="GH492" s="105"/>
      <c r="GI492" s="105"/>
      <c r="GJ492" s="105"/>
      <c r="GK492" s="105"/>
      <c r="GL492" s="105"/>
      <c r="GM492" s="105"/>
      <c r="GN492" s="105"/>
      <c r="GO492" s="105"/>
      <c r="GP492" s="105"/>
      <c r="GQ492" s="105"/>
      <c r="GR492" s="105"/>
      <c r="GS492" s="105"/>
      <c r="GT492" s="105"/>
      <c r="GU492" s="105"/>
      <c r="GV492" s="105"/>
      <c r="GW492" s="105"/>
      <c r="GX492" s="105"/>
      <c r="GY492" s="105"/>
      <c r="GZ492" s="105"/>
      <c r="HA492" s="105"/>
      <c r="HB492" s="105"/>
      <c r="HC492" s="105"/>
      <c r="HD492" s="105"/>
      <c r="HE492" s="105"/>
      <c r="HF492" s="105"/>
      <c r="HG492" s="105"/>
      <c r="HH492" s="105"/>
      <c r="HI492" s="105"/>
      <c r="HJ492" s="105"/>
      <c r="HK492" s="105"/>
      <c r="HL492" s="105"/>
      <c r="HM492" s="105"/>
      <c r="HN492" s="105"/>
      <c r="HO492" s="105"/>
      <c r="HP492" s="105"/>
      <c r="HQ492" s="105"/>
      <c r="HR492" s="105"/>
      <c r="HS492" s="105"/>
      <c r="HT492" s="105"/>
      <c r="HU492" s="105"/>
      <c r="HV492" s="105"/>
      <c r="HW492" s="105"/>
      <c r="HX492" s="105"/>
      <c r="HY492" s="105"/>
      <c r="HZ492" s="105"/>
      <c r="IA492" s="105"/>
      <c r="IB492" s="105"/>
      <c r="IC492" s="105"/>
      <c r="ID492" s="105"/>
      <c r="IE492" s="105"/>
      <c r="IF492" s="105"/>
      <c r="IG492" s="105"/>
      <c r="IH492" s="105"/>
      <c r="II492" s="105"/>
      <c r="IJ492" s="105"/>
      <c r="IK492" s="105"/>
      <c r="IL492" s="105"/>
      <c r="IM492" s="105"/>
      <c r="IN492" s="105"/>
      <c r="IO492" s="105"/>
      <c r="IP492" s="105"/>
      <c r="IQ492" s="105"/>
      <c r="IR492" s="105"/>
      <c r="IS492" s="105"/>
      <c r="IT492" s="105"/>
      <c r="IU492" s="105"/>
      <c r="IV492" s="105"/>
    </row>
    <row r="493" spans="1:256" s="388" customFormat="1" ht="25.5" x14ac:dyDescent="0.2">
      <c r="A493" s="33">
        <v>44657</v>
      </c>
      <c r="B493" s="34" t="s">
        <v>193</v>
      </c>
      <c r="C493" s="34">
        <v>2022</v>
      </c>
      <c r="D493" s="34" t="s">
        <v>7</v>
      </c>
      <c r="E493" s="271">
        <v>-960</v>
      </c>
      <c r="F493" s="271" t="s">
        <v>33</v>
      </c>
      <c r="G493" s="272">
        <v>432000</v>
      </c>
      <c r="H493" s="273">
        <v>299</v>
      </c>
      <c r="I493" s="271" t="s">
        <v>80</v>
      </c>
      <c r="J493" s="271" t="s">
        <v>725</v>
      </c>
      <c r="K493" s="271">
        <v>389</v>
      </c>
      <c r="L493" s="271" t="s">
        <v>726</v>
      </c>
      <c r="M493" s="271" t="s">
        <v>1088</v>
      </c>
      <c r="N493" s="116" t="s">
        <v>1089</v>
      </c>
      <c r="O493" s="34"/>
      <c r="P493" s="34" t="s">
        <v>117</v>
      </c>
      <c r="Q493" s="773">
        <v>40.040529999999997</v>
      </c>
      <c r="R493" s="592">
        <v>-86.312359999999998</v>
      </c>
      <c r="S493" s="34" t="s">
        <v>63</v>
      </c>
      <c r="T493" s="34"/>
      <c r="U493" s="34" t="s">
        <v>51</v>
      </c>
      <c r="V493" s="33"/>
      <c r="W493" s="35">
        <f>IF(AC493="Intr",0,G493*Definitions!$B$53)</f>
        <v>64800</v>
      </c>
      <c r="X493" s="35">
        <f>IF(AC493="Intr",0,G493*Definitions!$B$54)</f>
        <v>302400</v>
      </c>
      <c r="Y493" s="35">
        <f>IF(AC493="Intr",G493,G493*Definitions!$B$55)</f>
        <v>64800</v>
      </c>
      <c r="Z493" s="35" t="s">
        <v>966</v>
      </c>
      <c r="AA493" s="35" t="s">
        <v>1097</v>
      </c>
      <c r="AB493" s="35"/>
      <c r="AC493" s="34"/>
      <c r="AD493" s="34"/>
      <c r="AE493" s="34"/>
      <c r="AF493" s="34"/>
      <c r="AG493" s="36"/>
      <c r="AH493" s="120" t="s">
        <v>1092</v>
      </c>
      <c r="AI493" s="105"/>
      <c r="AJ493" s="105"/>
      <c r="AK493" s="105"/>
      <c r="AL493" s="105"/>
      <c r="AM493" s="105"/>
      <c r="AN493" s="105"/>
      <c r="AO493" s="105"/>
      <c r="AP493" s="105"/>
      <c r="AQ493" s="105"/>
      <c r="AR493" s="105"/>
      <c r="AS493" s="105"/>
      <c r="AT493" s="105"/>
      <c r="AU493" s="105"/>
      <c r="AV493" s="105"/>
      <c r="AW493" s="105"/>
      <c r="AX493" s="105"/>
      <c r="AY493" s="105"/>
      <c r="AZ493" s="105"/>
      <c r="BA493" s="105"/>
      <c r="BB493" s="105"/>
      <c r="BC493" s="105"/>
      <c r="BD493" s="105"/>
      <c r="BE493" s="105"/>
      <c r="BF493" s="105"/>
      <c r="BG493" s="105"/>
      <c r="BH493" s="105"/>
      <c r="BI493" s="105"/>
      <c r="BJ493" s="105"/>
      <c r="BK493" s="105"/>
      <c r="BL493" s="105"/>
      <c r="BM493" s="105"/>
      <c r="BN493" s="105"/>
      <c r="BO493" s="105"/>
      <c r="BP493" s="105"/>
      <c r="BQ493" s="105"/>
      <c r="BR493" s="105"/>
      <c r="BS493" s="105"/>
      <c r="BT493" s="105"/>
      <c r="BU493" s="105"/>
      <c r="BV493" s="105"/>
      <c r="BW493" s="105"/>
      <c r="BX493" s="105"/>
      <c r="BY493" s="105"/>
      <c r="BZ493" s="105"/>
      <c r="CA493" s="105"/>
      <c r="CB493" s="105"/>
      <c r="CC493" s="105"/>
      <c r="CD493" s="105"/>
      <c r="CE493" s="105"/>
      <c r="CF493" s="105"/>
      <c r="CG493" s="105"/>
      <c r="CH493" s="105"/>
      <c r="CI493" s="105"/>
      <c r="CJ493" s="105"/>
      <c r="CK493" s="105"/>
      <c r="CL493" s="105"/>
      <c r="CM493" s="105"/>
      <c r="CN493" s="105"/>
      <c r="CO493" s="105"/>
      <c r="CP493" s="105"/>
      <c r="CQ493" s="105"/>
      <c r="CR493" s="105"/>
      <c r="CS493" s="105"/>
      <c r="CT493" s="105"/>
      <c r="CU493" s="105"/>
      <c r="CV493" s="105"/>
      <c r="CW493" s="105"/>
      <c r="CX493" s="105"/>
      <c r="CY493" s="105"/>
      <c r="CZ493" s="105"/>
      <c r="DA493" s="105"/>
      <c r="DB493" s="105"/>
      <c r="DC493" s="105"/>
      <c r="DD493" s="105"/>
      <c r="DE493" s="105"/>
      <c r="DF493" s="105"/>
      <c r="DG493" s="105"/>
      <c r="DH493" s="105"/>
      <c r="DI493" s="105"/>
      <c r="DJ493" s="105"/>
      <c r="DK493" s="105"/>
      <c r="DL493" s="105"/>
      <c r="DM493" s="105"/>
      <c r="DN493" s="105"/>
      <c r="DO493" s="105"/>
      <c r="DP493" s="105"/>
      <c r="DQ493" s="105"/>
      <c r="DR493" s="105"/>
      <c r="DS493" s="105"/>
      <c r="DT493" s="105"/>
      <c r="DU493" s="105"/>
      <c r="DV493" s="105"/>
      <c r="DW493" s="105"/>
      <c r="DX493" s="105"/>
      <c r="DY493" s="105"/>
      <c r="DZ493" s="105"/>
      <c r="EA493" s="105"/>
      <c r="EB493" s="105"/>
      <c r="EC493" s="105"/>
      <c r="ED493" s="105"/>
      <c r="EE493" s="105"/>
      <c r="EF493" s="105"/>
      <c r="EG493" s="105"/>
      <c r="EH493" s="105"/>
      <c r="EI493" s="105"/>
      <c r="EJ493" s="105"/>
      <c r="EK493" s="105"/>
      <c r="EL493" s="105"/>
      <c r="EM493" s="105"/>
      <c r="EN493" s="105"/>
      <c r="EO493" s="105"/>
      <c r="EP493" s="105"/>
      <c r="EQ493" s="105"/>
      <c r="ER493" s="105"/>
      <c r="ES493" s="105"/>
      <c r="ET493" s="105"/>
      <c r="EU493" s="105"/>
      <c r="EV493" s="105"/>
      <c r="EW493" s="105"/>
      <c r="EX493" s="105"/>
      <c r="EY493" s="105"/>
      <c r="EZ493" s="105"/>
      <c r="FA493" s="105"/>
      <c r="FB493" s="105"/>
      <c r="FC493" s="105"/>
      <c r="FD493" s="105"/>
      <c r="FE493" s="105"/>
      <c r="FF493" s="105"/>
      <c r="FG493" s="105"/>
      <c r="FH493" s="105"/>
      <c r="FI493" s="105"/>
      <c r="FJ493" s="105"/>
      <c r="FK493" s="105"/>
      <c r="FL493" s="105"/>
      <c r="FM493" s="105"/>
      <c r="FN493" s="105"/>
      <c r="FO493" s="105"/>
      <c r="FP493" s="105"/>
      <c r="FQ493" s="105"/>
      <c r="FR493" s="105"/>
      <c r="FS493" s="105"/>
      <c r="FT493" s="105"/>
      <c r="FU493" s="105"/>
      <c r="FV493" s="105"/>
      <c r="FW493" s="105"/>
      <c r="FX493" s="105"/>
      <c r="FY493" s="105"/>
      <c r="FZ493" s="105"/>
      <c r="GA493" s="105"/>
      <c r="GB493" s="105"/>
      <c r="GC493" s="105"/>
      <c r="GD493" s="105"/>
      <c r="GE493" s="105"/>
      <c r="GF493" s="105"/>
      <c r="GG493" s="105"/>
      <c r="GH493" s="105"/>
      <c r="GI493" s="105"/>
      <c r="GJ493" s="105"/>
      <c r="GK493" s="105"/>
      <c r="GL493" s="105"/>
      <c r="GM493" s="105"/>
      <c r="GN493" s="105"/>
      <c r="GO493" s="105"/>
      <c r="GP493" s="105"/>
      <c r="GQ493" s="105"/>
      <c r="GR493" s="105"/>
      <c r="GS493" s="105"/>
      <c r="GT493" s="105"/>
      <c r="GU493" s="105"/>
      <c r="GV493" s="105"/>
      <c r="GW493" s="105"/>
      <c r="GX493" s="105"/>
      <c r="GY493" s="105"/>
      <c r="GZ493" s="105"/>
      <c r="HA493" s="105"/>
      <c r="HB493" s="105"/>
      <c r="HC493" s="105"/>
      <c r="HD493" s="105"/>
      <c r="HE493" s="105"/>
      <c r="HF493" s="105"/>
      <c r="HG493" s="105"/>
      <c r="HH493" s="105"/>
      <c r="HI493" s="105"/>
      <c r="HJ493" s="105"/>
      <c r="HK493" s="105"/>
      <c r="HL493" s="105"/>
      <c r="HM493" s="105"/>
      <c r="HN493" s="105"/>
      <c r="HO493" s="105"/>
      <c r="HP493" s="105"/>
      <c r="HQ493" s="105"/>
      <c r="HR493" s="105"/>
      <c r="HS493" s="105"/>
      <c r="HT493" s="105"/>
      <c r="HU493" s="105"/>
      <c r="HV493" s="105"/>
      <c r="HW493" s="105"/>
      <c r="HX493" s="105"/>
      <c r="HY493" s="105"/>
      <c r="HZ493" s="105"/>
      <c r="IA493" s="105"/>
      <c r="IB493" s="105"/>
      <c r="IC493" s="105"/>
      <c r="ID493" s="105"/>
      <c r="IE493" s="105"/>
      <c r="IF493" s="105"/>
      <c r="IG493" s="105"/>
      <c r="IH493" s="105"/>
      <c r="II493" s="105"/>
      <c r="IJ493" s="105"/>
      <c r="IK493" s="105"/>
      <c r="IL493" s="105"/>
      <c r="IM493" s="105"/>
      <c r="IN493" s="105"/>
      <c r="IO493" s="105"/>
      <c r="IP493" s="105"/>
      <c r="IQ493" s="105"/>
      <c r="IR493" s="105"/>
      <c r="IS493" s="105"/>
      <c r="IT493" s="105"/>
      <c r="IU493" s="105"/>
      <c r="IV493" s="105"/>
    </row>
    <row r="494" spans="1:256" s="388" customFormat="1" x14ac:dyDescent="0.2">
      <c r="A494" s="37">
        <v>44663</v>
      </c>
      <c r="B494" s="38" t="s">
        <v>193</v>
      </c>
      <c r="C494" s="38">
        <v>2022</v>
      </c>
      <c r="D494" s="38" t="s">
        <v>7</v>
      </c>
      <c r="E494" s="177">
        <v>-0.41</v>
      </c>
      <c r="F494" s="177" t="s">
        <v>32</v>
      </c>
      <c r="G494" s="269">
        <v>32800</v>
      </c>
      <c r="H494" s="179">
        <v>298</v>
      </c>
      <c r="I494" s="177" t="s">
        <v>80</v>
      </c>
      <c r="J494" s="177" t="s">
        <v>36</v>
      </c>
      <c r="K494" s="177">
        <v>0.34</v>
      </c>
      <c r="L494" s="177" t="s">
        <v>1093</v>
      </c>
      <c r="M494" s="177" t="s">
        <v>1094</v>
      </c>
      <c r="N494" s="70" t="s">
        <v>1095</v>
      </c>
      <c r="O494" s="38"/>
      <c r="P494" s="38" t="s">
        <v>143</v>
      </c>
      <c r="Q494" s="760">
        <v>39.684100000000001</v>
      </c>
      <c r="R494" s="590">
        <v>-86.317800000000005</v>
      </c>
      <c r="S494" s="38" t="s">
        <v>61</v>
      </c>
      <c r="T494" s="38"/>
      <c r="U494" s="38" t="s">
        <v>51</v>
      </c>
      <c r="V494" s="37"/>
      <c r="W494" s="39">
        <f>IF(AC494="Intr",0,G494*Definitions!$B$53)</f>
        <v>4920</v>
      </c>
      <c r="X494" s="39">
        <f>IF(AC494="Intr",0,G494*Definitions!$B$54)</f>
        <v>22960</v>
      </c>
      <c r="Y494" s="39">
        <f>IF(AC494="Intr",G494,G494*Definitions!$B$55)</f>
        <v>4920</v>
      </c>
      <c r="Z494" s="39" t="s">
        <v>966</v>
      </c>
      <c r="AA494" s="39" t="s">
        <v>965</v>
      </c>
      <c r="AB494" s="39"/>
      <c r="AC494" s="38"/>
      <c r="AD494" s="38"/>
      <c r="AE494" s="38"/>
      <c r="AF494" s="38"/>
      <c r="AG494" s="40"/>
      <c r="AH494" s="488" t="s">
        <v>1096</v>
      </c>
      <c r="AI494" s="105"/>
      <c r="AJ494" s="105"/>
      <c r="AK494" s="105"/>
      <c r="AL494" s="105"/>
      <c r="AM494" s="105"/>
      <c r="AN494" s="105"/>
      <c r="AO494" s="105"/>
      <c r="AP494" s="105"/>
      <c r="AQ494" s="105"/>
      <c r="AR494" s="105"/>
      <c r="AS494" s="105"/>
      <c r="AT494" s="105"/>
      <c r="AU494" s="105"/>
      <c r="AV494" s="105"/>
      <c r="AW494" s="105"/>
      <c r="AX494" s="105"/>
      <c r="AY494" s="105"/>
      <c r="AZ494" s="105"/>
      <c r="BA494" s="105"/>
      <c r="BB494" s="105"/>
      <c r="BC494" s="105"/>
      <c r="BD494" s="105"/>
      <c r="BE494" s="105"/>
      <c r="BF494" s="105"/>
      <c r="BG494" s="105"/>
      <c r="BH494" s="105"/>
      <c r="BI494" s="105"/>
      <c r="BJ494" s="105"/>
      <c r="BK494" s="105"/>
      <c r="BL494" s="105"/>
      <c r="BM494" s="105"/>
      <c r="BN494" s="105"/>
      <c r="BO494" s="105"/>
      <c r="BP494" s="105"/>
      <c r="BQ494" s="105"/>
      <c r="BR494" s="105"/>
      <c r="BS494" s="105"/>
      <c r="BT494" s="105"/>
      <c r="BU494" s="105"/>
      <c r="BV494" s="105"/>
      <c r="BW494" s="105"/>
      <c r="BX494" s="105"/>
      <c r="BY494" s="105"/>
      <c r="BZ494" s="105"/>
      <c r="CA494" s="105"/>
      <c r="CB494" s="105"/>
      <c r="CC494" s="105"/>
      <c r="CD494" s="105"/>
      <c r="CE494" s="105"/>
      <c r="CF494" s="105"/>
      <c r="CG494" s="105"/>
      <c r="CH494" s="105"/>
      <c r="CI494" s="105"/>
      <c r="CJ494" s="105"/>
      <c r="CK494" s="105"/>
      <c r="CL494" s="105"/>
      <c r="CM494" s="105"/>
      <c r="CN494" s="105"/>
      <c r="CO494" s="105"/>
      <c r="CP494" s="105"/>
      <c r="CQ494" s="105"/>
      <c r="CR494" s="105"/>
      <c r="CS494" s="105"/>
      <c r="CT494" s="105"/>
      <c r="CU494" s="105"/>
      <c r="CV494" s="105"/>
      <c r="CW494" s="105"/>
      <c r="CX494" s="105"/>
      <c r="CY494" s="105"/>
      <c r="CZ494" s="105"/>
      <c r="DA494" s="105"/>
      <c r="DB494" s="105"/>
      <c r="DC494" s="105"/>
      <c r="DD494" s="105"/>
      <c r="DE494" s="105"/>
      <c r="DF494" s="105"/>
      <c r="DG494" s="105"/>
      <c r="DH494" s="105"/>
      <c r="DI494" s="105"/>
      <c r="DJ494" s="105"/>
      <c r="DK494" s="105"/>
      <c r="DL494" s="105"/>
      <c r="DM494" s="105"/>
      <c r="DN494" s="105"/>
      <c r="DO494" s="105"/>
      <c r="DP494" s="105"/>
      <c r="DQ494" s="105"/>
      <c r="DR494" s="105"/>
      <c r="DS494" s="105"/>
      <c r="DT494" s="105"/>
      <c r="DU494" s="105"/>
      <c r="DV494" s="105"/>
      <c r="DW494" s="105"/>
      <c r="DX494" s="105"/>
      <c r="DY494" s="105"/>
      <c r="DZ494" s="105"/>
      <c r="EA494" s="105"/>
      <c r="EB494" s="105"/>
      <c r="EC494" s="105"/>
      <c r="ED494" s="105"/>
      <c r="EE494" s="105"/>
      <c r="EF494" s="105"/>
      <c r="EG494" s="105"/>
      <c r="EH494" s="105"/>
      <c r="EI494" s="105"/>
      <c r="EJ494" s="105"/>
      <c r="EK494" s="105"/>
      <c r="EL494" s="105"/>
      <c r="EM494" s="105"/>
      <c r="EN494" s="105"/>
      <c r="EO494" s="105"/>
      <c r="EP494" s="105"/>
      <c r="EQ494" s="105"/>
      <c r="ER494" s="105"/>
      <c r="ES494" s="105"/>
      <c r="ET494" s="105"/>
      <c r="EU494" s="105"/>
      <c r="EV494" s="105"/>
      <c r="EW494" s="105"/>
      <c r="EX494" s="105"/>
      <c r="EY494" s="105"/>
      <c r="EZ494" s="105"/>
      <c r="FA494" s="105"/>
      <c r="FB494" s="105"/>
      <c r="FC494" s="105"/>
      <c r="FD494" s="105"/>
      <c r="FE494" s="105"/>
      <c r="FF494" s="105"/>
      <c r="FG494" s="105"/>
      <c r="FH494" s="105"/>
      <c r="FI494" s="105"/>
      <c r="FJ494" s="105"/>
      <c r="FK494" s="105"/>
      <c r="FL494" s="105"/>
      <c r="FM494" s="105"/>
      <c r="FN494" s="105"/>
      <c r="FO494" s="105"/>
      <c r="FP494" s="105"/>
      <c r="FQ494" s="105"/>
      <c r="FR494" s="105"/>
      <c r="FS494" s="105"/>
      <c r="FT494" s="105"/>
      <c r="FU494" s="105"/>
      <c r="FV494" s="105"/>
      <c r="FW494" s="105"/>
      <c r="FX494" s="105"/>
      <c r="FY494" s="105"/>
      <c r="FZ494" s="105"/>
      <c r="GA494" s="105"/>
      <c r="GB494" s="105"/>
      <c r="GC494" s="105"/>
      <c r="GD494" s="105"/>
      <c r="GE494" s="105"/>
      <c r="GF494" s="105"/>
      <c r="GG494" s="105"/>
      <c r="GH494" s="105"/>
      <c r="GI494" s="105"/>
      <c r="GJ494" s="105"/>
      <c r="GK494" s="105"/>
      <c r="GL494" s="105"/>
      <c r="GM494" s="105"/>
      <c r="GN494" s="105"/>
      <c r="GO494" s="105"/>
      <c r="GP494" s="105"/>
      <c r="GQ494" s="105"/>
      <c r="GR494" s="105"/>
      <c r="GS494" s="105"/>
      <c r="GT494" s="105"/>
      <c r="GU494" s="105"/>
      <c r="GV494" s="105"/>
      <c r="GW494" s="105"/>
      <c r="GX494" s="105"/>
      <c r="GY494" s="105"/>
      <c r="GZ494" s="105"/>
      <c r="HA494" s="105"/>
      <c r="HB494" s="105"/>
      <c r="HC494" s="105"/>
      <c r="HD494" s="105"/>
      <c r="HE494" s="105"/>
      <c r="HF494" s="105"/>
      <c r="HG494" s="105"/>
      <c r="HH494" s="105"/>
      <c r="HI494" s="105"/>
      <c r="HJ494" s="105"/>
      <c r="HK494" s="105"/>
      <c r="HL494" s="105"/>
      <c r="HM494" s="105"/>
      <c r="HN494" s="105"/>
      <c r="HO494" s="105"/>
      <c r="HP494" s="105"/>
      <c r="HQ494" s="105"/>
      <c r="HR494" s="105"/>
      <c r="HS494" s="105"/>
      <c r="HT494" s="105"/>
      <c r="HU494" s="105"/>
      <c r="HV494" s="105"/>
      <c r="HW494" s="105"/>
      <c r="HX494" s="105"/>
      <c r="HY494" s="105"/>
      <c r="HZ494" s="105"/>
      <c r="IA494" s="105"/>
      <c r="IB494" s="105"/>
      <c r="IC494" s="105"/>
      <c r="ID494" s="105"/>
      <c r="IE494" s="105"/>
      <c r="IF494" s="105"/>
      <c r="IG494" s="105"/>
      <c r="IH494" s="105"/>
      <c r="II494" s="105"/>
      <c r="IJ494" s="105"/>
      <c r="IK494" s="105"/>
      <c r="IL494" s="105"/>
      <c r="IM494" s="105"/>
      <c r="IN494" s="105"/>
      <c r="IO494" s="105"/>
      <c r="IP494" s="105"/>
      <c r="IQ494" s="105"/>
      <c r="IR494" s="105"/>
      <c r="IS494" s="105"/>
      <c r="IT494" s="105"/>
      <c r="IU494" s="105"/>
      <c r="IV494" s="105"/>
    </row>
    <row r="495" spans="1:256" x14ac:dyDescent="0.2">
      <c r="A495" s="168">
        <v>44678</v>
      </c>
      <c r="B495" s="169" t="s">
        <v>193</v>
      </c>
      <c r="C495" s="169">
        <v>2022</v>
      </c>
      <c r="D495" s="169" t="s">
        <v>7</v>
      </c>
      <c r="E495" s="170">
        <v>-2.33</v>
      </c>
      <c r="F495" s="170" t="s">
        <v>32</v>
      </c>
      <c r="G495" s="171">
        <v>186400</v>
      </c>
      <c r="H495" s="172">
        <v>306</v>
      </c>
      <c r="I495" s="170" t="s">
        <v>81</v>
      </c>
      <c r="J495" s="170" t="s">
        <v>38</v>
      </c>
      <c r="K495" s="170">
        <v>0.93</v>
      </c>
      <c r="L495" s="170" t="s">
        <v>1098</v>
      </c>
      <c r="M495" s="170" t="s">
        <v>103</v>
      </c>
      <c r="N495" s="173" t="s">
        <v>1099</v>
      </c>
      <c r="O495" s="169"/>
      <c r="P495" s="169" t="s">
        <v>137</v>
      </c>
      <c r="Q495" s="732">
        <v>39.967770999999999</v>
      </c>
      <c r="R495" s="646">
        <v>-85.994855999999999</v>
      </c>
      <c r="S495" s="169" t="s">
        <v>61</v>
      </c>
      <c r="T495" s="169"/>
      <c r="U495" s="169" t="s">
        <v>51</v>
      </c>
      <c r="V495" s="168"/>
      <c r="W495" s="174">
        <f>IF(AC495="Intr",0,G495*Definitions!$B$53)</f>
        <v>27960</v>
      </c>
      <c r="X495" s="174">
        <f>IF(AC495="Intr",0,G495*Definitions!$B$54)</f>
        <v>130479.99999999999</v>
      </c>
      <c r="Y495" s="174">
        <f>IF(AC495="Intr",G495,G495*Definitions!$B$55)</f>
        <v>27960</v>
      </c>
      <c r="Z495" s="174" t="s">
        <v>966</v>
      </c>
      <c r="AA495" s="174" t="s">
        <v>963</v>
      </c>
      <c r="AB495" s="174" t="s">
        <v>1245</v>
      </c>
      <c r="AC495" s="169"/>
      <c r="AD495" s="169"/>
      <c r="AE495" s="169"/>
      <c r="AF495" s="169"/>
      <c r="AG495" s="175"/>
      <c r="AH495" s="169"/>
    </row>
    <row r="496" spans="1:256" s="414" customFormat="1" x14ac:dyDescent="0.2">
      <c r="A496" s="282">
        <v>44678</v>
      </c>
      <c r="B496" s="114" t="s">
        <v>193</v>
      </c>
      <c r="C496" s="114">
        <v>2022</v>
      </c>
      <c r="D496" s="114" t="s">
        <v>7</v>
      </c>
      <c r="E496" s="270">
        <v>-0.66</v>
      </c>
      <c r="F496" s="270" t="s">
        <v>32</v>
      </c>
      <c r="G496" s="283">
        <v>52800</v>
      </c>
      <c r="H496" s="284">
        <v>295</v>
      </c>
      <c r="I496" s="270" t="s">
        <v>81</v>
      </c>
      <c r="J496" s="270" t="s">
        <v>36</v>
      </c>
      <c r="K496" s="270">
        <v>0.44</v>
      </c>
      <c r="L496" s="270" t="s">
        <v>284</v>
      </c>
      <c r="M496" s="270" t="s">
        <v>103</v>
      </c>
      <c r="N496" s="285" t="s">
        <v>1100</v>
      </c>
      <c r="O496" s="114"/>
      <c r="P496" s="114" t="s">
        <v>162</v>
      </c>
      <c r="Q496" s="750">
        <v>39.832500000000003</v>
      </c>
      <c r="R496" s="635">
        <v>-86.342399999999998</v>
      </c>
      <c r="S496" s="114" t="s">
        <v>61</v>
      </c>
      <c r="T496" s="114"/>
      <c r="U496" s="114" t="s">
        <v>51</v>
      </c>
      <c r="V496" s="282"/>
      <c r="W496" s="286">
        <f>IF(AC496="Intr",0,G496*Definitions!$B$53)</f>
        <v>7920</v>
      </c>
      <c r="X496" s="286">
        <f>IF(AC496="Intr",0,G496*Definitions!$B$54)</f>
        <v>36960</v>
      </c>
      <c r="Y496" s="286">
        <f>IF(AC496="Intr",G496,G496*Definitions!$B$55)</f>
        <v>7920</v>
      </c>
      <c r="Z496" s="286" t="s">
        <v>966</v>
      </c>
      <c r="AA496" s="286" t="s">
        <v>963</v>
      </c>
      <c r="AB496" s="286" t="s">
        <v>970</v>
      </c>
      <c r="AC496" s="114"/>
      <c r="AD496" s="114"/>
      <c r="AE496" s="114"/>
      <c r="AF496" s="114"/>
      <c r="AG496" s="287"/>
      <c r="AH496" s="114"/>
      <c r="AI496" s="105"/>
      <c r="AJ496" s="105"/>
      <c r="AK496" s="105"/>
      <c r="AL496" s="105"/>
      <c r="AM496" s="105"/>
      <c r="AN496" s="105"/>
      <c r="AO496" s="105"/>
      <c r="AP496" s="105"/>
      <c r="AQ496" s="105"/>
      <c r="AR496" s="105"/>
      <c r="AS496" s="105"/>
      <c r="AT496" s="105"/>
      <c r="AU496" s="105"/>
      <c r="AV496" s="105"/>
      <c r="AW496" s="105"/>
      <c r="AX496" s="105"/>
      <c r="AY496" s="105"/>
      <c r="AZ496" s="105"/>
      <c r="BA496" s="105"/>
      <c r="BB496" s="105"/>
      <c r="BC496" s="105"/>
      <c r="BD496" s="105"/>
      <c r="BE496" s="105"/>
      <c r="BF496" s="105"/>
      <c r="BG496" s="105"/>
      <c r="BH496" s="105"/>
      <c r="BI496" s="105"/>
      <c r="BJ496" s="105"/>
      <c r="BK496" s="105"/>
      <c r="BL496" s="105"/>
      <c r="BM496" s="105"/>
      <c r="BN496" s="105"/>
      <c r="BO496" s="105"/>
      <c r="BP496" s="105"/>
      <c r="BQ496" s="105"/>
      <c r="BR496" s="105"/>
      <c r="BS496" s="105"/>
      <c r="BT496" s="105"/>
      <c r="BU496" s="105"/>
      <c r="BV496" s="105"/>
      <c r="BW496" s="105"/>
      <c r="BX496" s="105"/>
      <c r="BY496" s="105"/>
      <c r="BZ496" s="105"/>
      <c r="CA496" s="105"/>
      <c r="CB496" s="105"/>
      <c r="CC496" s="105"/>
      <c r="CD496" s="105"/>
      <c r="CE496" s="105"/>
      <c r="CF496" s="105"/>
      <c r="CG496" s="105"/>
      <c r="CH496" s="105"/>
      <c r="CI496" s="105"/>
      <c r="CJ496" s="105"/>
      <c r="CK496" s="105"/>
      <c r="CL496" s="105"/>
      <c r="CM496" s="105"/>
      <c r="CN496" s="105"/>
      <c r="CO496" s="105"/>
      <c r="CP496" s="105"/>
      <c r="CQ496" s="105"/>
      <c r="CR496" s="105"/>
      <c r="CS496" s="105"/>
      <c r="CT496" s="105"/>
      <c r="CU496" s="105"/>
      <c r="CV496" s="105"/>
      <c r="CW496" s="105"/>
      <c r="CX496" s="105"/>
      <c r="CY496" s="105"/>
      <c r="CZ496" s="105"/>
      <c r="DA496" s="105"/>
      <c r="DB496" s="105"/>
      <c r="DC496" s="105"/>
      <c r="DD496" s="105"/>
      <c r="DE496" s="105"/>
      <c r="DF496" s="105"/>
      <c r="DG496" s="105"/>
      <c r="DH496" s="105"/>
      <c r="DI496" s="105"/>
      <c r="DJ496" s="105"/>
      <c r="DK496" s="105"/>
      <c r="DL496" s="105"/>
      <c r="DM496" s="105"/>
      <c r="DN496" s="105"/>
      <c r="DO496" s="105"/>
      <c r="DP496" s="105"/>
      <c r="DQ496" s="105"/>
      <c r="DR496" s="105"/>
      <c r="DS496" s="105"/>
      <c r="DT496" s="105"/>
      <c r="DU496" s="105"/>
      <c r="DV496" s="105"/>
      <c r="DW496" s="105"/>
      <c r="DX496" s="105"/>
      <c r="DY496" s="105"/>
      <c r="DZ496" s="105"/>
      <c r="EA496" s="105"/>
      <c r="EB496" s="105"/>
      <c r="EC496" s="105"/>
      <c r="ED496" s="105"/>
      <c r="EE496" s="105"/>
      <c r="EF496" s="105"/>
      <c r="EG496" s="105"/>
      <c r="EH496" s="105"/>
      <c r="EI496" s="105"/>
      <c r="EJ496" s="105"/>
      <c r="EK496" s="105"/>
      <c r="EL496" s="105"/>
      <c r="EM496" s="105"/>
      <c r="EN496" s="105"/>
      <c r="EO496" s="105"/>
      <c r="EP496" s="105"/>
      <c r="EQ496" s="105"/>
      <c r="ER496" s="105"/>
      <c r="ES496" s="105"/>
      <c r="ET496" s="105"/>
      <c r="EU496" s="105"/>
      <c r="EV496" s="105"/>
      <c r="EW496" s="105"/>
      <c r="EX496" s="105"/>
      <c r="EY496" s="105"/>
      <c r="EZ496" s="105"/>
      <c r="FA496" s="105"/>
      <c r="FB496" s="105"/>
      <c r="FC496" s="105"/>
      <c r="FD496" s="105"/>
      <c r="FE496" s="105"/>
      <c r="FF496" s="105"/>
      <c r="FG496" s="105"/>
      <c r="FH496" s="105"/>
      <c r="FI496" s="105"/>
      <c r="FJ496" s="105"/>
      <c r="FK496" s="105"/>
      <c r="FL496" s="105"/>
      <c r="FM496" s="105"/>
      <c r="FN496" s="105"/>
      <c r="FO496" s="105"/>
      <c r="FP496" s="105"/>
      <c r="FQ496" s="105"/>
      <c r="FR496" s="105"/>
      <c r="FS496" s="105"/>
      <c r="FT496" s="105"/>
      <c r="FU496" s="105"/>
      <c r="FV496" s="105"/>
      <c r="FW496" s="105"/>
      <c r="FX496" s="105"/>
      <c r="FY496" s="105"/>
      <c r="FZ496" s="105"/>
      <c r="GA496" s="105"/>
      <c r="GB496" s="105"/>
      <c r="GC496" s="105"/>
      <c r="GD496" s="105"/>
      <c r="GE496" s="105"/>
      <c r="GF496" s="105"/>
      <c r="GG496" s="105"/>
      <c r="GH496" s="105"/>
      <c r="GI496" s="105"/>
      <c r="GJ496" s="105"/>
      <c r="GK496" s="105"/>
      <c r="GL496" s="105"/>
      <c r="GM496" s="105"/>
      <c r="GN496" s="105"/>
      <c r="GO496" s="105"/>
      <c r="GP496" s="105"/>
      <c r="GQ496" s="105"/>
      <c r="GR496" s="105"/>
      <c r="GS496" s="105"/>
      <c r="GT496" s="105"/>
      <c r="GU496" s="105"/>
      <c r="GV496" s="105"/>
      <c r="GW496" s="105"/>
      <c r="GX496" s="105"/>
      <c r="GY496" s="105"/>
      <c r="GZ496" s="105"/>
      <c r="HA496" s="105"/>
      <c r="HB496" s="105"/>
      <c r="HC496" s="105"/>
      <c r="HD496" s="105"/>
      <c r="HE496" s="105"/>
      <c r="HF496" s="105"/>
      <c r="HG496" s="105"/>
      <c r="HH496" s="105"/>
      <c r="HI496" s="105"/>
      <c r="HJ496" s="105"/>
      <c r="HK496" s="105"/>
      <c r="HL496" s="105"/>
      <c r="HM496" s="105"/>
      <c r="HN496" s="105"/>
      <c r="HO496" s="105"/>
      <c r="HP496" s="105"/>
      <c r="HQ496" s="105"/>
      <c r="HR496" s="105"/>
      <c r="HS496" s="105"/>
      <c r="HT496" s="105"/>
      <c r="HU496" s="105"/>
      <c r="HV496" s="105"/>
      <c r="HW496" s="105"/>
      <c r="HX496" s="105"/>
      <c r="HY496" s="105"/>
      <c r="HZ496" s="105"/>
      <c r="IA496" s="105"/>
      <c r="IB496" s="105"/>
      <c r="IC496" s="105"/>
      <c r="ID496" s="105"/>
      <c r="IE496" s="105"/>
      <c r="IF496" s="105"/>
      <c r="IG496" s="105"/>
      <c r="IH496" s="105"/>
      <c r="II496" s="105"/>
      <c r="IJ496" s="105"/>
      <c r="IK496" s="105"/>
      <c r="IL496" s="105"/>
      <c r="IM496" s="105"/>
      <c r="IN496" s="105"/>
      <c r="IO496" s="105"/>
      <c r="IP496" s="105"/>
      <c r="IQ496" s="105"/>
      <c r="IR496" s="105"/>
      <c r="IS496" s="105"/>
      <c r="IT496" s="105"/>
      <c r="IU496" s="105"/>
      <c r="IV496" s="105"/>
    </row>
    <row r="497" spans="1:256" s="407" customFormat="1" x14ac:dyDescent="0.2">
      <c r="A497" s="282">
        <v>44678</v>
      </c>
      <c r="B497" s="114" t="s">
        <v>193</v>
      </c>
      <c r="C497" s="114">
        <v>2022</v>
      </c>
      <c r="D497" s="114" t="s">
        <v>7</v>
      </c>
      <c r="E497" s="270">
        <v>-0.32</v>
      </c>
      <c r="F497" s="270" t="s">
        <v>32</v>
      </c>
      <c r="G497" s="283">
        <v>25600</v>
      </c>
      <c r="H497" s="284">
        <v>295</v>
      </c>
      <c r="I497" s="270" t="s">
        <v>81</v>
      </c>
      <c r="J497" s="270" t="s">
        <v>38</v>
      </c>
      <c r="K497" s="270">
        <v>0.16</v>
      </c>
      <c r="L497" s="270" t="s">
        <v>284</v>
      </c>
      <c r="M497" s="270" t="s">
        <v>103</v>
      </c>
      <c r="N497" s="285" t="s">
        <v>1100</v>
      </c>
      <c r="O497" s="114"/>
      <c r="P497" s="114" t="s">
        <v>162</v>
      </c>
      <c r="Q497" s="750">
        <v>39.832500000000003</v>
      </c>
      <c r="R497" s="635">
        <v>-86.342399999999998</v>
      </c>
      <c r="S497" s="114" t="s">
        <v>61</v>
      </c>
      <c r="T497" s="114"/>
      <c r="U497" s="114" t="s">
        <v>51</v>
      </c>
      <c r="V497" s="282"/>
      <c r="W497" s="286">
        <f>IF(AC497="Intr",0,G497*Definitions!$B$53)</f>
        <v>3840</v>
      </c>
      <c r="X497" s="286">
        <f>IF(AC497="Intr",0,G497*Definitions!$B$54)</f>
        <v>17920</v>
      </c>
      <c r="Y497" s="286">
        <f>IF(AC497="Intr",G497,G497*Definitions!$B$55)</f>
        <v>3840</v>
      </c>
      <c r="Z497" s="286" t="s">
        <v>966</v>
      </c>
      <c r="AA497" s="286" t="s">
        <v>963</v>
      </c>
      <c r="AB497" s="286" t="s">
        <v>1245</v>
      </c>
      <c r="AC497" s="114"/>
      <c r="AD497" s="114"/>
      <c r="AE497" s="114"/>
      <c r="AF497" s="114"/>
      <c r="AG497" s="287"/>
      <c r="AH497" s="114"/>
      <c r="AI497" s="105"/>
      <c r="AJ497" s="105"/>
      <c r="AK497" s="105"/>
      <c r="AL497" s="105"/>
      <c r="AM497" s="105"/>
      <c r="AN497" s="105"/>
      <c r="AO497" s="105"/>
      <c r="AP497" s="105"/>
      <c r="AQ497" s="105"/>
      <c r="AR497" s="105"/>
      <c r="AS497" s="105"/>
      <c r="AT497" s="105"/>
      <c r="AU497" s="105"/>
      <c r="AV497" s="105"/>
      <c r="AW497" s="105"/>
      <c r="AX497" s="105"/>
      <c r="AY497" s="105"/>
      <c r="AZ497" s="105"/>
      <c r="BA497" s="105"/>
      <c r="BB497" s="105"/>
      <c r="BC497" s="105"/>
      <c r="BD497" s="105"/>
      <c r="BE497" s="105"/>
      <c r="BF497" s="105"/>
      <c r="BG497" s="105"/>
      <c r="BH497" s="105"/>
      <c r="BI497" s="105"/>
      <c r="BJ497" s="105"/>
      <c r="BK497" s="105"/>
      <c r="BL497" s="105"/>
      <c r="BM497" s="105"/>
      <c r="BN497" s="105"/>
      <c r="BO497" s="105"/>
      <c r="BP497" s="105"/>
      <c r="BQ497" s="105"/>
      <c r="BR497" s="105"/>
      <c r="BS497" s="105"/>
      <c r="BT497" s="105"/>
      <c r="BU497" s="105"/>
      <c r="BV497" s="105"/>
      <c r="BW497" s="105"/>
      <c r="BX497" s="105"/>
      <c r="BY497" s="105"/>
      <c r="BZ497" s="105"/>
      <c r="CA497" s="105"/>
      <c r="CB497" s="105"/>
      <c r="CC497" s="105"/>
      <c r="CD497" s="105"/>
      <c r="CE497" s="105"/>
      <c r="CF497" s="105"/>
      <c r="CG497" s="105"/>
      <c r="CH497" s="105"/>
      <c r="CI497" s="105"/>
      <c r="CJ497" s="105"/>
      <c r="CK497" s="105"/>
      <c r="CL497" s="105"/>
      <c r="CM497" s="105"/>
      <c r="CN497" s="105"/>
      <c r="CO497" s="105"/>
      <c r="CP497" s="105"/>
      <c r="CQ497" s="105"/>
      <c r="CR497" s="105"/>
      <c r="CS497" s="105"/>
      <c r="CT497" s="105"/>
      <c r="CU497" s="105"/>
      <c r="CV497" s="105"/>
      <c r="CW497" s="105"/>
      <c r="CX497" s="105"/>
      <c r="CY497" s="105"/>
      <c r="CZ497" s="105"/>
      <c r="DA497" s="105"/>
      <c r="DB497" s="105"/>
      <c r="DC497" s="105"/>
      <c r="DD497" s="105"/>
      <c r="DE497" s="105"/>
      <c r="DF497" s="105"/>
      <c r="DG497" s="105"/>
      <c r="DH497" s="105"/>
      <c r="DI497" s="105"/>
      <c r="DJ497" s="105"/>
      <c r="DK497" s="105"/>
      <c r="DL497" s="105"/>
      <c r="DM497" s="105"/>
      <c r="DN497" s="105"/>
      <c r="DO497" s="105"/>
      <c r="DP497" s="105"/>
      <c r="DQ497" s="105"/>
      <c r="DR497" s="105"/>
      <c r="DS497" s="105"/>
      <c r="DT497" s="105"/>
      <c r="DU497" s="105"/>
      <c r="DV497" s="105"/>
      <c r="DW497" s="105"/>
      <c r="DX497" s="105"/>
      <c r="DY497" s="105"/>
      <c r="DZ497" s="105"/>
      <c r="EA497" s="105"/>
      <c r="EB497" s="105"/>
      <c r="EC497" s="105"/>
      <c r="ED497" s="105"/>
      <c r="EE497" s="105"/>
      <c r="EF497" s="105"/>
      <c r="EG497" s="105"/>
      <c r="EH497" s="105"/>
      <c r="EI497" s="105"/>
      <c r="EJ497" s="105"/>
      <c r="EK497" s="105"/>
      <c r="EL497" s="105"/>
      <c r="EM497" s="105"/>
      <c r="EN497" s="105"/>
      <c r="EO497" s="105"/>
      <c r="EP497" s="105"/>
      <c r="EQ497" s="105"/>
      <c r="ER497" s="105"/>
      <c r="ES497" s="105"/>
      <c r="ET497" s="105"/>
      <c r="EU497" s="105"/>
      <c r="EV497" s="105"/>
      <c r="EW497" s="105"/>
      <c r="EX497" s="105"/>
      <c r="EY497" s="105"/>
      <c r="EZ497" s="105"/>
      <c r="FA497" s="105"/>
      <c r="FB497" s="105"/>
      <c r="FC497" s="105"/>
      <c r="FD497" s="105"/>
      <c r="FE497" s="105"/>
      <c r="FF497" s="105"/>
      <c r="FG497" s="105"/>
      <c r="FH497" s="105"/>
      <c r="FI497" s="105"/>
      <c r="FJ497" s="105"/>
      <c r="FK497" s="105"/>
      <c r="FL497" s="105"/>
      <c r="FM497" s="105"/>
      <c r="FN497" s="105"/>
      <c r="FO497" s="105"/>
      <c r="FP497" s="105"/>
      <c r="FQ497" s="105"/>
      <c r="FR497" s="105"/>
      <c r="FS497" s="105"/>
      <c r="FT497" s="105"/>
      <c r="FU497" s="105"/>
      <c r="FV497" s="105"/>
      <c r="FW497" s="105"/>
      <c r="FX497" s="105"/>
      <c r="FY497" s="105"/>
      <c r="FZ497" s="105"/>
      <c r="GA497" s="105"/>
      <c r="GB497" s="105"/>
      <c r="GC497" s="105"/>
      <c r="GD497" s="105"/>
      <c r="GE497" s="105"/>
      <c r="GF497" s="105"/>
      <c r="GG497" s="105"/>
      <c r="GH497" s="105"/>
      <c r="GI497" s="105"/>
      <c r="GJ497" s="105"/>
      <c r="GK497" s="105"/>
      <c r="GL497" s="105"/>
      <c r="GM497" s="105"/>
      <c r="GN497" s="105"/>
      <c r="GO497" s="105"/>
      <c r="GP497" s="105"/>
      <c r="GQ497" s="105"/>
      <c r="GR497" s="105"/>
      <c r="GS497" s="105"/>
      <c r="GT497" s="105"/>
      <c r="GU497" s="105"/>
      <c r="GV497" s="105"/>
      <c r="GW497" s="105"/>
      <c r="GX497" s="105"/>
      <c r="GY497" s="105"/>
      <c r="GZ497" s="105"/>
      <c r="HA497" s="105"/>
      <c r="HB497" s="105"/>
      <c r="HC497" s="105"/>
      <c r="HD497" s="105"/>
      <c r="HE497" s="105"/>
      <c r="HF497" s="105"/>
      <c r="HG497" s="105"/>
      <c r="HH497" s="105"/>
      <c r="HI497" s="105"/>
      <c r="HJ497" s="105"/>
      <c r="HK497" s="105"/>
      <c r="HL497" s="105"/>
      <c r="HM497" s="105"/>
      <c r="HN497" s="105"/>
      <c r="HO497" s="105"/>
      <c r="HP497" s="105"/>
      <c r="HQ497" s="105"/>
      <c r="HR497" s="105"/>
      <c r="HS497" s="105"/>
      <c r="HT497" s="105"/>
      <c r="HU497" s="105"/>
      <c r="HV497" s="105"/>
      <c r="HW497" s="105"/>
      <c r="HX497" s="105"/>
      <c r="HY497" s="105"/>
      <c r="HZ497" s="105"/>
      <c r="IA497" s="105"/>
      <c r="IB497" s="105"/>
      <c r="IC497" s="105"/>
      <c r="ID497" s="105"/>
      <c r="IE497" s="105"/>
      <c r="IF497" s="105"/>
      <c r="IG497" s="105"/>
      <c r="IH497" s="105"/>
      <c r="II497" s="105"/>
      <c r="IJ497" s="105"/>
      <c r="IK497" s="105"/>
      <c r="IL497" s="105"/>
      <c r="IM497" s="105"/>
      <c r="IN497" s="105"/>
      <c r="IO497" s="105"/>
      <c r="IP497" s="105"/>
      <c r="IQ497" s="105"/>
      <c r="IR497" s="105"/>
      <c r="IS497" s="105"/>
      <c r="IT497" s="105"/>
      <c r="IU497" s="105"/>
      <c r="IV497" s="105"/>
    </row>
    <row r="498" spans="1:256" s="410" customFormat="1" x14ac:dyDescent="0.2">
      <c r="A498" s="37">
        <v>44697</v>
      </c>
      <c r="B498" s="38" t="s">
        <v>95</v>
      </c>
      <c r="C498" s="38">
        <v>2022</v>
      </c>
      <c r="D498" s="38" t="s">
        <v>1</v>
      </c>
      <c r="E498" s="177">
        <v>-0.05</v>
      </c>
      <c r="F498" s="177" t="s">
        <v>32</v>
      </c>
      <c r="G498" s="269">
        <v>4750</v>
      </c>
      <c r="H498" s="179">
        <v>307</v>
      </c>
      <c r="I498" s="177" t="s">
        <v>81</v>
      </c>
      <c r="J498" s="177" t="s">
        <v>38</v>
      </c>
      <c r="K498" s="177">
        <v>0.05</v>
      </c>
      <c r="L498" s="177" t="s">
        <v>408</v>
      </c>
      <c r="M498" s="177" t="s">
        <v>103</v>
      </c>
      <c r="N498" s="70" t="s">
        <v>1101</v>
      </c>
      <c r="O498" s="38"/>
      <c r="P498" s="38" t="s">
        <v>227</v>
      </c>
      <c r="Q498" s="760" t="s">
        <v>1105</v>
      </c>
      <c r="R498" s="876">
        <v>-87.451724999999996</v>
      </c>
      <c r="S498" s="38" t="s">
        <v>62</v>
      </c>
      <c r="T498" s="38"/>
      <c r="U498" s="38" t="s">
        <v>51</v>
      </c>
      <c r="V498" s="37"/>
      <c r="W498" s="39">
        <f>IF(AC498="Intr",0,G498*Definitions!$B$53)</f>
        <v>712.5</v>
      </c>
      <c r="X498" s="39">
        <f>IF(AC498="Intr",0,G498*Definitions!$B$54)</f>
        <v>3325</v>
      </c>
      <c r="Y498" s="39">
        <f>IF(AC498="Intr",G498,G498*Definitions!$B$55)</f>
        <v>712.5</v>
      </c>
      <c r="Z498" s="39" t="s">
        <v>967</v>
      </c>
      <c r="AA498" s="39" t="s">
        <v>963</v>
      </c>
      <c r="AB498" s="39" t="s">
        <v>1245</v>
      </c>
      <c r="AC498" s="38"/>
      <c r="AD498" s="38"/>
      <c r="AE498" s="38"/>
      <c r="AF498" s="38"/>
      <c r="AG498" s="40"/>
      <c r="AH498" s="38"/>
      <c r="AI498" s="105"/>
      <c r="AJ498" s="105"/>
      <c r="AK498" s="105"/>
      <c r="AL498" s="105"/>
      <c r="AM498" s="105"/>
      <c r="AN498" s="105"/>
      <c r="AO498" s="105"/>
      <c r="AP498" s="105"/>
      <c r="AQ498" s="105"/>
      <c r="AR498" s="105"/>
      <c r="AS498" s="105"/>
      <c r="AT498" s="105"/>
      <c r="AU498" s="105"/>
      <c r="AV498" s="105"/>
      <c r="AW498" s="105"/>
      <c r="AX498" s="105"/>
      <c r="AY498" s="105"/>
      <c r="AZ498" s="105"/>
      <c r="BA498" s="105"/>
      <c r="BB498" s="105"/>
      <c r="BC498" s="105"/>
      <c r="BD498" s="105"/>
      <c r="BE498" s="105"/>
      <c r="BF498" s="105"/>
      <c r="BG498" s="105"/>
      <c r="BH498" s="105"/>
      <c r="BI498" s="105"/>
      <c r="BJ498" s="105"/>
      <c r="BK498" s="105"/>
      <c r="BL498" s="105"/>
      <c r="BM498" s="105"/>
      <c r="BN498" s="105"/>
      <c r="BO498" s="105"/>
      <c r="BP498" s="105"/>
      <c r="BQ498" s="105"/>
      <c r="BR498" s="105"/>
      <c r="BS498" s="105"/>
      <c r="BT498" s="105"/>
      <c r="BU498" s="105"/>
      <c r="BV498" s="105"/>
      <c r="BW498" s="105"/>
      <c r="BX498" s="105"/>
      <c r="BY498" s="105"/>
      <c r="BZ498" s="105"/>
      <c r="CA498" s="105"/>
      <c r="CB498" s="105"/>
      <c r="CC498" s="105"/>
      <c r="CD498" s="105"/>
      <c r="CE498" s="105"/>
      <c r="CF498" s="105"/>
      <c r="CG498" s="105"/>
      <c r="CH498" s="105"/>
      <c r="CI498" s="105"/>
      <c r="CJ498" s="105"/>
      <c r="CK498" s="105"/>
      <c r="CL498" s="105"/>
      <c r="CM498" s="105"/>
      <c r="CN498" s="105"/>
      <c r="CO498" s="105"/>
      <c r="CP498" s="105"/>
      <c r="CQ498" s="105"/>
      <c r="CR498" s="105"/>
      <c r="CS498" s="105"/>
      <c r="CT498" s="105"/>
      <c r="CU498" s="105"/>
      <c r="CV498" s="105"/>
      <c r="CW498" s="105"/>
      <c r="CX498" s="105"/>
      <c r="CY498" s="105"/>
      <c r="CZ498" s="105"/>
      <c r="DA498" s="105"/>
      <c r="DB498" s="105"/>
      <c r="DC498" s="105"/>
      <c r="DD498" s="105"/>
      <c r="DE498" s="105"/>
      <c r="DF498" s="105"/>
      <c r="DG498" s="105"/>
      <c r="DH498" s="105"/>
      <c r="DI498" s="105"/>
      <c r="DJ498" s="105"/>
      <c r="DK498" s="105"/>
      <c r="DL498" s="105"/>
      <c r="DM498" s="105"/>
      <c r="DN498" s="105"/>
      <c r="DO498" s="105"/>
      <c r="DP498" s="105"/>
      <c r="DQ498" s="105"/>
      <c r="DR498" s="105"/>
      <c r="DS498" s="105"/>
      <c r="DT498" s="105"/>
      <c r="DU498" s="105"/>
      <c r="DV498" s="105"/>
      <c r="DW498" s="105"/>
      <c r="DX498" s="105"/>
      <c r="DY498" s="105"/>
      <c r="DZ498" s="105"/>
      <c r="EA498" s="105"/>
      <c r="EB498" s="105"/>
      <c r="EC498" s="105"/>
      <c r="ED498" s="105"/>
      <c r="EE498" s="105"/>
      <c r="EF498" s="105"/>
      <c r="EG498" s="105"/>
      <c r="EH498" s="105"/>
      <c r="EI498" s="105"/>
      <c r="EJ498" s="105"/>
      <c r="EK498" s="105"/>
      <c r="EL498" s="105"/>
      <c r="EM498" s="105"/>
      <c r="EN498" s="105"/>
      <c r="EO498" s="105"/>
      <c r="EP498" s="105"/>
      <c r="EQ498" s="105"/>
      <c r="ER498" s="105"/>
      <c r="ES498" s="105"/>
      <c r="ET498" s="105"/>
      <c r="EU498" s="105"/>
      <c r="EV498" s="105"/>
      <c r="EW498" s="105"/>
      <c r="EX498" s="105"/>
      <c r="EY498" s="105"/>
      <c r="EZ498" s="105"/>
      <c r="FA498" s="105"/>
      <c r="FB498" s="105"/>
      <c r="FC498" s="105"/>
      <c r="FD498" s="105"/>
      <c r="FE498" s="105"/>
      <c r="FF498" s="105"/>
      <c r="FG498" s="105"/>
      <c r="FH498" s="105"/>
      <c r="FI498" s="105"/>
      <c r="FJ498" s="105"/>
      <c r="FK498" s="105"/>
      <c r="FL498" s="105"/>
      <c r="FM498" s="105"/>
      <c r="FN498" s="105"/>
      <c r="FO498" s="105"/>
      <c r="FP498" s="105"/>
      <c r="FQ498" s="105"/>
      <c r="FR498" s="105"/>
      <c r="FS498" s="105"/>
      <c r="FT498" s="105"/>
      <c r="FU498" s="105"/>
      <c r="FV498" s="105"/>
      <c r="FW498" s="105"/>
      <c r="FX498" s="105"/>
      <c r="FY498" s="105"/>
      <c r="FZ498" s="105"/>
      <c r="GA498" s="105"/>
      <c r="GB498" s="105"/>
      <c r="GC498" s="105"/>
      <c r="GD498" s="105"/>
      <c r="GE498" s="105"/>
      <c r="GF498" s="105"/>
      <c r="GG498" s="105"/>
      <c r="GH498" s="105"/>
      <c r="GI498" s="105"/>
      <c r="GJ498" s="105"/>
      <c r="GK498" s="105"/>
      <c r="GL498" s="105"/>
      <c r="GM498" s="105"/>
      <c r="GN498" s="105"/>
      <c r="GO498" s="105"/>
      <c r="GP498" s="105"/>
      <c r="GQ498" s="105"/>
      <c r="GR498" s="105"/>
      <c r="GS498" s="105"/>
      <c r="GT498" s="105"/>
      <c r="GU498" s="105"/>
      <c r="GV498" s="105"/>
      <c r="GW498" s="105"/>
      <c r="GX498" s="105"/>
      <c r="GY498" s="105"/>
      <c r="GZ498" s="105"/>
      <c r="HA498" s="105"/>
      <c r="HB498" s="105"/>
      <c r="HC498" s="105"/>
      <c r="HD498" s="105"/>
      <c r="HE498" s="105"/>
      <c r="HF498" s="105"/>
      <c r="HG498" s="105"/>
      <c r="HH498" s="105"/>
      <c r="HI498" s="105"/>
      <c r="HJ498" s="105"/>
      <c r="HK498" s="105"/>
      <c r="HL498" s="105"/>
      <c r="HM498" s="105"/>
      <c r="HN498" s="105"/>
      <c r="HO498" s="105"/>
      <c r="HP498" s="105"/>
      <c r="HQ498" s="105"/>
      <c r="HR498" s="105"/>
      <c r="HS498" s="105"/>
      <c r="HT498" s="105"/>
      <c r="HU498" s="105"/>
      <c r="HV498" s="105"/>
      <c r="HW498" s="105"/>
      <c r="HX498" s="105"/>
      <c r="HY498" s="105"/>
      <c r="HZ498" s="105"/>
      <c r="IA498" s="105"/>
      <c r="IB498" s="105"/>
      <c r="IC498" s="105"/>
      <c r="ID498" s="105"/>
      <c r="IE498" s="105"/>
      <c r="IF498" s="105"/>
      <c r="IG498" s="105"/>
      <c r="IH498" s="105"/>
      <c r="II498" s="105"/>
      <c r="IJ498" s="105"/>
      <c r="IK498" s="105"/>
      <c r="IL498" s="105"/>
      <c r="IM498" s="105"/>
      <c r="IN498" s="105"/>
      <c r="IO498" s="105"/>
      <c r="IP498" s="105"/>
      <c r="IQ498" s="105"/>
      <c r="IR498" s="105"/>
      <c r="IS498" s="105"/>
      <c r="IT498" s="105"/>
      <c r="IU498" s="105"/>
      <c r="IV498" s="105"/>
    </row>
    <row r="499" spans="1:256" x14ac:dyDescent="0.2">
      <c r="A499" s="97">
        <v>44697</v>
      </c>
      <c r="B499" s="98" t="s">
        <v>95</v>
      </c>
      <c r="C499" s="98">
        <v>2022</v>
      </c>
      <c r="D499" s="98" t="s">
        <v>2</v>
      </c>
      <c r="E499" s="99">
        <v>-123</v>
      </c>
      <c r="F499" s="99" t="s">
        <v>33</v>
      </c>
      <c r="G499" s="100">
        <v>61500</v>
      </c>
      <c r="H499" s="101">
        <v>302</v>
      </c>
      <c r="I499" s="99" t="s">
        <v>80</v>
      </c>
      <c r="J499" s="99" t="s">
        <v>731</v>
      </c>
      <c r="K499" s="99">
        <v>123</v>
      </c>
      <c r="L499" s="99" t="s">
        <v>726</v>
      </c>
      <c r="M499" s="99" t="s">
        <v>1106</v>
      </c>
      <c r="N499" s="102" t="s">
        <v>1107</v>
      </c>
      <c r="O499" s="98"/>
      <c r="P499" s="98" t="s">
        <v>1108</v>
      </c>
      <c r="Q499" s="730">
        <v>40.865900000000003</v>
      </c>
      <c r="R499" s="645">
        <v>-87.281000000000006</v>
      </c>
      <c r="S499" s="98" t="s">
        <v>63</v>
      </c>
      <c r="T499" s="98" t="s">
        <v>1532</v>
      </c>
      <c r="U499" s="98" t="s">
        <v>50</v>
      </c>
      <c r="V499" s="97">
        <v>44957</v>
      </c>
      <c r="W499" s="103">
        <f>IF(AC499="Intr",0,G499*[1]Data!$B$53)</f>
        <v>9225</v>
      </c>
      <c r="X499" s="103">
        <f>IF(AC499="Intr",0,G499*[1]Data!$B$54)</f>
        <v>43050</v>
      </c>
      <c r="Y499" s="103">
        <f>IF(AC499="Intr",G499,G499*[1]Data!$B$55)</f>
        <v>9225</v>
      </c>
      <c r="Z499" s="103" t="s">
        <v>964</v>
      </c>
      <c r="AA499" s="103" t="s">
        <v>965</v>
      </c>
      <c r="AB499" s="103"/>
      <c r="AC499" s="98"/>
      <c r="AD499" s="98" t="s">
        <v>1533</v>
      </c>
      <c r="AE499" s="98"/>
      <c r="AF499" s="98"/>
      <c r="AG499" s="104"/>
      <c r="AH499" s="106" t="s">
        <v>1534</v>
      </c>
    </row>
    <row r="500" spans="1:256" s="390" customFormat="1" x14ac:dyDescent="0.2">
      <c r="A500" s="97">
        <v>44697</v>
      </c>
      <c r="B500" s="98" t="s">
        <v>95</v>
      </c>
      <c r="C500" s="98">
        <v>2022</v>
      </c>
      <c r="D500" s="98" t="s">
        <v>2</v>
      </c>
      <c r="E500" s="99">
        <v>-1.7999999999999999E-2</v>
      </c>
      <c r="F500" s="99" t="s">
        <v>32</v>
      </c>
      <c r="G500" s="100">
        <v>1710</v>
      </c>
      <c r="H500" s="101">
        <v>302</v>
      </c>
      <c r="I500" s="99" t="s">
        <v>80</v>
      </c>
      <c r="J500" s="99" t="s">
        <v>36</v>
      </c>
      <c r="K500" s="99">
        <v>8.9999999999999993E-3</v>
      </c>
      <c r="L500" s="99" t="s">
        <v>726</v>
      </c>
      <c r="M500" s="99" t="s">
        <v>1106</v>
      </c>
      <c r="N500" s="102" t="s">
        <v>1107</v>
      </c>
      <c r="O500" s="98"/>
      <c r="P500" s="98" t="s">
        <v>1108</v>
      </c>
      <c r="Q500" s="730">
        <v>40.865900000000003</v>
      </c>
      <c r="R500" s="645">
        <v>-87.281000000000006</v>
      </c>
      <c r="S500" s="98" t="s">
        <v>63</v>
      </c>
      <c r="T500" s="98" t="s">
        <v>1532</v>
      </c>
      <c r="U500" s="98" t="s">
        <v>50</v>
      </c>
      <c r="V500" s="97">
        <v>44957</v>
      </c>
      <c r="W500" s="103">
        <f>IF(AC500="Intr",0,G500*[1]Data!$B$53)</f>
        <v>256.5</v>
      </c>
      <c r="X500" s="103">
        <f>IF(AC500="Intr",0,G500*[1]Data!$B$54)</f>
        <v>1197</v>
      </c>
      <c r="Y500" s="103">
        <f>IF(AC500="Intr",G500,G500*[1]Data!$B$55)</f>
        <v>256.5</v>
      </c>
      <c r="Z500" s="103" t="s">
        <v>964</v>
      </c>
      <c r="AA500" s="103" t="s">
        <v>965</v>
      </c>
      <c r="AB500" s="103"/>
      <c r="AC500" s="98"/>
      <c r="AD500" s="98" t="s">
        <v>1533</v>
      </c>
      <c r="AE500" s="98"/>
      <c r="AF500" s="98"/>
      <c r="AG500" s="104"/>
      <c r="AH500" s="106" t="s">
        <v>1534</v>
      </c>
      <c r="AI500" s="105"/>
      <c r="AJ500" s="105"/>
      <c r="AK500" s="105"/>
      <c r="AL500" s="105"/>
      <c r="AM500" s="105"/>
      <c r="AN500" s="105"/>
      <c r="AO500" s="105"/>
      <c r="AP500" s="105"/>
      <c r="AQ500" s="105"/>
      <c r="AR500" s="105"/>
      <c r="AS500" s="105"/>
      <c r="AT500" s="105"/>
      <c r="AU500" s="105"/>
      <c r="AV500" s="105"/>
      <c r="AW500" s="105"/>
      <c r="AX500" s="105"/>
      <c r="AY500" s="105"/>
      <c r="AZ500" s="105"/>
      <c r="BA500" s="105"/>
      <c r="BB500" s="105"/>
      <c r="BC500" s="105"/>
      <c r="BD500" s="105"/>
      <c r="BE500" s="105"/>
      <c r="BF500" s="105"/>
      <c r="BG500" s="105"/>
      <c r="BH500" s="105"/>
      <c r="BI500" s="105"/>
      <c r="BJ500" s="105"/>
      <c r="BK500" s="105"/>
      <c r="BL500" s="105"/>
      <c r="BM500" s="105"/>
      <c r="BN500" s="105"/>
      <c r="BO500" s="105"/>
      <c r="BP500" s="105"/>
      <c r="BQ500" s="105"/>
      <c r="BR500" s="105"/>
      <c r="BS500" s="105"/>
      <c r="BT500" s="105"/>
      <c r="BU500" s="105"/>
      <c r="BV500" s="105"/>
      <c r="BW500" s="105"/>
      <c r="BX500" s="105"/>
      <c r="BY500" s="105"/>
      <c r="BZ500" s="105"/>
      <c r="CA500" s="105"/>
      <c r="CB500" s="105"/>
      <c r="CC500" s="105"/>
      <c r="CD500" s="105"/>
      <c r="CE500" s="105"/>
      <c r="CF500" s="105"/>
      <c r="CG500" s="105"/>
      <c r="CH500" s="105"/>
      <c r="CI500" s="105"/>
      <c r="CJ500" s="105"/>
      <c r="CK500" s="105"/>
      <c r="CL500" s="105"/>
      <c r="CM500" s="105"/>
      <c r="CN500" s="105"/>
      <c r="CO500" s="105"/>
      <c r="CP500" s="105"/>
      <c r="CQ500" s="105"/>
      <c r="CR500" s="105"/>
      <c r="CS500" s="105"/>
      <c r="CT500" s="105"/>
      <c r="CU500" s="105"/>
      <c r="CV500" s="105"/>
      <c r="CW500" s="105"/>
      <c r="CX500" s="105"/>
      <c r="CY500" s="105"/>
      <c r="CZ500" s="105"/>
      <c r="DA500" s="105"/>
      <c r="DB500" s="105"/>
      <c r="DC500" s="105"/>
      <c r="DD500" s="105"/>
      <c r="DE500" s="105"/>
      <c r="DF500" s="105"/>
      <c r="DG500" s="105"/>
      <c r="DH500" s="105"/>
      <c r="DI500" s="105"/>
      <c r="DJ500" s="105"/>
      <c r="DK500" s="105"/>
      <c r="DL500" s="105"/>
      <c r="DM500" s="105"/>
      <c r="DN500" s="105"/>
      <c r="DO500" s="105"/>
      <c r="DP500" s="105"/>
      <c r="DQ500" s="105"/>
      <c r="DR500" s="105"/>
      <c r="DS500" s="105"/>
      <c r="DT500" s="105"/>
      <c r="DU500" s="105"/>
      <c r="DV500" s="105"/>
      <c r="DW500" s="105"/>
      <c r="DX500" s="105"/>
      <c r="DY500" s="105"/>
      <c r="DZ500" s="105"/>
      <c r="EA500" s="105"/>
      <c r="EB500" s="105"/>
      <c r="EC500" s="105"/>
      <c r="ED500" s="105"/>
      <c r="EE500" s="105"/>
      <c r="EF500" s="105"/>
      <c r="EG500" s="105"/>
      <c r="EH500" s="105"/>
      <c r="EI500" s="105"/>
      <c r="EJ500" s="105"/>
      <c r="EK500" s="105"/>
      <c r="EL500" s="105"/>
      <c r="EM500" s="105"/>
      <c r="EN500" s="105"/>
      <c r="EO500" s="105"/>
      <c r="EP500" s="105"/>
      <c r="EQ500" s="105"/>
      <c r="ER500" s="105"/>
      <c r="ES500" s="105"/>
      <c r="ET500" s="105"/>
      <c r="EU500" s="105"/>
      <c r="EV500" s="105"/>
      <c r="EW500" s="105"/>
      <c r="EX500" s="105"/>
      <c r="EY500" s="105"/>
      <c r="EZ500" s="105"/>
      <c r="FA500" s="105"/>
      <c r="FB500" s="105"/>
      <c r="FC500" s="105"/>
      <c r="FD500" s="105"/>
      <c r="FE500" s="105"/>
      <c r="FF500" s="105"/>
      <c r="FG500" s="105"/>
      <c r="FH500" s="105"/>
      <c r="FI500" s="105"/>
      <c r="FJ500" s="105"/>
      <c r="FK500" s="105"/>
      <c r="FL500" s="105"/>
      <c r="FM500" s="105"/>
      <c r="FN500" s="105"/>
      <c r="FO500" s="105"/>
      <c r="FP500" s="105"/>
      <c r="FQ500" s="105"/>
      <c r="FR500" s="105"/>
      <c r="FS500" s="105"/>
      <c r="FT500" s="105"/>
      <c r="FU500" s="105"/>
      <c r="FV500" s="105"/>
      <c r="FW500" s="105"/>
      <c r="FX500" s="105"/>
      <c r="FY500" s="105"/>
      <c r="FZ500" s="105"/>
      <c r="GA500" s="105"/>
      <c r="GB500" s="105"/>
      <c r="GC500" s="105"/>
      <c r="GD500" s="105"/>
      <c r="GE500" s="105"/>
      <c r="GF500" s="105"/>
      <c r="GG500" s="105"/>
      <c r="GH500" s="105"/>
      <c r="GI500" s="105"/>
      <c r="GJ500" s="105"/>
      <c r="GK500" s="105"/>
      <c r="GL500" s="105"/>
      <c r="GM500" s="105"/>
      <c r="GN500" s="105"/>
      <c r="GO500" s="105"/>
      <c r="GP500" s="105"/>
      <c r="GQ500" s="105"/>
      <c r="GR500" s="105"/>
      <c r="GS500" s="105"/>
      <c r="GT500" s="105"/>
      <c r="GU500" s="105"/>
      <c r="GV500" s="105"/>
      <c r="GW500" s="105"/>
      <c r="GX500" s="105"/>
      <c r="GY500" s="105"/>
      <c r="GZ500" s="105"/>
      <c r="HA500" s="105"/>
      <c r="HB500" s="105"/>
      <c r="HC500" s="105"/>
      <c r="HD500" s="105"/>
      <c r="HE500" s="105"/>
      <c r="HF500" s="105"/>
      <c r="HG500" s="105"/>
      <c r="HH500" s="105"/>
      <c r="HI500" s="105"/>
      <c r="HJ500" s="105"/>
      <c r="HK500" s="105"/>
      <c r="HL500" s="105"/>
      <c r="HM500" s="105"/>
      <c r="HN500" s="105"/>
      <c r="HO500" s="105"/>
      <c r="HP500" s="105"/>
      <c r="HQ500" s="105"/>
      <c r="HR500" s="105"/>
      <c r="HS500" s="105"/>
      <c r="HT500" s="105"/>
      <c r="HU500" s="105"/>
      <c r="HV500" s="105"/>
      <c r="HW500" s="105"/>
      <c r="HX500" s="105"/>
      <c r="HY500" s="105"/>
      <c r="HZ500" s="105"/>
      <c r="IA500" s="105"/>
      <c r="IB500" s="105"/>
      <c r="IC500" s="105"/>
      <c r="ID500" s="105"/>
      <c r="IE500" s="105"/>
      <c r="IF500" s="105"/>
      <c r="IG500" s="105"/>
      <c r="IH500" s="105"/>
      <c r="II500" s="105"/>
      <c r="IJ500" s="105"/>
      <c r="IK500" s="105"/>
      <c r="IL500" s="105"/>
      <c r="IM500" s="105"/>
      <c r="IN500" s="105"/>
      <c r="IO500" s="105"/>
      <c r="IP500" s="105"/>
      <c r="IQ500" s="105"/>
      <c r="IR500" s="105"/>
      <c r="IS500" s="105"/>
      <c r="IT500" s="105"/>
      <c r="IU500" s="105"/>
      <c r="IV500" s="105"/>
    </row>
    <row r="501" spans="1:256" s="414" customFormat="1" ht="13.5" customHeight="1" x14ac:dyDescent="0.2">
      <c r="A501" s="145">
        <v>44697</v>
      </c>
      <c r="B501" s="112" t="s">
        <v>95</v>
      </c>
      <c r="C501" s="112">
        <v>2022</v>
      </c>
      <c r="D501" s="112" t="s">
        <v>10</v>
      </c>
      <c r="E501" s="146">
        <v>-17.68</v>
      </c>
      <c r="F501" s="146" t="s">
        <v>32</v>
      </c>
      <c r="G501" s="147">
        <v>1414400</v>
      </c>
      <c r="H501" s="148">
        <v>301</v>
      </c>
      <c r="I501" s="146" t="s">
        <v>80</v>
      </c>
      <c r="J501" s="146" t="s">
        <v>38</v>
      </c>
      <c r="K501" s="146">
        <v>17.68</v>
      </c>
      <c r="L501" s="146" t="s">
        <v>726</v>
      </c>
      <c r="M501" s="146" t="s">
        <v>1102</v>
      </c>
      <c r="N501" s="149" t="s">
        <v>1103</v>
      </c>
      <c r="O501" s="112" t="s">
        <v>1104</v>
      </c>
      <c r="P501" s="112" t="s">
        <v>84</v>
      </c>
      <c r="Q501" s="729">
        <v>38.3459</v>
      </c>
      <c r="R501" s="591">
        <v>-85.723299999999995</v>
      </c>
      <c r="S501" s="112" t="s">
        <v>63</v>
      </c>
      <c r="T501" s="112"/>
      <c r="U501" s="114" t="s">
        <v>51</v>
      </c>
      <c r="V501" s="145"/>
      <c r="W501" s="150">
        <f>IF(AC501="Intr",0,G501*Definitions!$B$53)</f>
        <v>212160</v>
      </c>
      <c r="X501" s="150">
        <f>IF(AC501="Intr",0,G501*Definitions!$B$54)</f>
        <v>990079.99999999988</v>
      </c>
      <c r="Y501" s="150">
        <f>IF(AC501="Intr",G501,G501*Definitions!$B$55)</f>
        <v>212160</v>
      </c>
      <c r="Z501" s="150" t="s">
        <v>966</v>
      </c>
      <c r="AA501" s="150" t="s">
        <v>965</v>
      </c>
      <c r="AB501" s="150"/>
      <c r="AC501" s="112"/>
      <c r="AD501" s="112"/>
      <c r="AE501" s="112"/>
      <c r="AF501" s="112"/>
      <c r="AG501" s="151"/>
      <c r="AH501" s="342" t="s">
        <v>1121</v>
      </c>
      <c r="AI501" s="105"/>
      <c r="AJ501" s="105"/>
      <c r="AK501" s="105"/>
      <c r="AL501" s="105"/>
      <c r="AM501" s="105"/>
      <c r="AN501" s="105"/>
      <c r="AO501" s="105"/>
      <c r="AP501" s="105"/>
      <c r="AQ501" s="105"/>
      <c r="AR501" s="105"/>
      <c r="AS501" s="105"/>
      <c r="AT501" s="105"/>
      <c r="AU501" s="105"/>
      <c r="AV501" s="105"/>
      <c r="AW501" s="105"/>
      <c r="AX501" s="105"/>
      <c r="AY501" s="105"/>
      <c r="AZ501" s="105"/>
      <c r="BA501" s="105"/>
      <c r="BB501" s="105"/>
      <c r="BC501" s="105"/>
      <c r="BD501" s="105"/>
      <c r="BE501" s="105"/>
      <c r="BF501" s="105"/>
      <c r="BG501" s="105"/>
      <c r="BH501" s="105"/>
      <c r="BI501" s="105"/>
      <c r="BJ501" s="105"/>
      <c r="BK501" s="105"/>
      <c r="BL501" s="105"/>
      <c r="BM501" s="105"/>
      <c r="BN501" s="105"/>
      <c r="BO501" s="105"/>
      <c r="BP501" s="105"/>
      <c r="BQ501" s="105"/>
      <c r="BR501" s="105"/>
      <c r="BS501" s="105"/>
      <c r="BT501" s="105"/>
      <c r="BU501" s="105"/>
      <c r="BV501" s="105"/>
      <c r="BW501" s="105"/>
      <c r="BX501" s="105"/>
      <c r="BY501" s="105"/>
      <c r="BZ501" s="105"/>
      <c r="CA501" s="105"/>
      <c r="CB501" s="105"/>
      <c r="CC501" s="105"/>
      <c r="CD501" s="105"/>
      <c r="CE501" s="105"/>
      <c r="CF501" s="105"/>
      <c r="CG501" s="105"/>
      <c r="CH501" s="105"/>
      <c r="CI501" s="105"/>
      <c r="CJ501" s="105"/>
      <c r="CK501" s="105"/>
      <c r="CL501" s="105"/>
      <c r="CM501" s="105"/>
      <c r="CN501" s="105"/>
      <c r="CO501" s="105"/>
      <c r="CP501" s="105"/>
      <c r="CQ501" s="105"/>
      <c r="CR501" s="105"/>
      <c r="CS501" s="105"/>
      <c r="CT501" s="105"/>
      <c r="CU501" s="105"/>
      <c r="CV501" s="105"/>
      <c r="CW501" s="105"/>
      <c r="CX501" s="105"/>
      <c r="CY501" s="105"/>
      <c r="CZ501" s="105"/>
      <c r="DA501" s="105"/>
      <c r="DB501" s="105"/>
      <c r="DC501" s="105"/>
      <c r="DD501" s="105"/>
      <c r="DE501" s="105"/>
      <c r="DF501" s="105"/>
      <c r="DG501" s="105"/>
      <c r="DH501" s="105"/>
      <c r="DI501" s="105"/>
      <c r="DJ501" s="105"/>
      <c r="DK501" s="105"/>
      <c r="DL501" s="105"/>
      <c r="DM501" s="105"/>
      <c r="DN501" s="105"/>
      <c r="DO501" s="105"/>
      <c r="DP501" s="105"/>
      <c r="DQ501" s="105"/>
      <c r="DR501" s="105"/>
      <c r="DS501" s="105"/>
      <c r="DT501" s="105"/>
      <c r="DU501" s="105"/>
      <c r="DV501" s="105"/>
      <c r="DW501" s="105"/>
      <c r="DX501" s="105"/>
      <c r="DY501" s="105"/>
      <c r="DZ501" s="105"/>
      <c r="EA501" s="105"/>
      <c r="EB501" s="105"/>
      <c r="EC501" s="105"/>
      <c r="ED501" s="105"/>
      <c r="EE501" s="105"/>
      <c r="EF501" s="105"/>
      <c r="EG501" s="105"/>
      <c r="EH501" s="105"/>
      <c r="EI501" s="105"/>
      <c r="EJ501" s="105"/>
      <c r="EK501" s="105"/>
      <c r="EL501" s="105"/>
      <c r="EM501" s="105"/>
      <c r="EN501" s="105"/>
      <c r="EO501" s="105"/>
      <c r="EP501" s="105"/>
      <c r="EQ501" s="105"/>
      <c r="ER501" s="105"/>
      <c r="ES501" s="105"/>
      <c r="ET501" s="105"/>
      <c r="EU501" s="105"/>
      <c r="EV501" s="105"/>
      <c r="EW501" s="105"/>
      <c r="EX501" s="105"/>
      <c r="EY501" s="105"/>
      <c r="EZ501" s="105"/>
      <c r="FA501" s="105"/>
      <c r="FB501" s="105"/>
      <c r="FC501" s="105"/>
      <c r="FD501" s="105"/>
      <c r="FE501" s="105"/>
      <c r="FF501" s="105"/>
      <c r="FG501" s="105"/>
      <c r="FH501" s="105"/>
      <c r="FI501" s="105"/>
      <c r="FJ501" s="105"/>
      <c r="FK501" s="105"/>
      <c r="FL501" s="105"/>
      <c r="FM501" s="105"/>
      <c r="FN501" s="105"/>
      <c r="FO501" s="105"/>
      <c r="FP501" s="105"/>
      <c r="FQ501" s="105"/>
      <c r="FR501" s="105"/>
      <c r="FS501" s="105"/>
      <c r="FT501" s="105"/>
      <c r="FU501" s="105"/>
      <c r="FV501" s="105"/>
      <c r="FW501" s="105"/>
      <c r="FX501" s="105"/>
      <c r="FY501" s="105"/>
      <c r="FZ501" s="105"/>
      <c r="GA501" s="105"/>
      <c r="GB501" s="105"/>
      <c r="GC501" s="105"/>
      <c r="GD501" s="105"/>
      <c r="GE501" s="105"/>
      <c r="GF501" s="105"/>
      <c r="GG501" s="105"/>
      <c r="GH501" s="105"/>
      <c r="GI501" s="105"/>
      <c r="GJ501" s="105"/>
      <c r="GK501" s="105"/>
      <c r="GL501" s="105"/>
      <c r="GM501" s="105"/>
      <c r="GN501" s="105"/>
      <c r="GO501" s="105"/>
      <c r="GP501" s="105"/>
      <c r="GQ501" s="105"/>
      <c r="GR501" s="105"/>
      <c r="GS501" s="105"/>
      <c r="GT501" s="105"/>
      <c r="GU501" s="105"/>
      <c r="GV501" s="105"/>
      <c r="GW501" s="105"/>
      <c r="GX501" s="105"/>
      <c r="GY501" s="105"/>
      <c r="GZ501" s="105"/>
      <c r="HA501" s="105"/>
      <c r="HB501" s="105"/>
      <c r="HC501" s="105"/>
      <c r="HD501" s="105"/>
      <c r="HE501" s="105"/>
      <c r="HF501" s="105"/>
      <c r="HG501" s="105"/>
      <c r="HH501" s="105"/>
      <c r="HI501" s="105"/>
      <c r="HJ501" s="105"/>
      <c r="HK501" s="105"/>
      <c r="HL501" s="105"/>
      <c r="HM501" s="105"/>
      <c r="HN501" s="105"/>
      <c r="HO501" s="105"/>
      <c r="HP501" s="105"/>
      <c r="HQ501" s="105"/>
      <c r="HR501" s="105"/>
      <c r="HS501" s="105"/>
      <c r="HT501" s="105"/>
      <c r="HU501" s="105"/>
      <c r="HV501" s="105"/>
      <c r="HW501" s="105"/>
      <c r="HX501" s="105"/>
      <c r="HY501" s="105"/>
      <c r="HZ501" s="105"/>
      <c r="IA501" s="105"/>
      <c r="IB501" s="105"/>
      <c r="IC501" s="105"/>
      <c r="ID501" s="105"/>
      <c r="IE501" s="105"/>
      <c r="IF501" s="105"/>
      <c r="IG501" s="105"/>
      <c r="IH501" s="105"/>
      <c r="II501" s="105"/>
      <c r="IJ501" s="105"/>
      <c r="IK501" s="105"/>
      <c r="IL501" s="105"/>
      <c r="IM501" s="105"/>
      <c r="IN501" s="105"/>
      <c r="IO501" s="105"/>
      <c r="IP501" s="105"/>
      <c r="IQ501" s="105"/>
      <c r="IR501" s="105"/>
      <c r="IS501" s="105"/>
      <c r="IT501" s="105"/>
      <c r="IU501" s="105"/>
      <c r="IV501" s="105"/>
    </row>
    <row r="502" spans="1:256" s="414" customFormat="1" x14ac:dyDescent="0.2">
      <c r="A502" s="37">
        <v>44699</v>
      </c>
      <c r="B502" s="38" t="s">
        <v>95</v>
      </c>
      <c r="C502" s="38">
        <v>2022</v>
      </c>
      <c r="D502" s="38" t="s">
        <v>5</v>
      </c>
      <c r="E502" s="177">
        <v>-0.4</v>
      </c>
      <c r="F502" s="177" t="s">
        <v>32</v>
      </c>
      <c r="G502" s="305">
        <v>32000</v>
      </c>
      <c r="H502" s="177">
        <v>304</v>
      </c>
      <c r="I502" s="177" t="s">
        <v>80</v>
      </c>
      <c r="J502" s="177" t="s">
        <v>38</v>
      </c>
      <c r="K502" s="177">
        <v>0.1</v>
      </c>
      <c r="L502" s="177" t="s">
        <v>726</v>
      </c>
      <c r="M502" s="177" t="s">
        <v>1118</v>
      </c>
      <c r="N502" s="70" t="s">
        <v>1002</v>
      </c>
      <c r="O502" s="38"/>
      <c r="P502" s="38" t="s">
        <v>223</v>
      </c>
      <c r="Q502" s="760">
        <v>40.283152999999999</v>
      </c>
      <c r="R502" s="590">
        <v>-85.309426000000002</v>
      </c>
      <c r="S502" s="38" t="s">
        <v>63</v>
      </c>
      <c r="T502" s="38"/>
      <c r="U502" s="38" t="s">
        <v>51</v>
      </c>
      <c r="V502" s="37"/>
      <c r="W502" s="39">
        <f>IF(AC502="Intr",0,G502*Definitions!$B$53)</f>
        <v>4800</v>
      </c>
      <c r="X502" s="39">
        <f>IF(AC502="Intr",0,G502*Definitions!$B$54)</f>
        <v>22400</v>
      </c>
      <c r="Y502" s="39">
        <f>IF(AC502="Intr",G502,G502*Definitions!$B$55)</f>
        <v>4800</v>
      </c>
      <c r="Z502" s="39" t="s">
        <v>966</v>
      </c>
      <c r="AA502" s="39" t="s">
        <v>965</v>
      </c>
      <c r="AB502" s="39"/>
      <c r="AC502" s="38"/>
      <c r="AD502" s="38"/>
      <c r="AE502" s="38"/>
      <c r="AF502" s="38"/>
      <c r="AG502" s="40"/>
      <c r="AH502" s="38" t="s">
        <v>1119</v>
      </c>
      <c r="AI502" s="105"/>
      <c r="AJ502" s="105"/>
      <c r="AK502" s="105"/>
      <c r="AL502" s="105"/>
      <c r="AM502" s="105"/>
      <c r="AN502" s="105"/>
      <c r="AO502" s="105"/>
      <c r="AP502" s="105"/>
      <c r="AQ502" s="105"/>
      <c r="AR502" s="105"/>
      <c r="AS502" s="105"/>
      <c r="AT502" s="105"/>
      <c r="AU502" s="105"/>
      <c r="AV502" s="105"/>
      <c r="AW502" s="105"/>
      <c r="AX502" s="105"/>
      <c r="AY502" s="105"/>
      <c r="AZ502" s="105"/>
      <c r="BA502" s="105"/>
      <c r="BB502" s="105"/>
      <c r="BC502" s="105"/>
      <c r="BD502" s="105"/>
      <c r="BE502" s="105"/>
      <c r="BF502" s="105"/>
      <c r="BG502" s="105"/>
      <c r="BH502" s="105"/>
      <c r="BI502" s="105"/>
      <c r="BJ502" s="105"/>
      <c r="BK502" s="105"/>
      <c r="BL502" s="105"/>
      <c r="BM502" s="105"/>
      <c r="BN502" s="105"/>
      <c r="BO502" s="105"/>
      <c r="BP502" s="105"/>
      <c r="BQ502" s="105"/>
      <c r="BR502" s="105"/>
      <c r="BS502" s="105"/>
      <c r="BT502" s="105"/>
      <c r="BU502" s="105"/>
      <c r="BV502" s="105"/>
      <c r="BW502" s="105"/>
      <c r="BX502" s="105"/>
      <c r="BY502" s="105"/>
      <c r="BZ502" s="105"/>
      <c r="CA502" s="105"/>
      <c r="CB502" s="105"/>
      <c r="CC502" s="105"/>
      <c r="CD502" s="105"/>
      <c r="CE502" s="105"/>
      <c r="CF502" s="105"/>
      <c r="CG502" s="105"/>
      <c r="CH502" s="105"/>
      <c r="CI502" s="105"/>
      <c r="CJ502" s="105"/>
      <c r="CK502" s="105"/>
      <c r="CL502" s="105"/>
      <c r="CM502" s="105"/>
      <c r="CN502" s="105"/>
      <c r="CO502" s="105"/>
      <c r="CP502" s="105"/>
      <c r="CQ502" s="105"/>
      <c r="CR502" s="105"/>
      <c r="CS502" s="105"/>
      <c r="CT502" s="105"/>
      <c r="CU502" s="105"/>
      <c r="CV502" s="105"/>
      <c r="CW502" s="105"/>
      <c r="CX502" s="105"/>
      <c r="CY502" s="105"/>
      <c r="CZ502" s="105"/>
      <c r="DA502" s="105"/>
      <c r="DB502" s="105"/>
      <c r="DC502" s="105"/>
      <c r="DD502" s="105"/>
      <c r="DE502" s="105"/>
      <c r="DF502" s="105"/>
      <c r="DG502" s="105"/>
      <c r="DH502" s="105"/>
      <c r="DI502" s="105"/>
      <c r="DJ502" s="105"/>
      <c r="DK502" s="105"/>
      <c r="DL502" s="105"/>
      <c r="DM502" s="105"/>
      <c r="DN502" s="105"/>
      <c r="DO502" s="105"/>
      <c r="DP502" s="105"/>
      <c r="DQ502" s="105"/>
      <c r="DR502" s="105"/>
      <c r="DS502" s="105"/>
      <c r="DT502" s="105"/>
      <c r="DU502" s="105"/>
      <c r="DV502" s="105"/>
      <c r="DW502" s="105"/>
      <c r="DX502" s="105"/>
      <c r="DY502" s="105"/>
      <c r="DZ502" s="105"/>
      <c r="EA502" s="105"/>
      <c r="EB502" s="105"/>
      <c r="EC502" s="105"/>
      <c r="ED502" s="105"/>
      <c r="EE502" s="105"/>
      <c r="EF502" s="105"/>
      <c r="EG502" s="105"/>
      <c r="EH502" s="105"/>
      <c r="EI502" s="105"/>
      <c r="EJ502" s="105"/>
      <c r="EK502" s="105"/>
      <c r="EL502" s="105"/>
      <c r="EM502" s="105"/>
      <c r="EN502" s="105"/>
      <c r="EO502" s="105"/>
      <c r="EP502" s="105"/>
      <c r="EQ502" s="105"/>
      <c r="ER502" s="105"/>
      <c r="ES502" s="105"/>
      <c r="ET502" s="105"/>
      <c r="EU502" s="105"/>
      <c r="EV502" s="105"/>
      <c r="EW502" s="105"/>
      <c r="EX502" s="105"/>
      <c r="EY502" s="105"/>
      <c r="EZ502" s="105"/>
      <c r="FA502" s="105"/>
      <c r="FB502" s="105"/>
      <c r="FC502" s="105"/>
      <c r="FD502" s="105"/>
      <c r="FE502" s="105"/>
      <c r="FF502" s="105"/>
      <c r="FG502" s="105"/>
      <c r="FH502" s="105"/>
      <c r="FI502" s="105"/>
      <c r="FJ502" s="105"/>
      <c r="FK502" s="105"/>
      <c r="FL502" s="105"/>
      <c r="FM502" s="105"/>
      <c r="FN502" s="105"/>
      <c r="FO502" s="105"/>
      <c r="FP502" s="105"/>
      <c r="FQ502" s="105"/>
      <c r="FR502" s="105"/>
      <c r="FS502" s="105"/>
      <c r="FT502" s="105"/>
      <c r="FU502" s="105"/>
      <c r="FV502" s="105"/>
      <c r="FW502" s="105"/>
      <c r="FX502" s="105"/>
      <c r="FY502" s="105"/>
      <c r="FZ502" s="105"/>
      <c r="GA502" s="105"/>
      <c r="GB502" s="105"/>
      <c r="GC502" s="105"/>
      <c r="GD502" s="105"/>
      <c r="GE502" s="105"/>
      <c r="GF502" s="105"/>
      <c r="GG502" s="105"/>
      <c r="GH502" s="105"/>
      <c r="GI502" s="105"/>
      <c r="GJ502" s="105"/>
      <c r="GK502" s="105"/>
      <c r="GL502" s="105"/>
      <c r="GM502" s="105"/>
      <c r="GN502" s="105"/>
      <c r="GO502" s="105"/>
      <c r="GP502" s="105"/>
      <c r="GQ502" s="105"/>
      <c r="GR502" s="105"/>
      <c r="GS502" s="105"/>
      <c r="GT502" s="105"/>
      <c r="GU502" s="105"/>
      <c r="GV502" s="105"/>
      <c r="GW502" s="105"/>
      <c r="GX502" s="105"/>
      <c r="GY502" s="105"/>
      <c r="GZ502" s="105"/>
      <c r="HA502" s="105"/>
      <c r="HB502" s="105"/>
      <c r="HC502" s="105"/>
      <c r="HD502" s="105"/>
      <c r="HE502" s="105"/>
      <c r="HF502" s="105"/>
      <c r="HG502" s="105"/>
      <c r="HH502" s="105"/>
      <c r="HI502" s="105"/>
      <c r="HJ502" s="105"/>
      <c r="HK502" s="105"/>
      <c r="HL502" s="105"/>
      <c r="HM502" s="105"/>
      <c r="HN502" s="105"/>
      <c r="HO502" s="105"/>
      <c r="HP502" s="105"/>
      <c r="HQ502" s="105"/>
      <c r="HR502" s="105"/>
      <c r="HS502" s="105"/>
      <c r="HT502" s="105"/>
      <c r="HU502" s="105"/>
      <c r="HV502" s="105"/>
      <c r="HW502" s="105"/>
      <c r="HX502" s="105"/>
      <c r="HY502" s="105"/>
      <c r="HZ502" s="105"/>
      <c r="IA502" s="105"/>
      <c r="IB502" s="105"/>
      <c r="IC502" s="105"/>
      <c r="ID502" s="105"/>
      <c r="IE502" s="105"/>
      <c r="IF502" s="105"/>
      <c r="IG502" s="105"/>
      <c r="IH502" s="105"/>
      <c r="II502" s="105"/>
      <c r="IJ502" s="105"/>
      <c r="IK502" s="105"/>
      <c r="IL502" s="105"/>
      <c r="IM502" s="105"/>
      <c r="IN502" s="105"/>
      <c r="IO502" s="105"/>
      <c r="IP502" s="105"/>
      <c r="IQ502" s="105"/>
      <c r="IR502" s="105"/>
      <c r="IS502" s="105"/>
      <c r="IT502" s="105"/>
      <c r="IU502" s="105"/>
      <c r="IV502" s="105"/>
    </row>
    <row r="503" spans="1:256" x14ac:dyDescent="0.2">
      <c r="A503" s="29">
        <v>44699</v>
      </c>
      <c r="B503" s="30" t="s">
        <v>95</v>
      </c>
      <c r="C503" s="30">
        <v>2022</v>
      </c>
      <c r="D503" s="30" t="s">
        <v>8</v>
      </c>
      <c r="E503" s="217">
        <v>-110</v>
      </c>
      <c r="F503" s="217" t="s">
        <v>33</v>
      </c>
      <c r="G503" s="523">
        <v>44000</v>
      </c>
      <c r="H503" s="217">
        <v>305</v>
      </c>
      <c r="I503" s="217" t="s">
        <v>80</v>
      </c>
      <c r="J503" s="217" t="s">
        <v>725</v>
      </c>
      <c r="K503" s="217">
        <v>796</v>
      </c>
      <c r="L503" s="217" t="s">
        <v>726</v>
      </c>
      <c r="M503" s="217" t="s">
        <v>1109</v>
      </c>
      <c r="N503" s="67" t="s">
        <v>1110</v>
      </c>
      <c r="O503" s="30"/>
      <c r="P503" s="30" t="s">
        <v>121</v>
      </c>
      <c r="Q503" s="747" t="s">
        <v>1111</v>
      </c>
      <c r="R503" s="636" t="s">
        <v>1112</v>
      </c>
      <c r="S503" s="30" t="s">
        <v>63</v>
      </c>
      <c r="T503" s="30"/>
      <c r="U503" s="30" t="s">
        <v>51</v>
      </c>
      <c r="V503" s="29"/>
      <c r="W503" s="31">
        <f>IF(AC503="Intr",0,G503*Definitions!$B$53)</f>
        <v>6600</v>
      </c>
      <c r="X503" s="31">
        <f>IF(AC503="Intr",0,G503*Definitions!$B$54)</f>
        <v>30799.999999999996</v>
      </c>
      <c r="Y503" s="31">
        <f>IF(AC503="Intr",G503,G503*Definitions!$B$55)</f>
        <v>6600</v>
      </c>
      <c r="Z503" s="31" t="s">
        <v>966</v>
      </c>
      <c r="AA503" s="31" t="s">
        <v>968</v>
      </c>
      <c r="AB503" s="31"/>
      <c r="AC503" s="30"/>
      <c r="AD503" s="30"/>
      <c r="AE503" s="30"/>
      <c r="AF503" s="30"/>
      <c r="AG503" s="32"/>
      <c r="AH503" s="30" t="s">
        <v>1114</v>
      </c>
    </row>
    <row r="504" spans="1:256" s="388" customFormat="1" x14ac:dyDescent="0.2">
      <c r="A504" s="29">
        <v>44699</v>
      </c>
      <c r="B504" s="30" t="s">
        <v>95</v>
      </c>
      <c r="C504" s="30">
        <v>2022</v>
      </c>
      <c r="D504" s="30" t="s">
        <v>8</v>
      </c>
      <c r="E504" s="217">
        <v>-359</v>
      </c>
      <c r="F504" s="217" t="s">
        <v>33</v>
      </c>
      <c r="G504" s="523">
        <v>143600</v>
      </c>
      <c r="H504" s="217">
        <v>305</v>
      </c>
      <c r="I504" s="217" t="s">
        <v>80</v>
      </c>
      <c r="J504" s="217" t="s">
        <v>731</v>
      </c>
      <c r="K504" s="217">
        <v>399</v>
      </c>
      <c r="L504" s="217" t="s">
        <v>726</v>
      </c>
      <c r="M504" s="217" t="s">
        <v>1109</v>
      </c>
      <c r="N504" s="67" t="s">
        <v>1110</v>
      </c>
      <c r="O504" s="30"/>
      <c r="P504" s="30" t="s">
        <v>121</v>
      </c>
      <c r="Q504" s="747" t="s">
        <v>1111</v>
      </c>
      <c r="R504" s="636" t="s">
        <v>1112</v>
      </c>
      <c r="S504" s="30" t="s">
        <v>63</v>
      </c>
      <c r="T504" s="30"/>
      <c r="U504" s="30" t="s">
        <v>51</v>
      </c>
      <c r="V504" s="29"/>
      <c r="W504" s="31">
        <f>IF(AC504="Intr",0,G504*Definitions!$B$53)</f>
        <v>21540</v>
      </c>
      <c r="X504" s="31">
        <f>IF(AC504="Intr",0,G504*Definitions!$B$54)</f>
        <v>100520</v>
      </c>
      <c r="Y504" s="31">
        <f>IF(AC504="Intr",G504,G504*Definitions!$B$55)</f>
        <v>21540</v>
      </c>
      <c r="Z504" s="31" t="s">
        <v>966</v>
      </c>
      <c r="AA504" s="31" t="s">
        <v>968</v>
      </c>
      <c r="AB504" s="31"/>
      <c r="AC504" s="30"/>
      <c r="AD504" s="30"/>
      <c r="AE504" s="30"/>
      <c r="AF504" s="30"/>
      <c r="AG504" s="32"/>
      <c r="AH504" s="30" t="s">
        <v>1114</v>
      </c>
      <c r="AI504" s="105"/>
      <c r="AJ504" s="105"/>
      <c r="AK504" s="105"/>
      <c r="AL504" s="105"/>
      <c r="AM504" s="105"/>
      <c r="AN504" s="105"/>
      <c r="AO504" s="105"/>
      <c r="AP504" s="105"/>
      <c r="AQ504" s="105"/>
      <c r="AR504" s="105"/>
      <c r="AS504" s="105"/>
      <c r="AT504" s="105"/>
      <c r="AU504" s="105"/>
      <c r="AV504" s="105"/>
      <c r="AW504" s="105"/>
      <c r="AX504" s="105"/>
      <c r="AY504" s="105"/>
      <c r="AZ504" s="105"/>
      <c r="BA504" s="105"/>
      <c r="BB504" s="105"/>
      <c r="BC504" s="105"/>
      <c r="BD504" s="105"/>
      <c r="BE504" s="105"/>
      <c r="BF504" s="105"/>
      <c r="BG504" s="105"/>
      <c r="BH504" s="105"/>
      <c r="BI504" s="105"/>
      <c r="BJ504" s="105"/>
      <c r="BK504" s="105"/>
      <c r="BL504" s="105"/>
      <c r="BM504" s="105"/>
      <c r="BN504" s="105"/>
      <c r="BO504" s="105"/>
      <c r="BP504" s="105"/>
      <c r="BQ504" s="105"/>
      <c r="BR504" s="105"/>
      <c r="BS504" s="105"/>
      <c r="BT504" s="105"/>
      <c r="BU504" s="105"/>
      <c r="BV504" s="105"/>
      <c r="BW504" s="105"/>
      <c r="BX504" s="105"/>
      <c r="BY504" s="105"/>
      <c r="BZ504" s="105"/>
      <c r="CA504" s="105"/>
      <c r="CB504" s="105"/>
      <c r="CC504" s="105"/>
      <c r="CD504" s="105"/>
      <c r="CE504" s="105"/>
      <c r="CF504" s="105"/>
      <c r="CG504" s="105"/>
      <c r="CH504" s="105"/>
      <c r="CI504" s="105"/>
      <c r="CJ504" s="105"/>
      <c r="CK504" s="105"/>
      <c r="CL504" s="105"/>
      <c r="CM504" s="105"/>
      <c r="CN504" s="105"/>
      <c r="CO504" s="105"/>
      <c r="CP504" s="105"/>
      <c r="CQ504" s="105"/>
      <c r="CR504" s="105"/>
      <c r="CS504" s="105"/>
      <c r="CT504" s="105"/>
      <c r="CU504" s="105"/>
      <c r="CV504" s="105"/>
      <c r="CW504" s="105"/>
      <c r="CX504" s="105"/>
      <c r="CY504" s="105"/>
      <c r="CZ504" s="105"/>
      <c r="DA504" s="105"/>
      <c r="DB504" s="105"/>
      <c r="DC504" s="105"/>
      <c r="DD504" s="105"/>
      <c r="DE504" s="105"/>
      <c r="DF504" s="105"/>
      <c r="DG504" s="105"/>
      <c r="DH504" s="105"/>
      <c r="DI504" s="105"/>
      <c r="DJ504" s="105"/>
      <c r="DK504" s="105"/>
      <c r="DL504" s="105"/>
      <c r="DM504" s="105"/>
      <c r="DN504" s="105"/>
      <c r="DO504" s="105"/>
      <c r="DP504" s="105"/>
      <c r="DQ504" s="105"/>
      <c r="DR504" s="105"/>
      <c r="DS504" s="105"/>
      <c r="DT504" s="105"/>
      <c r="DU504" s="105"/>
      <c r="DV504" s="105"/>
      <c r="DW504" s="105"/>
      <c r="DX504" s="105"/>
      <c r="DY504" s="105"/>
      <c r="DZ504" s="105"/>
      <c r="EA504" s="105"/>
      <c r="EB504" s="105"/>
      <c r="EC504" s="105"/>
      <c r="ED504" s="105"/>
      <c r="EE504" s="105"/>
      <c r="EF504" s="105"/>
      <c r="EG504" s="105"/>
      <c r="EH504" s="105"/>
      <c r="EI504" s="105"/>
      <c r="EJ504" s="105"/>
      <c r="EK504" s="105"/>
      <c r="EL504" s="105"/>
      <c r="EM504" s="105"/>
      <c r="EN504" s="105"/>
      <c r="EO504" s="105"/>
      <c r="EP504" s="105"/>
      <c r="EQ504" s="105"/>
      <c r="ER504" s="105"/>
      <c r="ES504" s="105"/>
      <c r="ET504" s="105"/>
      <c r="EU504" s="105"/>
      <c r="EV504" s="105"/>
      <c r="EW504" s="105"/>
      <c r="EX504" s="105"/>
      <c r="EY504" s="105"/>
      <c r="EZ504" s="105"/>
      <c r="FA504" s="105"/>
      <c r="FB504" s="105"/>
      <c r="FC504" s="105"/>
      <c r="FD504" s="105"/>
      <c r="FE504" s="105"/>
      <c r="FF504" s="105"/>
      <c r="FG504" s="105"/>
      <c r="FH504" s="105"/>
      <c r="FI504" s="105"/>
      <c r="FJ504" s="105"/>
      <c r="FK504" s="105"/>
      <c r="FL504" s="105"/>
      <c r="FM504" s="105"/>
      <c r="FN504" s="105"/>
      <c r="FO504" s="105"/>
      <c r="FP504" s="105"/>
      <c r="FQ504" s="105"/>
      <c r="FR504" s="105"/>
      <c r="FS504" s="105"/>
      <c r="FT504" s="105"/>
      <c r="FU504" s="105"/>
      <c r="FV504" s="105"/>
      <c r="FW504" s="105"/>
      <c r="FX504" s="105"/>
      <c r="FY504" s="105"/>
      <c r="FZ504" s="105"/>
      <c r="GA504" s="105"/>
      <c r="GB504" s="105"/>
      <c r="GC504" s="105"/>
      <c r="GD504" s="105"/>
      <c r="GE504" s="105"/>
      <c r="GF504" s="105"/>
      <c r="GG504" s="105"/>
      <c r="GH504" s="105"/>
      <c r="GI504" s="105"/>
      <c r="GJ504" s="105"/>
      <c r="GK504" s="105"/>
      <c r="GL504" s="105"/>
      <c r="GM504" s="105"/>
      <c r="GN504" s="105"/>
      <c r="GO504" s="105"/>
      <c r="GP504" s="105"/>
      <c r="GQ504" s="105"/>
      <c r="GR504" s="105"/>
      <c r="GS504" s="105"/>
      <c r="GT504" s="105"/>
      <c r="GU504" s="105"/>
      <c r="GV504" s="105"/>
      <c r="GW504" s="105"/>
      <c r="GX504" s="105"/>
      <c r="GY504" s="105"/>
      <c r="GZ504" s="105"/>
      <c r="HA504" s="105"/>
      <c r="HB504" s="105"/>
      <c r="HC504" s="105"/>
      <c r="HD504" s="105"/>
      <c r="HE504" s="105"/>
      <c r="HF504" s="105"/>
      <c r="HG504" s="105"/>
      <c r="HH504" s="105"/>
      <c r="HI504" s="105"/>
      <c r="HJ504" s="105"/>
      <c r="HK504" s="105"/>
      <c r="HL504" s="105"/>
      <c r="HM504" s="105"/>
      <c r="HN504" s="105"/>
      <c r="HO504" s="105"/>
      <c r="HP504" s="105"/>
      <c r="HQ504" s="105"/>
      <c r="HR504" s="105"/>
      <c r="HS504" s="105"/>
      <c r="HT504" s="105"/>
      <c r="HU504" s="105"/>
      <c r="HV504" s="105"/>
      <c r="HW504" s="105"/>
      <c r="HX504" s="105"/>
      <c r="HY504" s="105"/>
      <c r="HZ504" s="105"/>
      <c r="IA504" s="105"/>
      <c r="IB504" s="105"/>
      <c r="IC504" s="105"/>
      <c r="ID504" s="105"/>
      <c r="IE504" s="105"/>
      <c r="IF504" s="105"/>
      <c r="IG504" s="105"/>
      <c r="IH504" s="105"/>
      <c r="II504" s="105"/>
      <c r="IJ504" s="105"/>
      <c r="IK504" s="105"/>
      <c r="IL504" s="105"/>
      <c r="IM504" s="105"/>
      <c r="IN504" s="105"/>
      <c r="IO504" s="105"/>
      <c r="IP504" s="105"/>
      <c r="IQ504" s="105"/>
      <c r="IR504" s="105"/>
      <c r="IS504" s="105"/>
      <c r="IT504" s="105"/>
      <c r="IU504" s="105"/>
      <c r="IV504" s="105"/>
    </row>
    <row r="505" spans="1:256" s="111" customFormat="1" x14ac:dyDescent="0.2">
      <c r="A505" s="29">
        <v>44699</v>
      </c>
      <c r="B505" s="30" t="s">
        <v>95</v>
      </c>
      <c r="C505" s="30">
        <v>2022</v>
      </c>
      <c r="D505" s="30" t="s">
        <v>8</v>
      </c>
      <c r="E505" s="217">
        <v>-7.86</v>
      </c>
      <c r="F505" s="217" t="s">
        <v>32</v>
      </c>
      <c r="G505" s="523">
        <v>628800</v>
      </c>
      <c r="H505" s="217">
        <v>305</v>
      </c>
      <c r="I505" s="217" t="s">
        <v>80</v>
      </c>
      <c r="J505" s="217" t="s">
        <v>36</v>
      </c>
      <c r="K505" s="217">
        <v>3.93</v>
      </c>
      <c r="L505" s="217" t="s">
        <v>726</v>
      </c>
      <c r="M505" s="217" t="s">
        <v>1109</v>
      </c>
      <c r="N505" s="67" t="s">
        <v>1110</v>
      </c>
      <c r="O505" s="30"/>
      <c r="P505" s="30" t="s">
        <v>121</v>
      </c>
      <c r="Q505" s="747" t="s">
        <v>1111</v>
      </c>
      <c r="R505" s="636" t="s">
        <v>1112</v>
      </c>
      <c r="S505" s="30" t="s">
        <v>63</v>
      </c>
      <c r="T505" s="30"/>
      <c r="U505" s="30" t="s">
        <v>51</v>
      </c>
      <c r="V505" s="29"/>
      <c r="W505" s="31">
        <f>IF(AC505="Intr",0,G505*Definitions!$B$53)</f>
        <v>94320</v>
      </c>
      <c r="X505" s="31">
        <f>IF(AC505="Intr",0,G505*Definitions!$B$54)</f>
        <v>440160</v>
      </c>
      <c r="Y505" s="31">
        <f>IF(AC505="Intr",G505,G505*Definitions!$B$55)</f>
        <v>94320</v>
      </c>
      <c r="Z505" s="31" t="s">
        <v>966</v>
      </c>
      <c r="AA505" s="31" t="s">
        <v>1120</v>
      </c>
      <c r="AB505" s="31"/>
      <c r="AC505" s="30"/>
      <c r="AD505" s="30"/>
      <c r="AE505" s="30"/>
      <c r="AF505" s="30"/>
      <c r="AG505" s="32"/>
      <c r="AH505" s="30" t="s">
        <v>1115</v>
      </c>
      <c r="AI505" s="105"/>
      <c r="AJ505" s="105"/>
      <c r="AK505" s="105"/>
      <c r="AL505" s="105"/>
      <c r="AM505" s="105"/>
      <c r="AN505" s="105"/>
      <c r="AO505" s="105"/>
      <c r="AP505" s="105"/>
      <c r="AQ505" s="105"/>
      <c r="AR505" s="105"/>
      <c r="AS505" s="105"/>
      <c r="AT505" s="105"/>
      <c r="AU505" s="105"/>
      <c r="AV505" s="105"/>
      <c r="AW505" s="105"/>
      <c r="AX505" s="105"/>
      <c r="AY505" s="105"/>
      <c r="AZ505" s="105"/>
      <c r="BA505" s="105"/>
      <c r="BB505" s="105"/>
      <c r="BC505" s="105"/>
      <c r="BD505" s="105"/>
      <c r="BE505" s="105"/>
      <c r="BF505" s="105"/>
      <c r="BG505" s="105"/>
      <c r="BH505" s="105"/>
      <c r="BI505" s="105"/>
      <c r="BJ505" s="105"/>
      <c r="BK505" s="105"/>
      <c r="BL505" s="105"/>
      <c r="BM505" s="105"/>
      <c r="BN505" s="105"/>
      <c r="BO505" s="105"/>
      <c r="BP505" s="105"/>
      <c r="BQ505" s="105"/>
      <c r="BR505" s="105"/>
      <c r="BS505" s="105"/>
      <c r="BT505" s="105"/>
      <c r="BU505" s="105"/>
      <c r="BV505" s="105"/>
      <c r="BW505" s="105"/>
      <c r="BX505" s="105"/>
      <c r="BY505" s="105"/>
      <c r="BZ505" s="105"/>
      <c r="CA505" s="105"/>
      <c r="CB505" s="105"/>
      <c r="CC505" s="105"/>
      <c r="CD505" s="105"/>
      <c r="CE505" s="105"/>
      <c r="CF505" s="105"/>
      <c r="CG505" s="105"/>
      <c r="CH505" s="105"/>
      <c r="CI505" s="105"/>
      <c r="CJ505" s="105"/>
      <c r="CK505" s="105"/>
      <c r="CL505" s="105"/>
      <c r="CM505" s="105"/>
      <c r="CN505" s="105"/>
      <c r="CO505" s="105"/>
      <c r="CP505" s="105"/>
      <c r="CQ505" s="105"/>
      <c r="CR505" s="105"/>
      <c r="CS505" s="105"/>
      <c r="CT505" s="105"/>
      <c r="CU505" s="105"/>
      <c r="CV505" s="105"/>
      <c r="CW505" s="105"/>
      <c r="CX505" s="105"/>
      <c r="CY505" s="105"/>
      <c r="CZ505" s="105"/>
      <c r="DA505" s="105"/>
      <c r="DB505" s="105"/>
      <c r="DC505" s="105"/>
      <c r="DD505" s="105"/>
      <c r="DE505" s="105"/>
      <c r="DF505" s="105"/>
      <c r="DG505" s="105"/>
      <c r="DH505" s="105"/>
      <c r="DI505" s="105"/>
      <c r="DJ505" s="105"/>
      <c r="DK505" s="105"/>
      <c r="DL505" s="105"/>
      <c r="DM505" s="105"/>
      <c r="DN505" s="105"/>
      <c r="DO505" s="105"/>
      <c r="DP505" s="105"/>
      <c r="DQ505" s="105"/>
      <c r="DR505" s="105"/>
      <c r="DS505" s="105"/>
      <c r="DT505" s="105"/>
      <c r="DU505" s="105"/>
      <c r="DV505" s="105"/>
      <c r="DW505" s="105"/>
      <c r="DX505" s="105"/>
      <c r="DY505" s="105"/>
      <c r="DZ505" s="105"/>
      <c r="EA505" s="105"/>
      <c r="EB505" s="105"/>
      <c r="EC505" s="105"/>
      <c r="ED505" s="105"/>
      <c r="EE505" s="105"/>
      <c r="EF505" s="105"/>
      <c r="EG505" s="105"/>
      <c r="EH505" s="105"/>
      <c r="EI505" s="105"/>
      <c r="EJ505" s="105"/>
      <c r="EK505" s="105"/>
      <c r="EL505" s="105"/>
      <c r="EM505" s="105"/>
      <c r="EN505" s="105"/>
      <c r="EO505" s="105"/>
      <c r="EP505" s="105"/>
      <c r="EQ505" s="105"/>
      <c r="ER505" s="105"/>
      <c r="ES505" s="105"/>
      <c r="ET505" s="105"/>
      <c r="EU505" s="105"/>
      <c r="EV505" s="105"/>
      <c r="EW505" s="105"/>
      <c r="EX505" s="105"/>
      <c r="EY505" s="105"/>
      <c r="EZ505" s="105"/>
      <c r="FA505" s="105"/>
      <c r="FB505" s="105"/>
      <c r="FC505" s="105"/>
      <c r="FD505" s="105"/>
      <c r="FE505" s="105"/>
      <c r="FF505" s="105"/>
      <c r="FG505" s="105"/>
      <c r="FH505" s="105"/>
      <c r="FI505" s="105"/>
      <c r="FJ505" s="105"/>
      <c r="FK505" s="105"/>
      <c r="FL505" s="105"/>
      <c r="FM505" s="105"/>
      <c r="FN505" s="105"/>
      <c r="FO505" s="105"/>
      <c r="FP505" s="105"/>
      <c r="FQ505" s="105"/>
      <c r="FR505" s="105"/>
      <c r="FS505" s="105"/>
      <c r="FT505" s="105"/>
      <c r="FU505" s="105"/>
      <c r="FV505" s="105"/>
      <c r="FW505" s="105"/>
      <c r="FX505" s="105"/>
      <c r="FY505" s="105"/>
      <c r="FZ505" s="105"/>
      <c r="GA505" s="105"/>
      <c r="GB505" s="105"/>
      <c r="GC505" s="105"/>
      <c r="GD505" s="105"/>
      <c r="GE505" s="105"/>
      <c r="GF505" s="105"/>
      <c r="GG505" s="105"/>
      <c r="GH505" s="105"/>
      <c r="GI505" s="105"/>
      <c r="GJ505" s="105"/>
      <c r="GK505" s="105"/>
      <c r="GL505" s="105"/>
      <c r="GM505" s="105"/>
      <c r="GN505" s="105"/>
      <c r="GO505" s="105"/>
      <c r="GP505" s="105"/>
      <c r="GQ505" s="105"/>
      <c r="GR505" s="105"/>
      <c r="GS505" s="105"/>
      <c r="GT505" s="105"/>
      <c r="GU505" s="105"/>
      <c r="GV505" s="105"/>
      <c r="GW505" s="105"/>
      <c r="GX505" s="105"/>
      <c r="GY505" s="105"/>
      <c r="GZ505" s="105"/>
      <c r="HA505" s="105"/>
      <c r="HB505" s="105"/>
      <c r="HC505" s="105"/>
      <c r="HD505" s="105"/>
      <c r="HE505" s="105"/>
      <c r="HF505" s="105"/>
      <c r="HG505" s="105"/>
      <c r="HH505" s="105"/>
      <c r="HI505" s="105"/>
      <c r="HJ505" s="105"/>
      <c r="HK505" s="105"/>
      <c r="HL505" s="105"/>
      <c r="HM505" s="105"/>
      <c r="HN505" s="105"/>
      <c r="HO505" s="105"/>
      <c r="HP505" s="105"/>
      <c r="HQ505" s="105"/>
      <c r="HR505" s="105"/>
      <c r="HS505" s="105"/>
      <c r="HT505" s="105"/>
      <c r="HU505" s="105"/>
      <c r="HV505" s="105"/>
      <c r="HW505" s="105"/>
      <c r="HX505" s="105"/>
      <c r="HY505" s="105"/>
      <c r="HZ505" s="105"/>
      <c r="IA505" s="105"/>
      <c r="IB505" s="105"/>
      <c r="IC505" s="105"/>
      <c r="ID505" s="105"/>
      <c r="IE505" s="105"/>
      <c r="IF505" s="105"/>
      <c r="IG505" s="105"/>
      <c r="IH505" s="105"/>
      <c r="II505" s="105"/>
      <c r="IJ505" s="105"/>
      <c r="IK505" s="105"/>
      <c r="IL505" s="105"/>
      <c r="IM505" s="105"/>
      <c r="IN505" s="105"/>
      <c r="IO505" s="105"/>
      <c r="IP505" s="105"/>
      <c r="IQ505" s="105"/>
      <c r="IR505" s="105"/>
      <c r="IS505" s="105"/>
      <c r="IT505" s="105"/>
      <c r="IU505" s="105"/>
      <c r="IV505" s="105"/>
    </row>
    <row r="506" spans="1:256" s="111" customFormat="1" x14ac:dyDescent="0.2">
      <c r="A506" s="29">
        <v>44699</v>
      </c>
      <c r="B506" s="30" t="s">
        <v>95</v>
      </c>
      <c r="C506" s="30">
        <v>2022</v>
      </c>
      <c r="D506" s="30" t="s">
        <v>8</v>
      </c>
      <c r="E506" s="217">
        <v>-1.6559999999999999</v>
      </c>
      <c r="F506" s="217" t="s">
        <v>32</v>
      </c>
      <c r="G506" s="523">
        <v>132480</v>
      </c>
      <c r="H506" s="217">
        <v>305</v>
      </c>
      <c r="I506" s="217" t="s">
        <v>80</v>
      </c>
      <c r="J506" s="217" t="s">
        <v>37</v>
      </c>
      <c r="K506" s="217">
        <v>0.55200000000000005</v>
      </c>
      <c r="L506" s="217" t="s">
        <v>726</v>
      </c>
      <c r="M506" s="217" t="s">
        <v>1109</v>
      </c>
      <c r="N506" s="67" t="s">
        <v>1110</v>
      </c>
      <c r="O506" s="30"/>
      <c r="P506" s="30" t="s">
        <v>121</v>
      </c>
      <c r="Q506" s="747" t="s">
        <v>1111</v>
      </c>
      <c r="R506" s="636" t="s">
        <v>1112</v>
      </c>
      <c r="S506" s="30" t="s">
        <v>63</v>
      </c>
      <c r="T506" s="30"/>
      <c r="U506" s="30" t="s">
        <v>51</v>
      </c>
      <c r="V506" s="29"/>
      <c r="W506" s="31">
        <f>IF(AC506="Intr",0,G506*Definitions!$B$53)</f>
        <v>19872</v>
      </c>
      <c r="X506" s="31">
        <f>IF(AC506="Intr",0,G506*Definitions!$B$54)</f>
        <v>92736</v>
      </c>
      <c r="Y506" s="31">
        <f>IF(AC506="Intr",G506,G506*Definitions!$B$55)</f>
        <v>19872</v>
      </c>
      <c r="Z506" s="31" t="s">
        <v>966</v>
      </c>
      <c r="AA506" s="31" t="s">
        <v>968</v>
      </c>
      <c r="AB506" s="31"/>
      <c r="AC506" s="30"/>
      <c r="AD506" s="30"/>
      <c r="AE506" s="30"/>
      <c r="AF506" s="30"/>
      <c r="AG506" s="32"/>
      <c r="AH506" s="30" t="s">
        <v>1116</v>
      </c>
      <c r="AI506" s="105"/>
      <c r="AJ506" s="105"/>
      <c r="AK506" s="105"/>
      <c r="AL506" s="105"/>
      <c r="AM506" s="105"/>
      <c r="AN506" s="105"/>
      <c r="AO506" s="105"/>
      <c r="AP506" s="105"/>
      <c r="AQ506" s="105"/>
      <c r="AR506" s="105"/>
      <c r="AS506" s="105"/>
      <c r="AT506" s="105"/>
      <c r="AU506" s="105"/>
      <c r="AV506" s="105"/>
      <c r="AW506" s="105"/>
      <c r="AX506" s="105"/>
      <c r="AY506" s="105"/>
      <c r="AZ506" s="105"/>
      <c r="BA506" s="105"/>
      <c r="BB506" s="105"/>
      <c r="BC506" s="105"/>
      <c r="BD506" s="105"/>
      <c r="BE506" s="105"/>
      <c r="BF506" s="105"/>
      <c r="BG506" s="105"/>
      <c r="BH506" s="105"/>
      <c r="BI506" s="105"/>
      <c r="BJ506" s="105"/>
      <c r="BK506" s="105"/>
      <c r="BL506" s="105"/>
      <c r="BM506" s="105"/>
      <c r="BN506" s="105"/>
      <c r="BO506" s="105"/>
      <c r="BP506" s="105"/>
      <c r="BQ506" s="105"/>
      <c r="BR506" s="105"/>
      <c r="BS506" s="105"/>
      <c r="BT506" s="105"/>
      <c r="BU506" s="105"/>
      <c r="BV506" s="105"/>
      <c r="BW506" s="105"/>
      <c r="BX506" s="105"/>
      <c r="BY506" s="105"/>
      <c r="BZ506" s="105"/>
      <c r="CA506" s="105"/>
      <c r="CB506" s="105"/>
      <c r="CC506" s="105"/>
      <c r="CD506" s="105"/>
      <c r="CE506" s="105"/>
      <c r="CF506" s="105"/>
      <c r="CG506" s="105"/>
      <c r="CH506" s="105"/>
      <c r="CI506" s="105"/>
      <c r="CJ506" s="105"/>
      <c r="CK506" s="105"/>
      <c r="CL506" s="105"/>
      <c r="CM506" s="105"/>
      <c r="CN506" s="105"/>
      <c r="CO506" s="105"/>
      <c r="CP506" s="105"/>
      <c r="CQ506" s="105"/>
      <c r="CR506" s="105"/>
      <c r="CS506" s="105"/>
      <c r="CT506" s="105"/>
      <c r="CU506" s="105"/>
      <c r="CV506" s="105"/>
      <c r="CW506" s="105"/>
      <c r="CX506" s="105"/>
      <c r="CY506" s="105"/>
      <c r="CZ506" s="105"/>
      <c r="DA506" s="105"/>
      <c r="DB506" s="105"/>
      <c r="DC506" s="105"/>
      <c r="DD506" s="105"/>
      <c r="DE506" s="105"/>
      <c r="DF506" s="105"/>
      <c r="DG506" s="105"/>
      <c r="DH506" s="105"/>
      <c r="DI506" s="105"/>
      <c r="DJ506" s="105"/>
      <c r="DK506" s="105"/>
      <c r="DL506" s="105"/>
      <c r="DM506" s="105"/>
      <c r="DN506" s="105"/>
      <c r="DO506" s="105"/>
      <c r="DP506" s="105"/>
      <c r="DQ506" s="105"/>
      <c r="DR506" s="105"/>
      <c r="DS506" s="105"/>
      <c r="DT506" s="105"/>
      <c r="DU506" s="105"/>
      <c r="DV506" s="105"/>
      <c r="DW506" s="105"/>
      <c r="DX506" s="105"/>
      <c r="DY506" s="105"/>
      <c r="DZ506" s="105"/>
      <c r="EA506" s="105"/>
      <c r="EB506" s="105"/>
      <c r="EC506" s="105"/>
      <c r="ED506" s="105"/>
      <c r="EE506" s="105"/>
      <c r="EF506" s="105"/>
      <c r="EG506" s="105"/>
      <c r="EH506" s="105"/>
      <c r="EI506" s="105"/>
      <c r="EJ506" s="105"/>
      <c r="EK506" s="105"/>
      <c r="EL506" s="105"/>
      <c r="EM506" s="105"/>
      <c r="EN506" s="105"/>
      <c r="EO506" s="105"/>
      <c r="EP506" s="105"/>
      <c r="EQ506" s="105"/>
      <c r="ER506" s="105"/>
      <c r="ES506" s="105"/>
      <c r="ET506" s="105"/>
      <c r="EU506" s="105"/>
      <c r="EV506" s="105"/>
      <c r="EW506" s="105"/>
      <c r="EX506" s="105"/>
      <c r="EY506" s="105"/>
      <c r="EZ506" s="105"/>
      <c r="FA506" s="105"/>
      <c r="FB506" s="105"/>
      <c r="FC506" s="105"/>
      <c r="FD506" s="105"/>
      <c r="FE506" s="105"/>
      <c r="FF506" s="105"/>
      <c r="FG506" s="105"/>
      <c r="FH506" s="105"/>
      <c r="FI506" s="105"/>
      <c r="FJ506" s="105"/>
      <c r="FK506" s="105"/>
      <c r="FL506" s="105"/>
      <c r="FM506" s="105"/>
      <c r="FN506" s="105"/>
      <c r="FO506" s="105"/>
      <c r="FP506" s="105"/>
      <c r="FQ506" s="105"/>
      <c r="FR506" s="105"/>
      <c r="FS506" s="105"/>
      <c r="FT506" s="105"/>
      <c r="FU506" s="105"/>
      <c r="FV506" s="105"/>
      <c r="FW506" s="105"/>
      <c r="FX506" s="105"/>
      <c r="FY506" s="105"/>
      <c r="FZ506" s="105"/>
      <c r="GA506" s="105"/>
      <c r="GB506" s="105"/>
      <c r="GC506" s="105"/>
      <c r="GD506" s="105"/>
      <c r="GE506" s="105"/>
      <c r="GF506" s="105"/>
      <c r="GG506" s="105"/>
      <c r="GH506" s="105"/>
      <c r="GI506" s="105"/>
      <c r="GJ506" s="105"/>
      <c r="GK506" s="105"/>
      <c r="GL506" s="105"/>
      <c r="GM506" s="105"/>
      <c r="GN506" s="105"/>
      <c r="GO506" s="105"/>
      <c r="GP506" s="105"/>
      <c r="GQ506" s="105"/>
      <c r="GR506" s="105"/>
      <c r="GS506" s="105"/>
      <c r="GT506" s="105"/>
      <c r="GU506" s="105"/>
      <c r="GV506" s="105"/>
      <c r="GW506" s="105"/>
      <c r="GX506" s="105"/>
      <c r="GY506" s="105"/>
      <c r="GZ506" s="105"/>
      <c r="HA506" s="105"/>
      <c r="HB506" s="105"/>
      <c r="HC506" s="105"/>
      <c r="HD506" s="105"/>
      <c r="HE506" s="105"/>
      <c r="HF506" s="105"/>
      <c r="HG506" s="105"/>
      <c r="HH506" s="105"/>
      <c r="HI506" s="105"/>
      <c r="HJ506" s="105"/>
      <c r="HK506" s="105"/>
      <c r="HL506" s="105"/>
      <c r="HM506" s="105"/>
      <c r="HN506" s="105"/>
      <c r="HO506" s="105"/>
      <c r="HP506" s="105"/>
      <c r="HQ506" s="105"/>
      <c r="HR506" s="105"/>
      <c r="HS506" s="105"/>
      <c r="HT506" s="105"/>
      <c r="HU506" s="105"/>
      <c r="HV506" s="105"/>
      <c r="HW506" s="105"/>
      <c r="HX506" s="105"/>
      <c r="HY506" s="105"/>
      <c r="HZ506" s="105"/>
      <c r="IA506" s="105"/>
      <c r="IB506" s="105"/>
      <c r="IC506" s="105"/>
      <c r="ID506" s="105"/>
      <c r="IE506" s="105"/>
      <c r="IF506" s="105"/>
      <c r="IG506" s="105"/>
      <c r="IH506" s="105"/>
      <c r="II506" s="105"/>
      <c r="IJ506" s="105"/>
      <c r="IK506" s="105"/>
      <c r="IL506" s="105"/>
      <c r="IM506" s="105"/>
      <c r="IN506" s="105"/>
      <c r="IO506" s="105"/>
      <c r="IP506" s="105"/>
      <c r="IQ506" s="105"/>
      <c r="IR506" s="105"/>
      <c r="IS506" s="105"/>
      <c r="IT506" s="105"/>
      <c r="IU506" s="105"/>
      <c r="IV506" s="105"/>
    </row>
    <row r="507" spans="1:256" s="418" customFormat="1" x14ac:dyDescent="0.2">
      <c r="A507" s="29">
        <v>44699</v>
      </c>
      <c r="B507" s="30" t="s">
        <v>95</v>
      </c>
      <c r="C507" s="30">
        <v>2022</v>
      </c>
      <c r="D507" s="30" t="s">
        <v>8</v>
      </c>
      <c r="E507" s="217">
        <v>-11.32</v>
      </c>
      <c r="F507" s="217" t="s">
        <v>32</v>
      </c>
      <c r="G507" s="523">
        <v>905600</v>
      </c>
      <c r="H507" s="217">
        <v>305</v>
      </c>
      <c r="I507" s="217" t="s">
        <v>81</v>
      </c>
      <c r="J507" s="217" t="s">
        <v>36</v>
      </c>
      <c r="K507" s="217">
        <v>7.5469999999999997</v>
      </c>
      <c r="L507" s="217" t="s">
        <v>726</v>
      </c>
      <c r="M507" s="217" t="s">
        <v>103</v>
      </c>
      <c r="N507" s="67" t="s">
        <v>1113</v>
      </c>
      <c r="O507" s="30"/>
      <c r="P507" s="30" t="s">
        <v>121</v>
      </c>
      <c r="Q507" s="747" t="s">
        <v>1111</v>
      </c>
      <c r="R507" s="636" t="s">
        <v>1112</v>
      </c>
      <c r="S507" s="30" t="s">
        <v>63</v>
      </c>
      <c r="T507" s="30"/>
      <c r="U507" s="30" t="s">
        <v>51</v>
      </c>
      <c r="V507" s="29"/>
      <c r="W507" s="31">
        <f>IF(AC507="Intr",0,G507*Definitions!$B$53)</f>
        <v>135840</v>
      </c>
      <c r="X507" s="31">
        <f>IF(AC507="Intr",0,G507*Definitions!$B$54)</f>
        <v>633920</v>
      </c>
      <c r="Y507" s="31">
        <f>IF(AC507="Intr",G507,G507*Definitions!$B$55)</f>
        <v>135840</v>
      </c>
      <c r="Z507" s="31" t="s">
        <v>966</v>
      </c>
      <c r="AA507" s="31" t="s">
        <v>968</v>
      </c>
      <c r="AB507" s="31" t="s">
        <v>969</v>
      </c>
      <c r="AC507" s="30"/>
      <c r="AD507" s="30"/>
      <c r="AE507" s="30"/>
      <c r="AF507" s="30"/>
      <c r="AG507" s="32"/>
      <c r="AH507" s="30" t="s">
        <v>1117</v>
      </c>
      <c r="AI507" s="105"/>
      <c r="AJ507" s="105"/>
      <c r="AK507" s="105"/>
      <c r="AL507" s="105"/>
      <c r="AM507" s="105"/>
      <c r="AN507" s="105"/>
      <c r="AO507" s="105"/>
      <c r="AP507" s="105"/>
      <c r="AQ507" s="105"/>
      <c r="AR507" s="105"/>
      <c r="AS507" s="105"/>
      <c r="AT507" s="105"/>
      <c r="AU507" s="105"/>
      <c r="AV507" s="105"/>
      <c r="AW507" s="105"/>
      <c r="AX507" s="105"/>
      <c r="AY507" s="105"/>
      <c r="AZ507" s="105"/>
      <c r="BA507" s="105"/>
      <c r="BB507" s="105"/>
      <c r="BC507" s="105"/>
      <c r="BD507" s="105"/>
      <c r="BE507" s="105"/>
      <c r="BF507" s="105"/>
      <c r="BG507" s="105"/>
      <c r="BH507" s="105"/>
      <c r="BI507" s="105"/>
      <c r="BJ507" s="105"/>
      <c r="BK507" s="105"/>
      <c r="BL507" s="105"/>
      <c r="BM507" s="105"/>
      <c r="BN507" s="105"/>
      <c r="BO507" s="105"/>
      <c r="BP507" s="105"/>
      <c r="BQ507" s="105"/>
      <c r="BR507" s="105"/>
      <c r="BS507" s="105"/>
      <c r="BT507" s="105"/>
      <c r="BU507" s="105"/>
      <c r="BV507" s="105"/>
      <c r="BW507" s="105"/>
      <c r="BX507" s="105"/>
      <c r="BY507" s="105"/>
      <c r="BZ507" s="105"/>
      <c r="CA507" s="105"/>
      <c r="CB507" s="105"/>
      <c r="CC507" s="105"/>
      <c r="CD507" s="105"/>
      <c r="CE507" s="105"/>
      <c r="CF507" s="105"/>
      <c r="CG507" s="105"/>
      <c r="CH507" s="105"/>
      <c r="CI507" s="105"/>
      <c r="CJ507" s="105"/>
      <c r="CK507" s="105"/>
      <c r="CL507" s="105"/>
      <c r="CM507" s="105"/>
      <c r="CN507" s="105"/>
      <c r="CO507" s="105"/>
      <c r="CP507" s="105"/>
      <c r="CQ507" s="105"/>
      <c r="CR507" s="105"/>
      <c r="CS507" s="105"/>
      <c r="CT507" s="105"/>
      <c r="CU507" s="105"/>
      <c r="CV507" s="105"/>
      <c r="CW507" s="105"/>
      <c r="CX507" s="105"/>
      <c r="CY507" s="105"/>
      <c r="CZ507" s="105"/>
      <c r="DA507" s="105"/>
      <c r="DB507" s="105"/>
      <c r="DC507" s="105"/>
      <c r="DD507" s="105"/>
      <c r="DE507" s="105"/>
      <c r="DF507" s="105"/>
      <c r="DG507" s="105"/>
      <c r="DH507" s="105"/>
      <c r="DI507" s="105"/>
      <c r="DJ507" s="105"/>
      <c r="DK507" s="105"/>
      <c r="DL507" s="105"/>
      <c r="DM507" s="105"/>
      <c r="DN507" s="105"/>
      <c r="DO507" s="105"/>
      <c r="DP507" s="105"/>
      <c r="DQ507" s="105"/>
      <c r="DR507" s="105"/>
      <c r="DS507" s="105"/>
      <c r="DT507" s="105"/>
      <c r="DU507" s="105"/>
      <c r="DV507" s="105"/>
      <c r="DW507" s="105"/>
      <c r="DX507" s="105"/>
      <c r="DY507" s="105"/>
      <c r="DZ507" s="105"/>
      <c r="EA507" s="105"/>
      <c r="EB507" s="105"/>
      <c r="EC507" s="105"/>
      <c r="ED507" s="105"/>
      <c r="EE507" s="105"/>
      <c r="EF507" s="105"/>
      <c r="EG507" s="105"/>
      <c r="EH507" s="105"/>
      <c r="EI507" s="105"/>
      <c r="EJ507" s="105"/>
      <c r="EK507" s="105"/>
      <c r="EL507" s="105"/>
      <c r="EM507" s="105"/>
      <c r="EN507" s="105"/>
      <c r="EO507" s="105"/>
      <c r="EP507" s="105"/>
      <c r="EQ507" s="105"/>
      <c r="ER507" s="105"/>
      <c r="ES507" s="105"/>
      <c r="ET507" s="105"/>
      <c r="EU507" s="105"/>
      <c r="EV507" s="105"/>
      <c r="EW507" s="105"/>
      <c r="EX507" s="105"/>
      <c r="EY507" s="105"/>
      <c r="EZ507" s="105"/>
      <c r="FA507" s="105"/>
      <c r="FB507" s="105"/>
      <c r="FC507" s="105"/>
      <c r="FD507" s="105"/>
      <c r="FE507" s="105"/>
      <c r="FF507" s="105"/>
      <c r="FG507" s="105"/>
      <c r="FH507" s="105"/>
      <c r="FI507" s="105"/>
      <c r="FJ507" s="105"/>
      <c r="FK507" s="105"/>
      <c r="FL507" s="105"/>
      <c r="FM507" s="105"/>
      <c r="FN507" s="105"/>
      <c r="FO507" s="105"/>
      <c r="FP507" s="105"/>
      <c r="FQ507" s="105"/>
      <c r="FR507" s="105"/>
      <c r="FS507" s="105"/>
      <c r="FT507" s="105"/>
      <c r="FU507" s="105"/>
      <c r="FV507" s="105"/>
      <c r="FW507" s="105"/>
      <c r="FX507" s="105"/>
      <c r="FY507" s="105"/>
      <c r="FZ507" s="105"/>
      <c r="GA507" s="105"/>
      <c r="GB507" s="105"/>
      <c r="GC507" s="105"/>
      <c r="GD507" s="105"/>
      <c r="GE507" s="105"/>
      <c r="GF507" s="105"/>
      <c r="GG507" s="105"/>
      <c r="GH507" s="105"/>
      <c r="GI507" s="105"/>
      <c r="GJ507" s="105"/>
      <c r="GK507" s="105"/>
      <c r="GL507" s="105"/>
      <c r="GM507" s="105"/>
      <c r="GN507" s="105"/>
      <c r="GO507" s="105"/>
      <c r="GP507" s="105"/>
      <c r="GQ507" s="105"/>
      <c r="GR507" s="105"/>
      <c r="GS507" s="105"/>
      <c r="GT507" s="105"/>
      <c r="GU507" s="105"/>
      <c r="GV507" s="105"/>
      <c r="GW507" s="105"/>
      <c r="GX507" s="105"/>
      <c r="GY507" s="105"/>
      <c r="GZ507" s="105"/>
      <c r="HA507" s="105"/>
      <c r="HB507" s="105"/>
      <c r="HC507" s="105"/>
      <c r="HD507" s="105"/>
      <c r="HE507" s="105"/>
      <c r="HF507" s="105"/>
      <c r="HG507" s="105"/>
      <c r="HH507" s="105"/>
      <c r="HI507" s="105"/>
      <c r="HJ507" s="105"/>
      <c r="HK507" s="105"/>
      <c r="HL507" s="105"/>
      <c r="HM507" s="105"/>
      <c r="HN507" s="105"/>
      <c r="HO507" s="105"/>
      <c r="HP507" s="105"/>
      <c r="HQ507" s="105"/>
      <c r="HR507" s="105"/>
      <c r="HS507" s="105"/>
      <c r="HT507" s="105"/>
      <c r="HU507" s="105"/>
      <c r="HV507" s="105"/>
      <c r="HW507" s="105"/>
      <c r="HX507" s="105"/>
      <c r="HY507" s="105"/>
      <c r="HZ507" s="105"/>
      <c r="IA507" s="105"/>
      <c r="IB507" s="105"/>
      <c r="IC507" s="105"/>
      <c r="ID507" s="105"/>
      <c r="IE507" s="105"/>
      <c r="IF507" s="105"/>
      <c r="IG507" s="105"/>
      <c r="IH507" s="105"/>
      <c r="II507" s="105"/>
      <c r="IJ507" s="105"/>
      <c r="IK507" s="105"/>
      <c r="IL507" s="105"/>
      <c r="IM507" s="105"/>
      <c r="IN507" s="105"/>
      <c r="IO507" s="105"/>
      <c r="IP507" s="105"/>
      <c r="IQ507" s="105"/>
      <c r="IR507" s="105"/>
      <c r="IS507" s="105"/>
      <c r="IT507" s="105"/>
      <c r="IU507" s="105"/>
      <c r="IV507" s="105"/>
    </row>
    <row r="508" spans="1:256" s="418" customFormat="1" x14ac:dyDescent="0.2">
      <c r="A508" s="29">
        <v>44699</v>
      </c>
      <c r="B508" s="30" t="s">
        <v>95</v>
      </c>
      <c r="C508" s="30">
        <v>2022</v>
      </c>
      <c r="D508" s="30" t="s">
        <v>8</v>
      </c>
      <c r="E508" s="217">
        <v>-1.06</v>
      </c>
      <c r="F508" s="217" t="s">
        <v>32</v>
      </c>
      <c r="G508" s="523">
        <v>84800</v>
      </c>
      <c r="H508" s="217">
        <v>305</v>
      </c>
      <c r="I508" s="217" t="s">
        <v>81</v>
      </c>
      <c r="J508" s="217" t="s">
        <v>38</v>
      </c>
      <c r="K508" s="217">
        <v>0.53</v>
      </c>
      <c r="L508" s="217" t="s">
        <v>726</v>
      </c>
      <c r="M508" s="217" t="s">
        <v>103</v>
      </c>
      <c r="N508" s="67" t="s">
        <v>1113</v>
      </c>
      <c r="O508" s="30"/>
      <c r="P508" s="30" t="s">
        <v>121</v>
      </c>
      <c r="Q508" s="747" t="s">
        <v>1111</v>
      </c>
      <c r="R508" s="636" t="s">
        <v>1112</v>
      </c>
      <c r="S508" s="30" t="s">
        <v>63</v>
      </c>
      <c r="T508" s="30"/>
      <c r="U508" s="30" t="s">
        <v>51</v>
      </c>
      <c r="V508" s="29"/>
      <c r="W508" s="31">
        <f>IF(AC508="Intr",0,G508*Definitions!$B$53)</f>
        <v>12720</v>
      </c>
      <c r="X508" s="31">
        <f>IF(AC508="Intr",0,G508*Definitions!$B$54)</f>
        <v>59359.999999999993</v>
      </c>
      <c r="Y508" s="31">
        <f>IF(AC508="Intr",G508,G508*Definitions!$B$55)</f>
        <v>12720</v>
      </c>
      <c r="Z508" s="31" t="s">
        <v>966</v>
      </c>
      <c r="AA508" s="31" t="s">
        <v>968</v>
      </c>
      <c r="AB508" s="31" t="s">
        <v>1311</v>
      </c>
      <c r="AC508" s="30"/>
      <c r="AD508" s="30"/>
      <c r="AE508" s="30"/>
      <c r="AF508" s="30"/>
      <c r="AG508" s="32"/>
      <c r="AH508" s="30" t="s">
        <v>1117</v>
      </c>
      <c r="AI508" s="105"/>
      <c r="AJ508" s="105"/>
      <c r="AK508" s="105"/>
      <c r="AL508" s="105"/>
      <c r="AM508" s="105"/>
      <c r="AN508" s="105"/>
      <c r="AO508" s="105"/>
      <c r="AP508" s="105"/>
      <c r="AQ508" s="105"/>
      <c r="AR508" s="105"/>
      <c r="AS508" s="105"/>
      <c r="AT508" s="105"/>
      <c r="AU508" s="105"/>
      <c r="AV508" s="105"/>
      <c r="AW508" s="105"/>
      <c r="AX508" s="105"/>
      <c r="AY508" s="105"/>
      <c r="AZ508" s="105"/>
      <c r="BA508" s="105"/>
      <c r="BB508" s="105"/>
      <c r="BC508" s="105"/>
      <c r="BD508" s="105"/>
      <c r="BE508" s="105"/>
      <c r="BF508" s="105"/>
      <c r="BG508" s="105"/>
      <c r="BH508" s="105"/>
      <c r="BI508" s="105"/>
      <c r="BJ508" s="105"/>
      <c r="BK508" s="105"/>
      <c r="BL508" s="105"/>
      <c r="BM508" s="105"/>
      <c r="BN508" s="105"/>
      <c r="BO508" s="105"/>
      <c r="BP508" s="105"/>
      <c r="BQ508" s="105"/>
      <c r="BR508" s="105"/>
      <c r="BS508" s="105"/>
      <c r="BT508" s="105"/>
      <c r="BU508" s="105"/>
      <c r="BV508" s="105"/>
      <c r="BW508" s="105"/>
      <c r="BX508" s="105"/>
      <c r="BY508" s="105"/>
      <c r="BZ508" s="105"/>
      <c r="CA508" s="105"/>
      <c r="CB508" s="105"/>
      <c r="CC508" s="105"/>
      <c r="CD508" s="105"/>
      <c r="CE508" s="105"/>
      <c r="CF508" s="105"/>
      <c r="CG508" s="105"/>
      <c r="CH508" s="105"/>
      <c r="CI508" s="105"/>
      <c r="CJ508" s="105"/>
      <c r="CK508" s="105"/>
      <c r="CL508" s="105"/>
      <c r="CM508" s="105"/>
      <c r="CN508" s="105"/>
      <c r="CO508" s="105"/>
      <c r="CP508" s="105"/>
      <c r="CQ508" s="105"/>
      <c r="CR508" s="105"/>
      <c r="CS508" s="105"/>
      <c r="CT508" s="105"/>
      <c r="CU508" s="105"/>
      <c r="CV508" s="105"/>
      <c r="CW508" s="105"/>
      <c r="CX508" s="105"/>
      <c r="CY508" s="105"/>
      <c r="CZ508" s="105"/>
      <c r="DA508" s="105"/>
      <c r="DB508" s="105"/>
      <c r="DC508" s="105"/>
      <c r="DD508" s="105"/>
      <c r="DE508" s="105"/>
      <c r="DF508" s="105"/>
      <c r="DG508" s="105"/>
      <c r="DH508" s="105"/>
      <c r="DI508" s="105"/>
      <c r="DJ508" s="105"/>
      <c r="DK508" s="105"/>
      <c r="DL508" s="105"/>
      <c r="DM508" s="105"/>
      <c r="DN508" s="105"/>
      <c r="DO508" s="105"/>
      <c r="DP508" s="105"/>
      <c r="DQ508" s="105"/>
      <c r="DR508" s="105"/>
      <c r="DS508" s="105"/>
      <c r="DT508" s="105"/>
      <c r="DU508" s="105"/>
      <c r="DV508" s="105"/>
      <c r="DW508" s="105"/>
      <c r="DX508" s="105"/>
      <c r="DY508" s="105"/>
      <c r="DZ508" s="105"/>
      <c r="EA508" s="105"/>
      <c r="EB508" s="105"/>
      <c r="EC508" s="105"/>
      <c r="ED508" s="105"/>
      <c r="EE508" s="105"/>
      <c r="EF508" s="105"/>
      <c r="EG508" s="105"/>
      <c r="EH508" s="105"/>
      <c r="EI508" s="105"/>
      <c r="EJ508" s="105"/>
      <c r="EK508" s="105"/>
      <c r="EL508" s="105"/>
      <c r="EM508" s="105"/>
      <c r="EN508" s="105"/>
      <c r="EO508" s="105"/>
      <c r="EP508" s="105"/>
      <c r="EQ508" s="105"/>
      <c r="ER508" s="105"/>
      <c r="ES508" s="105"/>
      <c r="ET508" s="105"/>
      <c r="EU508" s="105"/>
      <c r="EV508" s="105"/>
      <c r="EW508" s="105"/>
      <c r="EX508" s="105"/>
      <c r="EY508" s="105"/>
      <c r="EZ508" s="105"/>
      <c r="FA508" s="105"/>
      <c r="FB508" s="105"/>
      <c r="FC508" s="105"/>
      <c r="FD508" s="105"/>
      <c r="FE508" s="105"/>
      <c r="FF508" s="105"/>
      <c r="FG508" s="105"/>
      <c r="FH508" s="105"/>
      <c r="FI508" s="105"/>
      <c r="FJ508" s="105"/>
      <c r="FK508" s="105"/>
      <c r="FL508" s="105"/>
      <c r="FM508" s="105"/>
      <c r="FN508" s="105"/>
      <c r="FO508" s="105"/>
      <c r="FP508" s="105"/>
      <c r="FQ508" s="105"/>
      <c r="FR508" s="105"/>
      <c r="FS508" s="105"/>
      <c r="FT508" s="105"/>
      <c r="FU508" s="105"/>
      <c r="FV508" s="105"/>
      <c r="FW508" s="105"/>
      <c r="FX508" s="105"/>
      <c r="FY508" s="105"/>
      <c r="FZ508" s="105"/>
      <c r="GA508" s="105"/>
      <c r="GB508" s="105"/>
      <c r="GC508" s="105"/>
      <c r="GD508" s="105"/>
      <c r="GE508" s="105"/>
      <c r="GF508" s="105"/>
      <c r="GG508" s="105"/>
      <c r="GH508" s="105"/>
      <c r="GI508" s="105"/>
      <c r="GJ508" s="105"/>
      <c r="GK508" s="105"/>
      <c r="GL508" s="105"/>
      <c r="GM508" s="105"/>
      <c r="GN508" s="105"/>
      <c r="GO508" s="105"/>
      <c r="GP508" s="105"/>
      <c r="GQ508" s="105"/>
      <c r="GR508" s="105"/>
      <c r="GS508" s="105"/>
      <c r="GT508" s="105"/>
      <c r="GU508" s="105"/>
      <c r="GV508" s="105"/>
      <c r="GW508" s="105"/>
      <c r="GX508" s="105"/>
      <c r="GY508" s="105"/>
      <c r="GZ508" s="105"/>
      <c r="HA508" s="105"/>
      <c r="HB508" s="105"/>
      <c r="HC508" s="105"/>
      <c r="HD508" s="105"/>
      <c r="HE508" s="105"/>
      <c r="HF508" s="105"/>
      <c r="HG508" s="105"/>
      <c r="HH508" s="105"/>
      <c r="HI508" s="105"/>
      <c r="HJ508" s="105"/>
      <c r="HK508" s="105"/>
      <c r="HL508" s="105"/>
      <c r="HM508" s="105"/>
      <c r="HN508" s="105"/>
      <c r="HO508" s="105"/>
      <c r="HP508" s="105"/>
      <c r="HQ508" s="105"/>
      <c r="HR508" s="105"/>
      <c r="HS508" s="105"/>
      <c r="HT508" s="105"/>
      <c r="HU508" s="105"/>
      <c r="HV508" s="105"/>
      <c r="HW508" s="105"/>
      <c r="HX508" s="105"/>
      <c r="HY508" s="105"/>
      <c r="HZ508" s="105"/>
      <c r="IA508" s="105"/>
      <c r="IB508" s="105"/>
      <c r="IC508" s="105"/>
      <c r="ID508" s="105"/>
      <c r="IE508" s="105"/>
      <c r="IF508" s="105"/>
      <c r="IG508" s="105"/>
      <c r="IH508" s="105"/>
      <c r="II508" s="105"/>
      <c r="IJ508" s="105"/>
      <c r="IK508" s="105"/>
      <c r="IL508" s="105"/>
      <c r="IM508" s="105"/>
      <c r="IN508" s="105"/>
      <c r="IO508" s="105"/>
      <c r="IP508" s="105"/>
      <c r="IQ508" s="105"/>
      <c r="IR508" s="105"/>
      <c r="IS508" s="105"/>
      <c r="IT508" s="105"/>
      <c r="IU508" s="105"/>
      <c r="IV508" s="105"/>
    </row>
    <row r="509" spans="1:256" s="418" customFormat="1" ht="13.5" customHeight="1" x14ac:dyDescent="0.2">
      <c r="A509" s="37">
        <v>44718</v>
      </c>
      <c r="B509" s="38" t="s">
        <v>433</v>
      </c>
      <c r="C509" s="38">
        <v>2022</v>
      </c>
      <c r="D509" s="38" t="s">
        <v>2</v>
      </c>
      <c r="E509" s="177">
        <v>-0.48599999999999999</v>
      </c>
      <c r="F509" s="177" t="s">
        <v>32</v>
      </c>
      <c r="G509" s="305">
        <v>46170</v>
      </c>
      <c r="H509" s="177">
        <v>314</v>
      </c>
      <c r="I509" s="177" t="s">
        <v>80</v>
      </c>
      <c r="J509" s="177" t="s">
        <v>38</v>
      </c>
      <c r="K509" s="177">
        <v>0.20899999999999999</v>
      </c>
      <c r="L509" s="177" t="s">
        <v>1139</v>
      </c>
      <c r="M509" s="177" t="s">
        <v>1140</v>
      </c>
      <c r="N509" s="70" t="s">
        <v>1141</v>
      </c>
      <c r="O509" s="38"/>
      <c r="P509" s="38" t="s">
        <v>227</v>
      </c>
      <c r="Q509" s="760">
        <v>41.428739999999998</v>
      </c>
      <c r="R509" s="590">
        <v>-87.508480000000006</v>
      </c>
      <c r="S509" s="38" t="s">
        <v>62</v>
      </c>
      <c r="T509" s="38"/>
      <c r="U509" s="38" t="s">
        <v>51</v>
      </c>
      <c r="V509" s="37"/>
      <c r="W509" s="39">
        <f>IF(AC509="Intr",0,G509*Definitions!$B$53)</f>
        <v>6925.5</v>
      </c>
      <c r="X509" s="39">
        <f>IF(AC509="Intr",0,G509*Definitions!$B$54)</f>
        <v>32318.999999999996</v>
      </c>
      <c r="Y509" s="39">
        <f>IF(AC509="Intr",G509,G509*Definitions!$B$55)</f>
        <v>6925.5</v>
      </c>
      <c r="Z509" s="39" t="s">
        <v>967</v>
      </c>
      <c r="AA509" s="39" t="s">
        <v>965</v>
      </c>
      <c r="AB509" s="39"/>
      <c r="AC509" s="38"/>
      <c r="AD509" s="38"/>
      <c r="AE509" s="38"/>
      <c r="AF509" s="38"/>
      <c r="AG509" s="40"/>
      <c r="AH509" s="72" t="s">
        <v>1142</v>
      </c>
      <c r="AI509" s="105"/>
      <c r="AJ509" s="105"/>
      <c r="AK509" s="105"/>
      <c r="AL509" s="105"/>
      <c r="AM509" s="105"/>
      <c r="AN509" s="105"/>
      <c r="AO509" s="105"/>
      <c r="AP509" s="105"/>
      <c r="AQ509" s="105"/>
      <c r="AR509" s="105"/>
      <c r="AS509" s="105"/>
      <c r="AT509" s="105"/>
      <c r="AU509" s="105"/>
      <c r="AV509" s="105"/>
      <c r="AW509" s="105"/>
      <c r="AX509" s="105"/>
      <c r="AY509" s="105"/>
      <c r="AZ509" s="105"/>
      <c r="BA509" s="105"/>
      <c r="BB509" s="105"/>
      <c r="BC509" s="105"/>
      <c r="BD509" s="105"/>
      <c r="BE509" s="105"/>
      <c r="BF509" s="105"/>
      <c r="BG509" s="105"/>
      <c r="BH509" s="105"/>
      <c r="BI509" s="105"/>
      <c r="BJ509" s="105"/>
      <c r="BK509" s="105"/>
      <c r="BL509" s="105"/>
      <c r="BM509" s="105"/>
      <c r="BN509" s="105"/>
      <c r="BO509" s="105"/>
      <c r="BP509" s="105"/>
      <c r="BQ509" s="105"/>
      <c r="BR509" s="105"/>
      <c r="BS509" s="105"/>
      <c r="BT509" s="105"/>
      <c r="BU509" s="105"/>
      <c r="BV509" s="105"/>
      <c r="BW509" s="105"/>
      <c r="BX509" s="105"/>
      <c r="BY509" s="105"/>
      <c r="BZ509" s="105"/>
      <c r="CA509" s="105"/>
      <c r="CB509" s="105"/>
      <c r="CC509" s="105"/>
      <c r="CD509" s="105"/>
      <c r="CE509" s="105"/>
      <c r="CF509" s="105"/>
      <c r="CG509" s="105"/>
      <c r="CH509" s="105"/>
      <c r="CI509" s="105"/>
      <c r="CJ509" s="105"/>
      <c r="CK509" s="105"/>
      <c r="CL509" s="105"/>
      <c r="CM509" s="105"/>
      <c r="CN509" s="105"/>
      <c r="CO509" s="105"/>
      <c r="CP509" s="105"/>
      <c r="CQ509" s="105"/>
      <c r="CR509" s="105"/>
      <c r="CS509" s="105"/>
      <c r="CT509" s="105"/>
      <c r="CU509" s="105"/>
      <c r="CV509" s="105"/>
      <c r="CW509" s="105"/>
      <c r="CX509" s="105"/>
      <c r="CY509" s="105"/>
      <c r="CZ509" s="105"/>
      <c r="DA509" s="105"/>
      <c r="DB509" s="105"/>
      <c r="DC509" s="105"/>
      <c r="DD509" s="105"/>
      <c r="DE509" s="105"/>
      <c r="DF509" s="105"/>
      <c r="DG509" s="105"/>
      <c r="DH509" s="105"/>
      <c r="DI509" s="105"/>
      <c r="DJ509" s="105"/>
      <c r="DK509" s="105"/>
      <c r="DL509" s="105"/>
      <c r="DM509" s="105"/>
      <c r="DN509" s="105"/>
      <c r="DO509" s="105"/>
      <c r="DP509" s="105"/>
      <c r="DQ509" s="105"/>
      <c r="DR509" s="105"/>
      <c r="DS509" s="105"/>
      <c r="DT509" s="105"/>
      <c r="DU509" s="105"/>
      <c r="DV509" s="105"/>
      <c r="DW509" s="105"/>
      <c r="DX509" s="105"/>
      <c r="DY509" s="105"/>
      <c r="DZ509" s="105"/>
      <c r="EA509" s="105"/>
      <c r="EB509" s="105"/>
      <c r="EC509" s="105"/>
      <c r="ED509" s="105"/>
      <c r="EE509" s="105"/>
      <c r="EF509" s="105"/>
      <c r="EG509" s="105"/>
      <c r="EH509" s="105"/>
      <c r="EI509" s="105"/>
      <c r="EJ509" s="105"/>
      <c r="EK509" s="105"/>
      <c r="EL509" s="105"/>
      <c r="EM509" s="105"/>
      <c r="EN509" s="105"/>
      <c r="EO509" s="105"/>
      <c r="EP509" s="105"/>
      <c r="EQ509" s="105"/>
      <c r="ER509" s="105"/>
      <c r="ES509" s="105"/>
      <c r="ET509" s="105"/>
      <c r="EU509" s="105"/>
      <c r="EV509" s="105"/>
      <c r="EW509" s="105"/>
      <c r="EX509" s="105"/>
      <c r="EY509" s="105"/>
      <c r="EZ509" s="105"/>
      <c r="FA509" s="105"/>
      <c r="FB509" s="105"/>
      <c r="FC509" s="105"/>
      <c r="FD509" s="105"/>
      <c r="FE509" s="105"/>
      <c r="FF509" s="105"/>
      <c r="FG509" s="105"/>
      <c r="FH509" s="105"/>
      <c r="FI509" s="105"/>
      <c r="FJ509" s="105"/>
      <c r="FK509" s="105"/>
      <c r="FL509" s="105"/>
      <c r="FM509" s="105"/>
      <c r="FN509" s="105"/>
      <c r="FO509" s="105"/>
      <c r="FP509" s="105"/>
      <c r="FQ509" s="105"/>
      <c r="FR509" s="105"/>
      <c r="FS509" s="105"/>
      <c r="FT509" s="105"/>
      <c r="FU509" s="105"/>
      <c r="FV509" s="105"/>
      <c r="FW509" s="105"/>
      <c r="FX509" s="105"/>
      <c r="FY509" s="105"/>
      <c r="FZ509" s="105"/>
      <c r="GA509" s="105"/>
      <c r="GB509" s="105"/>
      <c r="GC509" s="105"/>
      <c r="GD509" s="105"/>
      <c r="GE509" s="105"/>
      <c r="GF509" s="105"/>
      <c r="GG509" s="105"/>
      <c r="GH509" s="105"/>
      <c r="GI509" s="105"/>
      <c r="GJ509" s="105"/>
      <c r="GK509" s="105"/>
      <c r="GL509" s="105"/>
      <c r="GM509" s="105"/>
      <c r="GN509" s="105"/>
      <c r="GO509" s="105"/>
      <c r="GP509" s="105"/>
      <c r="GQ509" s="105"/>
      <c r="GR509" s="105"/>
      <c r="GS509" s="105"/>
      <c r="GT509" s="105"/>
      <c r="GU509" s="105"/>
      <c r="GV509" s="105"/>
      <c r="GW509" s="105"/>
      <c r="GX509" s="105"/>
      <c r="GY509" s="105"/>
      <c r="GZ509" s="105"/>
      <c r="HA509" s="105"/>
      <c r="HB509" s="105"/>
      <c r="HC509" s="105"/>
      <c r="HD509" s="105"/>
      <c r="HE509" s="105"/>
      <c r="HF509" s="105"/>
      <c r="HG509" s="105"/>
      <c r="HH509" s="105"/>
      <c r="HI509" s="105"/>
      <c r="HJ509" s="105"/>
      <c r="HK509" s="105"/>
      <c r="HL509" s="105"/>
      <c r="HM509" s="105"/>
      <c r="HN509" s="105"/>
      <c r="HO509" s="105"/>
      <c r="HP509" s="105"/>
      <c r="HQ509" s="105"/>
      <c r="HR509" s="105"/>
      <c r="HS509" s="105"/>
      <c r="HT509" s="105"/>
      <c r="HU509" s="105"/>
      <c r="HV509" s="105"/>
      <c r="HW509" s="105"/>
      <c r="HX509" s="105"/>
      <c r="HY509" s="105"/>
      <c r="HZ509" s="105"/>
      <c r="IA509" s="105"/>
      <c r="IB509" s="105"/>
      <c r="IC509" s="105"/>
      <c r="ID509" s="105"/>
      <c r="IE509" s="105"/>
      <c r="IF509" s="105"/>
      <c r="IG509" s="105"/>
      <c r="IH509" s="105"/>
      <c r="II509" s="105"/>
      <c r="IJ509" s="105"/>
      <c r="IK509" s="105"/>
      <c r="IL509" s="105"/>
      <c r="IM509" s="105"/>
      <c r="IN509" s="105"/>
      <c r="IO509" s="105"/>
      <c r="IP509" s="105"/>
      <c r="IQ509" s="105"/>
      <c r="IR509" s="105"/>
      <c r="IS509" s="105"/>
      <c r="IT509" s="105"/>
      <c r="IU509" s="105"/>
      <c r="IV509" s="105"/>
    </row>
    <row r="510" spans="1:256" s="418" customFormat="1" x14ac:dyDescent="0.2">
      <c r="A510" s="348">
        <v>44718</v>
      </c>
      <c r="B510" s="349" t="s">
        <v>232</v>
      </c>
      <c r="C510" s="349">
        <v>2022</v>
      </c>
      <c r="D510" s="349" t="s">
        <v>11</v>
      </c>
      <c r="E510" s="350">
        <v>-0.93</v>
      </c>
      <c r="F510" s="350" t="s">
        <v>32</v>
      </c>
      <c r="G510" s="351">
        <v>74400</v>
      </c>
      <c r="H510" s="350">
        <v>101</v>
      </c>
      <c r="I510" s="350" t="s">
        <v>80</v>
      </c>
      <c r="J510" s="350" t="s">
        <v>36</v>
      </c>
      <c r="K510" s="350">
        <v>1.44</v>
      </c>
      <c r="L510" s="350" t="s">
        <v>1134</v>
      </c>
      <c r="M510" s="350" t="s">
        <v>1135</v>
      </c>
      <c r="N510" s="352" t="s">
        <v>1136</v>
      </c>
      <c r="O510" s="349" t="s">
        <v>1137</v>
      </c>
      <c r="P510" s="349" t="s">
        <v>526</v>
      </c>
      <c r="Q510" s="811">
        <v>38.162215000000003</v>
      </c>
      <c r="R510" s="706">
        <v>-86.951781999999994</v>
      </c>
      <c r="S510" s="349" t="s">
        <v>62</v>
      </c>
      <c r="T510" s="349"/>
      <c r="U510" s="38" t="s">
        <v>51</v>
      </c>
      <c r="V510" s="348"/>
      <c r="W510" s="353">
        <f>IF(AC510="Intr",0,G510*Definitions!$B$53)</f>
        <v>11160</v>
      </c>
      <c r="X510" s="353">
        <f>IF(AC510="Intr",0,G510*Definitions!$B$54)</f>
        <v>52080</v>
      </c>
      <c r="Y510" s="353">
        <f>IF(AC510="Intr",G510,G510*Definitions!$B$55)</f>
        <v>11160</v>
      </c>
      <c r="Z510" s="353" t="s">
        <v>966</v>
      </c>
      <c r="AA510" s="353" t="s">
        <v>965</v>
      </c>
      <c r="AB510" s="353"/>
      <c r="AC510" s="349"/>
      <c r="AD510" s="349"/>
      <c r="AE510" s="349"/>
      <c r="AF510" s="349"/>
      <c r="AG510" s="354"/>
      <c r="AH510" s="355" t="s">
        <v>1138</v>
      </c>
      <c r="AI510" s="105"/>
      <c r="AJ510" s="105"/>
      <c r="AK510" s="105"/>
      <c r="AL510" s="105"/>
      <c r="AM510" s="105"/>
      <c r="AN510" s="105"/>
      <c r="AO510" s="105"/>
      <c r="AP510" s="105"/>
      <c r="AQ510" s="105"/>
      <c r="AR510" s="105"/>
      <c r="AS510" s="105"/>
      <c r="AT510" s="105"/>
      <c r="AU510" s="105"/>
      <c r="AV510" s="105"/>
      <c r="AW510" s="105"/>
      <c r="AX510" s="105"/>
      <c r="AY510" s="105"/>
      <c r="AZ510" s="105"/>
      <c r="BA510" s="105"/>
      <c r="BB510" s="105"/>
      <c r="BC510" s="105"/>
      <c r="BD510" s="105"/>
      <c r="BE510" s="105"/>
      <c r="BF510" s="105"/>
      <c r="BG510" s="105"/>
      <c r="BH510" s="105"/>
      <c r="BI510" s="105"/>
      <c r="BJ510" s="105"/>
      <c r="BK510" s="105"/>
      <c r="BL510" s="105"/>
      <c r="BM510" s="105"/>
      <c r="BN510" s="105"/>
      <c r="BO510" s="105"/>
      <c r="BP510" s="105"/>
      <c r="BQ510" s="105"/>
      <c r="BR510" s="105"/>
      <c r="BS510" s="105"/>
      <c r="BT510" s="105"/>
      <c r="BU510" s="105"/>
      <c r="BV510" s="105"/>
      <c r="BW510" s="105"/>
      <c r="BX510" s="105"/>
      <c r="BY510" s="105"/>
      <c r="BZ510" s="105"/>
      <c r="CA510" s="105"/>
      <c r="CB510" s="105"/>
      <c r="CC510" s="105"/>
      <c r="CD510" s="105"/>
      <c r="CE510" s="105"/>
      <c r="CF510" s="105"/>
      <c r="CG510" s="105"/>
      <c r="CH510" s="105"/>
      <c r="CI510" s="105"/>
      <c r="CJ510" s="105"/>
      <c r="CK510" s="105"/>
      <c r="CL510" s="105"/>
      <c r="CM510" s="105"/>
      <c r="CN510" s="105"/>
      <c r="CO510" s="105"/>
      <c r="CP510" s="105"/>
      <c r="CQ510" s="105"/>
      <c r="CR510" s="105"/>
      <c r="CS510" s="105"/>
      <c r="CT510" s="105"/>
      <c r="CU510" s="105"/>
      <c r="CV510" s="105"/>
      <c r="CW510" s="105"/>
      <c r="CX510" s="105"/>
      <c r="CY510" s="105"/>
      <c r="CZ510" s="105"/>
      <c r="DA510" s="105"/>
      <c r="DB510" s="105"/>
      <c r="DC510" s="105"/>
      <c r="DD510" s="105"/>
      <c r="DE510" s="105"/>
      <c r="DF510" s="105"/>
      <c r="DG510" s="105"/>
      <c r="DH510" s="105"/>
      <c r="DI510" s="105"/>
      <c r="DJ510" s="105"/>
      <c r="DK510" s="105"/>
      <c r="DL510" s="105"/>
      <c r="DM510" s="105"/>
      <c r="DN510" s="105"/>
      <c r="DO510" s="105"/>
      <c r="DP510" s="105"/>
      <c r="DQ510" s="105"/>
      <c r="DR510" s="105"/>
      <c r="DS510" s="105"/>
      <c r="DT510" s="105"/>
      <c r="DU510" s="105"/>
      <c r="DV510" s="105"/>
      <c r="DW510" s="105"/>
      <c r="DX510" s="105"/>
      <c r="DY510" s="105"/>
      <c r="DZ510" s="105"/>
      <c r="EA510" s="105"/>
      <c r="EB510" s="105"/>
      <c r="EC510" s="105"/>
      <c r="ED510" s="105"/>
      <c r="EE510" s="105"/>
      <c r="EF510" s="105"/>
      <c r="EG510" s="105"/>
      <c r="EH510" s="105"/>
      <c r="EI510" s="105"/>
      <c r="EJ510" s="105"/>
      <c r="EK510" s="105"/>
      <c r="EL510" s="105"/>
      <c r="EM510" s="105"/>
      <c r="EN510" s="105"/>
      <c r="EO510" s="105"/>
      <c r="EP510" s="105"/>
      <c r="EQ510" s="105"/>
      <c r="ER510" s="105"/>
      <c r="ES510" s="105"/>
      <c r="ET510" s="105"/>
      <c r="EU510" s="105"/>
      <c r="EV510" s="105"/>
      <c r="EW510" s="105"/>
      <c r="EX510" s="105"/>
      <c r="EY510" s="105"/>
      <c r="EZ510" s="105"/>
      <c r="FA510" s="105"/>
      <c r="FB510" s="105"/>
      <c r="FC510" s="105"/>
      <c r="FD510" s="105"/>
      <c r="FE510" s="105"/>
      <c r="FF510" s="105"/>
      <c r="FG510" s="105"/>
      <c r="FH510" s="105"/>
      <c r="FI510" s="105"/>
      <c r="FJ510" s="105"/>
      <c r="FK510" s="105"/>
      <c r="FL510" s="105"/>
      <c r="FM510" s="105"/>
      <c r="FN510" s="105"/>
      <c r="FO510" s="105"/>
      <c r="FP510" s="105"/>
      <c r="FQ510" s="105"/>
      <c r="FR510" s="105"/>
      <c r="FS510" s="105"/>
      <c r="FT510" s="105"/>
      <c r="FU510" s="105"/>
      <c r="FV510" s="105"/>
      <c r="FW510" s="105"/>
      <c r="FX510" s="105"/>
      <c r="FY510" s="105"/>
      <c r="FZ510" s="105"/>
      <c r="GA510" s="105"/>
      <c r="GB510" s="105"/>
      <c r="GC510" s="105"/>
      <c r="GD510" s="105"/>
      <c r="GE510" s="105"/>
      <c r="GF510" s="105"/>
      <c r="GG510" s="105"/>
      <c r="GH510" s="105"/>
      <c r="GI510" s="105"/>
      <c r="GJ510" s="105"/>
      <c r="GK510" s="105"/>
      <c r="GL510" s="105"/>
      <c r="GM510" s="105"/>
      <c r="GN510" s="105"/>
      <c r="GO510" s="105"/>
      <c r="GP510" s="105"/>
      <c r="GQ510" s="105"/>
      <c r="GR510" s="105"/>
      <c r="GS510" s="105"/>
      <c r="GT510" s="105"/>
      <c r="GU510" s="105"/>
      <c r="GV510" s="105"/>
      <c r="GW510" s="105"/>
      <c r="GX510" s="105"/>
      <c r="GY510" s="105"/>
      <c r="GZ510" s="105"/>
      <c r="HA510" s="105"/>
      <c r="HB510" s="105"/>
      <c r="HC510" s="105"/>
      <c r="HD510" s="105"/>
      <c r="HE510" s="105"/>
      <c r="HF510" s="105"/>
      <c r="HG510" s="105"/>
      <c r="HH510" s="105"/>
      <c r="HI510" s="105"/>
      <c r="HJ510" s="105"/>
      <c r="HK510" s="105"/>
      <c r="HL510" s="105"/>
      <c r="HM510" s="105"/>
      <c r="HN510" s="105"/>
      <c r="HO510" s="105"/>
      <c r="HP510" s="105"/>
      <c r="HQ510" s="105"/>
      <c r="HR510" s="105"/>
      <c r="HS510" s="105"/>
      <c r="HT510" s="105"/>
      <c r="HU510" s="105"/>
      <c r="HV510" s="105"/>
      <c r="HW510" s="105"/>
      <c r="HX510" s="105"/>
      <c r="HY510" s="105"/>
      <c r="HZ510" s="105"/>
      <c r="IA510" s="105"/>
      <c r="IB510" s="105"/>
      <c r="IC510" s="105"/>
      <c r="ID510" s="105"/>
      <c r="IE510" s="105"/>
      <c r="IF510" s="105"/>
      <c r="IG510" s="105"/>
      <c r="IH510" s="105"/>
      <c r="II510" s="105"/>
      <c r="IJ510" s="105"/>
      <c r="IK510" s="105"/>
      <c r="IL510" s="105"/>
      <c r="IM510" s="105"/>
      <c r="IN510" s="105"/>
      <c r="IO510" s="105"/>
      <c r="IP510" s="105"/>
      <c r="IQ510" s="105"/>
      <c r="IR510" s="105"/>
      <c r="IS510" s="105"/>
      <c r="IT510" s="105"/>
      <c r="IU510" s="105"/>
      <c r="IV510" s="105"/>
    </row>
    <row r="511" spans="1:256" s="418" customFormat="1" x14ac:dyDescent="0.2">
      <c r="A511" s="37">
        <v>44718</v>
      </c>
      <c r="B511" s="38" t="s">
        <v>433</v>
      </c>
      <c r="C511" s="38">
        <v>2022</v>
      </c>
      <c r="D511" s="38" t="s">
        <v>7</v>
      </c>
      <c r="E511" s="177">
        <v>-0.68</v>
      </c>
      <c r="F511" s="177" t="s">
        <v>32</v>
      </c>
      <c r="G511" s="305">
        <v>54400.000000000007</v>
      </c>
      <c r="H511" s="177">
        <v>309</v>
      </c>
      <c r="I511" s="177" t="s">
        <v>81</v>
      </c>
      <c r="J511" s="177" t="s">
        <v>38</v>
      </c>
      <c r="K511" s="177">
        <v>0.34</v>
      </c>
      <c r="L511" s="177" t="s">
        <v>1148</v>
      </c>
      <c r="M511" s="177" t="s">
        <v>103</v>
      </c>
      <c r="N511" s="70" t="s">
        <v>1149</v>
      </c>
      <c r="O511" s="38"/>
      <c r="P511" s="38" t="s">
        <v>162</v>
      </c>
      <c r="Q511" s="760">
        <v>39.802050999999999</v>
      </c>
      <c r="R511" s="590">
        <v>-86.352631000000002</v>
      </c>
      <c r="S511" s="38" t="s">
        <v>61</v>
      </c>
      <c r="T511" s="38"/>
      <c r="U511" s="38" t="s">
        <v>51</v>
      </c>
      <c r="V511" s="37"/>
      <c r="W511" s="39">
        <f>IF(AC511="Intr",0,G511*Definitions!$B$53)</f>
        <v>8160.0000000000009</v>
      </c>
      <c r="X511" s="39">
        <f>IF(AC511="Intr",0,G511*Definitions!$B$54)</f>
        <v>38080</v>
      </c>
      <c r="Y511" s="39">
        <f>IF(AC511="Intr",G511,G511*Definitions!$B$55)</f>
        <v>8160.0000000000009</v>
      </c>
      <c r="Z511" s="39" t="s">
        <v>966</v>
      </c>
      <c r="AA511" s="39" t="s">
        <v>1150</v>
      </c>
      <c r="AB511" s="39" t="s">
        <v>1245</v>
      </c>
      <c r="AC511" s="38"/>
      <c r="AD511" s="38"/>
      <c r="AE511" s="38"/>
      <c r="AF511" s="38"/>
      <c r="AG511" s="40"/>
      <c r="AH511" s="72"/>
      <c r="AI511" s="105"/>
      <c r="AJ511" s="105"/>
      <c r="AK511" s="105"/>
      <c r="AL511" s="105"/>
      <c r="AM511" s="105"/>
      <c r="AN511" s="105"/>
      <c r="AO511" s="105"/>
      <c r="AP511" s="105"/>
      <c r="AQ511" s="105"/>
      <c r="AR511" s="105"/>
      <c r="AS511" s="105"/>
      <c r="AT511" s="105"/>
      <c r="AU511" s="105"/>
      <c r="AV511" s="105"/>
      <c r="AW511" s="105"/>
      <c r="AX511" s="105"/>
      <c r="AY511" s="105"/>
      <c r="AZ511" s="105"/>
      <c r="BA511" s="105"/>
      <c r="BB511" s="105"/>
      <c r="BC511" s="105"/>
      <c r="BD511" s="105"/>
      <c r="BE511" s="105"/>
      <c r="BF511" s="105"/>
      <c r="BG511" s="105"/>
      <c r="BH511" s="105"/>
      <c r="BI511" s="105"/>
      <c r="BJ511" s="105"/>
      <c r="BK511" s="105"/>
      <c r="BL511" s="105"/>
      <c r="BM511" s="105"/>
      <c r="BN511" s="105"/>
      <c r="BO511" s="105"/>
      <c r="BP511" s="105"/>
      <c r="BQ511" s="105"/>
      <c r="BR511" s="105"/>
      <c r="BS511" s="105"/>
      <c r="BT511" s="105"/>
      <c r="BU511" s="105"/>
      <c r="BV511" s="105"/>
      <c r="BW511" s="105"/>
      <c r="BX511" s="105"/>
      <c r="BY511" s="105"/>
      <c r="BZ511" s="105"/>
      <c r="CA511" s="105"/>
      <c r="CB511" s="105"/>
      <c r="CC511" s="105"/>
      <c r="CD511" s="105"/>
      <c r="CE511" s="105"/>
      <c r="CF511" s="105"/>
      <c r="CG511" s="105"/>
      <c r="CH511" s="105"/>
      <c r="CI511" s="105"/>
      <c r="CJ511" s="105"/>
      <c r="CK511" s="105"/>
      <c r="CL511" s="105"/>
      <c r="CM511" s="105"/>
      <c r="CN511" s="105"/>
      <c r="CO511" s="105"/>
      <c r="CP511" s="105"/>
      <c r="CQ511" s="105"/>
      <c r="CR511" s="105"/>
      <c r="CS511" s="105"/>
      <c r="CT511" s="105"/>
      <c r="CU511" s="105"/>
      <c r="CV511" s="105"/>
      <c r="CW511" s="105"/>
      <c r="CX511" s="105"/>
      <c r="CY511" s="105"/>
      <c r="CZ511" s="105"/>
      <c r="DA511" s="105"/>
      <c r="DB511" s="105"/>
      <c r="DC511" s="105"/>
      <c r="DD511" s="105"/>
      <c r="DE511" s="105"/>
      <c r="DF511" s="105"/>
      <c r="DG511" s="105"/>
      <c r="DH511" s="105"/>
      <c r="DI511" s="105"/>
      <c r="DJ511" s="105"/>
      <c r="DK511" s="105"/>
      <c r="DL511" s="105"/>
      <c r="DM511" s="105"/>
      <c r="DN511" s="105"/>
      <c r="DO511" s="105"/>
      <c r="DP511" s="105"/>
      <c r="DQ511" s="105"/>
      <c r="DR511" s="105"/>
      <c r="DS511" s="105"/>
      <c r="DT511" s="105"/>
      <c r="DU511" s="105"/>
      <c r="DV511" s="105"/>
      <c r="DW511" s="105"/>
      <c r="DX511" s="105"/>
      <c r="DY511" s="105"/>
      <c r="DZ511" s="105"/>
      <c r="EA511" s="105"/>
      <c r="EB511" s="105"/>
      <c r="EC511" s="105"/>
      <c r="ED511" s="105"/>
      <c r="EE511" s="105"/>
      <c r="EF511" s="105"/>
      <c r="EG511" s="105"/>
      <c r="EH511" s="105"/>
      <c r="EI511" s="105"/>
      <c r="EJ511" s="105"/>
      <c r="EK511" s="105"/>
      <c r="EL511" s="105"/>
      <c r="EM511" s="105"/>
      <c r="EN511" s="105"/>
      <c r="EO511" s="105"/>
      <c r="EP511" s="105"/>
      <c r="EQ511" s="105"/>
      <c r="ER511" s="105"/>
      <c r="ES511" s="105"/>
      <c r="ET511" s="105"/>
      <c r="EU511" s="105"/>
      <c r="EV511" s="105"/>
      <c r="EW511" s="105"/>
      <c r="EX511" s="105"/>
      <c r="EY511" s="105"/>
      <c r="EZ511" s="105"/>
      <c r="FA511" s="105"/>
      <c r="FB511" s="105"/>
      <c r="FC511" s="105"/>
      <c r="FD511" s="105"/>
      <c r="FE511" s="105"/>
      <c r="FF511" s="105"/>
      <c r="FG511" s="105"/>
      <c r="FH511" s="105"/>
      <c r="FI511" s="105"/>
      <c r="FJ511" s="105"/>
      <c r="FK511" s="105"/>
      <c r="FL511" s="105"/>
      <c r="FM511" s="105"/>
      <c r="FN511" s="105"/>
      <c r="FO511" s="105"/>
      <c r="FP511" s="105"/>
      <c r="FQ511" s="105"/>
      <c r="FR511" s="105"/>
      <c r="FS511" s="105"/>
      <c r="FT511" s="105"/>
      <c r="FU511" s="105"/>
      <c r="FV511" s="105"/>
      <c r="FW511" s="105"/>
      <c r="FX511" s="105"/>
      <c r="FY511" s="105"/>
      <c r="FZ511" s="105"/>
      <c r="GA511" s="105"/>
      <c r="GB511" s="105"/>
      <c r="GC511" s="105"/>
      <c r="GD511" s="105"/>
      <c r="GE511" s="105"/>
      <c r="GF511" s="105"/>
      <c r="GG511" s="105"/>
      <c r="GH511" s="105"/>
      <c r="GI511" s="105"/>
      <c r="GJ511" s="105"/>
      <c r="GK511" s="105"/>
      <c r="GL511" s="105"/>
      <c r="GM511" s="105"/>
      <c r="GN511" s="105"/>
      <c r="GO511" s="105"/>
      <c r="GP511" s="105"/>
      <c r="GQ511" s="105"/>
      <c r="GR511" s="105"/>
      <c r="GS511" s="105"/>
      <c r="GT511" s="105"/>
      <c r="GU511" s="105"/>
      <c r="GV511" s="105"/>
      <c r="GW511" s="105"/>
      <c r="GX511" s="105"/>
      <c r="GY511" s="105"/>
      <c r="GZ511" s="105"/>
      <c r="HA511" s="105"/>
      <c r="HB511" s="105"/>
      <c r="HC511" s="105"/>
      <c r="HD511" s="105"/>
      <c r="HE511" s="105"/>
      <c r="HF511" s="105"/>
      <c r="HG511" s="105"/>
      <c r="HH511" s="105"/>
      <c r="HI511" s="105"/>
      <c r="HJ511" s="105"/>
      <c r="HK511" s="105"/>
      <c r="HL511" s="105"/>
      <c r="HM511" s="105"/>
      <c r="HN511" s="105"/>
      <c r="HO511" s="105"/>
      <c r="HP511" s="105"/>
      <c r="HQ511" s="105"/>
      <c r="HR511" s="105"/>
      <c r="HS511" s="105"/>
      <c r="HT511" s="105"/>
      <c r="HU511" s="105"/>
      <c r="HV511" s="105"/>
      <c r="HW511" s="105"/>
      <c r="HX511" s="105"/>
      <c r="HY511" s="105"/>
      <c r="HZ511" s="105"/>
      <c r="IA511" s="105"/>
      <c r="IB511" s="105"/>
      <c r="IC511" s="105"/>
      <c r="ID511" s="105"/>
      <c r="IE511" s="105"/>
      <c r="IF511" s="105"/>
      <c r="IG511" s="105"/>
      <c r="IH511" s="105"/>
      <c r="II511" s="105"/>
      <c r="IJ511" s="105"/>
      <c r="IK511" s="105"/>
      <c r="IL511" s="105"/>
      <c r="IM511" s="105"/>
      <c r="IN511" s="105"/>
      <c r="IO511" s="105"/>
      <c r="IP511" s="105"/>
      <c r="IQ511" s="105"/>
      <c r="IR511" s="105"/>
      <c r="IS511" s="105"/>
      <c r="IT511" s="105"/>
      <c r="IU511" s="105"/>
      <c r="IV511" s="105"/>
    </row>
    <row r="512" spans="1:256" s="418" customFormat="1" x14ac:dyDescent="0.2">
      <c r="A512" s="45">
        <v>44718</v>
      </c>
      <c r="B512" s="46" t="s">
        <v>433</v>
      </c>
      <c r="C512" s="46">
        <v>2022</v>
      </c>
      <c r="D512" s="46" t="s">
        <v>8</v>
      </c>
      <c r="E512" s="181">
        <v>-0.28000000000000003</v>
      </c>
      <c r="F512" s="181" t="s">
        <v>32</v>
      </c>
      <c r="G512" s="429">
        <v>22400.000000000004</v>
      </c>
      <c r="H512" s="181" t="s">
        <v>1143</v>
      </c>
      <c r="I512" s="181" t="s">
        <v>80</v>
      </c>
      <c r="J512" s="181" t="s">
        <v>36</v>
      </c>
      <c r="K512" s="181">
        <v>0.14000000000000001</v>
      </c>
      <c r="L512" s="181" t="s">
        <v>376</v>
      </c>
      <c r="M512" s="181" t="s">
        <v>1144</v>
      </c>
      <c r="N512" s="76" t="s">
        <v>1145</v>
      </c>
      <c r="O512" s="46"/>
      <c r="P512" s="46" t="s">
        <v>143</v>
      </c>
      <c r="Q512" s="761">
        <v>39.743665</v>
      </c>
      <c r="R512" s="660">
        <v>-85.971991000000003</v>
      </c>
      <c r="S512" s="46" t="s">
        <v>61</v>
      </c>
      <c r="T512" s="46"/>
      <c r="U512" s="38" t="s">
        <v>51</v>
      </c>
      <c r="V512" s="45"/>
      <c r="W512" s="47">
        <f>IF(AC512="Intr",0,G512*Definitions!$B$53)</f>
        <v>3360.0000000000005</v>
      </c>
      <c r="X512" s="47">
        <f>IF(AC512="Intr",0,G512*Definitions!$B$54)</f>
        <v>15680.000000000002</v>
      </c>
      <c r="Y512" s="47">
        <f>IF(AC512="Intr",G512,G512*Definitions!$B$55)</f>
        <v>3360.0000000000005</v>
      </c>
      <c r="Z512" s="47" t="s">
        <v>966</v>
      </c>
      <c r="AA512" s="47" t="s">
        <v>965</v>
      </c>
      <c r="AB512" s="47"/>
      <c r="AC512" s="46"/>
      <c r="AD512" s="46"/>
      <c r="AE512" s="46"/>
      <c r="AF512" s="46"/>
      <c r="AG512" s="48"/>
      <c r="AH512" s="78" t="s">
        <v>879</v>
      </c>
      <c r="AI512" s="105"/>
      <c r="AJ512" s="105"/>
      <c r="AK512" s="105"/>
      <c r="AL512" s="105"/>
      <c r="AM512" s="105"/>
      <c r="AN512" s="105"/>
      <c r="AO512" s="105"/>
      <c r="AP512" s="105"/>
      <c r="AQ512" s="105"/>
      <c r="AR512" s="105"/>
      <c r="AS512" s="105"/>
      <c r="AT512" s="105"/>
      <c r="AU512" s="105"/>
      <c r="AV512" s="105"/>
      <c r="AW512" s="105"/>
      <c r="AX512" s="105"/>
      <c r="AY512" s="105"/>
      <c r="AZ512" s="105"/>
      <c r="BA512" s="105"/>
      <c r="BB512" s="105"/>
      <c r="BC512" s="105"/>
      <c r="BD512" s="105"/>
      <c r="BE512" s="105"/>
      <c r="BF512" s="105"/>
      <c r="BG512" s="105"/>
      <c r="BH512" s="105"/>
      <c r="BI512" s="105"/>
      <c r="BJ512" s="105"/>
      <c r="BK512" s="105"/>
      <c r="BL512" s="105"/>
      <c r="BM512" s="105"/>
      <c r="BN512" s="105"/>
      <c r="BO512" s="105"/>
      <c r="BP512" s="105"/>
      <c r="BQ512" s="105"/>
      <c r="BR512" s="105"/>
      <c r="BS512" s="105"/>
      <c r="BT512" s="105"/>
      <c r="BU512" s="105"/>
      <c r="BV512" s="105"/>
      <c r="BW512" s="105"/>
      <c r="BX512" s="105"/>
      <c r="BY512" s="105"/>
      <c r="BZ512" s="105"/>
      <c r="CA512" s="105"/>
      <c r="CB512" s="105"/>
      <c r="CC512" s="105"/>
      <c r="CD512" s="105"/>
      <c r="CE512" s="105"/>
      <c r="CF512" s="105"/>
      <c r="CG512" s="105"/>
      <c r="CH512" s="105"/>
      <c r="CI512" s="105"/>
      <c r="CJ512" s="105"/>
      <c r="CK512" s="105"/>
      <c r="CL512" s="105"/>
      <c r="CM512" s="105"/>
      <c r="CN512" s="105"/>
      <c r="CO512" s="105"/>
      <c r="CP512" s="105"/>
      <c r="CQ512" s="105"/>
      <c r="CR512" s="105"/>
      <c r="CS512" s="105"/>
      <c r="CT512" s="105"/>
      <c r="CU512" s="105"/>
      <c r="CV512" s="105"/>
      <c r="CW512" s="105"/>
      <c r="CX512" s="105"/>
      <c r="CY512" s="105"/>
      <c r="CZ512" s="105"/>
      <c r="DA512" s="105"/>
      <c r="DB512" s="105"/>
      <c r="DC512" s="105"/>
      <c r="DD512" s="105"/>
      <c r="DE512" s="105"/>
      <c r="DF512" s="105"/>
      <c r="DG512" s="105"/>
      <c r="DH512" s="105"/>
      <c r="DI512" s="105"/>
      <c r="DJ512" s="105"/>
      <c r="DK512" s="105"/>
      <c r="DL512" s="105"/>
      <c r="DM512" s="105"/>
      <c r="DN512" s="105"/>
      <c r="DO512" s="105"/>
      <c r="DP512" s="105"/>
      <c r="DQ512" s="105"/>
      <c r="DR512" s="105"/>
      <c r="DS512" s="105"/>
      <c r="DT512" s="105"/>
      <c r="DU512" s="105"/>
      <c r="DV512" s="105"/>
      <c r="DW512" s="105"/>
      <c r="DX512" s="105"/>
      <c r="DY512" s="105"/>
      <c r="DZ512" s="105"/>
      <c r="EA512" s="105"/>
      <c r="EB512" s="105"/>
      <c r="EC512" s="105"/>
      <c r="ED512" s="105"/>
      <c r="EE512" s="105"/>
      <c r="EF512" s="105"/>
      <c r="EG512" s="105"/>
      <c r="EH512" s="105"/>
      <c r="EI512" s="105"/>
      <c r="EJ512" s="105"/>
      <c r="EK512" s="105"/>
      <c r="EL512" s="105"/>
      <c r="EM512" s="105"/>
      <c r="EN512" s="105"/>
      <c r="EO512" s="105"/>
      <c r="EP512" s="105"/>
      <c r="EQ512" s="105"/>
      <c r="ER512" s="105"/>
      <c r="ES512" s="105"/>
      <c r="ET512" s="105"/>
      <c r="EU512" s="105"/>
      <c r="EV512" s="105"/>
      <c r="EW512" s="105"/>
      <c r="EX512" s="105"/>
      <c r="EY512" s="105"/>
      <c r="EZ512" s="105"/>
      <c r="FA512" s="105"/>
      <c r="FB512" s="105"/>
      <c r="FC512" s="105"/>
      <c r="FD512" s="105"/>
      <c r="FE512" s="105"/>
      <c r="FF512" s="105"/>
      <c r="FG512" s="105"/>
      <c r="FH512" s="105"/>
      <c r="FI512" s="105"/>
      <c r="FJ512" s="105"/>
      <c r="FK512" s="105"/>
      <c r="FL512" s="105"/>
      <c r="FM512" s="105"/>
      <c r="FN512" s="105"/>
      <c r="FO512" s="105"/>
      <c r="FP512" s="105"/>
      <c r="FQ512" s="105"/>
      <c r="FR512" s="105"/>
      <c r="FS512" s="105"/>
      <c r="FT512" s="105"/>
      <c r="FU512" s="105"/>
      <c r="FV512" s="105"/>
      <c r="FW512" s="105"/>
      <c r="FX512" s="105"/>
      <c r="FY512" s="105"/>
      <c r="FZ512" s="105"/>
      <c r="GA512" s="105"/>
      <c r="GB512" s="105"/>
      <c r="GC512" s="105"/>
      <c r="GD512" s="105"/>
      <c r="GE512" s="105"/>
      <c r="GF512" s="105"/>
      <c r="GG512" s="105"/>
      <c r="GH512" s="105"/>
      <c r="GI512" s="105"/>
      <c r="GJ512" s="105"/>
      <c r="GK512" s="105"/>
      <c r="GL512" s="105"/>
      <c r="GM512" s="105"/>
      <c r="GN512" s="105"/>
      <c r="GO512" s="105"/>
      <c r="GP512" s="105"/>
      <c r="GQ512" s="105"/>
      <c r="GR512" s="105"/>
      <c r="GS512" s="105"/>
      <c r="GT512" s="105"/>
      <c r="GU512" s="105"/>
      <c r="GV512" s="105"/>
      <c r="GW512" s="105"/>
      <c r="GX512" s="105"/>
      <c r="GY512" s="105"/>
      <c r="GZ512" s="105"/>
      <c r="HA512" s="105"/>
      <c r="HB512" s="105"/>
      <c r="HC512" s="105"/>
      <c r="HD512" s="105"/>
      <c r="HE512" s="105"/>
      <c r="HF512" s="105"/>
      <c r="HG512" s="105"/>
      <c r="HH512" s="105"/>
      <c r="HI512" s="105"/>
      <c r="HJ512" s="105"/>
      <c r="HK512" s="105"/>
      <c r="HL512" s="105"/>
      <c r="HM512" s="105"/>
      <c r="HN512" s="105"/>
      <c r="HO512" s="105"/>
      <c r="HP512" s="105"/>
      <c r="HQ512" s="105"/>
      <c r="HR512" s="105"/>
      <c r="HS512" s="105"/>
      <c r="HT512" s="105"/>
      <c r="HU512" s="105"/>
      <c r="HV512" s="105"/>
      <c r="HW512" s="105"/>
      <c r="HX512" s="105"/>
      <c r="HY512" s="105"/>
      <c r="HZ512" s="105"/>
      <c r="IA512" s="105"/>
      <c r="IB512" s="105"/>
      <c r="IC512" s="105"/>
      <c r="ID512" s="105"/>
      <c r="IE512" s="105"/>
      <c r="IF512" s="105"/>
      <c r="IG512" s="105"/>
      <c r="IH512" s="105"/>
      <c r="II512" s="105"/>
      <c r="IJ512" s="105"/>
      <c r="IK512" s="105"/>
      <c r="IL512" s="105"/>
      <c r="IM512" s="105"/>
      <c r="IN512" s="105"/>
      <c r="IO512" s="105"/>
      <c r="IP512" s="105"/>
      <c r="IQ512" s="105"/>
      <c r="IR512" s="105"/>
      <c r="IS512" s="105"/>
      <c r="IT512" s="105"/>
      <c r="IU512" s="105"/>
      <c r="IV512" s="105"/>
    </row>
    <row r="513" spans="1:256" ht="13.5" customHeight="1" x14ac:dyDescent="0.2">
      <c r="A513" s="45">
        <v>44718</v>
      </c>
      <c r="B513" s="46" t="s">
        <v>433</v>
      </c>
      <c r="C513" s="46">
        <v>2022</v>
      </c>
      <c r="D513" s="46" t="s">
        <v>8</v>
      </c>
      <c r="E513" s="181">
        <v>-0.06</v>
      </c>
      <c r="F513" s="181" t="s">
        <v>32</v>
      </c>
      <c r="G513" s="429">
        <v>4800</v>
      </c>
      <c r="H513" s="181" t="s">
        <v>1146</v>
      </c>
      <c r="I513" s="181" t="s">
        <v>80</v>
      </c>
      <c r="J513" s="181" t="s">
        <v>36</v>
      </c>
      <c r="K513" s="181">
        <v>0.03</v>
      </c>
      <c r="L513" s="181" t="s">
        <v>376</v>
      </c>
      <c r="M513" s="181" t="s">
        <v>1144</v>
      </c>
      <c r="N513" s="76" t="s">
        <v>1145</v>
      </c>
      <c r="O513" s="46"/>
      <c r="P513" s="46" t="s">
        <v>143</v>
      </c>
      <c r="Q513" s="761">
        <v>39.743665</v>
      </c>
      <c r="R513" s="660">
        <v>-85.971991000000003</v>
      </c>
      <c r="S513" s="46" t="s">
        <v>61</v>
      </c>
      <c r="T513" s="46"/>
      <c r="U513" s="38" t="s">
        <v>51</v>
      </c>
      <c r="V513" s="45"/>
      <c r="W513" s="47">
        <f>IF(AC513="Intr",0,G513*Definitions!$B$53)</f>
        <v>720</v>
      </c>
      <c r="X513" s="47">
        <f>IF(AC513="Intr",0,G513*Definitions!$B$54)</f>
        <v>3360</v>
      </c>
      <c r="Y513" s="47">
        <f>IF(AC513="Intr",G513,G513*Definitions!$B$55)</f>
        <v>720</v>
      </c>
      <c r="Z513" s="47" t="s">
        <v>966</v>
      </c>
      <c r="AA513" s="47" t="s">
        <v>965</v>
      </c>
      <c r="AB513" s="47"/>
      <c r="AC513" s="46"/>
      <c r="AD513" s="46"/>
      <c r="AE513" s="46"/>
      <c r="AF513" s="46"/>
      <c r="AG513" s="48"/>
      <c r="AH513" s="78" t="s">
        <v>1147</v>
      </c>
    </row>
    <row r="514" spans="1:256" s="454" customFormat="1" x14ac:dyDescent="0.2">
      <c r="A514" s="274">
        <v>44725</v>
      </c>
      <c r="B514" s="275" t="s">
        <v>433</v>
      </c>
      <c r="C514" s="275">
        <v>2022</v>
      </c>
      <c r="D514" s="275" t="s">
        <v>6</v>
      </c>
      <c r="E514" s="276">
        <v>-0.04</v>
      </c>
      <c r="F514" s="276" t="s">
        <v>32</v>
      </c>
      <c r="G514" s="345">
        <v>3200</v>
      </c>
      <c r="H514" s="276">
        <v>308</v>
      </c>
      <c r="I514" s="276" t="s">
        <v>80</v>
      </c>
      <c r="J514" s="276" t="s">
        <v>36</v>
      </c>
      <c r="K514" s="276">
        <v>0.02</v>
      </c>
      <c r="L514" s="276" t="s">
        <v>1154</v>
      </c>
      <c r="M514" s="276" t="s">
        <v>1155</v>
      </c>
      <c r="N514" s="279" t="s">
        <v>1156</v>
      </c>
      <c r="O514" s="275"/>
      <c r="P514" s="275" t="s">
        <v>274</v>
      </c>
      <c r="Q514" s="755">
        <v>40.453299999999999</v>
      </c>
      <c r="R514" s="657">
        <v>-86.895799999999994</v>
      </c>
      <c r="S514" s="275" t="s">
        <v>63</v>
      </c>
      <c r="T514" s="275"/>
      <c r="U514" s="38" t="s">
        <v>51</v>
      </c>
      <c r="V514" s="274"/>
      <c r="W514" s="280">
        <f>IF(AC514="Intr",0,G514*Definitions!$B$53)</f>
        <v>480</v>
      </c>
      <c r="X514" s="280">
        <f>IF(AC514="Intr",0,G514*Definitions!$B$54)</f>
        <v>2240</v>
      </c>
      <c r="Y514" s="280">
        <f>IF(AC514="Intr",G514,G514*Definitions!$B$55)</f>
        <v>480</v>
      </c>
      <c r="Z514" s="280" t="s">
        <v>966</v>
      </c>
      <c r="AA514" s="280" t="s">
        <v>965</v>
      </c>
      <c r="AB514" s="280"/>
      <c r="AC514" s="275"/>
      <c r="AD514" s="275"/>
      <c r="AE514" s="275"/>
      <c r="AF514" s="275"/>
      <c r="AG514" s="281"/>
      <c r="AH514" s="346" t="s">
        <v>710</v>
      </c>
      <c r="AI514" s="105"/>
      <c r="AJ514" s="105"/>
      <c r="AK514" s="105"/>
      <c r="AL514" s="105"/>
      <c r="AM514" s="105"/>
      <c r="AN514" s="105"/>
      <c r="AO514" s="105"/>
      <c r="AP514" s="105"/>
      <c r="AQ514" s="105"/>
      <c r="AR514" s="105"/>
      <c r="AS514" s="105"/>
      <c r="AT514" s="105"/>
      <c r="AU514" s="105"/>
      <c r="AV514" s="105"/>
      <c r="AW514" s="105"/>
      <c r="AX514" s="105"/>
      <c r="AY514" s="105"/>
      <c r="AZ514" s="105"/>
      <c r="BA514" s="105"/>
      <c r="BB514" s="105"/>
      <c r="BC514" s="105"/>
      <c r="BD514" s="105"/>
      <c r="BE514" s="105"/>
      <c r="BF514" s="105"/>
      <c r="BG514" s="105"/>
      <c r="BH514" s="105"/>
      <c r="BI514" s="105"/>
      <c r="BJ514" s="105"/>
      <c r="BK514" s="105"/>
      <c r="BL514" s="105"/>
      <c r="BM514" s="105"/>
      <c r="BN514" s="105"/>
      <c r="BO514" s="105"/>
      <c r="BP514" s="105"/>
      <c r="BQ514" s="105"/>
      <c r="BR514" s="105"/>
      <c r="BS514" s="105"/>
      <c r="BT514" s="105"/>
      <c r="BU514" s="105"/>
      <c r="BV514" s="105"/>
      <c r="BW514" s="105"/>
      <c r="BX514" s="105"/>
      <c r="BY514" s="105"/>
      <c r="BZ514" s="105"/>
      <c r="CA514" s="105"/>
      <c r="CB514" s="105"/>
      <c r="CC514" s="105"/>
      <c r="CD514" s="105"/>
      <c r="CE514" s="105"/>
      <c r="CF514" s="105"/>
      <c r="CG514" s="105"/>
      <c r="CH514" s="105"/>
      <c r="CI514" s="105"/>
      <c r="CJ514" s="105"/>
      <c r="CK514" s="105"/>
      <c r="CL514" s="105"/>
      <c r="CM514" s="105"/>
      <c r="CN514" s="105"/>
      <c r="CO514" s="105"/>
      <c r="CP514" s="105"/>
      <c r="CQ514" s="105"/>
      <c r="CR514" s="105"/>
      <c r="CS514" s="105"/>
      <c r="CT514" s="105"/>
      <c r="CU514" s="105"/>
      <c r="CV514" s="105"/>
      <c r="CW514" s="105"/>
      <c r="CX514" s="105"/>
      <c r="CY514" s="105"/>
      <c r="CZ514" s="105"/>
      <c r="DA514" s="105"/>
      <c r="DB514" s="105"/>
      <c r="DC514" s="105"/>
      <c r="DD514" s="105"/>
      <c r="DE514" s="105"/>
      <c r="DF514" s="105"/>
      <c r="DG514" s="105"/>
      <c r="DH514" s="105"/>
      <c r="DI514" s="105"/>
      <c r="DJ514" s="105"/>
      <c r="DK514" s="105"/>
      <c r="DL514" s="105"/>
      <c r="DM514" s="105"/>
      <c r="DN514" s="105"/>
      <c r="DO514" s="105"/>
      <c r="DP514" s="105"/>
      <c r="DQ514" s="105"/>
      <c r="DR514" s="105"/>
      <c r="DS514" s="105"/>
      <c r="DT514" s="105"/>
      <c r="DU514" s="105"/>
      <c r="DV514" s="105"/>
      <c r="DW514" s="105"/>
      <c r="DX514" s="105"/>
      <c r="DY514" s="105"/>
      <c r="DZ514" s="105"/>
      <c r="EA514" s="105"/>
      <c r="EB514" s="105"/>
      <c r="EC514" s="105"/>
      <c r="ED514" s="105"/>
      <c r="EE514" s="105"/>
      <c r="EF514" s="105"/>
      <c r="EG514" s="105"/>
      <c r="EH514" s="105"/>
      <c r="EI514" s="105"/>
      <c r="EJ514" s="105"/>
      <c r="EK514" s="105"/>
      <c r="EL514" s="105"/>
      <c r="EM514" s="105"/>
      <c r="EN514" s="105"/>
      <c r="EO514" s="105"/>
      <c r="EP514" s="105"/>
      <c r="EQ514" s="105"/>
      <c r="ER514" s="105"/>
      <c r="ES514" s="105"/>
      <c r="ET514" s="105"/>
      <c r="EU514" s="105"/>
      <c r="EV514" s="105"/>
      <c r="EW514" s="105"/>
      <c r="EX514" s="105"/>
      <c r="EY514" s="105"/>
      <c r="EZ514" s="105"/>
      <c r="FA514" s="105"/>
      <c r="FB514" s="105"/>
      <c r="FC514" s="105"/>
      <c r="FD514" s="105"/>
      <c r="FE514" s="105"/>
      <c r="FF514" s="105"/>
      <c r="FG514" s="105"/>
      <c r="FH514" s="105"/>
      <c r="FI514" s="105"/>
      <c r="FJ514" s="105"/>
      <c r="FK514" s="105"/>
      <c r="FL514" s="105"/>
      <c r="FM514" s="105"/>
      <c r="FN514" s="105"/>
      <c r="FO514" s="105"/>
      <c r="FP514" s="105"/>
      <c r="FQ514" s="105"/>
      <c r="FR514" s="105"/>
      <c r="FS514" s="105"/>
      <c r="FT514" s="105"/>
      <c r="FU514" s="105"/>
      <c r="FV514" s="105"/>
      <c r="FW514" s="105"/>
      <c r="FX514" s="105"/>
      <c r="FY514" s="105"/>
      <c r="FZ514" s="105"/>
      <c r="GA514" s="105"/>
      <c r="GB514" s="105"/>
      <c r="GC514" s="105"/>
      <c r="GD514" s="105"/>
      <c r="GE514" s="105"/>
      <c r="GF514" s="105"/>
      <c r="GG514" s="105"/>
      <c r="GH514" s="105"/>
      <c r="GI514" s="105"/>
      <c r="GJ514" s="105"/>
      <c r="GK514" s="105"/>
      <c r="GL514" s="105"/>
      <c r="GM514" s="105"/>
      <c r="GN514" s="105"/>
      <c r="GO514" s="105"/>
      <c r="GP514" s="105"/>
      <c r="GQ514" s="105"/>
      <c r="GR514" s="105"/>
      <c r="GS514" s="105"/>
      <c r="GT514" s="105"/>
      <c r="GU514" s="105"/>
      <c r="GV514" s="105"/>
      <c r="GW514" s="105"/>
      <c r="GX514" s="105"/>
      <c r="GY514" s="105"/>
      <c r="GZ514" s="105"/>
      <c r="HA514" s="105"/>
      <c r="HB514" s="105"/>
      <c r="HC514" s="105"/>
      <c r="HD514" s="105"/>
      <c r="HE514" s="105"/>
      <c r="HF514" s="105"/>
      <c r="HG514" s="105"/>
      <c r="HH514" s="105"/>
      <c r="HI514" s="105"/>
      <c r="HJ514" s="105"/>
      <c r="HK514" s="105"/>
      <c r="HL514" s="105"/>
      <c r="HM514" s="105"/>
      <c r="HN514" s="105"/>
      <c r="HO514" s="105"/>
      <c r="HP514" s="105"/>
      <c r="HQ514" s="105"/>
      <c r="HR514" s="105"/>
      <c r="HS514" s="105"/>
      <c r="HT514" s="105"/>
      <c r="HU514" s="105"/>
      <c r="HV514" s="105"/>
      <c r="HW514" s="105"/>
      <c r="HX514" s="105"/>
      <c r="HY514" s="105"/>
      <c r="HZ514" s="105"/>
      <c r="IA514" s="105"/>
      <c r="IB514" s="105"/>
      <c r="IC514" s="105"/>
      <c r="ID514" s="105"/>
      <c r="IE514" s="105"/>
      <c r="IF514" s="105"/>
      <c r="IG514" s="105"/>
      <c r="IH514" s="105"/>
      <c r="II514" s="105"/>
      <c r="IJ514" s="105"/>
      <c r="IK514" s="105"/>
      <c r="IL514" s="105"/>
      <c r="IM514" s="105"/>
      <c r="IN514" s="105"/>
      <c r="IO514" s="105"/>
      <c r="IP514" s="105"/>
      <c r="IQ514" s="105"/>
      <c r="IR514" s="105"/>
      <c r="IS514" s="105"/>
      <c r="IT514" s="105"/>
      <c r="IU514" s="105"/>
      <c r="IV514" s="105"/>
    </row>
    <row r="515" spans="1:256" x14ac:dyDescent="0.2">
      <c r="A515" s="274">
        <v>44725</v>
      </c>
      <c r="B515" s="275" t="s">
        <v>433</v>
      </c>
      <c r="C515" s="275">
        <v>2022</v>
      </c>
      <c r="D515" s="275" t="s">
        <v>6</v>
      </c>
      <c r="E515" s="276">
        <v>-228</v>
      </c>
      <c r="F515" s="276" t="s">
        <v>33</v>
      </c>
      <c r="G515" s="345">
        <v>91200</v>
      </c>
      <c r="H515" s="276">
        <v>308</v>
      </c>
      <c r="I515" s="276" t="s">
        <v>80</v>
      </c>
      <c r="J515" s="276" t="s">
        <v>725</v>
      </c>
      <c r="K515" s="276">
        <v>228</v>
      </c>
      <c r="L515" s="276" t="s">
        <v>1154</v>
      </c>
      <c r="M515" s="276" t="s">
        <v>1155</v>
      </c>
      <c r="N515" s="279" t="s">
        <v>1156</v>
      </c>
      <c r="O515" s="275"/>
      <c r="P515" s="275" t="s">
        <v>274</v>
      </c>
      <c r="Q515" s="755">
        <v>40.453299999999999</v>
      </c>
      <c r="R515" s="657">
        <v>-86.895799999999994</v>
      </c>
      <c r="S515" s="275" t="s">
        <v>63</v>
      </c>
      <c r="T515" s="275"/>
      <c r="U515" s="38" t="s">
        <v>51</v>
      </c>
      <c r="V515" s="274"/>
      <c r="W515" s="280">
        <f>IF(AC515="Intr",0,G515*Definitions!$B$53)</f>
        <v>13680</v>
      </c>
      <c r="X515" s="280">
        <f>IF(AC515="Intr",0,G515*Definitions!$B$54)</f>
        <v>63839.999999999993</v>
      </c>
      <c r="Y515" s="280">
        <f>IF(AC515="Intr",G515,G515*Definitions!$B$55)</f>
        <v>13680</v>
      </c>
      <c r="Z515" s="280" t="s">
        <v>966</v>
      </c>
      <c r="AA515" s="280" t="s">
        <v>965</v>
      </c>
      <c r="AB515" s="280"/>
      <c r="AC515" s="275"/>
      <c r="AD515" s="275"/>
      <c r="AE515" s="275"/>
      <c r="AF515" s="275"/>
      <c r="AG515" s="281"/>
      <c r="AH515" s="346" t="s">
        <v>710</v>
      </c>
    </row>
    <row r="516" spans="1:256" s="407" customFormat="1" x14ac:dyDescent="0.2">
      <c r="A516" s="33">
        <v>44725</v>
      </c>
      <c r="B516" s="34" t="s">
        <v>433</v>
      </c>
      <c r="C516" s="34">
        <v>2022</v>
      </c>
      <c r="D516" s="34" t="s">
        <v>8</v>
      </c>
      <c r="E516" s="271">
        <v>-2153</v>
      </c>
      <c r="F516" s="271" t="s">
        <v>33</v>
      </c>
      <c r="G516" s="524">
        <v>861200</v>
      </c>
      <c r="H516" s="271">
        <v>318</v>
      </c>
      <c r="I516" s="271" t="s">
        <v>80</v>
      </c>
      <c r="J516" s="271" t="s">
        <v>725</v>
      </c>
      <c r="K516" s="271">
        <v>1794</v>
      </c>
      <c r="L516" s="271" t="s">
        <v>376</v>
      </c>
      <c r="M516" s="271" t="s">
        <v>1151</v>
      </c>
      <c r="N516" s="116" t="s">
        <v>1152</v>
      </c>
      <c r="O516" s="34"/>
      <c r="P516" s="34" t="s">
        <v>121</v>
      </c>
      <c r="Q516" s="773">
        <v>39.789845</v>
      </c>
      <c r="R516" s="592">
        <v>-85.818917999999996</v>
      </c>
      <c r="S516" s="34" t="s">
        <v>61</v>
      </c>
      <c r="T516" s="34"/>
      <c r="U516" s="38" t="s">
        <v>51</v>
      </c>
      <c r="V516" s="33"/>
      <c r="W516" s="35">
        <f>IF(AC516="Intr",0,G516*Definitions!$B$53)</f>
        <v>129180</v>
      </c>
      <c r="X516" s="35">
        <f>IF(AC516="Intr",0,G516*Definitions!$B$54)</f>
        <v>602840</v>
      </c>
      <c r="Y516" s="35">
        <f>IF(AC516="Intr",G516,G516*Definitions!$B$55)</f>
        <v>129180</v>
      </c>
      <c r="Z516" s="35" t="s">
        <v>966</v>
      </c>
      <c r="AA516" s="35" t="s">
        <v>965</v>
      </c>
      <c r="AB516" s="35"/>
      <c r="AC516" s="34"/>
      <c r="AD516" s="34"/>
      <c r="AE516" s="34"/>
      <c r="AF516" s="34"/>
      <c r="AG516" s="36"/>
      <c r="AH516" s="72" t="s">
        <v>1153</v>
      </c>
      <c r="AI516" s="105"/>
      <c r="AJ516" s="105"/>
      <c r="AK516" s="105"/>
      <c r="AL516" s="105"/>
      <c r="AM516" s="105"/>
      <c r="AN516" s="105"/>
      <c r="AO516" s="105"/>
      <c r="AP516" s="105"/>
      <c r="AQ516" s="105"/>
      <c r="AR516" s="105"/>
      <c r="AS516" s="105"/>
      <c r="AT516" s="105"/>
      <c r="AU516" s="105"/>
      <c r="AV516" s="105"/>
      <c r="AW516" s="105"/>
      <c r="AX516" s="105"/>
      <c r="AY516" s="105"/>
      <c r="AZ516" s="105"/>
      <c r="BA516" s="105"/>
      <c r="BB516" s="105"/>
      <c r="BC516" s="105"/>
      <c r="BD516" s="105"/>
      <c r="BE516" s="105"/>
      <c r="BF516" s="105"/>
      <c r="BG516" s="105"/>
      <c r="BH516" s="105"/>
      <c r="BI516" s="105"/>
      <c r="BJ516" s="105"/>
      <c r="BK516" s="105"/>
      <c r="BL516" s="105"/>
      <c r="BM516" s="105"/>
      <c r="BN516" s="105"/>
      <c r="BO516" s="105"/>
      <c r="BP516" s="105"/>
      <c r="BQ516" s="105"/>
      <c r="BR516" s="105"/>
      <c r="BS516" s="105"/>
      <c r="BT516" s="105"/>
      <c r="BU516" s="105"/>
      <c r="BV516" s="105"/>
      <c r="BW516" s="105"/>
      <c r="BX516" s="105"/>
      <c r="BY516" s="105"/>
      <c r="BZ516" s="105"/>
      <c r="CA516" s="105"/>
      <c r="CB516" s="105"/>
      <c r="CC516" s="105"/>
      <c r="CD516" s="105"/>
      <c r="CE516" s="105"/>
      <c r="CF516" s="105"/>
      <c r="CG516" s="105"/>
      <c r="CH516" s="105"/>
      <c r="CI516" s="105"/>
      <c r="CJ516" s="105"/>
      <c r="CK516" s="105"/>
      <c r="CL516" s="105"/>
      <c r="CM516" s="105"/>
      <c r="CN516" s="105"/>
      <c r="CO516" s="105"/>
      <c r="CP516" s="105"/>
      <c r="CQ516" s="105"/>
      <c r="CR516" s="105"/>
      <c r="CS516" s="105"/>
      <c r="CT516" s="105"/>
      <c r="CU516" s="105"/>
      <c r="CV516" s="105"/>
      <c r="CW516" s="105"/>
      <c r="CX516" s="105"/>
      <c r="CY516" s="105"/>
      <c r="CZ516" s="105"/>
      <c r="DA516" s="105"/>
      <c r="DB516" s="105"/>
      <c r="DC516" s="105"/>
      <c r="DD516" s="105"/>
      <c r="DE516" s="105"/>
      <c r="DF516" s="105"/>
      <c r="DG516" s="105"/>
      <c r="DH516" s="105"/>
      <c r="DI516" s="105"/>
      <c r="DJ516" s="105"/>
      <c r="DK516" s="105"/>
      <c r="DL516" s="105"/>
      <c r="DM516" s="105"/>
      <c r="DN516" s="105"/>
      <c r="DO516" s="105"/>
      <c r="DP516" s="105"/>
      <c r="DQ516" s="105"/>
      <c r="DR516" s="105"/>
      <c r="DS516" s="105"/>
      <c r="DT516" s="105"/>
      <c r="DU516" s="105"/>
      <c r="DV516" s="105"/>
      <c r="DW516" s="105"/>
      <c r="DX516" s="105"/>
      <c r="DY516" s="105"/>
      <c r="DZ516" s="105"/>
      <c r="EA516" s="105"/>
      <c r="EB516" s="105"/>
      <c r="EC516" s="105"/>
      <c r="ED516" s="105"/>
      <c r="EE516" s="105"/>
      <c r="EF516" s="105"/>
      <c r="EG516" s="105"/>
      <c r="EH516" s="105"/>
      <c r="EI516" s="105"/>
      <c r="EJ516" s="105"/>
      <c r="EK516" s="105"/>
      <c r="EL516" s="105"/>
      <c r="EM516" s="105"/>
      <c r="EN516" s="105"/>
      <c r="EO516" s="105"/>
      <c r="EP516" s="105"/>
      <c r="EQ516" s="105"/>
      <c r="ER516" s="105"/>
      <c r="ES516" s="105"/>
      <c r="ET516" s="105"/>
      <c r="EU516" s="105"/>
      <c r="EV516" s="105"/>
      <c r="EW516" s="105"/>
      <c r="EX516" s="105"/>
      <c r="EY516" s="105"/>
      <c r="EZ516" s="105"/>
      <c r="FA516" s="105"/>
      <c r="FB516" s="105"/>
      <c r="FC516" s="105"/>
      <c r="FD516" s="105"/>
      <c r="FE516" s="105"/>
      <c r="FF516" s="105"/>
      <c r="FG516" s="105"/>
      <c r="FH516" s="105"/>
      <c r="FI516" s="105"/>
      <c r="FJ516" s="105"/>
      <c r="FK516" s="105"/>
      <c r="FL516" s="105"/>
      <c r="FM516" s="105"/>
      <c r="FN516" s="105"/>
      <c r="FO516" s="105"/>
      <c r="FP516" s="105"/>
      <c r="FQ516" s="105"/>
      <c r="FR516" s="105"/>
      <c r="FS516" s="105"/>
      <c r="FT516" s="105"/>
      <c r="FU516" s="105"/>
      <c r="FV516" s="105"/>
      <c r="FW516" s="105"/>
      <c r="FX516" s="105"/>
      <c r="FY516" s="105"/>
      <c r="FZ516" s="105"/>
      <c r="GA516" s="105"/>
      <c r="GB516" s="105"/>
      <c r="GC516" s="105"/>
      <c r="GD516" s="105"/>
      <c r="GE516" s="105"/>
      <c r="GF516" s="105"/>
      <c r="GG516" s="105"/>
      <c r="GH516" s="105"/>
      <c r="GI516" s="105"/>
      <c r="GJ516" s="105"/>
      <c r="GK516" s="105"/>
      <c r="GL516" s="105"/>
      <c r="GM516" s="105"/>
      <c r="GN516" s="105"/>
      <c r="GO516" s="105"/>
      <c r="GP516" s="105"/>
      <c r="GQ516" s="105"/>
      <c r="GR516" s="105"/>
      <c r="GS516" s="105"/>
      <c r="GT516" s="105"/>
      <c r="GU516" s="105"/>
      <c r="GV516" s="105"/>
      <c r="GW516" s="105"/>
      <c r="GX516" s="105"/>
      <c r="GY516" s="105"/>
      <c r="GZ516" s="105"/>
      <c r="HA516" s="105"/>
      <c r="HB516" s="105"/>
      <c r="HC516" s="105"/>
      <c r="HD516" s="105"/>
      <c r="HE516" s="105"/>
      <c r="HF516" s="105"/>
      <c r="HG516" s="105"/>
      <c r="HH516" s="105"/>
      <c r="HI516" s="105"/>
      <c r="HJ516" s="105"/>
      <c r="HK516" s="105"/>
      <c r="HL516" s="105"/>
      <c r="HM516" s="105"/>
      <c r="HN516" s="105"/>
      <c r="HO516" s="105"/>
      <c r="HP516" s="105"/>
      <c r="HQ516" s="105"/>
      <c r="HR516" s="105"/>
      <c r="HS516" s="105"/>
      <c r="HT516" s="105"/>
      <c r="HU516" s="105"/>
      <c r="HV516" s="105"/>
      <c r="HW516" s="105"/>
      <c r="HX516" s="105"/>
      <c r="HY516" s="105"/>
      <c r="HZ516" s="105"/>
      <c r="IA516" s="105"/>
      <c r="IB516" s="105"/>
      <c r="IC516" s="105"/>
      <c r="ID516" s="105"/>
      <c r="IE516" s="105"/>
      <c r="IF516" s="105"/>
      <c r="IG516" s="105"/>
      <c r="IH516" s="105"/>
      <c r="II516" s="105"/>
      <c r="IJ516" s="105"/>
      <c r="IK516" s="105"/>
      <c r="IL516" s="105"/>
      <c r="IM516" s="105"/>
      <c r="IN516" s="105"/>
      <c r="IO516" s="105"/>
      <c r="IP516" s="105"/>
      <c r="IQ516" s="105"/>
      <c r="IR516" s="105"/>
      <c r="IS516" s="105"/>
      <c r="IT516" s="105"/>
      <c r="IU516" s="105"/>
      <c r="IV516" s="105"/>
    </row>
    <row r="517" spans="1:256" s="407" customFormat="1" x14ac:dyDescent="0.2">
      <c r="A517" s="45">
        <v>44735</v>
      </c>
      <c r="B517" s="46" t="s">
        <v>433</v>
      </c>
      <c r="C517" s="46">
        <v>2022</v>
      </c>
      <c r="D517" s="46" t="s">
        <v>5</v>
      </c>
      <c r="E517" s="181">
        <v>-0.78</v>
      </c>
      <c r="F517" s="181" t="s">
        <v>32</v>
      </c>
      <c r="G517" s="429">
        <v>62400</v>
      </c>
      <c r="H517" s="181">
        <v>315</v>
      </c>
      <c r="I517" s="181" t="s">
        <v>81</v>
      </c>
      <c r="J517" s="181" t="s">
        <v>38</v>
      </c>
      <c r="K517" s="181">
        <v>0.39</v>
      </c>
      <c r="L517" s="181" t="s">
        <v>668</v>
      </c>
      <c r="M517" s="181" t="s">
        <v>103</v>
      </c>
      <c r="N517" s="76" t="s">
        <v>1159</v>
      </c>
      <c r="O517" s="46"/>
      <c r="P517" s="46" t="s">
        <v>255</v>
      </c>
      <c r="Q517" s="761">
        <v>41.065807999999997</v>
      </c>
      <c r="R517" s="660">
        <v>-85.303758999999999</v>
      </c>
      <c r="S517" s="46" t="s">
        <v>61</v>
      </c>
      <c r="T517" s="46"/>
      <c r="U517" s="38" t="s">
        <v>51</v>
      </c>
      <c r="V517" s="45"/>
      <c r="W517" s="47">
        <f>IF(AC517="Intr",0,G517*Definitions!$B$53)</f>
        <v>9360</v>
      </c>
      <c r="X517" s="47">
        <f>IF(AC517="Intr",0,G517*Definitions!$B$54)</f>
        <v>43680</v>
      </c>
      <c r="Y517" s="47">
        <f>IF(AC517="Intr",G517,G517*Definitions!$B$55)</f>
        <v>9360</v>
      </c>
      <c r="Z517" s="78" t="s">
        <v>964</v>
      </c>
      <c r="AA517" s="78" t="s">
        <v>963</v>
      </c>
      <c r="AB517" s="78" t="s">
        <v>1245</v>
      </c>
      <c r="AC517" s="46"/>
      <c r="AD517" s="46"/>
      <c r="AE517" s="46"/>
      <c r="AF517" s="46"/>
      <c r="AG517" s="48"/>
      <c r="AH517" s="46"/>
      <c r="AI517" s="105"/>
      <c r="AJ517" s="105"/>
      <c r="AK517" s="105"/>
      <c r="AL517" s="105"/>
      <c r="AM517" s="105"/>
      <c r="AN517" s="105"/>
      <c r="AO517" s="105"/>
      <c r="AP517" s="105"/>
      <c r="AQ517" s="105"/>
      <c r="AR517" s="105"/>
      <c r="AS517" s="105"/>
      <c r="AT517" s="105"/>
      <c r="AU517" s="105"/>
      <c r="AV517" s="105"/>
      <c r="AW517" s="105"/>
      <c r="AX517" s="105"/>
      <c r="AY517" s="105"/>
      <c r="AZ517" s="105"/>
      <c r="BA517" s="105"/>
      <c r="BB517" s="105"/>
      <c r="BC517" s="105"/>
      <c r="BD517" s="105"/>
      <c r="BE517" s="105"/>
      <c r="BF517" s="105"/>
      <c r="BG517" s="105"/>
      <c r="BH517" s="105"/>
      <c r="BI517" s="105"/>
      <c r="BJ517" s="105"/>
      <c r="BK517" s="105"/>
      <c r="BL517" s="105"/>
      <c r="BM517" s="105"/>
      <c r="BN517" s="105"/>
      <c r="BO517" s="105"/>
      <c r="BP517" s="105"/>
      <c r="BQ517" s="105"/>
      <c r="BR517" s="105"/>
      <c r="BS517" s="105"/>
      <c r="BT517" s="105"/>
      <c r="BU517" s="105"/>
      <c r="BV517" s="105"/>
      <c r="BW517" s="105"/>
      <c r="BX517" s="105"/>
      <c r="BY517" s="105"/>
      <c r="BZ517" s="105"/>
      <c r="CA517" s="105"/>
      <c r="CB517" s="105"/>
      <c r="CC517" s="105"/>
      <c r="CD517" s="105"/>
      <c r="CE517" s="105"/>
      <c r="CF517" s="105"/>
      <c r="CG517" s="105"/>
      <c r="CH517" s="105"/>
      <c r="CI517" s="105"/>
      <c r="CJ517" s="105"/>
      <c r="CK517" s="105"/>
      <c r="CL517" s="105"/>
      <c r="CM517" s="105"/>
      <c r="CN517" s="105"/>
      <c r="CO517" s="105"/>
      <c r="CP517" s="105"/>
      <c r="CQ517" s="105"/>
      <c r="CR517" s="105"/>
      <c r="CS517" s="105"/>
      <c r="CT517" s="105"/>
      <c r="CU517" s="105"/>
      <c r="CV517" s="105"/>
      <c r="CW517" s="105"/>
      <c r="CX517" s="105"/>
      <c r="CY517" s="105"/>
      <c r="CZ517" s="105"/>
      <c r="DA517" s="105"/>
      <c r="DB517" s="105"/>
      <c r="DC517" s="105"/>
      <c r="DD517" s="105"/>
      <c r="DE517" s="105"/>
      <c r="DF517" s="105"/>
      <c r="DG517" s="105"/>
      <c r="DH517" s="105"/>
      <c r="DI517" s="105"/>
      <c r="DJ517" s="105"/>
      <c r="DK517" s="105"/>
      <c r="DL517" s="105"/>
      <c r="DM517" s="105"/>
      <c r="DN517" s="105"/>
      <c r="DO517" s="105"/>
      <c r="DP517" s="105"/>
      <c r="DQ517" s="105"/>
      <c r="DR517" s="105"/>
      <c r="DS517" s="105"/>
      <c r="DT517" s="105"/>
      <c r="DU517" s="105"/>
      <c r="DV517" s="105"/>
      <c r="DW517" s="105"/>
      <c r="DX517" s="105"/>
      <c r="DY517" s="105"/>
      <c r="DZ517" s="105"/>
      <c r="EA517" s="105"/>
      <c r="EB517" s="105"/>
      <c r="EC517" s="105"/>
      <c r="ED517" s="105"/>
      <c r="EE517" s="105"/>
      <c r="EF517" s="105"/>
      <c r="EG517" s="105"/>
      <c r="EH517" s="105"/>
      <c r="EI517" s="105"/>
      <c r="EJ517" s="105"/>
      <c r="EK517" s="105"/>
      <c r="EL517" s="105"/>
      <c r="EM517" s="105"/>
      <c r="EN517" s="105"/>
      <c r="EO517" s="105"/>
      <c r="EP517" s="105"/>
      <c r="EQ517" s="105"/>
      <c r="ER517" s="105"/>
      <c r="ES517" s="105"/>
      <c r="ET517" s="105"/>
      <c r="EU517" s="105"/>
      <c r="EV517" s="105"/>
      <c r="EW517" s="105"/>
      <c r="EX517" s="105"/>
      <c r="EY517" s="105"/>
      <c r="EZ517" s="105"/>
      <c r="FA517" s="105"/>
      <c r="FB517" s="105"/>
      <c r="FC517" s="105"/>
      <c r="FD517" s="105"/>
      <c r="FE517" s="105"/>
      <c r="FF517" s="105"/>
      <c r="FG517" s="105"/>
      <c r="FH517" s="105"/>
      <c r="FI517" s="105"/>
      <c r="FJ517" s="105"/>
      <c r="FK517" s="105"/>
      <c r="FL517" s="105"/>
      <c r="FM517" s="105"/>
      <c r="FN517" s="105"/>
      <c r="FO517" s="105"/>
      <c r="FP517" s="105"/>
      <c r="FQ517" s="105"/>
      <c r="FR517" s="105"/>
      <c r="FS517" s="105"/>
      <c r="FT517" s="105"/>
      <c r="FU517" s="105"/>
      <c r="FV517" s="105"/>
      <c r="FW517" s="105"/>
      <c r="FX517" s="105"/>
      <c r="FY517" s="105"/>
      <c r="FZ517" s="105"/>
      <c r="GA517" s="105"/>
      <c r="GB517" s="105"/>
      <c r="GC517" s="105"/>
      <c r="GD517" s="105"/>
      <c r="GE517" s="105"/>
      <c r="GF517" s="105"/>
      <c r="GG517" s="105"/>
      <c r="GH517" s="105"/>
      <c r="GI517" s="105"/>
      <c r="GJ517" s="105"/>
      <c r="GK517" s="105"/>
      <c r="GL517" s="105"/>
      <c r="GM517" s="105"/>
      <c r="GN517" s="105"/>
      <c r="GO517" s="105"/>
      <c r="GP517" s="105"/>
      <c r="GQ517" s="105"/>
      <c r="GR517" s="105"/>
      <c r="GS517" s="105"/>
      <c r="GT517" s="105"/>
      <c r="GU517" s="105"/>
      <c r="GV517" s="105"/>
      <c r="GW517" s="105"/>
      <c r="GX517" s="105"/>
      <c r="GY517" s="105"/>
      <c r="GZ517" s="105"/>
      <c r="HA517" s="105"/>
      <c r="HB517" s="105"/>
      <c r="HC517" s="105"/>
      <c r="HD517" s="105"/>
      <c r="HE517" s="105"/>
      <c r="HF517" s="105"/>
      <c r="HG517" s="105"/>
      <c r="HH517" s="105"/>
      <c r="HI517" s="105"/>
      <c r="HJ517" s="105"/>
      <c r="HK517" s="105"/>
      <c r="HL517" s="105"/>
      <c r="HM517" s="105"/>
      <c r="HN517" s="105"/>
      <c r="HO517" s="105"/>
      <c r="HP517" s="105"/>
      <c r="HQ517" s="105"/>
      <c r="HR517" s="105"/>
      <c r="HS517" s="105"/>
      <c r="HT517" s="105"/>
      <c r="HU517" s="105"/>
      <c r="HV517" s="105"/>
      <c r="HW517" s="105"/>
      <c r="HX517" s="105"/>
      <c r="HY517" s="105"/>
      <c r="HZ517" s="105"/>
      <c r="IA517" s="105"/>
      <c r="IB517" s="105"/>
      <c r="IC517" s="105"/>
      <c r="ID517" s="105"/>
      <c r="IE517" s="105"/>
      <c r="IF517" s="105"/>
      <c r="IG517" s="105"/>
      <c r="IH517" s="105"/>
      <c r="II517" s="105"/>
      <c r="IJ517" s="105"/>
      <c r="IK517" s="105"/>
      <c r="IL517" s="105"/>
      <c r="IM517" s="105"/>
      <c r="IN517" s="105"/>
      <c r="IO517" s="105"/>
      <c r="IP517" s="105"/>
      <c r="IQ517" s="105"/>
      <c r="IR517" s="105"/>
      <c r="IS517" s="105"/>
      <c r="IT517" s="105"/>
      <c r="IU517" s="105"/>
      <c r="IV517" s="105"/>
    </row>
    <row r="518" spans="1:256" x14ac:dyDescent="0.2">
      <c r="A518" s="37">
        <v>44735</v>
      </c>
      <c r="B518" s="38" t="s">
        <v>433</v>
      </c>
      <c r="C518" s="38">
        <v>2022</v>
      </c>
      <c r="D518" s="38" t="s">
        <v>8</v>
      </c>
      <c r="E518" s="177">
        <v>-0.375</v>
      </c>
      <c r="F518" s="177" t="s">
        <v>32</v>
      </c>
      <c r="G518" s="305">
        <v>30000</v>
      </c>
      <c r="H518" s="177">
        <v>320</v>
      </c>
      <c r="I518" s="177" t="s">
        <v>81</v>
      </c>
      <c r="J518" s="177" t="s">
        <v>38</v>
      </c>
      <c r="K518" s="177">
        <v>0.15</v>
      </c>
      <c r="L518" s="177" t="s">
        <v>376</v>
      </c>
      <c r="M518" s="177" t="s">
        <v>103</v>
      </c>
      <c r="N518" s="70" t="s">
        <v>1157</v>
      </c>
      <c r="O518" s="38"/>
      <c r="P518" s="38" t="s">
        <v>143</v>
      </c>
      <c r="Q518" s="760">
        <v>39.743665</v>
      </c>
      <c r="R518" s="590">
        <v>-85.971991000000003</v>
      </c>
      <c r="S518" s="38" t="s">
        <v>61</v>
      </c>
      <c r="T518" s="38"/>
      <c r="U518" s="38" t="s">
        <v>51</v>
      </c>
      <c r="V518" s="37"/>
      <c r="W518" s="39">
        <f>IF(AC518="Intr",0,G518*Definitions!$B$53)</f>
        <v>4500</v>
      </c>
      <c r="X518" s="39">
        <f>IF(AC518="Intr",0,G518*Definitions!$B$54)</f>
        <v>21000</v>
      </c>
      <c r="Y518" s="39">
        <f>IF(AC518="Intr",G518,G518*Definitions!$B$55)</f>
        <v>4500</v>
      </c>
      <c r="Z518" s="72" t="s">
        <v>966</v>
      </c>
      <c r="AA518" s="72" t="s">
        <v>963</v>
      </c>
      <c r="AB518" s="72" t="s">
        <v>1268</v>
      </c>
      <c r="AC518" s="38"/>
      <c r="AD518" s="38"/>
      <c r="AE518" s="38"/>
      <c r="AF518" s="38"/>
      <c r="AG518" s="40"/>
      <c r="AH518" s="72" t="s">
        <v>1158</v>
      </c>
    </row>
    <row r="519" spans="1:256" s="410" customFormat="1" x14ac:dyDescent="0.2">
      <c r="A519" s="41">
        <v>44743</v>
      </c>
      <c r="B519" s="42" t="s">
        <v>238</v>
      </c>
      <c r="C519" s="42">
        <v>2022</v>
      </c>
      <c r="D519" s="42" t="s">
        <v>4</v>
      </c>
      <c r="E519" s="320">
        <v>-3</v>
      </c>
      <c r="F519" s="320" t="s">
        <v>32</v>
      </c>
      <c r="G519" s="321">
        <v>240000</v>
      </c>
      <c r="H519" s="320">
        <v>311</v>
      </c>
      <c r="I519" s="320" t="s">
        <v>80</v>
      </c>
      <c r="J519" s="320" t="s">
        <v>38</v>
      </c>
      <c r="K519" s="320">
        <v>1.29</v>
      </c>
      <c r="L519" s="320" t="s">
        <v>927</v>
      </c>
      <c r="M519" s="320" t="s">
        <v>1160</v>
      </c>
      <c r="N519" s="73" t="s">
        <v>1161</v>
      </c>
      <c r="O519" s="42"/>
      <c r="P519" s="42" t="s">
        <v>1162</v>
      </c>
      <c r="Q519" s="731">
        <v>41.427</v>
      </c>
      <c r="R519" s="593">
        <v>-84.861999999999995</v>
      </c>
      <c r="S519" s="42" t="s">
        <v>62</v>
      </c>
      <c r="T519" s="42"/>
      <c r="U519" s="38" t="s">
        <v>51</v>
      </c>
      <c r="V519" s="41"/>
      <c r="W519" s="43">
        <f>IF(AC519="Intr",0,G519*Definitions!$B$53)</f>
        <v>36000</v>
      </c>
      <c r="X519" s="43">
        <f>IF(AC519="Intr",0,G519*Definitions!$B$54)</f>
        <v>168000</v>
      </c>
      <c r="Y519" s="43">
        <f>IF(AC519="Intr",G519,G519*Definitions!$B$55)</f>
        <v>36000</v>
      </c>
      <c r="Z519" s="43" t="s">
        <v>964</v>
      </c>
      <c r="AA519" s="43" t="s">
        <v>965</v>
      </c>
      <c r="AB519" s="43"/>
      <c r="AC519" s="42"/>
      <c r="AD519" s="42"/>
      <c r="AE519" s="42"/>
      <c r="AF519" s="42"/>
      <c r="AG519" s="44"/>
      <c r="AH519" s="75" t="s">
        <v>1163</v>
      </c>
      <c r="AI519" s="105"/>
      <c r="AJ519" s="105"/>
      <c r="AK519" s="105"/>
      <c r="AL519" s="105"/>
      <c r="AM519" s="105"/>
      <c r="AN519" s="105"/>
      <c r="AO519" s="105"/>
      <c r="AP519" s="105"/>
      <c r="AQ519" s="105"/>
      <c r="AR519" s="105"/>
      <c r="AS519" s="105"/>
      <c r="AT519" s="105"/>
      <c r="AU519" s="105"/>
      <c r="AV519" s="105"/>
      <c r="AW519" s="105"/>
      <c r="AX519" s="105"/>
      <c r="AY519" s="105"/>
      <c r="AZ519" s="105"/>
      <c r="BA519" s="105"/>
      <c r="BB519" s="105"/>
      <c r="BC519" s="105"/>
      <c r="BD519" s="105"/>
      <c r="BE519" s="105"/>
      <c r="BF519" s="105"/>
      <c r="BG519" s="105"/>
      <c r="BH519" s="105"/>
      <c r="BI519" s="105"/>
      <c r="BJ519" s="105"/>
      <c r="BK519" s="105"/>
      <c r="BL519" s="105"/>
      <c r="BM519" s="105"/>
      <c r="BN519" s="105"/>
      <c r="BO519" s="105"/>
      <c r="BP519" s="105"/>
      <c r="BQ519" s="105"/>
      <c r="BR519" s="105"/>
      <c r="BS519" s="105"/>
      <c r="BT519" s="105"/>
      <c r="BU519" s="105"/>
      <c r="BV519" s="105"/>
      <c r="BW519" s="105"/>
      <c r="BX519" s="105"/>
      <c r="BY519" s="105"/>
      <c r="BZ519" s="105"/>
      <c r="CA519" s="105"/>
      <c r="CB519" s="105"/>
      <c r="CC519" s="105"/>
      <c r="CD519" s="105"/>
      <c r="CE519" s="105"/>
      <c r="CF519" s="105"/>
      <c r="CG519" s="105"/>
      <c r="CH519" s="105"/>
      <c r="CI519" s="105"/>
      <c r="CJ519" s="105"/>
      <c r="CK519" s="105"/>
      <c r="CL519" s="105"/>
      <c r="CM519" s="105"/>
      <c r="CN519" s="105"/>
      <c r="CO519" s="105"/>
      <c r="CP519" s="105"/>
      <c r="CQ519" s="105"/>
      <c r="CR519" s="105"/>
      <c r="CS519" s="105"/>
      <c r="CT519" s="105"/>
      <c r="CU519" s="105"/>
      <c r="CV519" s="105"/>
      <c r="CW519" s="105"/>
      <c r="CX519" s="105"/>
      <c r="CY519" s="105"/>
      <c r="CZ519" s="105"/>
      <c r="DA519" s="105"/>
      <c r="DB519" s="105"/>
      <c r="DC519" s="105"/>
      <c r="DD519" s="105"/>
      <c r="DE519" s="105"/>
      <c r="DF519" s="105"/>
      <c r="DG519" s="105"/>
      <c r="DH519" s="105"/>
      <c r="DI519" s="105"/>
      <c r="DJ519" s="105"/>
      <c r="DK519" s="105"/>
      <c r="DL519" s="105"/>
      <c r="DM519" s="105"/>
      <c r="DN519" s="105"/>
      <c r="DO519" s="105"/>
      <c r="DP519" s="105"/>
      <c r="DQ519" s="105"/>
      <c r="DR519" s="105"/>
      <c r="DS519" s="105"/>
      <c r="DT519" s="105"/>
      <c r="DU519" s="105"/>
      <c r="DV519" s="105"/>
      <c r="DW519" s="105"/>
      <c r="DX519" s="105"/>
      <c r="DY519" s="105"/>
      <c r="DZ519" s="105"/>
      <c r="EA519" s="105"/>
      <c r="EB519" s="105"/>
      <c r="EC519" s="105"/>
      <c r="ED519" s="105"/>
      <c r="EE519" s="105"/>
      <c r="EF519" s="105"/>
      <c r="EG519" s="105"/>
      <c r="EH519" s="105"/>
      <c r="EI519" s="105"/>
      <c r="EJ519" s="105"/>
      <c r="EK519" s="105"/>
      <c r="EL519" s="105"/>
      <c r="EM519" s="105"/>
      <c r="EN519" s="105"/>
      <c r="EO519" s="105"/>
      <c r="EP519" s="105"/>
      <c r="EQ519" s="105"/>
      <c r="ER519" s="105"/>
      <c r="ES519" s="105"/>
      <c r="ET519" s="105"/>
      <c r="EU519" s="105"/>
      <c r="EV519" s="105"/>
      <c r="EW519" s="105"/>
      <c r="EX519" s="105"/>
      <c r="EY519" s="105"/>
      <c r="EZ519" s="105"/>
      <c r="FA519" s="105"/>
      <c r="FB519" s="105"/>
      <c r="FC519" s="105"/>
      <c r="FD519" s="105"/>
      <c r="FE519" s="105"/>
      <c r="FF519" s="105"/>
      <c r="FG519" s="105"/>
      <c r="FH519" s="105"/>
      <c r="FI519" s="105"/>
      <c r="FJ519" s="105"/>
      <c r="FK519" s="105"/>
      <c r="FL519" s="105"/>
      <c r="FM519" s="105"/>
      <c r="FN519" s="105"/>
      <c r="FO519" s="105"/>
      <c r="FP519" s="105"/>
      <c r="FQ519" s="105"/>
      <c r="FR519" s="105"/>
      <c r="FS519" s="105"/>
      <c r="FT519" s="105"/>
      <c r="FU519" s="105"/>
      <c r="FV519" s="105"/>
      <c r="FW519" s="105"/>
      <c r="FX519" s="105"/>
      <c r="FY519" s="105"/>
      <c r="FZ519" s="105"/>
      <c r="GA519" s="105"/>
      <c r="GB519" s="105"/>
      <c r="GC519" s="105"/>
      <c r="GD519" s="105"/>
      <c r="GE519" s="105"/>
      <c r="GF519" s="105"/>
      <c r="GG519" s="105"/>
      <c r="GH519" s="105"/>
      <c r="GI519" s="105"/>
      <c r="GJ519" s="105"/>
      <c r="GK519" s="105"/>
      <c r="GL519" s="105"/>
      <c r="GM519" s="105"/>
      <c r="GN519" s="105"/>
      <c r="GO519" s="105"/>
      <c r="GP519" s="105"/>
      <c r="GQ519" s="105"/>
      <c r="GR519" s="105"/>
      <c r="GS519" s="105"/>
      <c r="GT519" s="105"/>
      <c r="GU519" s="105"/>
      <c r="GV519" s="105"/>
      <c r="GW519" s="105"/>
      <c r="GX519" s="105"/>
      <c r="GY519" s="105"/>
      <c r="GZ519" s="105"/>
      <c r="HA519" s="105"/>
      <c r="HB519" s="105"/>
      <c r="HC519" s="105"/>
      <c r="HD519" s="105"/>
      <c r="HE519" s="105"/>
      <c r="HF519" s="105"/>
      <c r="HG519" s="105"/>
      <c r="HH519" s="105"/>
      <c r="HI519" s="105"/>
      <c r="HJ519" s="105"/>
      <c r="HK519" s="105"/>
      <c r="HL519" s="105"/>
      <c r="HM519" s="105"/>
      <c r="HN519" s="105"/>
      <c r="HO519" s="105"/>
      <c r="HP519" s="105"/>
      <c r="HQ519" s="105"/>
      <c r="HR519" s="105"/>
      <c r="HS519" s="105"/>
      <c r="HT519" s="105"/>
      <c r="HU519" s="105"/>
      <c r="HV519" s="105"/>
      <c r="HW519" s="105"/>
      <c r="HX519" s="105"/>
      <c r="HY519" s="105"/>
      <c r="HZ519" s="105"/>
      <c r="IA519" s="105"/>
      <c r="IB519" s="105"/>
      <c r="IC519" s="105"/>
      <c r="ID519" s="105"/>
      <c r="IE519" s="105"/>
      <c r="IF519" s="105"/>
      <c r="IG519" s="105"/>
      <c r="IH519" s="105"/>
      <c r="II519" s="105"/>
      <c r="IJ519" s="105"/>
      <c r="IK519" s="105"/>
      <c r="IL519" s="105"/>
      <c r="IM519" s="105"/>
      <c r="IN519" s="105"/>
      <c r="IO519" s="105"/>
      <c r="IP519" s="105"/>
      <c r="IQ519" s="105"/>
      <c r="IR519" s="105"/>
      <c r="IS519" s="105"/>
      <c r="IT519" s="105"/>
      <c r="IU519" s="105"/>
      <c r="IV519" s="105"/>
    </row>
    <row r="520" spans="1:256" s="387" customFormat="1" x14ac:dyDescent="0.2">
      <c r="A520" s="37">
        <v>44763</v>
      </c>
      <c r="B520" s="38" t="s">
        <v>238</v>
      </c>
      <c r="C520" s="38">
        <v>2022</v>
      </c>
      <c r="D520" s="38" t="s">
        <v>8</v>
      </c>
      <c r="E520" s="177">
        <v>-0.41899999999999998</v>
      </c>
      <c r="F520" s="177" t="s">
        <v>32</v>
      </c>
      <c r="G520" s="269">
        <v>33520</v>
      </c>
      <c r="H520" s="179">
        <v>321</v>
      </c>
      <c r="I520" s="177" t="s">
        <v>81</v>
      </c>
      <c r="J520" s="177" t="s">
        <v>38</v>
      </c>
      <c r="K520" s="177">
        <v>0.27900000000000003</v>
      </c>
      <c r="L520" s="177" t="s">
        <v>1164</v>
      </c>
      <c r="M520" s="177" t="s">
        <v>103</v>
      </c>
      <c r="N520" s="70" t="s">
        <v>1310</v>
      </c>
      <c r="O520" s="38"/>
      <c r="P520" s="38" t="s">
        <v>1165</v>
      </c>
      <c r="Q520" s="760">
        <v>40.077447999999997</v>
      </c>
      <c r="R520" s="590">
        <v>-84.955867999999995</v>
      </c>
      <c r="S520" s="38" t="s">
        <v>62</v>
      </c>
      <c r="T520" s="38"/>
      <c r="U520" s="38" t="s">
        <v>51</v>
      </c>
      <c r="V520" s="37"/>
      <c r="W520" s="39">
        <f>IF(AC520="Intr",0,G520*Definitions!$B$53)</f>
        <v>5028</v>
      </c>
      <c r="X520" s="39">
        <f>IF(AC520="Intr",0,G520*Definitions!$B$54)</f>
        <v>23464</v>
      </c>
      <c r="Y520" s="39">
        <f>IF(AC520="Intr",G520,G520*Definitions!$B$55)</f>
        <v>5028</v>
      </c>
      <c r="Z520" s="39" t="s">
        <v>966</v>
      </c>
      <c r="AA520" s="39" t="s">
        <v>963</v>
      </c>
      <c r="AB520" s="39" t="s">
        <v>1268</v>
      </c>
      <c r="AC520" s="38"/>
      <c r="AD520" s="38"/>
      <c r="AE520" s="38"/>
      <c r="AF520" s="38"/>
      <c r="AG520" s="40"/>
      <c r="AH520" s="38" t="s">
        <v>1966</v>
      </c>
      <c r="AI520" s="105"/>
      <c r="AJ520" s="105"/>
      <c r="AK520" s="105"/>
      <c r="AL520" s="105"/>
      <c r="AM520" s="105"/>
      <c r="AN520" s="105"/>
      <c r="AO520" s="105"/>
      <c r="AP520" s="105"/>
      <c r="AQ520" s="105"/>
      <c r="AR520" s="105"/>
      <c r="AS520" s="105"/>
      <c r="AT520" s="105"/>
      <c r="AU520" s="105"/>
      <c r="AV520" s="105"/>
      <c r="AW520" s="105"/>
      <c r="AX520" s="105"/>
      <c r="AY520" s="105"/>
      <c r="AZ520" s="105"/>
      <c r="BA520" s="105"/>
      <c r="BB520" s="105"/>
      <c r="BC520" s="105"/>
      <c r="BD520" s="105"/>
      <c r="BE520" s="105"/>
      <c r="BF520" s="105"/>
      <c r="BG520" s="105"/>
      <c r="BH520" s="105"/>
      <c r="BI520" s="105"/>
      <c r="BJ520" s="105"/>
      <c r="BK520" s="105"/>
      <c r="BL520" s="105"/>
      <c r="BM520" s="105"/>
      <c r="BN520" s="105"/>
      <c r="BO520" s="105"/>
      <c r="BP520" s="105"/>
      <c r="BQ520" s="105"/>
      <c r="BR520" s="105"/>
      <c r="BS520" s="105"/>
      <c r="BT520" s="105"/>
      <c r="BU520" s="105"/>
      <c r="BV520" s="105"/>
      <c r="BW520" s="105"/>
      <c r="BX520" s="105"/>
      <c r="BY520" s="105"/>
      <c r="BZ520" s="105"/>
      <c r="CA520" s="105"/>
      <c r="CB520" s="105"/>
      <c r="CC520" s="105"/>
      <c r="CD520" s="105"/>
      <c r="CE520" s="105"/>
      <c r="CF520" s="105"/>
      <c r="CG520" s="105"/>
      <c r="CH520" s="105"/>
      <c r="CI520" s="105"/>
      <c r="CJ520" s="105"/>
      <c r="CK520" s="105"/>
      <c r="CL520" s="105"/>
      <c r="CM520" s="105"/>
      <c r="CN520" s="105"/>
      <c r="CO520" s="105"/>
      <c r="CP520" s="105"/>
      <c r="CQ520" s="105"/>
      <c r="CR520" s="105"/>
      <c r="CS520" s="105"/>
      <c r="CT520" s="105"/>
      <c r="CU520" s="105"/>
      <c r="CV520" s="105"/>
      <c r="CW520" s="105"/>
      <c r="CX520" s="105"/>
      <c r="CY520" s="105"/>
      <c r="CZ520" s="105"/>
      <c r="DA520" s="105"/>
      <c r="DB520" s="105"/>
      <c r="DC520" s="105"/>
      <c r="DD520" s="105"/>
      <c r="DE520" s="105"/>
      <c r="DF520" s="105"/>
      <c r="DG520" s="105"/>
      <c r="DH520" s="105"/>
      <c r="DI520" s="105"/>
      <c r="DJ520" s="105"/>
      <c r="DK520" s="105"/>
      <c r="DL520" s="105"/>
      <c r="DM520" s="105"/>
      <c r="DN520" s="105"/>
      <c r="DO520" s="105"/>
      <c r="DP520" s="105"/>
      <c r="DQ520" s="105"/>
      <c r="DR520" s="105"/>
      <c r="DS520" s="105"/>
      <c r="DT520" s="105"/>
      <c r="DU520" s="105"/>
      <c r="DV520" s="105"/>
      <c r="DW520" s="105"/>
      <c r="DX520" s="105"/>
      <c r="DY520" s="105"/>
      <c r="DZ520" s="105"/>
      <c r="EA520" s="105"/>
      <c r="EB520" s="105"/>
      <c r="EC520" s="105"/>
      <c r="ED520" s="105"/>
      <c r="EE520" s="105"/>
      <c r="EF520" s="105"/>
      <c r="EG520" s="105"/>
      <c r="EH520" s="105"/>
      <c r="EI520" s="105"/>
      <c r="EJ520" s="105"/>
      <c r="EK520" s="105"/>
      <c r="EL520" s="105"/>
      <c r="EM520" s="105"/>
      <c r="EN520" s="105"/>
      <c r="EO520" s="105"/>
      <c r="EP520" s="105"/>
      <c r="EQ520" s="105"/>
      <c r="ER520" s="105"/>
      <c r="ES520" s="105"/>
      <c r="ET520" s="105"/>
      <c r="EU520" s="105"/>
      <c r="EV520" s="105"/>
      <c r="EW520" s="105"/>
      <c r="EX520" s="105"/>
      <c r="EY520" s="105"/>
      <c r="EZ520" s="105"/>
      <c r="FA520" s="105"/>
      <c r="FB520" s="105"/>
      <c r="FC520" s="105"/>
      <c r="FD520" s="105"/>
      <c r="FE520" s="105"/>
      <c r="FF520" s="105"/>
      <c r="FG520" s="105"/>
      <c r="FH520" s="105"/>
      <c r="FI520" s="105"/>
      <c r="FJ520" s="105"/>
      <c r="FK520" s="105"/>
      <c r="FL520" s="105"/>
      <c r="FM520" s="105"/>
      <c r="FN520" s="105"/>
      <c r="FO520" s="105"/>
      <c r="FP520" s="105"/>
      <c r="FQ520" s="105"/>
      <c r="FR520" s="105"/>
      <c r="FS520" s="105"/>
      <c r="FT520" s="105"/>
      <c r="FU520" s="105"/>
      <c r="FV520" s="105"/>
      <c r="FW520" s="105"/>
      <c r="FX520" s="105"/>
      <c r="FY520" s="105"/>
      <c r="FZ520" s="105"/>
      <c r="GA520" s="105"/>
      <c r="GB520" s="105"/>
      <c r="GC520" s="105"/>
      <c r="GD520" s="105"/>
      <c r="GE520" s="105"/>
      <c r="GF520" s="105"/>
      <c r="GG520" s="105"/>
      <c r="GH520" s="105"/>
      <c r="GI520" s="105"/>
      <c r="GJ520" s="105"/>
      <c r="GK520" s="105"/>
      <c r="GL520" s="105"/>
      <c r="GM520" s="105"/>
      <c r="GN520" s="105"/>
      <c r="GO520" s="105"/>
      <c r="GP520" s="105"/>
      <c r="GQ520" s="105"/>
      <c r="GR520" s="105"/>
      <c r="GS520" s="105"/>
      <c r="GT520" s="105"/>
      <c r="GU520" s="105"/>
      <c r="GV520" s="105"/>
      <c r="GW520" s="105"/>
      <c r="GX520" s="105"/>
      <c r="GY520" s="105"/>
      <c r="GZ520" s="105"/>
      <c r="HA520" s="105"/>
      <c r="HB520" s="105"/>
      <c r="HC520" s="105"/>
      <c r="HD520" s="105"/>
      <c r="HE520" s="105"/>
      <c r="HF520" s="105"/>
      <c r="HG520" s="105"/>
      <c r="HH520" s="105"/>
      <c r="HI520" s="105"/>
      <c r="HJ520" s="105"/>
      <c r="HK520" s="105"/>
      <c r="HL520" s="105"/>
      <c r="HM520" s="105"/>
      <c r="HN520" s="105"/>
      <c r="HO520" s="105"/>
      <c r="HP520" s="105"/>
      <c r="HQ520" s="105"/>
      <c r="HR520" s="105"/>
      <c r="HS520" s="105"/>
      <c r="HT520" s="105"/>
      <c r="HU520" s="105"/>
      <c r="HV520" s="105"/>
      <c r="HW520" s="105"/>
      <c r="HX520" s="105"/>
      <c r="HY520" s="105"/>
      <c r="HZ520" s="105"/>
      <c r="IA520" s="105"/>
      <c r="IB520" s="105"/>
      <c r="IC520" s="105"/>
      <c r="ID520" s="105"/>
      <c r="IE520" s="105"/>
      <c r="IF520" s="105"/>
      <c r="IG520" s="105"/>
      <c r="IH520" s="105"/>
      <c r="II520" s="105"/>
      <c r="IJ520" s="105"/>
      <c r="IK520" s="105"/>
      <c r="IL520" s="105"/>
      <c r="IM520" s="105"/>
      <c r="IN520" s="105"/>
      <c r="IO520" s="105"/>
      <c r="IP520" s="105"/>
      <c r="IQ520" s="105"/>
      <c r="IR520" s="105"/>
      <c r="IS520" s="105"/>
      <c r="IT520" s="105"/>
      <c r="IU520" s="105"/>
      <c r="IV520" s="105"/>
    </row>
    <row r="521" spans="1:256" s="387" customFormat="1" x14ac:dyDescent="0.2">
      <c r="A521" s="145">
        <v>44767</v>
      </c>
      <c r="B521" s="112" t="s">
        <v>238</v>
      </c>
      <c r="C521" s="112">
        <v>2022</v>
      </c>
      <c r="D521" s="112" t="s">
        <v>6</v>
      </c>
      <c r="E521" s="146">
        <v>-0.12</v>
      </c>
      <c r="F521" s="146" t="s">
        <v>32</v>
      </c>
      <c r="G521" s="147">
        <v>9600</v>
      </c>
      <c r="H521" s="148">
        <v>325</v>
      </c>
      <c r="I521" s="146" t="s">
        <v>81</v>
      </c>
      <c r="J521" s="146" t="s">
        <v>36</v>
      </c>
      <c r="K521" s="146">
        <v>0.08</v>
      </c>
      <c r="L521" s="146" t="s">
        <v>1166</v>
      </c>
      <c r="M521" s="146" t="s">
        <v>103</v>
      </c>
      <c r="N521" s="149" t="s">
        <v>1169</v>
      </c>
      <c r="O521" s="112"/>
      <c r="P521" s="112" t="s">
        <v>162</v>
      </c>
      <c r="Q521" s="729">
        <v>39.767499999999998</v>
      </c>
      <c r="R521" s="591">
        <v>-86.546000000000006</v>
      </c>
      <c r="S521" s="112" t="s">
        <v>61</v>
      </c>
      <c r="T521" s="112"/>
      <c r="U521" s="112" t="s">
        <v>51</v>
      </c>
      <c r="V521" s="145"/>
      <c r="W521" s="150">
        <f>IF(AC521="Intr",0,G521*Definitions!$B$53)</f>
        <v>1440</v>
      </c>
      <c r="X521" s="150">
        <f>IF(AC521="Intr",0,G521*Definitions!$B$54)</f>
        <v>6720</v>
      </c>
      <c r="Y521" s="150">
        <f>IF(AC521="Intr",G521,G521*Definitions!$B$55)</f>
        <v>1440</v>
      </c>
      <c r="Z521" s="342" t="s">
        <v>966</v>
      </c>
      <c r="AA521" s="342" t="s">
        <v>963</v>
      </c>
      <c r="AB521" s="342" t="s">
        <v>970</v>
      </c>
      <c r="AC521" s="112"/>
      <c r="AD521" s="112"/>
      <c r="AE521" s="112"/>
      <c r="AF521" s="112"/>
      <c r="AG521" s="151"/>
      <c r="AH521" s="342"/>
      <c r="AI521" s="105"/>
      <c r="AJ521" s="105"/>
      <c r="AK521" s="105"/>
      <c r="AL521" s="105"/>
      <c r="AM521" s="105"/>
      <c r="AN521" s="105"/>
      <c r="AO521" s="105"/>
      <c r="AP521" s="105"/>
      <c r="AQ521" s="105"/>
      <c r="AR521" s="105"/>
      <c r="AS521" s="105"/>
      <c r="AT521" s="105"/>
      <c r="AU521" s="105"/>
      <c r="AV521" s="105"/>
      <c r="AW521" s="105"/>
      <c r="AX521" s="105"/>
      <c r="AY521" s="105"/>
      <c r="AZ521" s="105"/>
      <c r="BA521" s="105"/>
      <c r="BB521" s="105"/>
      <c r="BC521" s="105"/>
      <c r="BD521" s="105"/>
      <c r="BE521" s="105"/>
      <c r="BF521" s="105"/>
      <c r="BG521" s="105"/>
      <c r="BH521" s="105"/>
      <c r="BI521" s="105"/>
      <c r="BJ521" s="105"/>
      <c r="BK521" s="105"/>
      <c r="BL521" s="105"/>
      <c r="BM521" s="105"/>
      <c r="BN521" s="105"/>
      <c r="BO521" s="105"/>
      <c r="BP521" s="105"/>
      <c r="BQ521" s="105"/>
      <c r="BR521" s="105"/>
      <c r="BS521" s="105"/>
      <c r="BT521" s="105"/>
      <c r="BU521" s="105"/>
      <c r="BV521" s="105"/>
      <c r="BW521" s="105"/>
      <c r="BX521" s="105"/>
      <c r="BY521" s="105"/>
      <c r="BZ521" s="105"/>
      <c r="CA521" s="105"/>
      <c r="CB521" s="105"/>
      <c r="CC521" s="105"/>
      <c r="CD521" s="105"/>
      <c r="CE521" s="105"/>
      <c r="CF521" s="105"/>
      <c r="CG521" s="105"/>
      <c r="CH521" s="105"/>
      <c r="CI521" s="105"/>
      <c r="CJ521" s="105"/>
      <c r="CK521" s="105"/>
      <c r="CL521" s="105"/>
      <c r="CM521" s="105"/>
      <c r="CN521" s="105"/>
      <c r="CO521" s="105"/>
      <c r="CP521" s="105"/>
      <c r="CQ521" s="105"/>
      <c r="CR521" s="105"/>
      <c r="CS521" s="105"/>
      <c r="CT521" s="105"/>
      <c r="CU521" s="105"/>
      <c r="CV521" s="105"/>
      <c r="CW521" s="105"/>
      <c r="CX521" s="105"/>
      <c r="CY521" s="105"/>
      <c r="CZ521" s="105"/>
      <c r="DA521" s="105"/>
      <c r="DB521" s="105"/>
      <c r="DC521" s="105"/>
      <c r="DD521" s="105"/>
      <c r="DE521" s="105"/>
      <c r="DF521" s="105"/>
      <c r="DG521" s="105"/>
      <c r="DH521" s="105"/>
      <c r="DI521" s="105"/>
      <c r="DJ521" s="105"/>
      <c r="DK521" s="105"/>
      <c r="DL521" s="105"/>
      <c r="DM521" s="105"/>
      <c r="DN521" s="105"/>
      <c r="DO521" s="105"/>
      <c r="DP521" s="105"/>
      <c r="DQ521" s="105"/>
      <c r="DR521" s="105"/>
      <c r="DS521" s="105"/>
      <c r="DT521" s="105"/>
      <c r="DU521" s="105"/>
      <c r="DV521" s="105"/>
      <c r="DW521" s="105"/>
      <c r="DX521" s="105"/>
      <c r="DY521" s="105"/>
      <c r="DZ521" s="105"/>
      <c r="EA521" s="105"/>
      <c r="EB521" s="105"/>
      <c r="EC521" s="105"/>
      <c r="ED521" s="105"/>
      <c r="EE521" s="105"/>
      <c r="EF521" s="105"/>
      <c r="EG521" s="105"/>
      <c r="EH521" s="105"/>
      <c r="EI521" s="105"/>
      <c r="EJ521" s="105"/>
      <c r="EK521" s="105"/>
      <c r="EL521" s="105"/>
      <c r="EM521" s="105"/>
      <c r="EN521" s="105"/>
      <c r="EO521" s="105"/>
      <c r="EP521" s="105"/>
      <c r="EQ521" s="105"/>
      <c r="ER521" s="105"/>
      <c r="ES521" s="105"/>
      <c r="ET521" s="105"/>
      <c r="EU521" s="105"/>
      <c r="EV521" s="105"/>
      <c r="EW521" s="105"/>
      <c r="EX521" s="105"/>
      <c r="EY521" s="105"/>
      <c r="EZ521" s="105"/>
      <c r="FA521" s="105"/>
      <c r="FB521" s="105"/>
      <c r="FC521" s="105"/>
      <c r="FD521" s="105"/>
      <c r="FE521" s="105"/>
      <c r="FF521" s="105"/>
      <c r="FG521" s="105"/>
      <c r="FH521" s="105"/>
      <c r="FI521" s="105"/>
      <c r="FJ521" s="105"/>
      <c r="FK521" s="105"/>
      <c r="FL521" s="105"/>
      <c r="FM521" s="105"/>
      <c r="FN521" s="105"/>
      <c r="FO521" s="105"/>
      <c r="FP521" s="105"/>
      <c r="FQ521" s="105"/>
      <c r="FR521" s="105"/>
      <c r="FS521" s="105"/>
      <c r="FT521" s="105"/>
      <c r="FU521" s="105"/>
      <c r="FV521" s="105"/>
      <c r="FW521" s="105"/>
      <c r="FX521" s="105"/>
      <c r="FY521" s="105"/>
      <c r="FZ521" s="105"/>
      <c r="GA521" s="105"/>
      <c r="GB521" s="105"/>
      <c r="GC521" s="105"/>
      <c r="GD521" s="105"/>
      <c r="GE521" s="105"/>
      <c r="GF521" s="105"/>
      <c r="GG521" s="105"/>
      <c r="GH521" s="105"/>
      <c r="GI521" s="105"/>
      <c r="GJ521" s="105"/>
      <c r="GK521" s="105"/>
      <c r="GL521" s="105"/>
      <c r="GM521" s="105"/>
      <c r="GN521" s="105"/>
      <c r="GO521" s="105"/>
      <c r="GP521" s="105"/>
      <c r="GQ521" s="105"/>
      <c r="GR521" s="105"/>
      <c r="GS521" s="105"/>
      <c r="GT521" s="105"/>
      <c r="GU521" s="105"/>
      <c r="GV521" s="105"/>
      <c r="GW521" s="105"/>
      <c r="GX521" s="105"/>
      <c r="GY521" s="105"/>
      <c r="GZ521" s="105"/>
      <c r="HA521" s="105"/>
      <c r="HB521" s="105"/>
      <c r="HC521" s="105"/>
      <c r="HD521" s="105"/>
      <c r="HE521" s="105"/>
      <c r="HF521" s="105"/>
      <c r="HG521" s="105"/>
      <c r="HH521" s="105"/>
      <c r="HI521" s="105"/>
      <c r="HJ521" s="105"/>
      <c r="HK521" s="105"/>
      <c r="HL521" s="105"/>
      <c r="HM521" s="105"/>
      <c r="HN521" s="105"/>
      <c r="HO521" s="105"/>
      <c r="HP521" s="105"/>
      <c r="HQ521" s="105"/>
      <c r="HR521" s="105"/>
      <c r="HS521" s="105"/>
      <c r="HT521" s="105"/>
      <c r="HU521" s="105"/>
      <c r="HV521" s="105"/>
      <c r="HW521" s="105"/>
      <c r="HX521" s="105"/>
      <c r="HY521" s="105"/>
      <c r="HZ521" s="105"/>
      <c r="IA521" s="105"/>
      <c r="IB521" s="105"/>
      <c r="IC521" s="105"/>
      <c r="ID521" s="105"/>
      <c r="IE521" s="105"/>
      <c r="IF521" s="105"/>
      <c r="IG521" s="105"/>
      <c r="IH521" s="105"/>
      <c r="II521" s="105"/>
      <c r="IJ521" s="105"/>
      <c r="IK521" s="105"/>
      <c r="IL521" s="105"/>
      <c r="IM521" s="105"/>
      <c r="IN521" s="105"/>
      <c r="IO521" s="105"/>
      <c r="IP521" s="105"/>
      <c r="IQ521" s="105"/>
      <c r="IR521" s="105"/>
      <c r="IS521" s="105"/>
      <c r="IT521" s="105"/>
      <c r="IU521" s="105"/>
      <c r="IV521" s="105"/>
    </row>
    <row r="522" spans="1:256" x14ac:dyDescent="0.2">
      <c r="A522" s="145">
        <v>44767</v>
      </c>
      <c r="B522" s="112" t="s">
        <v>238</v>
      </c>
      <c r="C522" s="112">
        <v>2022</v>
      </c>
      <c r="D522" s="112" t="s">
        <v>7</v>
      </c>
      <c r="E522" s="146">
        <v>-1255</v>
      </c>
      <c r="F522" s="146" t="s">
        <v>33</v>
      </c>
      <c r="G522" s="147">
        <v>564750</v>
      </c>
      <c r="H522" s="148">
        <v>325</v>
      </c>
      <c r="I522" s="146" t="s">
        <v>80</v>
      </c>
      <c r="J522" s="146" t="s">
        <v>738</v>
      </c>
      <c r="K522" s="146">
        <v>1045</v>
      </c>
      <c r="L522" s="146" t="s">
        <v>1166</v>
      </c>
      <c r="M522" s="146" t="s">
        <v>1167</v>
      </c>
      <c r="N522" s="149" t="s">
        <v>1168</v>
      </c>
      <c r="O522" s="112"/>
      <c r="P522" s="112" t="s">
        <v>162</v>
      </c>
      <c r="Q522" s="729">
        <v>39.763013999999998</v>
      </c>
      <c r="R522" s="591">
        <v>-86.539390999999995</v>
      </c>
      <c r="S522" s="112" t="s">
        <v>61</v>
      </c>
      <c r="T522" s="112"/>
      <c r="U522" s="112" t="s">
        <v>51</v>
      </c>
      <c r="V522" s="145"/>
      <c r="W522" s="150">
        <f>IF(AC522="Intr",0,G522*Definitions!$B$53)</f>
        <v>84712.5</v>
      </c>
      <c r="X522" s="150">
        <f>IF(AC522="Intr",0,G522*Definitions!$B$54)</f>
        <v>395325</v>
      </c>
      <c r="Y522" s="150">
        <f>IF(AC522="Intr",G522,G522*Definitions!$B$55)</f>
        <v>84712.5</v>
      </c>
      <c r="Z522" s="342" t="s">
        <v>966</v>
      </c>
      <c r="AA522" s="342" t="s">
        <v>965</v>
      </c>
      <c r="AB522" s="342"/>
      <c r="AC522" s="112"/>
      <c r="AD522" s="112"/>
      <c r="AE522" s="112"/>
      <c r="AF522" s="112"/>
      <c r="AG522" s="151"/>
      <c r="AH522" s="342" t="s">
        <v>1170</v>
      </c>
    </row>
    <row r="523" spans="1:256" s="407" customFormat="1" ht="12.75" customHeight="1" x14ac:dyDescent="0.2">
      <c r="A523" s="29">
        <v>44777</v>
      </c>
      <c r="B523" s="30" t="s">
        <v>249</v>
      </c>
      <c r="C523" s="30">
        <v>2022</v>
      </c>
      <c r="D523" s="30" t="s">
        <v>8</v>
      </c>
      <c r="E523" s="217">
        <v>-520</v>
      </c>
      <c r="F523" s="217" t="s">
        <v>33</v>
      </c>
      <c r="G523" s="218">
        <v>208000</v>
      </c>
      <c r="H523" s="219">
        <v>322</v>
      </c>
      <c r="I523" s="217" t="s">
        <v>80</v>
      </c>
      <c r="J523" s="217" t="s">
        <v>738</v>
      </c>
      <c r="K523" s="217">
        <v>580</v>
      </c>
      <c r="L523" s="217" t="s">
        <v>1171</v>
      </c>
      <c r="M523" s="217" t="s">
        <v>1172</v>
      </c>
      <c r="N523" s="67" t="s">
        <v>1173</v>
      </c>
      <c r="O523" s="30"/>
      <c r="P523" s="30" t="s">
        <v>313</v>
      </c>
      <c r="Q523" s="747">
        <v>38.946480000000001</v>
      </c>
      <c r="R523" s="636">
        <v>-85.887319000000005</v>
      </c>
      <c r="S523" s="30" t="s">
        <v>63</v>
      </c>
      <c r="T523" s="30"/>
      <c r="U523" s="30" t="s">
        <v>51</v>
      </c>
      <c r="V523" s="29"/>
      <c r="W523" s="31">
        <f>IF(AC523="Intr",0,G523*Definitions!$B$53)</f>
        <v>31200</v>
      </c>
      <c r="X523" s="31">
        <f>IF(AC523="Intr",0,G523*Definitions!$B$54)</f>
        <v>145600</v>
      </c>
      <c r="Y523" s="31">
        <f>IF(AC523="Intr",G523,G523*Definitions!$B$55)</f>
        <v>31200</v>
      </c>
      <c r="Z523" s="69" t="s">
        <v>966</v>
      </c>
      <c r="AA523" s="69" t="s">
        <v>965</v>
      </c>
      <c r="AB523" s="69"/>
      <c r="AC523" s="30"/>
      <c r="AD523" s="30"/>
      <c r="AE523" s="30"/>
      <c r="AF523" s="30"/>
      <c r="AG523" s="32"/>
      <c r="AH523" s="69" t="s">
        <v>1174</v>
      </c>
      <c r="AI523" s="105"/>
      <c r="AJ523" s="105"/>
      <c r="AK523" s="105"/>
      <c r="AL523" s="105"/>
      <c r="AM523" s="105"/>
      <c r="AN523" s="105"/>
      <c r="AO523" s="105"/>
      <c r="AP523" s="105"/>
      <c r="AQ523" s="105"/>
      <c r="AR523" s="105"/>
      <c r="AS523" s="105"/>
      <c r="AT523" s="105"/>
      <c r="AU523" s="105"/>
      <c r="AV523" s="105"/>
      <c r="AW523" s="105"/>
      <c r="AX523" s="105"/>
      <c r="AY523" s="105"/>
      <c r="AZ523" s="105"/>
      <c r="BA523" s="105"/>
      <c r="BB523" s="105"/>
      <c r="BC523" s="105"/>
      <c r="BD523" s="105"/>
      <c r="BE523" s="105"/>
      <c r="BF523" s="105"/>
      <c r="BG523" s="105"/>
      <c r="BH523" s="105"/>
      <c r="BI523" s="105"/>
      <c r="BJ523" s="105"/>
      <c r="BK523" s="105"/>
      <c r="BL523" s="105"/>
      <c r="BM523" s="105"/>
      <c r="BN523" s="105"/>
      <c r="BO523" s="105"/>
      <c r="BP523" s="105"/>
      <c r="BQ523" s="105"/>
      <c r="BR523" s="105"/>
      <c r="BS523" s="105"/>
      <c r="BT523" s="105"/>
      <c r="BU523" s="105"/>
      <c r="BV523" s="105"/>
      <c r="BW523" s="105"/>
      <c r="BX523" s="105"/>
      <c r="BY523" s="105"/>
      <c r="BZ523" s="105"/>
      <c r="CA523" s="105"/>
      <c r="CB523" s="105"/>
      <c r="CC523" s="105"/>
      <c r="CD523" s="105"/>
      <c r="CE523" s="105"/>
      <c r="CF523" s="105"/>
      <c r="CG523" s="105"/>
      <c r="CH523" s="105"/>
      <c r="CI523" s="105"/>
      <c r="CJ523" s="105"/>
      <c r="CK523" s="105"/>
      <c r="CL523" s="105"/>
      <c r="CM523" s="105"/>
      <c r="CN523" s="105"/>
      <c r="CO523" s="105"/>
      <c r="CP523" s="105"/>
      <c r="CQ523" s="105"/>
      <c r="CR523" s="105"/>
      <c r="CS523" s="105"/>
      <c r="CT523" s="105"/>
      <c r="CU523" s="105"/>
      <c r="CV523" s="105"/>
      <c r="CW523" s="105"/>
      <c r="CX523" s="105"/>
      <c r="CY523" s="105"/>
      <c r="CZ523" s="105"/>
      <c r="DA523" s="105"/>
      <c r="DB523" s="105"/>
      <c r="DC523" s="105"/>
      <c r="DD523" s="105"/>
      <c r="DE523" s="105"/>
      <c r="DF523" s="105"/>
      <c r="DG523" s="105"/>
      <c r="DH523" s="105"/>
      <c r="DI523" s="105"/>
      <c r="DJ523" s="105"/>
      <c r="DK523" s="105"/>
      <c r="DL523" s="105"/>
      <c r="DM523" s="105"/>
      <c r="DN523" s="105"/>
      <c r="DO523" s="105"/>
      <c r="DP523" s="105"/>
      <c r="DQ523" s="105"/>
      <c r="DR523" s="105"/>
      <c r="DS523" s="105"/>
      <c r="DT523" s="105"/>
      <c r="DU523" s="105"/>
      <c r="DV523" s="105"/>
      <c r="DW523" s="105"/>
      <c r="DX523" s="105"/>
      <c r="DY523" s="105"/>
      <c r="DZ523" s="105"/>
      <c r="EA523" s="105"/>
      <c r="EB523" s="105"/>
      <c r="EC523" s="105"/>
      <c r="ED523" s="105"/>
      <c r="EE523" s="105"/>
      <c r="EF523" s="105"/>
      <c r="EG523" s="105"/>
      <c r="EH523" s="105"/>
      <c r="EI523" s="105"/>
      <c r="EJ523" s="105"/>
      <c r="EK523" s="105"/>
      <c r="EL523" s="105"/>
      <c r="EM523" s="105"/>
      <c r="EN523" s="105"/>
      <c r="EO523" s="105"/>
      <c r="EP523" s="105"/>
      <c r="EQ523" s="105"/>
      <c r="ER523" s="105"/>
      <c r="ES523" s="105"/>
      <c r="ET523" s="105"/>
      <c r="EU523" s="105"/>
      <c r="EV523" s="105"/>
      <c r="EW523" s="105"/>
      <c r="EX523" s="105"/>
      <c r="EY523" s="105"/>
      <c r="EZ523" s="105"/>
      <c r="FA523" s="105"/>
      <c r="FB523" s="105"/>
      <c r="FC523" s="105"/>
      <c r="FD523" s="105"/>
      <c r="FE523" s="105"/>
      <c r="FF523" s="105"/>
      <c r="FG523" s="105"/>
      <c r="FH523" s="105"/>
      <c r="FI523" s="105"/>
      <c r="FJ523" s="105"/>
      <c r="FK523" s="105"/>
      <c r="FL523" s="105"/>
      <c r="FM523" s="105"/>
      <c r="FN523" s="105"/>
      <c r="FO523" s="105"/>
      <c r="FP523" s="105"/>
      <c r="FQ523" s="105"/>
      <c r="FR523" s="105"/>
      <c r="FS523" s="105"/>
      <c r="FT523" s="105"/>
      <c r="FU523" s="105"/>
      <c r="FV523" s="105"/>
      <c r="FW523" s="105"/>
      <c r="FX523" s="105"/>
      <c r="FY523" s="105"/>
      <c r="FZ523" s="105"/>
      <c r="GA523" s="105"/>
      <c r="GB523" s="105"/>
      <c r="GC523" s="105"/>
      <c r="GD523" s="105"/>
      <c r="GE523" s="105"/>
      <c r="GF523" s="105"/>
      <c r="GG523" s="105"/>
      <c r="GH523" s="105"/>
      <c r="GI523" s="105"/>
      <c r="GJ523" s="105"/>
      <c r="GK523" s="105"/>
      <c r="GL523" s="105"/>
      <c r="GM523" s="105"/>
      <c r="GN523" s="105"/>
      <c r="GO523" s="105"/>
      <c r="GP523" s="105"/>
      <c r="GQ523" s="105"/>
      <c r="GR523" s="105"/>
      <c r="GS523" s="105"/>
      <c r="GT523" s="105"/>
      <c r="GU523" s="105"/>
      <c r="GV523" s="105"/>
      <c r="GW523" s="105"/>
      <c r="GX523" s="105"/>
      <c r="GY523" s="105"/>
      <c r="GZ523" s="105"/>
      <c r="HA523" s="105"/>
      <c r="HB523" s="105"/>
      <c r="HC523" s="105"/>
      <c r="HD523" s="105"/>
      <c r="HE523" s="105"/>
      <c r="HF523" s="105"/>
      <c r="HG523" s="105"/>
      <c r="HH523" s="105"/>
      <c r="HI523" s="105"/>
      <c r="HJ523" s="105"/>
      <c r="HK523" s="105"/>
      <c r="HL523" s="105"/>
      <c r="HM523" s="105"/>
      <c r="HN523" s="105"/>
      <c r="HO523" s="105"/>
      <c r="HP523" s="105"/>
      <c r="HQ523" s="105"/>
      <c r="HR523" s="105"/>
      <c r="HS523" s="105"/>
      <c r="HT523" s="105"/>
      <c r="HU523" s="105"/>
      <c r="HV523" s="105"/>
      <c r="HW523" s="105"/>
      <c r="HX523" s="105"/>
      <c r="HY523" s="105"/>
      <c r="HZ523" s="105"/>
      <c r="IA523" s="105"/>
      <c r="IB523" s="105"/>
      <c r="IC523" s="105"/>
      <c r="ID523" s="105"/>
      <c r="IE523" s="105"/>
      <c r="IF523" s="105"/>
      <c r="IG523" s="105"/>
      <c r="IH523" s="105"/>
      <c r="II523" s="105"/>
      <c r="IJ523" s="105"/>
      <c r="IK523" s="105"/>
      <c r="IL523" s="105"/>
      <c r="IM523" s="105"/>
      <c r="IN523" s="105"/>
      <c r="IO523" s="105"/>
      <c r="IP523" s="105"/>
      <c r="IQ523" s="105"/>
      <c r="IR523" s="105"/>
      <c r="IS523" s="105"/>
      <c r="IT523" s="105"/>
      <c r="IU523" s="105"/>
      <c r="IV523" s="105"/>
    </row>
    <row r="524" spans="1:256" s="419" customFormat="1" x14ac:dyDescent="0.2">
      <c r="A524" s="29">
        <v>44777</v>
      </c>
      <c r="B524" s="30" t="s">
        <v>249</v>
      </c>
      <c r="C524" s="30">
        <v>2022</v>
      </c>
      <c r="D524" s="30" t="s">
        <v>8</v>
      </c>
      <c r="E524" s="217">
        <v>-1.27</v>
      </c>
      <c r="F524" s="217" t="s">
        <v>32</v>
      </c>
      <c r="G524" s="218">
        <v>101600</v>
      </c>
      <c r="H524" s="219">
        <v>322</v>
      </c>
      <c r="I524" s="217" t="s">
        <v>80</v>
      </c>
      <c r="J524" s="217" t="s">
        <v>36</v>
      </c>
      <c r="K524" s="217">
        <v>0.61199999999999999</v>
      </c>
      <c r="L524" s="217" t="s">
        <v>1171</v>
      </c>
      <c r="M524" s="217" t="s">
        <v>1172</v>
      </c>
      <c r="N524" s="67" t="s">
        <v>1173</v>
      </c>
      <c r="O524" s="30"/>
      <c r="P524" s="30" t="s">
        <v>313</v>
      </c>
      <c r="Q524" s="747">
        <v>38.946480000000001</v>
      </c>
      <c r="R524" s="636">
        <v>-85.887319000000005</v>
      </c>
      <c r="S524" s="30" t="s">
        <v>63</v>
      </c>
      <c r="T524" s="30"/>
      <c r="U524" s="30" t="s">
        <v>51</v>
      </c>
      <c r="V524" s="29"/>
      <c r="W524" s="31">
        <f>IF(AC524="Intr",0,G524*Definitions!$B$53)</f>
        <v>15240</v>
      </c>
      <c r="X524" s="31">
        <f>IF(AC524="Intr",0,G524*Definitions!$B$54)</f>
        <v>71120</v>
      </c>
      <c r="Y524" s="31">
        <f>IF(AC524="Intr",G524,G524*Definitions!$B$55)</f>
        <v>15240</v>
      </c>
      <c r="Z524" s="69" t="s">
        <v>966</v>
      </c>
      <c r="AA524" s="69" t="s">
        <v>965</v>
      </c>
      <c r="AB524" s="69"/>
      <c r="AC524" s="30"/>
      <c r="AD524" s="30"/>
      <c r="AE524" s="30"/>
      <c r="AF524" s="30"/>
      <c r="AG524" s="32"/>
      <c r="AH524" s="69" t="s">
        <v>1175</v>
      </c>
      <c r="AI524" s="105"/>
      <c r="AJ524" s="105"/>
      <c r="AK524" s="105"/>
      <c r="AL524" s="105"/>
      <c r="AM524" s="105"/>
      <c r="AN524" s="105"/>
      <c r="AO524" s="105"/>
      <c r="AP524" s="105"/>
      <c r="AQ524" s="105"/>
      <c r="AR524" s="105"/>
      <c r="AS524" s="105"/>
      <c r="AT524" s="105"/>
      <c r="AU524" s="105"/>
      <c r="AV524" s="105"/>
      <c r="AW524" s="105"/>
      <c r="AX524" s="105"/>
      <c r="AY524" s="105"/>
      <c r="AZ524" s="105"/>
      <c r="BA524" s="105"/>
      <c r="BB524" s="105"/>
      <c r="BC524" s="105"/>
      <c r="BD524" s="105"/>
      <c r="BE524" s="105"/>
      <c r="BF524" s="105"/>
      <c r="BG524" s="105"/>
      <c r="BH524" s="105"/>
      <c r="BI524" s="105"/>
      <c r="BJ524" s="105"/>
      <c r="BK524" s="105"/>
      <c r="BL524" s="105"/>
      <c r="BM524" s="105"/>
      <c r="BN524" s="105"/>
      <c r="BO524" s="105"/>
      <c r="BP524" s="105"/>
      <c r="BQ524" s="105"/>
      <c r="BR524" s="105"/>
      <c r="BS524" s="105"/>
      <c r="BT524" s="105"/>
      <c r="BU524" s="105"/>
      <c r="BV524" s="105"/>
      <c r="BW524" s="105"/>
      <c r="BX524" s="105"/>
      <c r="BY524" s="105"/>
      <c r="BZ524" s="105"/>
      <c r="CA524" s="105"/>
      <c r="CB524" s="105"/>
      <c r="CC524" s="105"/>
      <c r="CD524" s="105"/>
      <c r="CE524" s="105"/>
      <c r="CF524" s="105"/>
      <c r="CG524" s="105"/>
      <c r="CH524" s="105"/>
      <c r="CI524" s="105"/>
      <c r="CJ524" s="105"/>
      <c r="CK524" s="105"/>
      <c r="CL524" s="105"/>
      <c r="CM524" s="105"/>
      <c r="CN524" s="105"/>
      <c r="CO524" s="105"/>
      <c r="CP524" s="105"/>
      <c r="CQ524" s="105"/>
      <c r="CR524" s="105"/>
      <c r="CS524" s="105"/>
      <c r="CT524" s="105"/>
      <c r="CU524" s="105"/>
      <c r="CV524" s="105"/>
      <c r="CW524" s="105"/>
      <c r="CX524" s="105"/>
      <c r="CY524" s="105"/>
      <c r="CZ524" s="105"/>
      <c r="DA524" s="105"/>
      <c r="DB524" s="105"/>
      <c r="DC524" s="105"/>
      <c r="DD524" s="105"/>
      <c r="DE524" s="105"/>
      <c r="DF524" s="105"/>
      <c r="DG524" s="105"/>
      <c r="DH524" s="105"/>
      <c r="DI524" s="105"/>
      <c r="DJ524" s="105"/>
      <c r="DK524" s="105"/>
      <c r="DL524" s="105"/>
      <c r="DM524" s="105"/>
      <c r="DN524" s="105"/>
      <c r="DO524" s="105"/>
      <c r="DP524" s="105"/>
      <c r="DQ524" s="105"/>
      <c r="DR524" s="105"/>
      <c r="DS524" s="105"/>
      <c r="DT524" s="105"/>
      <c r="DU524" s="105"/>
      <c r="DV524" s="105"/>
      <c r="DW524" s="105"/>
      <c r="DX524" s="105"/>
      <c r="DY524" s="105"/>
      <c r="DZ524" s="105"/>
      <c r="EA524" s="105"/>
      <c r="EB524" s="105"/>
      <c r="EC524" s="105"/>
      <c r="ED524" s="105"/>
      <c r="EE524" s="105"/>
      <c r="EF524" s="105"/>
      <c r="EG524" s="105"/>
      <c r="EH524" s="105"/>
      <c r="EI524" s="105"/>
      <c r="EJ524" s="105"/>
      <c r="EK524" s="105"/>
      <c r="EL524" s="105"/>
      <c r="EM524" s="105"/>
      <c r="EN524" s="105"/>
      <c r="EO524" s="105"/>
      <c r="EP524" s="105"/>
      <c r="EQ524" s="105"/>
      <c r="ER524" s="105"/>
      <c r="ES524" s="105"/>
      <c r="ET524" s="105"/>
      <c r="EU524" s="105"/>
      <c r="EV524" s="105"/>
      <c r="EW524" s="105"/>
      <c r="EX524" s="105"/>
      <c r="EY524" s="105"/>
      <c r="EZ524" s="105"/>
      <c r="FA524" s="105"/>
      <c r="FB524" s="105"/>
      <c r="FC524" s="105"/>
      <c r="FD524" s="105"/>
      <c r="FE524" s="105"/>
      <c r="FF524" s="105"/>
      <c r="FG524" s="105"/>
      <c r="FH524" s="105"/>
      <c r="FI524" s="105"/>
      <c r="FJ524" s="105"/>
      <c r="FK524" s="105"/>
      <c r="FL524" s="105"/>
      <c r="FM524" s="105"/>
      <c r="FN524" s="105"/>
      <c r="FO524" s="105"/>
      <c r="FP524" s="105"/>
      <c r="FQ524" s="105"/>
      <c r="FR524" s="105"/>
      <c r="FS524" s="105"/>
      <c r="FT524" s="105"/>
      <c r="FU524" s="105"/>
      <c r="FV524" s="105"/>
      <c r="FW524" s="105"/>
      <c r="FX524" s="105"/>
      <c r="FY524" s="105"/>
      <c r="FZ524" s="105"/>
      <c r="GA524" s="105"/>
      <c r="GB524" s="105"/>
      <c r="GC524" s="105"/>
      <c r="GD524" s="105"/>
      <c r="GE524" s="105"/>
      <c r="GF524" s="105"/>
      <c r="GG524" s="105"/>
      <c r="GH524" s="105"/>
      <c r="GI524" s="105"/>
      <c r="GJ524" s="105"/>
      <c r="GK524" s="105"/>
      <c r="GL524" s="105"/>
      <c r="GM524" s="105"/>
      <c r="GN524" s="105"/>
      <c r="GO524" s="105"/>
      <c r="GP524" s="105"/>
      <c r="GQ524" s="105"/>
      <c r="GR524" s="105"/>
      <c r="GS524" s="105"/>
      <c r="GT524" s="105"/>
      <c r="GU524" s="105"/>
      <c r="GV524" s="105"/>
      <c r="GW524" s="105"/>
      <c r="GX524" s="105"/>
      <c r="GY524" s="105"/>
      <c r="GZ524" s="105"/>
      <c r="HA524" s="105"/>
      <c r="HB524" s="105"/>
      <c r="HC524" s="105"/>
      <c r="HD524" s="105"/>
      <c r="HE524" s="105"/>
      <c r="HF524" s="105"/>
      <c r="HG524" s="105"/>
      <c r="HH524" s="105"/>
      <c r="HI524" s="105"/>
      <c r="HJ524" s="105"/>
      <c r="HK524" s="105"/>
      <c r="HL524" s="105"/>
      <c r="HM524" s="105"/>
      <c r="HN524" s="105"/>
      <c r="HO524" s="105"/>
      <c r="HP524" s="105"/>
      <c r="HQ524" s="105"/>
      <c r="HR524" s="105"/>
      <c r="HS524" s="105"/>
      <c r="HT524" s="105"/>
      <c r="HU524" s="105"/>
      <c r="HV524" s="105"/>
      <c r="HW524" s="105"/>
      <c r="HX524" s="105"/>
      <c r="HY524" s="105"/>
      <c r="HZ524" s="105"/>
      <c r="IA524" s="105"/>
      <c r="IB524" s="105"/>
      <c r="IC524" s="105"/>
      <c r="ID524" s="105"/>
      <c r="IE524" s="105"/>
      <c r="IF524" s="105"/>
      <c r="IG524" s="105"/>
      <c r="IH524" s="105"/>
      <c r="II524" s="105"/>
      <c r="IJ524" s="105"/>
      <c r="IK524" s="105"/>
      <c r="IL524" s="105"/>
      <c r="IM524" s="105"/>
      <c r="IN524" s="105"/>
      <c r="IO524" s="105"/>
      <c r="IP524" s="105"/>
      <c r="IQ524" s="105"/>
      <c r="IR524" s="105"/>
      <c r="IS524" s="105"/>
      <c r="IT524" s="105"/>
      <c r="IU524" s="105"/>
      <c r="IV524" s="105"/>
    </row>
    <row r="525" spans="1:256" x14ac:dyDescent="0.2">
      <c r="A525" s="29">
        <v>44777</v>
      </c>
      <c r="B525" s="30" t="s">
        <v>249</v>
      </c>
      <c r="C525" s="30">
        <v>2022</v>
      </c>
      <c r="D525" s="30" t="s">
        <v>8</v>
      </c>
      <c r="E525" s="217">
        <v>-691</v>
      </c>
      <c r="F525" s="217" t="s">
        <v>33</v>
      </c>
      <c r="G525" s="218">
        <v>276400</v>
      </c>
      <c r="H525" s="219">
        <v>322</v>
      </c>
      <c r="I525" s="217" t="s">
        <v>80</v>
      </c>
      <c r="J525" s="217" t="s">
        <v>725</v>
      </c>
      <c r="K525" s="217">
        <v>691</v>
      </c>
      <c r="L525" s="217" t="s">
        <v>1171</v>
      </c>
      <c r="M525" s="217" t="s">
        <v>1172</v>
      </c>
      <c r="N525" s="67" t="s">
        <v>1173</v>
      </c>
      <c r="O525" s="30"/>
      <c r="P525" s="30" t="s">
        <v>313</v>
      </c>
      <c r="Q525" s="747">
        <v>38.946480000000001</v>
      </c>
      <c r="R525" s="636">
        <v>-85.887319000000005</v>
      </c>
      <c r="S525" s="30" t="s">
        <v>63</v>
      </c>
      <c r="T525" s="30"/>
      <c r="U525" s="30" t="s">
        <v>51</v>
      </c>
      <c r="V525" s="29"/>
      <c r="W525" s="31">
        <f>IF(AC525="Intr",0,G525*Definitions!$B$53)</f>
        <v>41460</v>
      </c>
      <c r="X525" s="31">
        <f>IF(AC525="Intr",0,G525*Definitions!$B$54)</f>
        <v>193480</v>
      </c>
      <c r="Y525" s="31">
        <f>IF(AC525="Intr",G525,G525*Definitions!$B$55)</f>
        <v>41460</v>
      </c>
      <c r="Z525" s="69" t="s">
        <v>966</v>
      </c>
      <c r="AA525" s="69" t="s">
        <v>965</v>
      </c>
      <c r="AB525" s="69"/>
      <c r="AC525" s="30"/>
      <c r="AD525" s="30"/>
      <c r="AE525" s="30"/>
      <c r="AF525" s="30"/>
      <c r="AG525" s="32"/>
      <c r="AH525" s="69" t="s">
        <v>1176</v>
      </c>
    </row>
    <row r="526" spans="1:256" s="388" customFormat="1" x14ac:dyDescent="0.2">
      <c r="A526" s="29">
        <v>44777</v>
      </c>
      <c r="B526" s="30" t="s">
        <v>249</v>
      </c>
      <c r="C526" s="30">
        <v>2022</v>
      </c>
      <c r="D526" s="30" t="s">
        <v>8</v>
      </c>
      <c r="E526" s="217">
        <v>-4.0000000000000001E-3</v>
      </c>
      <c r="F526" s="217" t="s">
        <v>32</v>
      </c>
      <c r="G526" s="218">
        <v>320</v>
      </c>
      <c r="H526" s="219">
        <v>322</v>
      </c>
      <c r="I526" s="217" t="s">
        <v>80</v>
      </c>
      <c r="J526" s="217" t="s">
        <v>38</v>
      </c>
      <c r="K526" s="217">
        <v>1E-3</v>
      </c>
      <c r="L526" s="217" t="s">
        <v>1171</v>
      </c>
      <c r="M526" s="217" t="s">
        <v>1172</v>
      </c>
      <c r="N526" s="67" t="s">
        <v>1173</v>
      </c>
      <c r="O526" s="30"/>
      <c r="P526" s="30" t="s">
        <v>313</v>
      </c>
      <c r="Q526" s="747">
        <v>38.946480000000001</v>
      </c>
      <c r="R526" s="636">
        <v>-85.887319000000005</v>
      </c>
      <c r="S526" s="30" t="s">
        <v>63</v>
      </c>
      <c r="T526" s="30"/>
      <c r="U526" s="30" t="s">
        <v>51</v>
      </c>
      <c r="V526" s="29"/>
      <c r="W526" s="31">
        <f>IF(AC526="Intr",0,G526*Definitions!$B$53)</f>
        <v>48</v>
      </c>
      <c r="X526" s="31">
        <f>IF(AC526="Intr",0,G526*Definitions!$B$54)</f>
        <v>224</v>
      </c>
      <c r="Y526" s="31">
        <f>IF(AC526="Intr",G526,G526*Definitions!$B$55)</f>
        <v>48</v>
      </c>
      <c r="Z526" s="69" t="s">
        <v>966</v>
      </c>
      <c r="AA526" s="69" t="s">
        <v>965</v>
      </c>
      <c r="AB526" s="69"/>
      <c r="AC526" s="30"/>
      <c r="AD526" s="30"/>
      <c r="AE526" s="30"/>
      <c r="AF526" s="30"/>
      <c r="AG526" s="32"/>
      <c r="AH526" s="69" t="s">
        <v>1175</v>
      </c>
      <c r="AI526" s="105"/>
      <c r="AJ526" s="105"/>
      <c r="AK526" s="105"/>
      <c r="AL526" s="105"/>
      <c r="AM526" s="105"/>
      <c r="AN526" s="105"/>
      <c r="AO526" s="105"/>
      <c r="AP526" s="105"/>
      <c r="AQ526" s="105"/>
      <c r="AR526" s="105"/>
      <c r="AS526" s="105"/>
      <c r="AT526" s="105"/>
      <c r="AU526" s="105"/>
      <c r="AV526" s="105"/>
      <c r="AW526" s="105"/>
      <c r="AX526" s="105"/>
      <c r="AY526" s="105"/>
      <c r="AZ526" s="105"/>
      <c r="BA526" s="105"/>
      <c r="BB526" s="105"/>
      <c r="BC526" s="105"/>
      <c r="BD526" s="105"/>
      <c r="BE526" s="105"/>
      <c r="BF526" s="105"/>
      <c r="BG526" s="105"/>
      <c r="BH526" s="105"/>
      <c r="BI526" s="105"/>
      <c r="BJ526" s="105"/>
      <c r="BK526" s="105"/>
      <c r="BL526" s="105"/>
      <c r="BM526" s="105"/>
      <c r="BN526" s="105"/>
      <c r="BO526" s="105"/>
      <c r="BP526" s="105"/>
      <c r="BQ526" s="105"/>
      <c r="BR526" s="105"/>
      <c r="BS526" s="105"/>
      <c r="BT526" s="105"/>
      <c r="BU526" s="105"/>
      <c r="BV526" s="105"/>
      <c r="BW526" s="105"/>
      <c r="BX526" s="105"/>
      <c r="BY526" s="105"/>
      <c r="BZ526" s="105"/>
      <c r="CA526" s="105"/>
      <c r="CB526" s="105"/>
      <c r="CC526" s="105"/>
      <c r="CD526" s="105"/>
      <c r="CE526" s="105"/>
      <c r="CF526" s="105"/>
      <c r="CG526" s="105"/>
      <c r="CH526" s="105"/>
      <c r="CI526" s="105"/>
      <c r="CJ526" s="105"/>
      <c r="CK526" s="105"/>
      <c r="CL526" s="105"/>
      <c r="CM526" s="105"/>
      <c r="CN526" s="105"/>
      <c r="CO526" s="105"/>
      <c r="CP526" s="105"/>
      <c r="CQ526" s="105"/>
      <c r="CR526" s="105"/>
      <c r="CS526" s="105"/>
      <c r="CT526" s="105"/>
      <c r="CU526" s="105"/>
      <c r="CV526" s="105"/>
      <c r="CW526" s="105"/>
      <c r="CX526" s="105"/>
      <c r="CY526" s="105"/>
      <c r="CZ526" s="105"/>
      <c r="DA526" s="105"/>
      <c r="DB526" s="105"/>
      <c r="DC526" s="105"/>
      <c r="DD526" s="105"/>
      <c r="DE526" s="105"/>
      <c r="DF526" s="105"/>
      <c r="DG526" s="105"/>
      <c r="DH526" s="105"/>
      <c r="DI526" s="105"/>
      <c r="DJ526" s="105"/>
      <c r="DK526" s="105"/>
      <c r="DL526" s="105"/>
      <c r="DM526" s="105"/>
      <c r="DN526" s="105"/>
      <c r="DO526" s="105"/>
      <c r="DP526" s="105"/>
      <c r="DQ526" s="105"/>
      <c r="DR526" s="105"/>
      <c r="DS526" s="105"/>
      <c r="DT526" s="105"/>
      <c r="DU526" s="105"/>
      <c r="DV526" s="105"/>
      <c r="DW526" s="105"/>
      <c r="DX526" s="105"/>
      <c r="DY526" s="105"/>
      <c r="DZ526" s="105"/>
      <c r="EA526" s="105"/>
      <c r="EB526" s="105"/>
      <c r="EC526" s="105"/>
      <c r="ED526" s="105"/>
      <c r="EE526" s="105"/>
      <c r="EF526" s="105"/>
      <c r="EG526" s="105"/>
      <c r="EH526" s="105"/>
      <c r="EI526" s="105"/>
      <c r="EJ526" s="105"/>
      <c r="EK526" s="105"/>
      <c r="EL526" s="105"/>
      <c r="EM526" s="105"/>
      <c r="EN526" s="105"/>
      <c r="EO526" s="105"/>
      <c r="EP526" s="105"/>
      <c r="EQ526" s="105"/>
      <c r="ER526" s="105"/>
      <c r="ES526" s="105"/>
      <c r="ET526" s="105"/>
      <c r="EU526" s="105"/>
      <c r="EV526" s="105"/>
      <c r="EW526" s="105"/>
      <c r="EX526" s="105"/>
      <c r="EY526" s="105"/>
      <c r="EZ526" s="105"/>
      <c r="FA526" s="105"/>
      <c r="FB526" s="105"/>
      <c r="FC526" s="105"/>
      <c r="FD526" s="105"/>
      <c r="FE526" s="105"/>
      <c r="FF526" s="105"/>
      <c r="FG526" s="105"/>
      <c r="FH526" s="105"/>
      <c r="FI526" s="105"/>
      <c r="FJ526" s="105"/>
      <c r="FK526" s="105"/>
      <c r="FL526" s="105"/>
      <c r="FM526" s="105"/>
      <c r="FN526" s="105"/>
      <c r="FO526" s="105"/>
      <c r="FP526" s="105"/>
      <c r="FQ526" s="105"/>
      <c r="FR526" s="105"/>
      <c r="FS526" s="105"/>
      <c r="FT526" s="105"/>
      <c r="FU526" s="105"/>
      <c r="FV526" s="105"/>
      <c r="FW526" s="105"/>
      <c r="FX526" s="105"/>
      <c r="FY526" s="105"/>
      <c r="FZ526" s="105"/>
      <c r="GA526" s="105"/>
      <c r="GB526" s="105"/>
      <c r="GC526" s="105"/>
      <c r="GD526" s="105"/>
      <c r="GE526" s="105"/>
      <c r="GF526" s="105"/>
      <c r="GG526" s="105"/>
      <c r="GH526" s="105"/>
      <c r="GI526" s="105"/>
      <c r="GJ526" s="105"/>
      <c r="GK526" s="105"/>
      <c r="GL526" s="105"/>
      <c r="GM526" s="105"/>
      <c r="GN526" s="105"/>
      <c r="GO526" s="105"/>
      <c r="GP526" s="105"/>
      <c r="GQ526" s="105"/>
      <c r="GR526" s="105"/>
      <c r="GS526" s="105"/>
      <c r="GT526" s="105"/>
      <c r="GU526" s="105"/>
      <c r="GV526" s="105"/>
      <c r="GW526" s="105"/>
      <c r="GX526" s="105"/>
      <c r="GY526" s="105"/>
      <c r="GZ526" s="105"/>
      <c r="HA526" s="105"/>
      <c r="HB526" s="105"/>
      <c r="HC526" s="105"/>
      <c r="HD526" s="105"/>
      <c r="HE526" s="105"/>
      <c r="HF526" s="105"/>
      <c r="HG526" s="105"/>
      <c r="HH526" s="105"/>
      <c r="HI526" s="105"/>
      <c r="HJ526" s="105"/>
      <c r="HK526" s="105"/>
      <c r="HL526" s="105"/>
      <c r="HM526" s="105"/>
      <c r="HN526" s="105"/>
      <c r="HO526" s="105"/>
      <c r="HP526" s="105"/>
      <c r="HQ526" s="105"/>
      <c r="HR526" s="105"/>
      <c r="HS526" s="105"/>
      <c r="HT526" s="105"/>
      <c r="HU526" s="105"/>
      <c r="HV526" s="105"/>
      <c r="HW526" s="105"/>
      <c r="HX526" s="105"/>
      <c r="HY526" s="105"/>
      <c r="HZ526" s="105"/>
      <c r="IA526" s="105"/>
      <c r="IB526" s="105"/>
      <c r="IC526" s="105"/>
      <c r="ID526" s="105"/>
      <c r="IE526" s="105"/>
      <c r="IF526" s="105"/>
      <c r="IG526" s="105"/>
      <c r="IH526" s="105"/>
      <c r="II526" s="105"/>
      <c r="IJ526" s="105"/>
      <c r="IK526" s="105"/>
      <c r="IL526" s="105"/>
      <c r="IM526" s="105"/>
      <c r="IN526" s="105"/>
      <c r="IO526" s="105"/>
      <c r="IP526" s="105"/>
      <c r="IQ526" s="105"/>
      <c r="IR526" s="105"/>
      <c r="IS526" s="105"/>
      <c r="IT526" s="105"/>
      <c r="IU526" s="105"/>
      <c r="IV526" s="105"/>
    </row>
    <row r="527" spans="1:256" s="388" customFormat="1" x14ac:dyDescent="0.2">
      <c r="A527" s="37">
        <v>44782</v>
      </c>
      <c r="B527" s="38" t="s">
        <v>249</v>
      </c>
      <c r="C527" s="38">
        <v>2022</v>
      </c>
      <c r="D527" s="38" t="s">
        <v>3</v>
      </c>
      <c r="E527" s="177">
        <v>-0.23</v>
      </c>
      <c r="F527" s="177" t="s">
        <v>32</v>
      </c>
      <c r="G527" s="269">
        <v>27600</v>
      </c>
      <c r="H527" s="179">
        <v>300</v>
      </c>
      <c r="I527" s="177" t="s">
        <v>80</v>
      </c>
      <c r="J527" s="177" t="s">
        <v>36</v>
      </c>
      <c r="K527" s="177">
        <v>0.23</v>
      </c>
      <c r="L527" s="177" t="s">
        <v>927</v>
      </c>
      <c r="M527" s="177" t="s">
        <v>1178</v>
      </c>
      <c r="N527" s="70" t="s">
        <v>1179</v>
      </c>
      <c r="O527" s="38"/>
      <c r="P527" s="38" t="s">
        <v>270</v>
      </c>
      <c r="Q527" s="760">
        <v>41.693517</v>
      </c>
      <c r="R527" s="590">
        <v>-85.965565999999995</v>
      </c>
      <c r="S527" s="38" t="s">
        <v>62</v>
      </c>
      <c r="T527" s="38"/>
      <c r="U527" s="30" t="s">
        <v>51</v>
      </c>
      <c r="V527" s="37"/>
      <c r="W527" s="39">
        <f>IF(AC527="Intr",0,G527*Definitions!$B$53)</f>
        <v>4140</v>
      </c>
      <c r="X527" s="39">
        <f>IF(AC527="Intr",0,G527*Definitions!$B$54)</f>
        <v>19320</v>
      </c>
      <c r="Y527" s="39">
        <f>IF(AC527="Intr",G527,G527*Definitions!$B$55)</f>
        <v>4140</v>
      </c>
      <c r="Z527" s="39" t="s">
        <v>964</v>
      </c>
      <c r="AA527" s="39" t="s">
        <v>965</v>
      </c>
      <c r="AB527" s="39"/>
      <c r="AC527" s="38"/>
      <c r="AD527" s="38"/>
      <c r="AE527" s="38"/>
      <c r="AF527" s="38"/>
      <c r="AG527" s="40"/>
      <c r="AH527" s="72" t="s">
        <v>1180</v>
      </c>
      <c r="AI527" s="105"/>
      <c r="AJ527" s="105"/>
      <c r="AK527" s="105"/>
      <c r="AL527" s="105"/>
      <c r="AM527" s="105"/>
      <c r="AN527" s="105"/>
      <c r="AO527" s="105"/>
      <c r="AP527" s="105"/>
      <c r="AQ527" s="105"/>
      <c r="AR527" s="105"/>
      <c r="AS527" s="105"/>
      <c r="AT527" s="105"/>
      <c r="AU527" s="105"/>
      <c r="AV527" s="105"/>
      <c r="AW527" s="105"/>
      <c r="AX527" s="105"/>
      <c r="AY527" s="105"/>
      <c r="AZ527" s="105"/>
      <c r="BA527" s="105"/>
      <c r="BB527" s="105"/>
      <c r="BC527" s="105"/>
      <c r="BD527" s="105"/>
      <c r="BE527" s="105"/>
      <c r="BF527" s="105"/>
      <c r="BG527" s="105"/>
      <c r="BH527" s="105"/>
      <c r="BI527" s="105"/>
      <c r="BJ527" s="105"/>
      <c r="BK527" s="105"/>
      <c r="BL527" s="105"/>
      <c r="BM527" s="105"/>
      <c r="BN527" s="105"/>
      <c r="BO527" s="105"/>
      <c r="BP527" s="105"/>
      <c r="BQ527" s="105"/>
      <c r="BR527" s="105"/>
      <c r="BS527" s="105"/>
      <c r="BT527" s="105"/>
      <c r="BU527" s="105"/>
      <c r="BV527" s="105"/>
      <c r="BW527" s="105"/>
      <c r="BX527" s="105"/>
      <c r="BY527" s="105"/>
      <c r="BZ527" s="105"/>
      <c r="CA527" s="105"/>
      <c r="CB527" s="105"/>
      <c r="CC527" s="105"/>
      <c r="CD527" s="105"/>
      <c r="CE527" s="105"/>
      <c r="CF527" s="105"/>
      <c r="CG527" s="105"/>
      <c r="CH527" s="105"/>
      <c r="CI527" s="105"/>
      <c r="CJ527" s="105"/>
      <c r="CK527" s="105"/>
      <c r="CL527" s="105"/>
      <c r="CM527" s="105"/>
      <c r="CN527" s="105"/>
      <c r="CO527" s="105"/>
      <c r="CP527" s="105"/>
      <c r="CQ527" s="105"/>
      <c r="CR527" s="105"/>
      <c r="CS527" s="105"/>
      <c r="CT527" s="105"/>
      <c r="CU527" s="105"/>
      <c r="CV527" s="105"/>
      <c r="CW527" s="105"/>
      <c r="CX527" s="105"/>
      <c r="CY527" s="105"/>
      <c r="CZ527" s="105"/>
      <c r="DA527" s="105"/>
      <c r="DB527" s="105"/>
      <c r="DC527" s="105"/>
      <c r="DD527" s="105"/>
      <c r="DE527" s="105"/>
      <c r="DF527" s="105"/>
      <c r="DG527" s="105"/>
      <c r="DH527" s="105"/>
      <c r="DI527" s="105"/>
      <c r="DJ527" s="105"/>
      <c r="DK527" s="105"/>
      <c r="DL527" s="105"/>
      <c r="DM527" s="105"/>
      <c r="DN527" s="105"/>
      <c r="DO527" s="105"/>
      <c r="DP527" s="105"/>
      <c r="DQ527" s="105"/>
      <c r="DR527" s="105"/>
      <c r="DS527" s="105"/>
      <c r="DT527" s="105"/>
      <c r="DU527" s="105"/>
      <c r="DV527" s="105"/>
      <c r="DW527" s="105"/>
      <c r="DX527" s="105"/>
      <c r="DY527" s="105"/>
      <c r="DZ527" s="105"/>
      <c r="EA527" s="105"/>
      <c r="EB527" s="105"/>
      <c r="EC527" s="105"/>
      <c r="ED527" s="105"/>
      <c r="EE527" s="105"/>
      <c r="EF527" s="105"/>
      <c r="EG527" s="105"/>
      <c r="EH527" s="105"/>
      <c r="EI527" s="105"/>
      <c r="EJ527" s="105"/>
      <c r="EK527" s="105"/>
      <c r="EL527" s="105"/>
      <c r="EM527" s="105"/>
      <c r="EN527" s="105"/>
      <c r="EO527" s="105"/>
      <c r="EP527" s="105"/>
      <c r="EQ527" s="105"/>
      <c r="ER527" s="105"/>
      <c r="ES527" s="105"/>
      <c r="ET527" s="105"/>
      <c r="EU527" s="105"/>
      <c r="EV527" s="105"/>
      <c r="EW527" s="105"/>
      <c r="EX527" s="105"/>
      <c r="EY527" s="105"/>
      <c r="EZ527" s="105"/>
      <c r="FA527" s="105"/>
      <c r="FB527" s="105"/>
      <c r="FC527" s="105"/>
      <c r="FD527" s="105"/>
      <c r="FE527" s="105"/>
      <c r="FF527" s="105"/>
      <c r="FG527" s="105"/>
      <c r="FH527" s="105"/>
      <c r="FI527" s="105"/>
      <c r="FJ527" s="105"/>
      <c r="FK527" s="105"/>
      <c r="FL527" s="105"/>
      <c r="FM527" s="105"/>
      <c r="FN527" s="105"/>
      <c r="FO527" s="105"/>
      <c r="FP527" s="105"/>
      <c r="FQ527" s="105"/>
      <c r="FR527" s="105"/>
      <c r="FS527" s="105"/>
      <c r="FT527" s="105"/>
      <c r="FU527" s="105"/>
      <c r="FV527" s="105"/>
      <c r="FW527" s="105"/>
      <c r="FX527" s="105"/>
      <c r="FY527" s="105"/>
      <c r="FZ527" s="105"/>
      <c r="GA527" s="105"/>
      <c r="GB527" s="105"/>
      <c r="GC527" s="105"/>
      <c r="GD527" s="105"/>
      <c r="GE527" s="105"/>
      <c r="GF527" s="105"/>
      <c r="GG527" s="105"/>
      <c r="GH527" s="105"/>
      <c r="GI527" s="105"/>
      <c r="GJ527" s="105"/>
      <c r="GK527" s="105"/>
      <c r="GL527" s="105"/>
      <c r="GM527" s="105"/>
      <c r="GN527" s="105"/>
      <c r="GO527" s="105"/>
      <c r="GP527" s="105"/>
      <c r="GQ527" s="105"/>
      <c r="GR527" s="105"/>
      <c r="GS527" s="105"/>
      <c r="GT527" s="105"/>
      <c r="GU527" s="105"/>
      <c r="GV527" s="105"/>
      <c r="GW527" s="105"/>
      <c r="GX527" s="105"/>
      <c r="GY527" s="105"/>
      <c r="GZ527" s="105"/>
      <c r="HA527" s="105"/>
      <c r="HB527" s="105"/>
      <c r="HC527" s="105"/>
      <c r="HD527" s="105"/>
      <c r="HE527" s="105"/>
      <c r="HF527" s="105"/>
      <c r="HG527" s="105"/>
      <c r="HH527" s="105"/>
      <c r="HI527" s="105"/>
      <c r="HJ527" s="105"/>
      <c r="HK527" s="105"/>
      <c r="HL527" s="105"/>
      <c r="HM527" s="105"/>
      <c r="HN527" s="105"/>
      <c r="HO527" s="105"/>
      <c r="HP527" s="105"/>
      <c r="HQ527" s="105"/>
      <c r="HR527" s="105"/>
      <c r="HS527" s="105"/>
      <c r="HT527" s="105"/>
      <c r="HU527" s="105"/>
      <c r="HV527" s="105"/>
      <c r="HW527" s="105"/>
      <c r="HX527" s="105"/>
      <c r="HY527" s="105"/>
      <c r="HZ527" s="105"/>
      <c r="IA527" s="105"/>
      <c r="IB527" s="105"/>
      <c r="IC527" s="105"/>
      <c r="ID527" s="105"/>
      <c r="IE527" s="105"/>
      <c r="IF527" s="105"/>
      <c r="IG527" s="105"/>
      <c r="IH527" s="105"/>
      <c r="II527" s="105"/>
      <c r="IJ527" s="105"/>
      <c r="IK527" s="105"/>
      <c r="IL527" s="105"/>
      <c r="IM527" s="105"/>
      <c r="IN527" s="105"/>
      <c r="IO527" s="105"/>
      <c r="IP527" s="105"/>
      <c r="IQ527" s="105"/>
      <c r="IR527" s="105"/>
      <c r="IS527" s="105"/>
      <c r="IT527" s="105"/>
      <c r="IU527" s="105"/>
      <c r="IV527" s="105"/>
    </row>
    <row r="528" spans="1:256" s="418" customFormat="1" ht="13.15" customHeight="1" x14ac:dyDescent="0.2">
      <c r="A528" s="207">
        <v>44782</v>
      </c>
      <c r="B528" s="208" t="s">
        <v>249</v>
      </c>
      <c r="C528" s="208">
        <v>2022</v>
      </c>
      <c r="D528" s="208" t="s">
        <v>7</v>
      </c>
      <c r="E528" s="209">
        <v>-275</v>
      </c>
      <c r="F528" s="209" t="s">
        <v>33</v>
      </c>
      <c r="G528" s="210">
        <v>123750</v>
      </c>
      <c r="H528" s="211">
        <v>303</v>
      </c>
      <c r="I528" s="209" t="s">
        <v>80</v>
      </c>
      <c r="J528" s="209" t="s">
        <v>731</v>
      </c>
      <c r="K528" s="209">
        <v>229</v>
      </c>
      <c r="L528" s="209" t="s">
        <v>1181</v>
      </c>
      <c r="M528" s="209" t="s">
        <v>1182</v>
      </c>
      <c r="N528" s="212" t="s">
        <v>1183</v>
      </c>
      <c r="O528" s="208"/>
      <c r="P528" s="208" t="s">
        <v>137</v>
      </c>
      <c r="Q528" s="749">
        <v>40.069056000000003</v>
      </c>
      <c r="R528" s="641">
        <v>-86.065216000000007</v>
      </c>
      <c r="S528" s="208" t="s">
        <v>61</v>
      </c>
      <c r="T528" s="208"/>
      <c r="U528" s="208" t="s">
        <v>51</v>
      </c>
      <c r="V528" s="207"/>
      <c r="W528" s="213">
        <f>IF(AC528="Intr",0,G528*Definitions!$B$53)</f>
        <v>18562.5</v>
      </c>
      <c r="X528" s="213">
        <f>IF(AC528="Intr",0,G528*Definitions!$B$54)</f>
        <v>86625</v>
      </c>
      <c r="Y528" s="213">
        <f>IF(AC528="Intr",G528,G528*Definitions!$B$55)</f>
        <v>18562.5</v>
      </c>
      <c r="Z528" s="213" t="s">
        <v>966</v>
      </c>
      <c r="AA528" s="213" t="s">
        <v>965</v>
      </c>
      <c r="AB528" s="213"/>
      <c r="AC528" s="208"/>
      <c r="AD528" s="208"/>
      <c r="AE528" s="208"/>
      <c r="AF528" s="208"/>
      <c r="AG528" s="214"/>
      <c r="AH528" s="304" t="s">
        <v>1184</v>
      </c>
      <c r="AI528" s="105"/>
      <c r="AJ528" s="105"/>
      <c r="AK528" s="105"/>
      <c r="AL528" s="105"/>
      <c r="AM528" s="105"/>
      <c r="AN528" s="105"/>
      <c r="AO528" s="105"/>
      <c r="AP528" s="105"/>
      <c r="AQ528" s="105"/>
      <c r="AR528" s="105"/>
      <c r="AS528" s="105"/>
      <c r="AT528" s="105"/>
      <c r="AU528" s="105"/>
      <c r="AV528" s="105"/>
      <c r="AW528" s="105"/>
      <c r="AX528" s="105"/>
      <c r="AY528" s="105"/>
      <c r="AZ528" s="105"/>
      <c r="BA528" s="105"/>
      <c r="BB528" s="105"/>
      <c r="BC528" s="105"/>
      <c r="BD528" s="105"/>
      <c r="BE528" s="105"/>
      <c r="BF528" s="105"/>
      <c r="BG528" s="105"/>
      <c r="BH528" s="105"/>
      <c r="BI528" s="105"/>
      <c r="BJ528" s="105"/>
      <c r="BK528" s="105"/>
      <c r="BL528" s="105"/>
      <c r="BM528" s="105"/>
      <c r="BN528" s="105"/>
      <c r="BO528" s="105"/>
      <c r="BP528" s="105"/>
      <c r="BQ528" s="105"/>
      <c r="BR528" s="105"/>
      <c r="BS528" s="105"/>
      <c r="BT528" s="105"/>
      <c r="BU528" s="105"/>
      <c r="BV528" s="105"/>
      <c r="BW528" s="105"/>
      <c r="BX528" s="105"/>
      <c r="BY528" s="105"/>
      <c r="BZ528" s="105"/>
      <c r="CA528" s="105"/>
      <c r="CB528" s="105"/>
      <c r="CC528" s="105"/>
      <c r="CD528" s="105"/>
      <c r="CE528" s="105"/>
      <c r="CF528" s="105"/>
      <c r="CG528" s="105"/>
      <c r="CH528" s="105"/>
      <c r="CI528" s="105"/>
      <c r="CJ528" s="105"/>
      <c r="CK528" s="105"/>
      <c r="CL528" s="105"/>
      <c r="CM528" s="105"/>
      <c r="CN528" s="105"/>
      <c r="CO528" s="105"/>
      <c r="CP528" s="105"/>
      <c r="CQ528" s="105"/>
      <c r="CR528" s="105"/>
      <c r="CS528" s="105"/>
      <c r="CT528" s="105"/>
      <c r="CU528" s="105"/>
      <c r="CV528" s="105"/>
      <c r="CW528" s="105"/>
      <c r="CX528" s="105"/>
      <c r="CY528" s="105"/>
      <c r="CZ528" s="105"/>
      <c r="DA528" s="105"/>
      <c r="DB528" s="105"/>
      <c r="DC528" s="105"/>
      <c r="DD528" s="105"/>
      <c r="DE528" s="105"/>
      <c r="DF528" s="105"/>
      <c r="DG528" s="105"/>
      <c r="DH528" s="105"/>
      <c r="DI528" s="105"/>
      <c r="DJ528" s="105"/>
      <c r="DK528" s="105"/>
      <c r="DL528" s="105"/>
      <c r="DM528" s="105"/>
      <c r="DN528" s="105"/>
      <c r="DO528" s="105"/>
      <c r="DP528" s="105"/>
      <c r="DQ528" s="105"/>
      <c r="DR528" s="105"/>
      <c r="DS528" s="105"/>
      <c r="DT528" s="105"/>
      <c r="DU528" s="105"/>
      <c r="DV528" s="105"/>
      <c r="DW528" s="105"/>
      <c r="DX528" s="105"/>
      <c r="DY528" s="105"/>
      <c r="DZ528" s="105"/>
      <c r="EA528" s="105"/>
      <c r="EB528" s="105"/>
      <c r="EC528" s="105"/>
      <c r="ED528" s="105"/>
      <c r="EE528" s="105"/>
      <c r="EF528" s="105"/>
      <c r="EG528" s="105"/>
      <c r="EH528" s="105"/>
      <c r="EI528" s="105"/>
      <c r="EJ528" s="105"/>
      <c r="EK528" s="105"/>
      <c r="EL528" s="105"/>
      <c r="EM528" s="105"/>
      <c r="EN528" s="105"/>
      <c r="EO528" s="105"/>
      <c r="EP528" s="105"/>
      <c r="EQ528" s="105"/>
      <c r="ER528" s="105"/>
      <c r="ES528" s="105"/>
      <c r="ET528" s="105"/>
      <c r="EU528" s="105"/>
      <c r="EV528" s="105"/>
      <c r="EW528" s="105"/>
      <c r="EX528" s="105"/>
      <c r="EY528" s="105"/>
      <c r="EZ528" s="105"/>
      <c r="FA528" s="105"/>
      <c r="FB528" s="105"/>
      <c r="FC528" s="105"/>
      <c r="FD528" s="105"/>
      <c r="FE528" s="105"/>
      <c r="FF528" s="105"/>
      <c r="FG528" s="105"/>
      <c r="FH528" s="105"/>
      <c r="FI528" s="105"/>
      <c r="FJ528" s="105"/>
      <c r="FK528" s="105"/>
      <c r="FL528" s="105"/>
      <c r="FM528" s="105"/>
      <c r="FN528" s="105"/>
      <c r="FO528" s="105"/>
      <c r="FP528" s="105"/>
      <c r="FQ528" s="105"/>
      <c r="FR528" s="105"/>
      <c r="FS528" s="105"/>
      <c r="FT528" s="105"/>
      <c r="FU528" s="105"/>
      <c r="FV528" s="105"/>
      <c r="FW528" s="105"/>
      <c r="FX528" s="105"/>
      <c r="FY528" s="105"/>
      <c r="FZ528" s="105"/>
      <c r="GA528" s="105"/>
      <c r="GB528" s="105"/>
      <c r="GC528" s="105"/>
      <c r="GD528" s="105"/>
      <c r="GE528" s="105"/>
      <c r="GF528" s="105"/>
      <c r="GG528" s="105"/>
      <c r="GH528" s="105"/>
      <c r="GI528" s="105"/>
      <c r="GJ528" s="105"/>
      <c r="GK528" s="105"/>
      <c r="GL528" s="105"/>
      <c r="GM528" s="105"/>
      <c r="GN528" s="105"/>
      <c r="GO528" s="105"/>
      <c r="GP528" s="105"/>
      <c r="GQ528" s="105"/>
      <c r="GR528" s="105"/>
      <c r="GS528" s="105"/>
      <c r="GT528" s="105"/>
      <c r="GU528" s="105"/>
      <c r="GV528" s="105"/>
      <c r="GW528" s="105"/>
      <c r="GX528" s="105"/>
      <c r="GY528" s="105"/>
      <c r="GZ528" s="105"/>
      <c r="HA528" s="105"/>
      <c r="HB528" s="105"/>
      <c r="HC528" s="105"/>
      <c r="HD528" s="105"/>
      <c r="HE528" s="105"/>
      <c r="HF528" s="105"/>
      <c r="HG528" s="105"/>
      <c r="HH528" s="105"/>
      <c r="HI528" s="105"/>
      <c r="HJ528" s="105"/>
      <c r="HK528" s="105"/>
      <c r="HL528" s="105"/>
      <c r="HM528" s="105"/>
      <c r="HN528" s="105"/>
      <c r="HO528" s="105"/>
      <c r="HP528" s="105"/>
      <c r="HQ528" s="105"/>
      <c r="HR528" s="105"/>
      <c r="HS528" s="105"/>
      <c r="HT528" s="105"/>
      <c r="HU528" s="105"/>
      <c r="HV528" s="105"/>
      <c r="HW528" s="105"/>
      <c r="HX528" s="105"/>
      <c r="HY528" s="105"/>
      <c r="HZ528" s="105"/>
      <c r="IA528" s="105"/>
      <c r="IB528" s="105"/>
      <c r="IC528" s="105"/>
      <c r="ID528" s="105"/>
      <c r="IE528" s="105"/>
      <c r="IF528" s="105"/>
      <c r="IG528" s="105"/>
      <c r="IH528" s="105"/>
      <c r="II528" s="105"/>
      <c r="IJ528" s="105"/>
      <c r="IK528" s="105"/>
      <c r="IL528" s="105"/>
      <c r="IM528" s="105"/>
      <c r="IN528" s="105"/>
      <c r="IO528" s="105"/>
      <c r="IP528" s="105"/>
      <c r="IQ528" s="105"/>
      <c r="IR528" s="105"/>
      <c r="IS528" s="105"/>
      <c r="IT528" s="105"/>
      <c r="IU528" s="105"/>
      <c r="IV528" s="105"/>
    </row>
    <row r="529" spans="1:256" s="418" customFormat="1" ht="13.15" customHeight="1" x14ac:dyDescent="0.2">
      <c r="A529" s="207">
        <v>44782</v>
      </c>
      <c r="B529" s="208" t="s">
        <v>249</v>
      </c>
      <c r="C529" s="208">
        <v>2022</v>
      </c>
      <c r="D529" s="208" t="s">
        <v>7</v>
      </c>
      <c r="E529" s="209">
        <v>-0.216</v>
      </c>
      <c r="F529" s="209" t="s">
        <v>32</v>
      </c>
      <c r="G529" s="210">
        <v>17280</v>
      </c>
      <c r="H529" s="211">
        <v>303</v>
      </c>
      <c r="I529" s="209" t="s">
        <v>80</v>
      </c>
      <c r="J529" s="209" t="s">
        <v>38</v>
      </c>
      <c r="K529" s="209">
        <v>5.3999999999999999E-2</v>
      </c>
      <c r="L529" s="209" t="s">
        <v>1181</v>
      </c>
      <c r="M529" s="209" t="s">
        <v>1182</v>
      </c>
      <c r="N529" s="212" t="s">
        <v>1183</v>
      </c>
      <c r="O529" s="208"/>
      <c r="P529" s="208" t="s">
        <v>137</v>
      </c>
      <c r="Q529" s="749">
        <v>40.069056000000003</v>
      </c>
      <c r="R529" s="641">
        <v>-86.065216000000007</v>
      </c>
      <c r="S529" s="208" t="s">
        <v>61</v>
      </c>
      <c r="T529" s="208"/>
      <c r="U529" s="208" t="s">
        <v>51</v>
      </c>
      <c r="V529" s="207"/>
      <c r="W529" s="213">
        <f>IF(AC529="Intr",0,G529*Definitions!$B$53)</f>
        <v>2592</v>
      </c>
      <c r="X529" s="213">
        <f>IF(AC529="Intr",0,G529*Definitions!$B$54)</f>
        <v>12096</v>
      </c>
      <c r="Y529" s="213">
        <f>IF(AC529="Intr",G529,G529*Definitions!$B$55)</f>
        <v>2592</v>
      </c>
      <c r="Z529" s="213" t="s">
        <v>966</v>
      </c>
      <c r="AA529" s="213" t="s">
        <v>965</v>
      </c>
      <c r="AB529" s="213"/>
      <c r="AC529" s="208"/>
      <c r="AD529" s="208"/>
      <c r="AE529" s="208"/>
      <c r="AF529" s="208"/>
      <c r="AG529" s="214"/>
      <c r="AH529" s="304" t="s">
        <v>1185</v>
      </c>
      <c r="AI529" s="105"/>
      <c r="AJ529" s="105"/>
      <c r="AK529" s="105"/>
      <c r="AL529" s="105"/>
      <c r="AM529" s="105"/>
      <c r="AN529" s="105"/>
      <c r="AO529" s="105"/>
      <c r="AP529" s="105"/>
      <c r="AQ529" s="105"/>
      <c r="AR529" s="105"/>
      <c r="AS529" s="105"/>
      <c r="AT529" s="105"/>
      <c r="AU529" s="105"/>
      <c r="AV529" s="105"/>
      <c r="AW529" s="105"/>
      <c r="AX529" s="105"/>
      <c r="AY529" s="105"/>
      <c r="AZ529" s="105"/>
      <c r="BA529" s="105"/>
      <c r="BB529" s="105"/>
      <c r="BC529" s="105"/>
      <c r="BD529" s="105"/>
      <c r="BE529" s="105"/>
      <c r="BF529" s="105"/>
      <c r="BG529" s="105"/>
      <c r="BH529" s="105"/>
      <c r="BI529" s="105"/>
      <c r="BJ529" s="105"/>
      <c r="BK529" s="105"/>
      <c r="BL529" s="105"/>
      <c r="BM529" s="105"/>
      <c r="BN529" s="105"/>
      <c r="BO529" s="105"/>
      <c r="BP529" s="105"/>
      <c r="BQ529" s="105"/>
      <c r="BR529" s="105"/>
      <c r="BS529" s="105"/>
      <c r="BT529" s="105"/>
      <c r="BU529" s="105"/>
      <c r="BV529" s="105"/>
      <c r="BW529" s="105"/>
      <c r="BX529" s="105"/>
      <c r="BY529" s="105"/>
      <c r="BZ529" s="105"/>
      <c r="CA529" s="105"/>
      <c r="CB529" s="105"/>
      <c r="CC529" s="105"/>
      <c r="CD529" s="105"/>
      <c r="CE529" s="105"/>
      <c r="CF529" s="105"/>
      <c r="CG529" s="105"/>
      <c r="CH529" s="105"/>
      <c r="CI529" s="105"/>
      <c r="CJ529" s="105"/>
      <c r="CK529" s="105"/>
      <c r="CL529" s="105"/>
      <c r="CM529" s="105"/>
      <c r="CN529" s="105"/>
      <c r="CO529" s="105"/>
      <c r="CP529" s="105"/>
      <c r="CQ529" s="105"/>
      <c r="CR529" s="105"/>
      <c r="CS529" s="105"/>
      <c r="CT529" s="105"/>
      <c r="CU529" s="105"/>
      <c r="CV529" s="105"/>
      <c r="CW529" s="105"/>
      <c r="CX529" s="105"/>
      <c r="CY529" s="105"/>
      <c r="CZ529" s="105"/>
      <c r="DA529" s="105"/>
      <c r="DB529" s="105"/>
      <c r="DC529" s="105"/>
      <c r="DD529" s="105"/>
      <c r="DE529" s="105"/>
      <c r="DF529" s="105"/>
      <c r="DG529" s="105"/>
      <c r="DH529" s="105"/>
      <c r="DI529" s="105"/>
      <c r="DJ529" s="105"/>
      <c r="DK529" s="105"/>
      <c r="DL529" s="105"/>
      <c r="DM529" s="105"/>
      <c r="DN529" s="105"/>
      <c r="DO529" s="105"/>
      <c r="DP529" s="105"/>
      <c r="DQ529" s="105"/>
      <c r="DR529" s="105"/>
      <c r="DS529" s="105"/>
      <c r="DT529" s="105"/>
      <c r="DU529" s="105"/>
      <c r="DV529" s="105"/>
      <c r="DW529" s="105"/>
      <c r="DX529" s="105"/>
      <c r="DY529" s="105"/>
      <c r="DZ529" s="105"/>
      <c r="EA529" s="105"/>
      <c r="EB529" s="105"/>
      <c r="EC529" s="105"/>
      <c r="ED529" s="105"/>
      <c r="EE529" s="105"/>
      <c r="EF529" s="105"/>
      <c r="EG529" s="105"/>
      <c r="EH529" s="105"/>
      <c r="EI529" s="105"/>
      <c r="EJ529" s="105"/>
      <c r="EK529" s="105"/>
      <c r="EL529" s="105"/>
      <c r="EM529" s="105"/>
      <c r="EN529" s="105"/>
      <c r="EO529" s="105"/>
      <c r="EP529" s="105"/>
      <c r="EQ529" s="105"/>
      <c r="ER529" s="105"/>
      <c r="ES529" s="105"/>
      <c r="ET529" s="105"/>
      <c r="EU529" s="105"/>
      <c r="EV529" s="105"/>
      <c r="EW529" s="105"/>
      <c r="EX529" s="105"/>
      <c r="EY529" s="105"/>
      <c r="EZ529" s="105"/>
      <c r="FA529" s="105"/>
      <c r="FB529" s="105"/>
      <c r="FC529" s="105"/>
      <c r="FD529" s="105"/>
      <c r="FE529" s="105"/>
      <c r="FF529" s="105"/>
      <c r="FG529" s="105"/>
      <c r="FH529" s="105"/>
      <c r="FI529" s="105"/>
      <c r="FJ529" s="105"/>
      <c r="FK529" s="105"/>
      <c r="FL529" s="105"/>
      <c r="FM529" s="105"/>
      <c r="FN529" s="105"/>
      <c r="FO529" s="105"/>
      <c r="FP529" s="105"/>
      <c r="FQ529" s="105"/>
      <c r="FR529" s="105"/>
      <c r="FS529" s="105"/>
      <c r="FT529" s="105"/>
      <c r="FU529" s="105"/>
      <c r="FV529" s="105"/>
      <c r="FW529" s="105"/>
      <c r="FX529" s="105"/>
      <c r="FY529" s="105"/>
      <c r="FZ529" s="105"/>
      <c r="GA529" s="105"/>
      <c r="GB529" s="105"/>
      <c r="GC529" s="105"/>
      <c r="GD529" s="105"/>
      <c r="GE529" s="105"/>
      <c r="GF529" s="105"/>
      <c r="GG529" s="105"/>
      <c r="GH529" s="105"/>
      <c r="GI529" s="105"/>
      <c r="GJ529" s="105"/>
      <c r="GK529" s="105"/>
      <c r="GL529" s="105"/>
      <c r="GM529" s="105"/>
      <c r="GN529" s="105"/>
      <c r="GO529" s="105"/>
      <c r="GP529" s="105"/>
      <c r="GQ529" s="105"/>
      <c r="GR529" s="105"/>
      <c r="GS529" s="105"/>
      <c r="GT529" s="105"/>
      <c r="GU529" s="105"/>
      <c r="GV529" s="105"/>
      <c r="GW529" s="105"/>
      <c r="GX529" s="105"/>
      <c r="GY529" s="105"/>
      <c r="GZ529" s="105"/>
      <c r="HA529" s="105"/>
      <c r="HB529" s="105"/>
      <c r="HC529" s="105"/>
      <c r="HD529" s="105"/>
      <c r="HE529" s="105"/>
      <c r="HF529" s="105"/>
      <c r="HG529" s="105"/>
      <c r="HH529" s="105"/>
      <c r="HI529" s="105"/>
      <c r="HJ529" s="105"/>
      <c r="HK529" s="105"/>
      <c r="HL529" s="105"/>
      <c r="HM529" s="105"/>
      <c r="HN529" s="105"/>
      <c r="HO529" s="105"/>
      <c r="HP529" s="105"/>
      <c r="HQ529" s="105"/>
      <c r="HR529" s="105"/>
      <c r="HS529" s="105"/>
      <c r="HT529" s="105"/>
      <c r="HU529" s="105"/>
      <c r="HV529" s="105"/>
      <c r="HW529" s="105"/>
      <c r="HX529" s="105"/>
      <c r="HY529" s="105"/>
      <c r="HZ529" s="105"/>
      <c r="IA529" s="105"/>
      <c r="IB529" s="105"/>
      <c r="IC529" s="105"/>
      <c r="ID529" s="105"/>
      <c r="IE529" s="105"/>
      <c r="IF529" s="105"/>
      <c r="IG529" s="105"/>
      <c r="IH529" s="105"/>
      <c r="II529" s="105"/>
      <c r="IJ529" s="105"/>
      <c r="IK529" s="105"/>
      <c r="IL529" s="105"/>
      <c r="IM529" s="105"/>
      <c r="IN529" s="105"/>
      <c r="IO529" s="105"/>
      <c r="IP529" s="105"/>
      <c r="IQ529" s="105"/>
      <c r="IR529" s="105"/>
      <c r="IS529" s="105"/>
      <c r="IT529" s="105"/>
      <c r="IU529" s="105"/>
      <c r="IV529" s="105"/>
    </row>
    <row r="530" spans="1:256" s="418" customFormat="1" ht="13.15" customHeight="1" x14ac:dyDescent="0.2">
      <c r="A530" s="37">
        <v>44790</v>
      </c>
      <c r="B530" s="38" t="s">
        <v>1188</v>
      </c>
      <c r="C530" s="38">
        <v>2022</v>
      </c>
      <c r="D530" s="38" t="s">
        <v>7</v>
      </c>
      <c r="E530" s="177">
        <v>-98</v>
      </c>
      <c r="F530" s="177" t="s">
        <v>33</v>
      </c>
      <c r="G530" s="269">
        <v>44100</v>
      </c>
      <c r="H530" s="179">
        <v>324</v>
      </c>
      <c r="I530" s="177" t="s">
        <v>80</v>
      </c>
      <c r="J530" s="177" t="s">
        <v>738</v>
      </c>
      <c r="K530" s="177">
        <v>98</v>
      </c>
      <c r="L530" s="177" t="s">
        <v>379</v>
      </c>
      <c r="M530" s="177" t="s">
        <v>1186</v>
      </c>
      <c r="N530" s="70" t="s">
        <v>1187</v>
      </c>
      <c r="O530" s="38"/>
      <c r="P530" s="38" t="s">
        <v>162</v>
      </c>
      <c r="Q530" s="760">
        <v>39.651600000000002</v>
      </c>
      <c r="R530" s="590">
        <v>-86.462500000000006</v>
      </c>
      <c r="S530" s="38" t="s">
        <v>63</v>
      </c>
      <c r="T530" s="38"/>
      <c r="U530" s="208" t="s">
        <v>51</v>
      </c>
      <c r="V530" s="37"/>
      <c r="W530" s="39">
        <f>IF(AC530="Intr",0,G530*Definitions!$B$53)</f>
        <v>6615</v>
      </c>
      <c r="X530" s="39">
        <f>IF(AC530="Intr",0,G530*Definitions!$B$54)</f>
        <v>30869.999999999996</v>
      </c>
      <c r="Y530" s="39">
        <f>IF(AC530="Intr",G530,G530*Definitions!$B$55)</f>
        <v>6615</v>
      </c>
      <c r="Z530" s="39" t="s">
        <v>966</v>
      </c>
      <c r="AA530" s="39" t="s">
        <v>965</v>
      </c>
      <c r="AB530" s="39"/>
      <c r="AC530" s="38"/>
      <c r="AD530" s="38"/>
      <c r="AE530" s="38"/>
      <c r="AF530" s="38"/>
      <c r="AG530" s="40"/>
      <c r="AH530" s="38"/>
      <c r="AI530" s="105"/>
      <c r="AJ530" s="105"/>
      <c r="AK530" s="105"/>
      <c r="AL530" s="105"/>
      <c r="AM530" s="105"/>
      <c r="AN530" s="105"/>
      <c r="AO530" s="105"/>
      <c r="AP530" s="105"/>
      <c r="AQ530" s="105"/>
      <c r="AR530" s="105"/>
      <c r="AS530" s="105"/>
      <c r="AT530" s="105"/>
      <c r="AU530" s="105"/>
      <c r="AV530" s="105"/>
      <c r="AW530" s="105"/>
      <c r="AX530" s="105"/>
      <c r="AY530" s="105"/>
      <c r="AZ530" s="105"/>
      <c r="BA530" s="105"/>
      <c r="BB530" s="105"/>
      <c r="BC530" s="105"/>
      <c r="BD530" s="105"/>
      <c r="BE530" s="105"/>
      <c r="BF530" s="105"/>
      <c r="BG530" s="105"/>
      <c r="BH530" s="105"/>
      <c r="BI530" s="105"/>
      <c r="BJ530" s="105"/>
      <c r="BK530" s="105"/>
      <c r="BL530" s="105"/>
      <c r="BM530" s="105"/>
      <c r="BN530" s="105"/>
      <c r="BO530" s="105"/>
      <c r="BP530" s="105"/>
      <c r="BQ530" s="105"/>
      <c r="BR530" s="105"/>
      <c r="BS530" s="105"/>
      <c r="BT530" s="105"/>
      <c r="BU530" s="105"/>
      <c r="BV530" s="105"/>
      <c r="BW530" s="105"/>
      <c r="BX530" s="105"/>
      <c r="BY530" s="105"/>
      <c r="BZ530" s="105"/>
      <c r="CA530" s="105"/>
      <c r="CB530" s="105"/>
      <c r="CC530" s="105"/>
      <c r="CD530" s="105"/>
      <c r="CE530" s="105"/>
      <c r="CF530" s="105"/>
      <c r="CG530" s="105"/>
      <c r="CH530" s="105"/>
      <c r="CI530" s="105"/>
      <c r="CJ530" s="105"/>
      <c r="CK530" s="105"/>
      <c r="CL530" s="105"/>
      <c r="CM530" s="105"/>
      <c r="CN530" s="105"/>
      <c r="CO530" s="105"/>
      <c r="CP530" s="105"/>
      <c r="CQ530" s="105"/>
      <c r="CR530" s="105"/>
      <c r="CS530" s="105"/>
      <c r="CT530" s="105"/>
      <c r="CU530" s="105"/>
      <c r="CV530" s="105"/>
      <c r="CW530" s="105"/>
      <c r="CX530" s="105"/>
      <c r="CY530" s="105"/>
      <c r="CZ530" s="105"/>
      <c r="DA530" s="105"/>
      <c r="DB530" s="105"/>
      <c r="DC530" s="105"/>
      <c r="DD530" s="105"/>
      <c r="DE530" s="105"/>
      <c r="DF530" s="105"/>
      <c r="DG530" s="105"/>
      <c r="DH530" s="105"/>
      <c r="DI530" s="105"/>
      <c r="DJ530" s="105"/>
      <c r="DK530" s="105"/>
      <c r="DL530" s="105"/>
      <c r="DM530" s="105"/>
      <c r="DN530" s="105"/>
      <c r="DO530" s="105"/>
      <c r="DP530" s="105"/>
      <c r="DQ530" s="105"/>
      <c r="DR530" s="105"/>
      <c r="DS530" s="105"/>
      <c r="DT530" s="105"/>
      <c r="DU530" s="105"/>
      <c r="DV530" s="105"/>
      <c r="DW530" s="105"/>
      <c r="DX530" s="105"/>
      <c r="DY530" s="105"/>
      <c r="DZ530" s="105"/>
      <c r="EA530" s="105"/>
      <c r="EB530" s="105"/>
      <c r="EC530" s="105"/>
      <c r="ED530" s="105"/>
      <c r="EE530" s="105"/>
      <c r="EF530" s="105"/>
      <c r="EG530" s="105"/>
      <c r="EH530" s="105"/>
      <c r="EI530" s="105"/>
      <c r="EJ530" s="105"/>
      <c r="EK530" s="105"/>
      <c r="EL530" s="105"/>
      <c r="EM530" s="105"/>
      <c r="EN530" s="105"/>
      <c r="EO530" s="105"/>
      <c r="EP530" s="105"/>
      <c r="EQ530" s="105"/>
      <c r="ER530" s="105"/>
      <c r="ES530" s="105"/>
      <c r="ET530" s="105"/>
      <c r="EU530" s="105"/>
      <c r="EV530" s="105"/>
      <c r="EW530" s="105"/>
      <c r="EX530" s="105"/>
      <c r="EY530" s="105"/>
      <c r="EZ530" s="105"/>
      <c r="FA530" s="105"/>
      <c r="FB530" s="105"/>
      <c r="FC530" s="105"/>
      <c r="FD530" s="105"/>
      <c r="FE530" s="105"/>
      <c r="FF530" s="105"/>
      <c r="FG530" s="105"/>
      <c r="FH530" s="105"/>
      <c r="FI530" s="105"/>
      <c r="FJ530" s="105"/>
      <c r="FK530" s="105"/>
      <c r="FL530" s="105"/>
      <c r="FM530" s="105"/>
      <c r="FN530" s="105"/>
      <c r="FO530" s="105"/>
      <c r="FP530" s="105"/>
      <c r="FQ530" s="105"/>
      <c r="FR530" s="105"/>
      <c r="FS530" s="105"/>
      <c r="FT530" s="105"/>
      <c r="FU530" s="105"/>
      <c r="FV530" s="105"/>
      <c r="FW530" s="105"/>
      <c r="FX530" s="105"/>
      <c r="FY530" s="105"/>
      <c r="FZ530" s="105"/>
      <c r="GA530" s="105"/>
      <c r="GB530" s="105"/>
      <c r="GC530" s="105"/>
      <c r="GD530" s="105"/>
      <c r="GE530" s="105"/>
      <c r="GF530" s="105"/>
      <c r="GG530" s="105"/>
      <c r="GH530" s="105"/>
      <c r="GI530" s="105"/>
      <c r="GJ530" s="105"/>
      <c r="GK530" s="105"/>
      <c r="GL530" s="105"/>
      <c r="GM530" s="105"/>
      <c r="GN530" s="105"/>
      <c r="GO530" s="105"/>
      <c r="GP530" s="105"/>
      <c r="GQ530" s="105"/>
      <c r="GR530" s="105"/>
      <c r="GS530" s="105"/>
      <c r="GT530" s="105"/>
      <c r="GU530" s="105"/>
      <c r="GV530" s="105"/>
      <c r="GW530" s="105"/>
      <c r="GX530" s="105"/>
      <c r="GY530" s="105"/>
      <c r="GZ530" s="105"/>
      <c r="HA530" s="105"/>
      <c r="HB530" s="105"/>
      <c r="HC530" s="105"/>
      <c r="HD530" s="105"/>
      <c r="HE530" s="105"/>
      <c r="HF530" s="105"/>
      <c r="HG530" s="105"/>
      <c r="HH530" s="105"/>
      <c r="HI530" s="105"/>
      <c r="HJ530" s="105"/>
      <c r="HK530" s="105"/>
      <c r="HL530" s="105"/>
      <c r="HM530" s="105"/>
      <c r="HN530" s="105"/>
      <c r="HO530" s="105"/>
      <c r="HP530" s="105"/>
      <c r="HQ530" s="105"/>
      <c r="HR530" s="105"/>
      <c r="HS530" s="105"/>
      <c r="HT530" s="105"/>
      <c r="HU530" s="105"/>
      <c r="HV530" s="105"/>
      <c r="HW530" s="105"/>
      <c r="HX530" s="105"/>
      <c r="HY530" s="105"/>
      <c r="HZ530" s="105"/>
      <c r="IA530" s="105"/>
      <c r="IB530" s="105"/>
      <c r="IC530" s="105"/>
      <c r="ID530" s="105"/>
      <c r="IE530" s="105"/>
      <c r="IF530" s="105"/>
      <c r="IG530" s="105"/>
      <c r="IH530" s="105"/>
      <c r="II530" s="105"/>
      <c r="IJ530" s="105"/>
      <c r="IK530" s="105"/>
      <c r="IL530" s="105"/>
      <c r="IM530" s="105"/>
      <c r="IN530" s="105"/>
      <c r="IO530" s="105"/>
      <c r="IP530" s="105"/>
      <c r="IQ530" s="105"/>
      <c r="IR530" s="105"/>
      <c r="IS530" s="105"/>
      <c r="IT530" s="105"/>
      <c r="IU530" s="105"/>
      <c r="IV530" s="105"/>
    </row>
    <row r="531" spans="1:256" s="418" customFormat="1" ht="13.15" customHeight="1" x14ac:dyDescent="0.2">
      <c r="A531" s="37">
        <v>44791</v>
      </c>
      <c r="B531" s="38" t="s">
        <v>249</v>
      </c>
      <c r="C531" s="38">
        <v>2022</v>
      </c>
      <c r="D531" s="38" t="s">
        <v>7</v>
      </c>
      <c r="E531" s="177">
        <v>-6.0999999999999999E-2</v>
      </c>
      <c r="F531" s="177" t="s">
        <v>32</v>
      </c>
      <c r="G531" s="269">
        <v>4880</v>
      </c>
      <c r="H531" s="179">
        <v>330</v>
      </c>
      <c r="I531" s="177" t="s">
        <v>80</v>
      </c>
      <c r="J531" s="177" t="s">
        <v>36</v>
      </c>
      <c r="K531" s="177">
        <v>1.7999999999999999E-2</v>
      </c>
      <c r="L531" s="177" t="s">
        <v>423</v>
      </c>
      <c r="M531" s="177" t="s">
        <v>1312</v>
      </c>
      <c r="N531" s="70" t="s">
        <v>1313</v>
      </c>
      <c r="O531" s="38"/>
      <c r="P531" s="38" t="s">
        <v>143</v>
      </c>
      <c r="Q531" s="760">
        <v>39.872276999999997</v>
      </c>
      <c r="R531" s="590">
        <v>-86.308274999999995</v>
      </c>
      <c r="S531" s="38" t="s">
        <v>61</v>
      </c>
      <c r="T531" s="38"/>
      <c r="U531" s="208" t="s">
        <v>51</v>
      </c>
      <c r="V531" s="37"/>
      <c r="W531" s="39">
        <v>732</v>
      </c>
      <c r="X531" s="39">
        <v>3416</v>
      </c>
      <c r="Y531" s="39">
        <v>732</v>
      </c>
      <c r="Z531" s="39" t="s">
        <v>966</v>
      </c>
      <c r="AA531" s="39" t="s">
        <v>965</v>
      </c>
      <c r="AB531" s="39"/>
      <c r="AC531" s="38"/>
      <c r="AD531" s="38"/>
      <c r="AE531" s="38"/>
      <c r="AF531" s="38"/>
      <c r="AG531" s="40"/>
      <c r="AH531" s="38" t="s">
        <v>710</v>
      </c>
      <c r="AI531" s="105"/>
      <c r="AJ531" s="105"/>
      <c r="AK531" s="105"/>
      <c r="AL531" s="105"/>
      <c r="AM531" s="105"/>
      <c r="AN531" s="105"/>
      <c r="AO531" s="105"/>
      <c r="AP531" s="105"/>
      <c r="AQ531" s="105"/>
      <c r="AR531" s="105"/>
      <c r="AS531" s="105"/>
      <c r="AT531" s="105"/>
      <c r="AU531" s="105"/>
      <c r="AV531" s="105"/>
      <c r="AW531" s="105"/>
      <c r="AX531" s="105"/>
      <c r="AY531" s="105"/>
      <c r="AZ531" s="105"/>
      <c r="BA531" s="105"/>
      <c r="BB531" s="105"/>
      <c r="BC531" s="105"/>
      <c r="BD531" s="105"/>
      <c r="BE531" s="105"/>
      <c r="BF531" s="105"/>
      <c r="BG531" s="105"/>
      <c r="BH531" s="105"/>
      <c r="BI531" s="105"/>
      <c r="BJ531" s="105"/>
      <c r="BK531" s="105"/>
      <c r="BL531" s="105"/>
      <c r="BM531" s="105"/>
      <c r="BN531" s="105"/>
      <c r="BO531" s="105"/>
      <c r="BP531" s="105"/>
      <c r="BQ531" s="105"/>
      <c r="BR531" s="105"/>
      <c r="BS531" s="105"/>
      <c r="BT531" s="105"/>
      <c r="BU531" s="105"/>
      <c r="BV531" s="105"/>
      <c r="BW531" s="105"/>
      <c r="BX531" s="105"/>
      <c r="BY531" s="105"/>
      <c r="BZ531" s="105"/>
      <c r="CA531" s="105"/>
      <c r="CB531" s="105"/>
      <c r="CC531" s="105"/>
      <c r="CD531" s="105"/>
      <c r="CE531" s="105"/>
      <c r="CF531" s="105"/>
      <c r="CG531" s="105"/>
      <c r="CH531" s="105"/>
      <c r="CI531" s="105"/>
      <c r="CJ531" s="105"/>
      <c r="CK531" s="105"/>
      <c r="CL531" s="105"/>
      <c r="CM531" s="105"/>
      <c r="CN531" s="105"/>
      <c r="CO531" s="105"/>
      <c r="CP531" s="105"/>
      <c r="CQ531" s="105"/>
      <c r="CR531" s="105"/>
      <c r="CS531" s="105"/>
      <c r="CT531" s="105"/>
      <c r="CU531" s="105"/>
      <c r="CV531" s="105"/>
      <c r="CW531" s="105"/>
      <c r="CX531" s="105"/>
      <c r="CY531" s="105"/>
      <c r="CZ531" s="105"/>
      <c r="DA531" s="105"/>
      <c r="DB531" s="105"/>
      <c r="DC531" s="105"/>
      <c r="DD531" s="105"/>
      <c r="DE531" s="105"/>
      <c r="DF531" s="105"/>
      <c r="DG531" s="105"/>
      <c r="DH531" s="105"/>
      <c r="DI531" s="105"/>
      <c r="DJ531" s="105"/>
      <c r="DK531" s="105"/>
      <c r="DL531" s="105"/>
      <c r="DM531" s="105"/>
      <c r="DN531" s="105"/>
      <c r="DO531" s="105"/>
      <c r="DP531" s="105"/>
      <c r="DQ531" s="105"/>
      <c r="DR531" s="105"/>
      <c r="DS531" s="105"/>
      <c r="DT531" s="105"/>
      <c r="DU531" s="105"/>
      <c r="DV531" s="105"/>
      <c r="DW531" s="105"/>
      <c r="DX531" s="105"/>
      <c r="DY531" s="105"/>
      <c r="DZ531" s="105"/>
      <c r="EA531" s="105"/>
      <c r="EB531" s="105"/>
      <c r="EC531" s="105"/>
      <c r="ED531" s="105"/>
      <c r="EE531" s="105"/>
      <c r="EF531" s="105"/>
      <c r="EG531" s="105"/>
      <c r="EH531" s="105"/>
      <c r="EI531" s="105"/>
      <c r="EJ531" s="105"/>
      <c r="EK531" s="105"/>
      <c r="EL531" s="105"/>
      <c r="EM531" s="105"/>
      <c r="EN531" s="105"/>
      <c r="EO531" s="105"/>
      <c r="EP531" s="105"/>
      <c r="EQ531" s="105"/>
      <c r="ER531" s="105"/>
      <c r="ES531" s="105"/>
      <c r="ET531" s="105"/>
      <c r="EU531" s="105"/>
      <c r="EV531" s="105"/>
      <c r="EW531" s="105"/>
      <c r="EX531" s="105"/>
      <c r="EY531" s="105"/>
      <c r="EZ531" s="105"/>
      <c r="FA531" s="105"/>
      <c r="FB531" s="105"/>
      <c r="FC531" s="105"/>
      <c r="FD531" s="105"/>
      <c r="FE531" s="105"/>
      <c r="FF531" s="105"/>
      <c r="FG531" s="105"/>
      <c r="FH531" s="105"/>
      <c r="FI531" s="105"/>
      <c r="FJ531" s="105"/>
      <c r="FK531" s="105"/>
      <c r="FL531" s="105"/>
      <c r="FM531" s="105"/>
      <c r="FN531" s="105"/>
      <c r="FO531" s="105"/>
      <c r="FP531" s="105"/>
      <c r="FQ531" s="105"/>
      <c r="FR531" s="105"/>
      <c r="FS531" s="105"/>
      <c r="FT531" s="105"/>
      <c r="FU531" s="105"/>
      <c r="FV531" s="105"/>
      <c r="FW531" s="105"/>
      <c r="FX531" s="105"/>
      <c r="FY531" s="105"/>
      <c r="FZ531" s="105"/>
      <c r="GA531" s="105"/>
      <c r="GB531" s="105"/>
      <c r="GC531" s="105"/>
      <c r="GD531" s="105"/>
      <c r="GE531" s="105"/>
      <c r="GF531" s="105"/>
      <c r="GG531" s="105"/>
      <c r="GH531" s="105"/>
      <c r="GI531" s="105"/>
      <c r="GJ531" s="105"/>
      <c r="GK531" s="105"/>
      <c r="GL531" s="105"/>
      <c r="GM531" s="105"/>
      <c r="GN531" s="105"/>
      <c r="GO531" s="105"/>
      <c r="GP531" s="105"/>
      <c r="GQ531" s="105"/>
      <c r="GR531" s="105"/>
      <c r="GS531" s="105"/>
      <c r="GT531" s="105"/>
      <c r="GU531" s="105"/>
      <c r="GV531" s="105"/>
      <c r="GW531" s="105"/>
      <c r="GX531" s="105"/>
      <c r="GY531" s="105"/>
      <c r="GZ531" s="105"/>
      <c r="HA531" s="105"/>
      <c r="HB531" s="105"/>
      <c r="HC531" s="105"/>
      <c r="HD531" s="105"/>
      <c r="HE531" s="105"/>
      <c r="HF531" s="105"/>
      <c r="HG531" s="105"/>
      <c r="HH531" s="105"/>
      <c r="HI531" s="105"/>
      <c r="HJ531" s="105"/>
      <c r="HK531" s="105"/>
      <c r="HL531" s="105"/>
      <c r="HM531" s="105"/>
      <c r="HN531" s="105"/>
      <c r="HO531" s="105"/>
      <c r="HP531" s="105"/>
      <c r="HQ531" s="105"/>
      <c r="HR531" s="105"/>
      <c r="HS531" s="105"/>
      <c r="HT531" s="105"/>
      <c r="HU531" s="105"/>
      <c r="HV531" s="105"/>
      <c r="HW531" s="105"/>
      <c r="HX531" s="105"/>
      <c r="HY531" s="105"/>
      <c r="HZ531" s="105"/>
      <c r="IA531" s="105"/>
      <c r="IB531" s="105"/>
      <c r="IC531" s="105"/>
      <c r="ID531" s="105"/>
      <c r="IE531" s="105"/>
      <c r="IF531" s="105"/>
      <c r="IG531" s="105"/>
      <c r="IH531" s="105"/>
      <c r="II531" s="105"/>
      <c r="IJ531" s="105"/>
      <c r="IK531" s="105"/>
      <c r="IL531" s="105"/>
      <c r="IM531" s="105"/>
      <c r="IN531" s="105"/>
      <c r="IO531" s="105"/>
      <c r="IP531" s="105"/>
      <c r="IQ531" s="105"/>
      <c r="IR531" s="105"/>
      <c r="IS531" s="105"/>
      <c r="IT531" s="105"/>
      <c r="IU531" s="105"/>
      <c r="IV531" s="105"/>
    </row>
    <row r="532" spans="1:256" ht="13.15" customHeight="1" x14ac:dyDescent="0.2">
      <c r="A532" s="282">
        <v>44795</v>
      </c>
      <c r="B532" s="114" t="s">
        <v>249</v>
      </c>
      <c r="C532" s="114">
        <v>2022</v>
      </c>
      <c r="D532" s="114" t="s">
        <v>11</v>
      </c>
      <c r="E532" s="270">
        <v>-671</v>
      </c>
      <c r="F532" s="270" t="s">
        <v>33</v>
      </c>
      <c r="G532" s="283">
        <v>268400</v>
      </c>
      <c r="H532" s="284" t="s">
        <v>1189</v>
      </c>
      <c r="I532" s="270" t="s">
        <v>80</v>
      </c>
      <c r="J532" s="270" t="s">
        <v>725</v>
      </c>
      <c r="K532" s="270">
        <v>671</v>
      </c>
      <c r="L532" s="270" t="s">
        <v>1190</v>
      </c>
      <c r="M532" s="270" t="s">
        <v>103</v>
      </c>
      <c r="N532" s="285" t="s">
        <v>1191</v>
      </c>
      <c r="O532" s="114"/>
      <c r="P532" s="114" t="s">
        <v>89</v>
      </c>
      <c r="Q532" s="750">
        <v>38.003590000000003</v>
      </c>
      <c r="R532" s="635">
        <v>-87.628496999999996</v>
      </c>
      <c r="S532" s="114" t="s">
        <v>62</v>
      </c>
      <c r="T532" s="114"/>
      <c r="U532" s="114" t="s">
        <v>51</v>
      </c>
      <c r="V532" s="282"/>
      <c r="W532" s="286">
        <f>IF(AC532="Intr",0,G532*Definitions!$B$53)</f>
        <v>40260</v>
      </c>
      <c r="X532" s="286">
        <f>IF(AC532="Intr",0,G532*Definitions!$B$54)</f>
        <v>187880</v>
      </c>
      <c r="Y532" s="286">
        <f>IF(AC532="Intr",G532,G532*Definitions!$B$55)</f>
        <v>40260</v>
      </c>
      <c r="Z532" s="286" t="s">
        <v>966</v>
      </c>
      <c r="AA532" s="286" t="s">
        <v>965</v>
      </c>
      <c r="AB532" s="286"/>
      <c r="AC532" s="114"/>
      <c r="AD532" s="114"/>
      <c r="AE532" s="114"/>
      <c r="AF532" s="114"/>
      <c r="AG532" s="287"/>
      <c r="AH532" s="356" t="s">
        <v>1192</v>
      </c>
    </row>
    <row r="533" spans="1:256" s="384" customFormat="1" x14ac:dyDescent="0.2">
      <c r="A533" s="282">
        <v>44795</v>
      </c>
      <c r="B533" s="357" t="s">
        <v>249</v>
      </c>
      <c r="C533" s="114">
        <v>2022</v>
      </c>
      <c r="D533" s="114" t="s">
        <v>11</v>
      </c>
      <c r="E533" s="270">
        <v>-0.1</v>
      </c>
      <c r="F533" s="270" t="s">
        <v>32</v>
      </c>
      <c r="G533" s="283">
        <v>8000</v>
      </c>
      <c r="H533" s="284" t="s">
        <v>1189</v>
      </c>
      <c r="I533" s="270" t="s">
        <v>80</v>
      </c>
      <c r="J533" s="270" t="s">
        <v>36</v>
      </c>
      <c r="K533" s="270">
        <v>0.05</v>
      </c>
      <c r="L533" s="270" t="s">
        <v>1190</v>
      </c>
      <c r="M533" s="270" t="s">
        <v>103</v>
      </c>
      <c r="N533" s="285" t="s">
        <v>1191</v>
      </c>
      <c r="O533" s="114"/>
      <c r="P533" s="114" t="s">
        <v>89</v>
      </c>
      <c r="Q533" s="750">
        <v>38.003590000000003</v>
      </c>
      <c r="R533" s="635">
        <v>-87.628496999999996</v>
      </c>
      <c r="S533" s="114" t="s">
        <v>62</v>
      </c>
      <c r="T533" s="114"/>
      <c r="U533" s="114" t="s">
        <v>51</v>
      </c>
      <c r="V533" s="282"/>
      <c r="W533" s="286">
        <f>IF(AC533="Intr",0,G533*Definitions!$B$53)</f>
        <v>1200</v>
      </c>
      <c r="X533" s="286">
        <f>IF(AC533="Intr",0,G533*Definitions!$B$54)</f>
        <v>5600</v>
      </c>
      <c r="Y533" s="286">
        <f>IF(AC533="Intr",G533,G533*Definitions!$B$55)</f>
        <v>1200</v>
      </c>
      <c r="Z533" s="286" t="s">
        <v>966</v>
      </c>
      <c r="AA533" s="286" t="s">
        <v>965</v>
      </c>
      <c r="AB533" s="286"/>
      <c r="AC533" s="114"/>
      <c r="AD533" s="114"/>
      <c r="AE533" s="114"/>
      <c r="AF533" s="114"/>
      <c r="AG533" s="287"/>
      <c r="AH533" s="356" t="s">
        <v>1192</v>
      </c>
      <c r="AI533" s="105"/>
      <c r="AJ533" s="105"/>
      <c r="AK533" s="105"/>
      <c r="AL533" s="105"/>
      <c r="AM533" s="105"/>
      <c r="AN533" s="105"/>
      <c r="AO533" s="105"/>
      <c r="AP533" s="105"/>
      <c r="AQ533" s="105"/>
      <c r="AR533" s="105"/>
      <c r="AS533" s="105"/>
      <c r="AT533" s="105"/>
      <c r="AU533" s="105"/>
      <c r="AV533" s="105"/>
      <c r="AW533" s="105"/>
      <c r="AX533" s="105"/>
      <c r="AY533" s="105"/>
      <c r="AZ533" s="105"/>
      <c r="BA533" s="105"/>
      <c r="BB533" s="105"/>
      <c r="BC533" s="105"/>
      <c r="BD533" s="105"/>
      <c r="BE533" s="105"/>
      <c r="BF533" s="105"/>
      <c r="BG533" s="105"/>
      <c r="BH533" s="105"/>
      <c r="BI533" s="105"/>
      <c r="BJ533" s="105"/>
      <c r="BK533" s="105"/>
      <c r="BL533" s="105"/>
      <c r="BM533" s="105"/>
      <c r="BN533" s="105"/>
      <c r="BO533" s="105"/>
      <c r="BP533" s="105"/>
      <c r="BQ533" s="105"/>
      <c r="BR533" s="105"/>
      <c r="BS533" s="105"/>
      <c r="BT533" s="105"/>
      <c r="BU533" s="105"/>
      <c r="BV533" s="105"/>
      <c r="BW533" s="105"/>
      <c r="BX533" s="105"/>
      <c r="BY533" s="105"/>
      <c r="BZ533" s="105"/>
      <c r="CA533" s="105"/>
      <c r="CB533" s="105"/>
      <c r="CC533" s="105"/>
      <c r="CD533" s="105"/>
      <c r="CE533" s="105"/>
      <c r="CF533" s="105"/>
      <c r="CG533" s="105"/>
      <c r="CH533" s="105"/>
      <c r="CI533" s="105"/>
      <c r="CJ533" s="105"/>
      <c r="CK533" s="105"/>
      <c r="CL533" s="105"/>
      <c r="CM533" s="105"/>
      <c r="CN533" s="105"/>
      <c r="CO533" s="105"/>
      <c r="CP533" s="105"/>
      <c r="CQ533" s="105"/>
      <c r="CR533" s="105"/>
      <c r="CS533" s="105"/>
      <c r="CT533" s="105"/>
      <c r="CU533" s="105"/>
      <c r="CV533" s="105"/>
      <c r="CW533" s="105"/>
      <c r="CX533" s="105"/>
      <c r="CY533" s="105"/>
      <c r="CZ533" s="105"/>
      <c r="DA533" s="105"/>
      <c r="DB533" s="105"/>
      <c r="DC533" s="105"/>
      <c r="DD533" s="105"/>
      <c r="DE533" s="105"/>
      <c r="DF533" s="105"/>
      <c r="DG533" s="105"/>
      <c r="DH533" s="105"/>
      <c r="DI533" s="105"/>
      <c r="DJ533" s="105"/>
      <c r="DK533" s="105"/>
      <c r="DL533" s="105"/>
      <c r="DM533" s="105"/>
      <c r="DN533" s="105"/>
      <c r="DO533" s="105"/>
      <c r="DP533" s="105"/>
      <c r="DQ533" s="105"/>
      <c r="DR533" s="105"/>
      <c r="DS533" s="105"/>
      <c r="DT533" s="105"/>
      <c r="DU533" s="105"/>
      <c r="DV533" s="105"/>
      <c r="DW533" s="105"/>
      <c r="DX533" s="105"/>
      <c r="DY533" s="105"/>
      <c r="DZ533" s="105"/>
      <c r="EA533" s="105"/>
      <c r="EB533" s="105"/>
      <c r="EC533" s="105"/>
      <c r="ED533" s="105"/>
      <c r="EE533" s="105"/>
      <c r="EF533" s="105"/>
      <c r="EG533" s="105"/>
      <c r="EH533" s="105"/>
      <c r="EI533" s="105"/>
      <c r="EJ533" s="105"/>
      <c r="EK533" s="105"/>
      <c r="EL533" s="105"/>
      <c r="EM533" s="105"/>
      <c r="EN533" s="105"/>
      <c r="EO533" s="105"/>
      <c r="EP533" s="105"/>
      <c r="EQ533" s="105"/>
      <c r="ER533" s="105"/>
      <c r="ES533" s="105"/>
      <c r="ET533" s="105"/>
      <c r="EU533" s="105"/>
      <c r="EV533" s="105"/>
      <c r="EW533" s="105"/>
      <c r="EX533" s="105"/>
      <c r="EY533" s="105"/>
      <c r="EZ533" s="105"/>
      <c r="FA533" s="105"/>
      <c r="FB533" s="105"/>
      <c r="FC533" s="105"/>
      <c r="FD533" s="105"/>
      <c r="FE533" s="105"/>
      <c r="FF533" s="105"/>
      <c r="FG533" s="105"/>
      <c r="FH533" s="105"/>
      <c r="FI533" s="105"/>
      <c r="FJ533" s="105"/>
      <c r="FK533" s="105"/>
      <c r="FL533" s="105"/>
      <c r="FM533" s="105"/>
      <c r="FN533" s="105"/>
      <c r="FO533" s="105"/>
      <c r="FP533" s="105"/>
      <c r="FQ533" s="105"/>
      <c r="FR533" s="105"/>
      <c r="FS533" s="105"/>
      <c r="FT533" s="105"/>
      <c r="FU533" s="105"/>
      <c r="FV533" s="105"/>
      <c r="FW533" s="105"/>
      <c r="FX533" s="105"/>
      <c r="FY533" s="105"/>
      <c r="FZ533" s="105"/>
      <c r="GA533" s="105"/>
      <c r="GB533" s="105"/>
      <c r="GC533" s="105"/>
      <c r="GD533" s="105"/>
      <c r="GE533" s="105"/>
      <c r="GF533" s="105"/>
      <c r="GG533" s="105"/>
      <c r="GH533" s="105"/>
      <c r="GI533" s="105"/>
      <c r="GJ533" s="105"/>
      <c r="GK533" s="105"/>
      <c r="GL533" s="105"/>
      <c r="GM533" s="105"/>
      <c r="GN533" s="105"/>
      <c r="GO533" s="105"/>
      <c r="GP533" s="105"/>
      <c r="GQ533" s="105"/>
      <c r="GR533" s="105"/>
      <c r="GS533" s="105"/>
      <c r="GT533" s="105"/>
      <c r="GU533" s="105"/>
      <c r="GV533" s="105"/>
      <c r="GW533" s="105"/>
      <c r="GX533" s="105"/>
      <c r="GY533" s="105"/>
      <c r="GZ533" s="105"/>
      <c r="HA533" s="105"/>
      <c r="HB533" s="105"/>
      <c r="HC533" s="105"/>
      <c r="HD533" s="105"/>
      <c r="HE533" s="105"/>
      <c r="HF533" s="105"/>
      <c r="HG533" s="105"/>
      <c r="HH533" s="105"/>
      <c r="HI533" s="105"/>
      <c r="HJ533" s="105"/>
      <c r="HK533" s="105"/>
      <c r="HL533" s="105"/>
      <c r="HM533" s="105"/>
      <c r="HN533" s="105"/>
      <c r="HO533" s="105"/>
      <c r="HP533" s="105"/>
      <c r="HQ533" s="105"/>
      <c r="HR533" s="105"/>
      <c r="HS533" s="105"/>
      <c r="HT533" s="105"/>
      <c r="HU533" s="105"/>
      <c r="HV533" s="105"/>
      <c r="HW533" s="105"/>
      <c r="HX533" s="105"/>
      <c r="HY533" s="105"/>
      <c r="HZ533" s="105"/>
      <c r="IA533" s="105"/>
      <c r="IB533" s="105"/>
      <c r="IC533" s="105"/>
      <c r="ID533" s="105"/>
      <c r="IE533" s="105"/>
      <c r="IF533" s="105"/>
      <c r="IG533" s="105"/>
      <c r="IH533" s="105"/>
      <c r="II533" s="105"/>
      <c r="IJ533" s="105"/>
      <c r="IK533" s="105"/>
      <c r="IL533" s="105"/>
      <c r="IM533" s="105"/>
      <c r="IN533" s="105"/>
      <c r="IO533" s="105"/>
      <c r="IP533" s="105"/>
      <c r="IQ533" s="105"/>
      <c r="IR533" s="105"/>
      <c r="IS533" s="105"/>
      <c r="IT533" s="105"/>
      <c r="IU533" s="105"/>
      <c r="IV533" s="105"/>
    </row>
    <row r="534" spans="1:256" s="384" customFormat="1" x14ac:dyDescent="0.2">
      <c r="A534" s="37">
        <v>44799</v>
      </c>
      <c r="B534" s="38" t="s">
        <v>249</v>
      </c>
      <c r="C534" s="38">
        <v>2022</v>
      </c>
      <c r="D534" s="38" t="s">
        <v>2</v>
      </c>
      <c r="E534" s="177">
        <v>-40.5</v>
      </c>
      <c r="F534" s="177" t="s">
        <v>33</v>
      </c>
      <c r="G534" s="269">
        <v>20250</v>
      </c>
      <c r="H534" s="179">
        <v>329</v>
      </c>
      <c r="I534" s="177" t="s">
        <v>80</v>
      </c>
      <c r="J534" s="177" t="s">
        <v>731</v>
      </c>
      <c r="K534" s="177">
        <v>75.5</v>
      </c>
      <c r="L534" s="177" t="s">
        <v>726</v>
      </c>
      <c r="M534" s="177" t="s">
        <v>1193</v>
      </c>
      <c r="N534" s="70" t="s">
        <v>1194</v>
      </c>
      <c r="O534" s="38"/>
      <c r="P534" s="38" t="s">
        <v>166</v>
      </c>
      <c r="Q534" s="760">
        <v>41.317303000000003</v>
      </c>
      <c r="R534" s="590">
        <v>-86.896017000000001</v>
      </c>
      <c r="S534" s="38" t="s">
        <v>63</v>
      </c>
      <c r="T534" s="38"/>
      <c r="U534" s="38" t="s">
        <v>51</v>
      </c>
      <c r="V534" s="37"/>
      <c r="W534" s="39">
        <f>IF(AC534="Intr",0,G534*Definitions!$B$53)</f>
        <v>3037.5</v>
      </c>
      <c r="X534" s="39">
        <f>IF(AC534="Intr",0,G534*Definitions!$B$54)</f>
        <v>14175</v>
      </c>
      <c r="Y534" s="39">
        <f>IF(AC534="Intr",G534,G534*Definitions!$B$55)</f>
        <v>3037.5</v>
      </c>
      <c r="Z534" s="39" t="s">
        <v>967</v>
      </c>
      <c r="AA534" s="39" t="s">
        <v>965</v>
      </c>
      <c r="AB534" s="39"/>
      <c r="AC534" s="38"/>
      <c r="AD534" s="38"/>
      <c r="AE534" s="38"/>
      <c r="AF534" s="38"/>
      <c r="AG534" s="40"/>
      <c r="AH534" s="72" t="s">
        <v>1195</v>
      </c>
      <c r="AI534" s="105"/>
      <c r="AJ534" s="105"/>
      <c r="AK534" s="105"/>
      <c r="AL534" s="105"/>
      <c r="AM534" s="105"/>
      <c r="AN534" s="105"/>
      <c r="AO534" s="105"/>
      <c r="AP534" s="105"/>
      <c r="AQ534" s="105"/>
      <c r="AR534" s="105"/>
      <c r="AS534" s="105"/>
      <c r="AT534" s="105"/>
      <c r="AU534" s="105"/>
      <c r="AV534" s="105"/>
      <c r="AW534" s="105"/>
      <c r="AX534" s="105"/>
      <c r="AY534" s="105"/>
      <c r="AZ534" s="105"/>
      <c r="BA534" s="105"/>
      <c r="BB534" s="105"/>
      <c r="BC534" s="105"/>
      <c r="BD534" s="105"/>
      <c r="BE534" s="105"/>
      <c r="BF534" s="105"/>
      <c r="BG534" s="105"/>
      <c r="BH534" s="105"/>
      <c r="BI534" s="105"/>
      <c r="BJ534" s="105"/>
      <c r="BK534" s="105"/>
      <c r="BL534" s="105"/>
      <c r="BM534" s="105"/>
      <c r="BN534" s="105"/>
      <c r="BO534" s="105"/>
      <c r="BP534" s="105"/>
      <c r="BQ534" s="105"/>
      <c r="BR534" s="105"/>
      <c r="BS534" s="105"/>
      <c r="BT534" s="105"/>
      <c r="BU534" s="105"/>
      <c r="BV534" s="105"/>
      <c r="BW534" s="105"/>
      <c r="BX534" s="105"/>
      <c r="BY534" s="105"/>
      <c r="BZ534" s="105"/>
      <c r="CA534" s="105"/>
      <c r="CB534" s="105"/>
      <c r="CC534" s="105"/>
      <c r="CD534" s="105"/>
      <c r="CE534" s="105"/>
      <c r="CF534" s="105"/>
      <c r="CG534" s="105"/>
      <c r="CH534" s="105"/>
      <c r="CI534" s="105"/>
      <c r="CJ534" s="105"/>
      <c r="CK534" s="105"/>
      <c r="CL534" s="105"/>
      <c r="CM534" s="105"/>
      <c r="CN534" s="105"/>
      <c r="CO534" s="105"/>
      <c r="CP534" s="105"/>
      <c r="CQ534" s="105"/>
      <c r="CR534" s="105"/>
      <c r="CS534" s="105"/>
      <c r="CT534" s="105"/>
      <c r="CU534" s="105"/>
      <c r="CV534" s="105"/>
      <c r="CW534" s="105"/>
      <c r="CX534" s="105"/>
      <c r="CY534" s="105"/>
      <c r="CZ534" s="105"/>
      <c r="DA534" s="105"/>
      <c r="DB534" s="105"/>
      <c r="DC534" s="105"/>
      <c r="DD534" s="105"/>
      <c r="DE534" s="105"/>
      <c r="DF534" s="105"/>
      <c r="DG534" s="105"/>
      <c r="DH534" s="105"/>
      <c r="DI534" s="105"/>
      <c r="DJ534" s="105"/>
      <c r="DK534" s="105"/>
      <c r="DL534" s="105"/>
      <c r="DM534" s="105"/>
      <c r="DN534" s="105"/>
      <c r="DO534" s="105"/>
      <c r="DP534" s="105"/>
      <c r="DQ534" s="105"/>
      <c r="DR534" s="105"/>
      <c r="DS534" s="105"/>
      <c r="DT534" s="105"/>
      <c r="DU534" s="105"/>
      <c r="DV534" s="105"/>
      <c r="DW534" s="105"/>
      <c r="DX534" s="105"/>
      <c r="DY534" s="105"/>
      <c r="DZ534" s="105"/>
      <c r="EA534" s="105"/>
      <c r="EB534" s="105"/>
      <c r="EC534" s="105"/>
      <c r="ED534" s="105"/>
      <c r="EE534" s="105"/>
      <c r="EF534" s="105"/>
      <c r="EG534" s="105"/>
      <c r="EH534" s="105"/>
      <c r="EI534" s="105"/>
      <c r="EJ534" s="105"/>
      <c r="EK534" s="105"/>
      <c r="EL534" s="105"/>
      <c r="EM534" s="105"/>
      <c r="EN534" s="105"/>
      <c r="EO534" s="105"/>
      <c r="EP534" s="105"/>
      <c r="EQ534" s="105"/>
      <c r="ER534" s="105"/>
      <c r="ES534" s="105"/>
      <c r="ET534" s="105"/>
      <c r="EU534" s="105"/>
      <c r="EV534" s="105"/>
      <c r="EW534" s="105"/>
      <c r="EX534" s="105"/>
      <c r="EY534" s="105"/>
      <c r="EZ534" s="105"/>
      <c r="FA534" s="105"/>
      <c r="FB534" s="105"/>
      <c r="FC534" s="105"/>
      <c r="FD534" s="105"/>
      <c r="FE534" s="105"/>
      <c r="FF534" s="105"/>
      <c r="FG534" s="105"/>
      <c r="FH534" s="105"/>
      <c r="FI534" s="105"/>
      <c r="FJ534" s="105"/>
      <c r="FK534" s="105"/>
      <c r="FL534" s="105"/>
      <c r="FM534" s="105"/>
      <c r="FN534" s="105"/>
      <c r="FO534" s="105"/>
      <c r="FP534" s="105"/>
      <c r="FQ534" s="105"/>
      <c r="FR534" s="105"/>
      <c r="FS534" s="105"/>
      <c r="FT534" s="105"/>
      <c r="FU534" s="105"/>
      <c r="FV534" s="105"/>
      <c r="FW534" s="105"/>
      <c r="FX534" s="105"/>
      <c r="FY534" s="105"/>
      <c r="FZ534" s="105"/>
      <c r="GA534" s="105"/>
      <c r="GB534" s="105"/>
      <c r="GC534" s="105"/>
      <c r="GD534" s="105"/>
      <c r="GE534" s="105"/>
      <c r="GF534" s="105"/>
      <c r="GG534" s="105"/>
      <c r="GH534" s="105"/>
      <c r="GI534" s="105"/>
      <c r="GJ534" s="105"/>
      <c r="GK534" s="105"/>
      <c r="GL534" s="105"/>
      <c r="GM534" s="105"/>
      <c r="GN534" s="105"/>
      <c r="GO534" s="105"/>
      <c r="GP534" s="105"/>
      <c r="GQ534" s="105"/>
      <c r="GR534" s="105"/>
      <c r="GS534" s="105"/>
      <c r="GT534" s="105"/>
      <c r="GU534" s="105"/>
      <c r="GV534" s="105"/>
      <c r="GW534" s="105"/>
      <c r="GX534" s="105"/>
      <c r="GY534" s="105"/>
      <c r="GZ534" s="105"/>
      <c r="HA534" s="105"/>
      <c r="HB534" s="105"/>
      <c r="HC534" s="105"/>
      <c r="HD534" s="105"/>
      <c r="HE534" s="105"/>
      <c r="HF534" s="105"/>
      <c r="HG534" s="105"/>
      <c r="HH534" s="105"/>
      <c r="HI534" s="105"/>
      <c r="HJ534" s="105"/>
      <c r="HK534" s="105"/>
      <c r="HL534" s="105"/>
      <c r="HM534" s="105"/>
      <c r="HN534" s="105"/>
      <c r="HO534" s="105"/>
      <c r="HP534" s="105"/>
      <c r="HQ534" s="105"/>
      <c r="HR534" s="105"/>
      <c r="HS534" s="105"/>
      <c r="HT534" s="105"/>
      <c r="HU534" s="105"/>
      <c r="HV534" s="105"/>
      <c r="HW534" s="105"/>
      <c r="HX534" s="105"/>
      <c r="HY534" s="105"/>
      <c r="HZ534" s="105"/>
      <c r="IA534" s="105"/>
      <c r="IB534" s="105"/>
      <c r="IC534" s="105"/>
      <c r="ID534" s="105"/>
      <c r="IE534" s="105"/>
      <c r="IF534" s="105"/>
      <c r="IG534" s="105"/>
      <c r="IH534" s="105"/>
      <c r="II534" s="105"/>
      <c r="IJ534" s="105"/>
      <c r="IK534" s="105"/>
      <c r="IL534" s="105"/>
      <c r="IM534" s="105"/>
      <c r="IN534" s="105"/>
      <c r="IO534" s="105"/>
      <c r="IP534" s="105"/>
      <c r="IQ534" s="105"/>
      <c r="IR534" s="105"/>
      <c r="IS534" s="105"/>
      <c r="IT534" s="105"/>
      <c r="IU534" s="105"/>
      <c r="IV534" s="105"/>
    </row>
    <row r="535" spans="1:256" x14ac:dyDescent="0.2">
      <c r="A535" s="274">
        <v>44804</v>
      </c>
      <c r="B535" s="275" t="s">
        <v>249</v>
      </c>
      <c r="C535" s="275">
        <v>2022</v>
      </c>
      <c r="D535" s="275" t="s">
        <v>11</v>
      </c>
      <c r="E535" s="276">
        <v>-0.45</v>
      </c>
      <c r="F535" s="276" t="s">
        <v>32</v>
      </c>
      <c r="G535" s="277">
        <v>36000</v>
      </c>
      <c r="H535" s="278">
        <v>333</v>
      </c>
      <c r="I535" s="276" t="s">
        <v>80</v>
      </c>
      <c r="J535" s="276" t="s">
        <v>36</v>
      </c>
      <c r="K535" s="276">
        <v>0.187</v>
      </c>
      <c r="L535" s="276" t="s">
        <v>726</v>
      </c>
      <c r="M535" s="276" t="s">
        <v>1196</v>
      </c>
      <c r="N535" s="279" t="s">
        <v>1197</v>
      </c>
      <c r="O535" s="275"/>
      <c r="P535" s="275" t="s">
        <v>89</v>
      </c>
      <c r="Q535" s="755">
        <v>37.976823000000003</v>
      </c>
      <c r="R535" s="657">
        <v>-87.444322999999997</v>
      </c>
      <c r="S535" s="275" t="s">
        <v>63</v>
      </c>
      <c r="T535" s="275"/>
      <c r="U535" s="275" t="s">
        <v>51</v>
      </c>
      <c r="V535" s="274"/>
      <c r="W535" s="280">
        <f>IF(AC535="Intr",0,G535*Definitions!$B$53)</f>
        <v>5400</v>
      </c>
      <c r="X535" s="280">
        <f>IF(AC535="Intr",0,G535*Definitions!$B$54)</f>
        <v>25200</v>
      </c>
      <c r="Y535" s="280">
        <f>IF(AC535="Intr",G535,G535*Definitions!$B$55)</f>
        <v>5400</v>
      </c>
      <c r="Z535" s="280" t="s">
        <v>966</v>
      </c>
      <c r="AA535" s="280" t="s">
        <v>965</v>
      </c>
      <c r="AB535" s="280"/>
      <c r="AC535" s="275"/>
      <c r="AD535" s="275"/>
      <c r="AE535" s="275"/>
      <c r="AF535" s="275"/>
      <c r="AG535" s="281"/>
      <c r="AH535" s="275" t="s">
        <v>1200</v>
      </c>
    </row>
    <row r="536" spans="1:256" x14ac:dyDescent="0.2">
      <c r="A536" s="274">
        <v>44804</v>
      </c>
      <c r="B536" s="275" t="s">
        <v>249</v>
      </c>
      <c r="C536" s="275">
        <v>2022</v>
      </c>
      <c r="D536" s="275" t="s">
        <v>11</v>
      </c>
      <c r="E536" s="276">
        <v>-310</v>
      </c>
      <c r="F536" s="276" t="s">
        <v>33</v>
      </c>
      <c r="G536" s="277">
        <v>124000</v>
      </c>
      <c r="H536" s="278">
        <v>333</v>
      </c>
      <c r="I536" s="276" t="s">
        <v>80</v>
      </c>
      <c r="J536" s="276" t="s">
        <v>725</v>
      </c>
      <c r="K536" s="276">
        <v>766</v>
      </c>
      <c r="L536" s="276" t="s">
        <v>726</v>
      </c>
      <c r="M536" s="276" t="s">
        <v>1196</v>
      </c>
      <c r="N536" s="279" t="s">
        <v>1197</v>
      </c>
      <c r="O536" s="275"/>
      <c r="P536" s="275" t="s">
        <v>89</v>
      </c>
      <c r="Q536" s="755">
        <v>37.976823000000003</v>
      </c>
      <c r="R536" s="657">
        <v>-87.444322999999997</v>
      </c>
      <c r="S536" s="275" t="s">
        <v>63</v>
      </c>
      <c r="T536" s="275"/>
      <c r="U536" s="275" t="s">
        <v>51</v>
      </c>
      <c r="V536" s="274"/>
      <c r="W536" s="280">
        <f>IF(AC536="Intr",0,G536*Definitions!$B$53)</f>
        <v>18600</v>
      </c>
      <c r="X536" s="280">
        <f>IF(AC536="Intr",0,G536*Definitions!$B$54)</f>
        <v>86800</v>
      </c>
      <c r="Y536" s="280">
        <f>IF(AC536="Intr",G536,G536*Definitions!$B$55)</f>
        <v>18600</v>
      </c>
      <c r="Z536" s="280" t="s">
        <v>966</v>
      </c>
      <c r="AA536" s="280" t="s">
        <v>965</v>
      </c>
      <c r="AB536" s="280"/>
      <c r="AC536" s="275"/>
      <c r="AD536" s="275"/>
      <c r="AE536" s="275"/>
      <c r="AF536" s="275"/>
      <c r="AG536" s="281"/>
      <c r="AH536" s="275" t="s">
        <v>1202</v>
      </c>
    </row>
    <row r="537" spans="1:256" s="414" customFormat="1" x14ac:dyDescent="0.2">
      <c r="A537" s="37">
        <v>44804</v>
      </c>
      <c r="B537" s="38" t="s">
        <v>249</v>
      </c>
      <c r="C537" s="38">
        <v>2022</v>
      </c>
      <c r="D537" s="38" t="s">
        <v>8</v>
      </c>
      <c r="E537" s="177">
        <v>-166</v>
      </c>
      <c r="F537" s="177" t="s">
        <v>33</v>
      </c>
      <c r="G537" s="269">
        <v>74700</v>
      </c>
      <c r="H537" s="179">
        <v>334</v>
      </c>
      <c r="I537" s="177" t="s">
        <v>80</v>
      </c>
      <c r="J537" s="177" t="s">
        <v>725</v>
      </c>
      <c r="K537" s="177">
        <v>313</v>
      </c>
      <c r="L537" s="177" t="s">
        <v>726</v>
      </c>
      <c r="M537" s="177" t="s">
        <v>1198</v>
      </c>
      <c r="N537" s="70" t="s">
        <v>1199</v>
      </c>
      <c r="O537" s="38"/>
      <c r="P537" s="38" t="s">
        <v>1165</v>
      </c>
      <c r="Q537" s="760">
        <v>40.04862</v>
      </c>
      <c r="R537" s="590">
        <v>-84.968459999999993</v>
      </c>
      <c r="S537" s="38" t="s">
        <v>63</v>
      </c>
      <c r="T537" s="38"/>
      <c r="U537" s="38" t="s">
        <v>51</v>
      </c>
      <c r="V537" s="37"/>
      <c r="W537" s="39">
        <f>IF(AC537="Intr",0,G537*Definitions!$B$53)</f>
        <v>11205</v>
      </c>
      <c r="X537" s="39">
        <f>IF(AC537="Intr",0,G537*Definitions!$B$54)</f>
        <v>52290</v>
      </c>
      <c r="Y537" s="39">
        <f>IF(AC537="Intr",G537,G537*Definitions!$B$55)</f>
        <v>11205</v>
      </c>
      <c r="Z537" s="39" t="s">
        <v>966</v>
      </c>
      <c r="AA537" s="39" t="s">
        <v>965</v>
      </c>
      <c r="AB537" s="39"/>
      <c r="AC537" s="38"/>
      <c r="AD537" s="38"/>
      <c r="AE537" s="38"/>
      <c r="AF537" s="38"/>
      <c r="AG537" s="40"/>
      <c r="AH537" s="38" t="s">
        <v>1201</v>
      </c>
      <c r="AI537" s="105"/>
      <c r="AJ537" s="105"/>
      <c r="AK537" s="105"/>
      <c r="AL537" s="105"/>
      <c r="AM537" s="105"/>
      <c r="AN537" s="105"/>
      <c r="AO537" s="105"/>
      <c r="AP537" s="105"/>
      <c r="AQ537" s="105"/>
      <c r="AR537" s="105"/>
      <c r="AS537" s="105"/>
      <c r="AT537" s="105"/>
      <c r="AU537" s="105"/>
      <c r="AV537" s="105"/>
      <c r="AW537" s="105"/>
      <c r="AX537" s="105"/>
      <c r="AY537" s="105"/>
      <c r="AZ537" s="105"/>
      <c r="BA537" s="105"/>
      <c r="BB537" s="105"/>
      <c r="BC537" s="105"/>
      <c r="BD537" s="105"/>
      <c r="BE537" s="105"/>
      <c r="BF537" s="105"/>
      <c r="BG537" s="105"/>
      <c r="BH537" s="105"/>
      <c r="BI537" s="105"/>
      <c r="BJ537" s="105"/>
      <c r="BK537" s="105"/>
      <c r="BL537" s="105"/>
      <c r="BM537" s="105"/>
      <c r="BN537" s="105"/>
      <c r="BO537" s="105"/>
      <c r="BP537" s="105"/>
      <c r="BQ537" s="105"/>
      <c r="BR537" s="105"/>
      <c r="BS537" s="105"/>
      <c r="BT537" s="105"/>
      <c r="BU537" s="105"/>
      <c r="BV537" s="105"/>
      <c r="BW537" s="105"/>
      <c r="BX537" s="105"/>
      <c r="BY537" s="105"/>
      <c r="BZ537" s="105"/>
      <c r="CA537" s="105"/>
      <c r="CB537" s="105"/>
      <c r="CC537" s="105"/>
      <c r="CD537" s="105"/>
      <c r="CE537" s="105"/>
      <c r="CF537" s="105"/>
      <c r="CG537" s="105"/>
      <c r="CH537" s="105"/>
      <c r="CI537" s="105"/>
      <c r="CJ537" s="105"/>
      <c r="CK537" s="105"/>
      <c r="CL537" s="105"/>
      <c r="CM537" s="105"/>
      <c r="CN537" s="105"/>
      <c r="CO537" s="105"/>
      <c r="CP537" s="105"/>
      <c r="CQ537" s="105"/>
      <c r="CR537" s="105"/>
      <c r="CS537" s="105"/>
      <c r="CT537" s="105"/>
      <c r="CU537" s="105"/>
      <c r="CV537" s="105"/>
      <c r="CW537" s="105"/>
      <c r="CX537" s="105"/>
      <c r="CY537" s="105"/>
      <c r="CZ537" s="105"/>
      <c r="DA537" s="105"/>
      <c r="DB537" s="105"/>
      <c r="DC537" s="105"/>
      <c r="DD537" s="105"/>
      <c r="DE537" s="105"/>
      <c r="DF537" s="105"/>
      <c r="DG537" s="105"/>
      <c r="DH537" s="105"/>
      <c r="DI537" s="105"/>
      <c r="DJ537" s="105"/>
      <c r="DK537" s="105"/>
      <c r="DL537" s="105"/>
      <c r="DM537" s="105"/>
      <c r="DN537" s="105"/>
      <c r="DO537" s="105"/>
      <c r="DP537" s="105"/>
      <c r="DQ537" s="105"/>
      <c r="DR537" s="105"/>
      <c r="DS537" s="105"/>
      <c r="DT537" s="105"/>
      <c r="DU537" s="105"/>
      <c r="DV537" s="105"/>
      <c r="DW537" s="105"/>
      <c r="DX537" s="105"/>
      <c r="DY537" s="105"/>
      <c r="DZ537" s="105"/>
      <c r="EA537" s="105"/>
      <c r="EB537" s="105"/>
      <c r="EC537" s="105"/>
      <c r="ED537" s="105"/>
      <c r="EE537" s="105"/>
      <c r="EF537" s="105"/>
      <c r="EG537" s="105"/>
      <c r="EH537" s="105"/>
      <c r="EI537" s="105"/>
      <c r="EJ537" s="105"/>
      <c r="EK537" s="105"/>
      <c r="EL537" s="105"/>
      <c r="EM537" s="105"/>
      <c r="EN537" s="105"/>
      <c r="EO537" s="105"/>
      <c r="EP537" s="105"/>
      <c r="EQ537" s="105"/>
      <c r="ER537" s="105"/>
      <c r="ES537" s="105"/>
      <c r="ET537" s="105"/>
      <c r="EU537" s="105"/>
      <c r="EV537" s="105"/>
      <c r="EW537" s="105"/>
      <c r="EX537" s="105"/>
      <c r="EY537" s="105"/>
      <c r="EZ537" s="105"/>
      <c r="FA537" s="105"/>
      <c r="FB537" s="105"/>
      <c r="FC537" s="105"/>
      <c r="FD537" s="105"/>
      <c r="FE537" s="105"/>
      <c r="FF537" s="105"/>
      <c r="FG537" s="105"/>
      <c r="FH537" s="105"/>
      <c r="FI537" s="105"/>
      <c r="FJ537" s="105"/>
      <c r="FK537" s="105"/>
      <c r="FL537" s="105"/>
      <c r="FM537" s="105"/>
      <c r="FN537" s="105"/>
      <c r="FO537" s="105"/>
      <c r="FP537" s="105"/>
      <c r="FQ537" s="105"/>
      <c r="FR537" s="105"/>
      <c r="FS537" s="105"/>
      <c r="FT537" s="105"/>
      <c r="FU537" s="105"/>
      <c r="FV537" s="105"/>
      <c r="FW537" s="105"/>
      <c r="FX537" s="105"/>
      <c r="FY537" s="105"/>
      <c r="FZ537" s="105"/>
      <c r="GA537" s="105"/>
      <c r="GB537" s="105"/>
      <c r="GC537" s="105"/>
      <c r="GD537" s="105"/>
      <c r="GE537" s="105"/>
      <c r="GF537" s="105"/>
      <c r="GG537" s="105"/>
      <c r="GH537" s="105"/>
      <c r="GI537" s="105"/>
      <c r="GJ537" s="105"/>
      <c r="GK537" s="105"/>
      <c r="GL537" s="105"/>
      <c r="GM537" s="105"/>
      <c r="GN537" s="105"/>
      <c r="GO537" s="105"/>
      <c r="GP537" s="105"/>
      <c r="GQ537" s="105"/>
      <c r="GR537" s="105"/>
      <c r="GS537" s="105"/>
      <c r="GT537" s="105"/>
      <c r="GU537" s="105"/>
      <c r="GV537" s="105"/>
      <c r="GW537" s="105"/>
      <c r="GX537" s="105"/>
      <c r="GY537" s="105"/>
      <c r="GZ537" s="105"/>
      <c r="HA537" s="105"/>
      <c r="HB537" s="105"/>
      <c r="HC537" s="105"/>
      <c r="HD537" s="105"/>
      <c r="HE537" s="105"/>
      <c r="HF537" s="105"/>
      <c r="HG537" s="105"/>
      <c r="HH537" s="105"/>
      <c r="HI537" s="105"/>
      <c r="HJ537" s="105"/>
      <c r="HK537" s="105"/>
      <c r="HL537" s="105"/>
      <c r="HM537" s="105"/>
      <c r="HN537" s="105"/>
      <c r="HO537" s="105"/>
      <c r="HP537" s="105"/>
      <c r="HQ537" s="105"/>
      <c r="HR537" s="105"/>
      <c r="HS537" s="105"/>
      <c r="HT537" s="105"/>
      <c r="HU537" s="105"/>
      <c r="HV537" s="105"/>
      <c r="HW537" s="105"/>
      <c r="HX537" s="105"/>
      <c r="HY537" s="105"/>
      <c r="HZ537" s="105"/>
      <c r="IA537" s="105"/>
      <c r="IB537" s="105"/>
      <c r="IC537" s="105"/>
      <c r="ID537" s="105"/>
      <c r="IE537" s="105"/>
      <c r="IF537" s="105"/>
      <c r="IG537" s="105"/>
      <c r="IH537" s="105"/>
      <c r="II537" s="105"/>
      <c r="IJ537" s="105"/>
      <c r="IK537" s="105"/>
      <c r="IL537" s="105"/>
      <c r="IM537" s="105"/>
      <c r="IN537" s="105"/>
      <c r="IO537" s="105"/>
      <c r="IP537" s="105"/>
      <c r="IQ537" s="105"/>
      <c r="IR537" s="105"/>
      <c r="IS537" s="105"/>
      <c r="IT537" s="105"/>
      <c r="IU537" s="105"/>
      <c r="IV537" s="105"/>
    </row>
    <row r="538" spans="1:256" s="414" customFormat="1" x14ac:dyDescent="0.2">
      <c r="A538" s="37">
        <v>44810</v>
      </c>
      <c r="B538" s="38" t="s">
        <v>96</v>
      </c>
      <c r="C538" s="38">
        <v>2022</v>
      </c>
      <c r="D538" s="38" t="s">
        <v>6</v>
      </c>
      <c r="E538" s="177">
        <v>-0.26</v>
      </c>
      <c r="F538" s="177" t="s">
        <v>32</v>
      </c>
      <c r="G538" s="269">
        <v>20800</v>
      </c>
      <c r="H538" s="179">
        <v>336</v>
      </c>
      <c r="I538" s="177" t="s">
        <v>80</v>
      </c>
      <c r="J538" s="177" t="s">
        <v>36</v>
      </c>
      <c r="K538" s="177">
        <v>0.11</v>
      </c>
      <c r="L538" s="177" t="s">
        <v>284</v>
      </c>
      <c r="M538" s="177" t="s">
        <v>1323</v>
      </c>
      <c r="N538" s="70" t="s">
        <v>1324</v>
      </c>
      <c r="O538" s="38"/>
      <c r="P538" s="38" t="s">
        <v>274</v>
      </c>
      <c r="Q538" s="790">
        <v>40.432400000000001</v>
      </c>
      <c r="R538" s="687">
        <v>-86.943200000000004</v>
      </c>
      <c r="S538" s="38" t="s">
        <v>63</v>
      </c>
      <c r="T538" s="38"/>
      <c r="U538" s="38" t="s">
        <v>51</v>
      </c>
      <c r="V538" s="37"/>
      <c r="W538" s="39">
        <v>3120</v>
      </c>
      <c r="X538" s="39">
        <v>14560</v>
      </c>
      <c r="Y538" s="39">
        <v>3120</v>
      </c>
      <c r="Z538" s="39" t="s">
        <v>966</v>
      </c>
      <c r="AA538" s="39" t="s">
        <v>965</v>
      </c>
      <c r="AB538" s="39"/>
      <c r="AC538" s="38"/>
      <c r="AD538" s="38"/>
      <c r="AE538" s="38"/>
      <c r="AF538" s="38"/>
      <c r="AG538" s="40"/>
      <c r="AH538" s="38"/>
      <c r="AI538" s="105"/>
      <c r="AJ538" s="105"/>
      <c r="AK538" s="105"/>
      <c r="AL538" s="105"/>
      <c r="AM538" s="105"/>
      <c r="AN538" s="105"/>
      <c r="AO538" s="105"/>
      <c r="AP538" s="105"/>
      <c r="AQ538" s="105"/>
      <c r="AR538" s="105"/>
      <c r="AS538" s="105"/>
      <c r="AT538" s="105"/>
      <c r="AU538" s="105"/>
      <c r="AV538" s="105"/>
      <c r="AW538" s="105"/>
      <c r="AX538" s="105"/>
      <c r="AY538" s="105"/>
      <c r="AZ538" s="105"/>
      <c r="BA538" s="105"/>
      <c r="BB538" s="105"/>
      <c r="BC538" s="105"/>
      <c r="BD538" s="105"/>
      <c r="BE538" s="105"/>
      <c r="BF538" s="105"/>
      <c r="BG538" s="105"/>
      <c r="BH538" s="105"/>
      <c r="BI538" s="105"/>
      <c r="BJ538" s="105"/>
      <c r="BK538" s="105"/>
      <c r="BL538" s="105"/>
      <c r="BM538" s="105"/>
      <c r="BN538" s="105"/>
      <c r="BO538" s="105"/>
      <c r="BP538" s="105"/>
      <c r="BQ538" s="105"/>
      <c r="BR538" s="105"/>
      <c r="BS538" s="105"/>
      <c r="BT538" s="105"/>
      <c r="BU538" s="105"/>
      <c r="BV538" s="105"/>
      <c r="BW538" s="105"/>
      <c r="BX538" s="105"/>
      <c r="BY538" s="105"/>
      <c r="BZ538" s="105"/>
      <c r="CA538" s="105"/>
      <c r="CB538" s="105"/>
      <c r="CC538" s="105"/>
      <c r="CD538" s="105"/>
      <c r="CE538" s="105"/>
      <c r="CF538" s="105"/>
      <c r="CG538" s="105"/>
      <c r="CH538" s="105"/>
      <c r="CI538" s="105"/>
      <c r="CJ538" s="105"/>
      <c r="CK538" s="105"/>
      <c r="CL538" s="105"/>
      <c r="CM538" s="105"/>
      <c r="CN538" s="105"/>
      <c r="CO538" s="105"/>
      <c r="CP538" s="105"/>
      <c r="CQ538" s="105"/>
      <c r="CR538" s="105"/>
      <c r="CS538" s="105"/>
      <c r="CT538" s="105"/>
      <c r="CU538" s="105"/>
      <c r="CV538" s="105"/>
      <c r="CW538" s="105"/>
      <c r="CX538" s="105"/>
      <c r="CY538" s="105"/>
      <c r="CZ538" s="105"/>
      <c r="DA538" s="105"/>
      <c r="DB538" s="105"/>
      <c r="DC538" s="105"/>
      <c r="DD538" s="105"/>
      <c r="DE538" s="105"/>
      <c r="DF538" s="105"/>
      <c r="DG538" s="105"/>
      <c r="DH538" s="105"/>
      <c r="DI538" s="105"/>
      <c r="DJ538" s="105"/>
      <c r="DK538" s="105"/>
      <c r="DL538" s="105"/>
      <c r="DM538" s="105"/>
      <c r="DN538" s="105"/>
      <c r="DO538" s="105"/>
      <c r="DP538" s="105"/>
      <c r="DQ538" s="105"/>
      <c r="DR538" s="105"/>
      <c r="DS538" s="105"/>
      <c r="DT538" s="105"/>
      <c r="DU538" s="105"/>
      <c r="DV538" s="105"/>
      <c r="DW538" s="105"/>
      <c r="DX538" s="105"/>
      <c r="DY538" s="105"/>
      <c r="DZ538" s="105"/>
      <c r="EA538" s="105"/>
      <c r="EB538" s="105"/>
      <c r="EC538" s="105"/>
      <c r="ED538" s="105"/>
      <c r="EE538" s="105"/>
      <c r="EF538" s="105"/>
      <c r="EG538" s="105"/>
      <c r="EH538" s="105"/>
      <c r="EI538" s="105"/>
      <c r="EJ538" s="105"/>
      <c r="EK538" s="105"/>
      <c r="EL538" s="105"/>
      <c r="EM538" s="105"/>
      <c r="EN538" s="105"/>
      <c r="EO538" s="105"/>
      <c r="EP538" s="105"/>
      <c r="EQ538" s="105"/>
      <c r="ER538" s="105"/>
      <c r="ES538" s="105"/>
      <c r="ET538" s="105"/>
      <c r="EU538" s="105"/>
      <c r="EV538" s="105"/>
      <c r="EW538" s="105"/>
      <c r="EX538" s="105"/>
      <c r="EY538" s="105"/>
      <c r="EZ538" s="105"/>
      <c r="FA538" s="105"/>
      <c r="FB538" s="105"/>
      <c r="FC538" s="105"/>
      <c r="FD538" s="105"/>
      <c r="FE538" s="105"/>
      <c r="FF538" s="105"/>
      <c r="FG538" s="105"/>
      <c r="FH538" s="105"/>
      <c r="FI538" s="105"/>
      <c r="FJ538" s="105"/>
      <c r="FK538" s="105"/>
      <c r="FL538" s="105"/>
      <c r="FM538" s="105"/>
      <c r="FN538" s="105"/>
      <c r="FO538" s="105"/>
      <c r="FP538" s="105"/>
      <c r="FQ538" s="105"/>
      <c r="FR538" s="105"/>
      <c r="FS538" s="105"/>
      <c r="FT538" s="105"/>
      <c r="FU538" s="105"/>
      <c r="FV538" s="105"/>
      <c r="FW538" s="105"/>
      <c r="FX538" s="105"/>
      <c r="FY538" s="105"/>
      <c r="FZ538" s="105"/>
      <c r="GA538" s="105"/>
      <c r="GB538" s="105"/>
      <c r="GC538" s="105"/>
      <c r="GD538" s="105"/>
      <c r="GE538" s="105"/>
      <c r="GF538" s="105"/>
      <c r="GG538" s="105"/>
      <c r="GH538" s="105"/>
      <c r="GI538" s="105"/>
      <c r="GJ538" s="105"/>
      <c r="GK538" s="105"/>
      <c r="GL538" s="105"/>
      <c r="GM538" s="105"/>
      <c r="GN538" s="105"/>
      <c r="GO538" s="105"/>
      <c r="GP538" s="105"/>
      <c r="GQ538" s="105"/>
      <c r="GR538" s="105"/>
      <c r="GS538" s="105"/>
      <c r="GT538" s="105"/>
      <c r="GU538" s="105"/>
      <c r="GV538" s="105"/>
      <c r="GW538" s="105"/>
      <c r="GX538" s="105"/>
      <c r="GY538" s="105"/>
      <c r="GZ538" s="105"/>
      <c r="HA538" s="105"/>
      <c r="HB538" s="105"/>
      <c r="HC538" s="105"/>
      <c r="HD538" s="105"/>
      <c r="HE538" s="105"/>
      <c r="HF538" s="105"/>
      <c r="HG538" s="105"/>
      <c r="HH538" s="105"/>
      <c r="HI538" s="105"/>
      <c r="HJ538" s="105"/>
      <c r="HK538" s="105"/>
      <c r="HL538" s="105"/>
      <c r="HM538" s="105"/>
      <c r="HN538" s="105"/>
      <c r="HO538" s="105"/>
      <c r="HP538" s="105"/>
      <c r="HQ538" s="105"/>
      <c r="HR538" s="105"/>
      <c r="HS538" s="105"/>
      <c r="HT538" s="105"/>
      <c r="HU538" s="105"/>
      <c r="HV538" s="105"/>
      <c r="HW538" s="105"/>
      <c r="HX538" s="105"/>
      <c r="HY538" s="105"/>
      <c r="HZ538" s="105"/>
      <c r="IA538" s="105"/>
      <c r="IB538" s="105"/>
      <c r="IC538" s="105"/>
      <c r="ID538" s="105"/>
      <c r="IE538" s="105"/>
      <c r="IF538" s="105"/>
      <c r="IG538" s="105"/>
      <c r="IH538" s="105"/>
      <c r="II538" s="105"/>
      <c r="IJ538" s="105"/>
      <c r="IK538" s="105"/>
      <c r="IL538" s="105"/>
      <c r="IM538" s="105"/>
      <c r="IN538" s="105"/>
      <c r="IO538" s="105"/>
      <c r="IP538" s="105"/>
      <c r="IQ538" s="105"/>
      <c r="IR538" s="105"/>
      <c r="IS538" s="105"/>
      <c r="IT538" s="105"/>
      <c r="IU538" s="105"/>
      <c r="IV538" s="105"/>
    </row>
    <row r="539" spans="1:256" x14ac:dyDescent="0.2">
      <c r="A539" s="33">
        <v>44819</v>
      </c>
      <c r="B539" s="34" t="s">
        <v>96</v>
      </c>
      <c r="C539" s="34">
        <v>2022</v>
      </c>
      <c r="D539" s="34" t="s">
        <v>10</v>
      </c>
      <c r="E539" s="116">
        <v>-3908</v>
      </c>
      <c r="F539" s="116" t="s">
        <v>33</v>
      </c>
      <c r="G539" s="117">
        <f>-(E539*400)</f>
        <v>1563200</v>
      </c>
      <c r="H539" s="116" t="s">
        <v>1203</v>
      </c>
      <c r="I539" s="116" t="s">
        <v>80</v>
      </c>
      <c r="J539" s="116" t="s">
        <v>725</v>
      </c>
      <c r="K539" s="116">
        <v>1496</v>
      </c>
      <c r="L539" s="116" t="s">
        <v>768</v>
      </c>
      <c r="M539" s="116" t="s">
        <v>1204</v>
      </c>
      <c r="N539" s="116" t="s">
        <v>1205</v>
      </c>
      <c r="O539" s="116"/>
      <c r="P539" s="120" t="s">
        <v>771</v>
      </c>
      <c r="Q539" s="795">
        <v>38.293999999999997</v>
      </c>
      <c r="R539" s="692">
        <v>-86.013999999999996</v>
      </c>
      <c r="S539" s="120" t="s">
        <v>63</v>
      </c>
      <c r="T539" s="34"/>
      <c r="U539" s="34" t="s">
        <v>51</v>
      </c>
      <c r="V539" s="33"/>
      <c r="W539" s="35">
        <f>IF(AC539="Intr",0,G539*Definitions!$B$53)</f>
        <v>234480</v>
      </c>
      <c r="X539" s="35">
        <f>IF(AC539="Intr",0,G539*Definitions!$B$54)</f>
        <v>1094240</v>
      </c>
      <c r="Y539" s="35">
        <f>IF(AC539="Intr",G539,G539*Definitions!$B$55)</f>
        <v>234480</v>
      </c>
      <c r="Z539" s="35" t="s">
        <v>966</v>
      </c>
      <c r="AA539" s="35" t="s">
        <v>965</v>
      </c>
      <c r="AB539" s="35"/>
      <c r="AC539" s="34"/>
      <c r="AD539" s="34"/>
      <c r="AE539" s="34"/>
      <c r="AF539" s="34"/>
      <c r="AG539" s="36"/>
      <c r="AH539" s="34" t="s">
        <v>1206</v>
      </c>
    </row>
    <row r="540" spans="1:256" s="387" customFormat="1" x14ac:dyDescent="0.2">
      <c r="A540" s="282">
        <v>44824</v>
      </c>
      <c r="B540" s="114" t="s">
        <v>96</v>
      </c>
      <c r="C540" s="114">
        <v>2022</v>
      </c>
      <c r="D540" s="114" t="s">
        <v>10</v>
      </c>
      <c r="E540" s="270">
        <v>-576</v>
      </c>
      <c r="F540" s="270" t="s">
        <v>33</v>
      </c>
      <c r="G540" s="283">
        <v>230400</v>
      </c>
      <c r="H540" s="284">
        <v>338</v>
      </c>
      <c r="I540" s="270" t="s">
        <v>80</v>
      </c>
      <c r="J540" s="270" t="s">
        <v>41</v>
      </c>
      <c r="K540" s="270">
        <v>1554</v>
      </c>
      <c r="L540" s="270" t="s">
        <v>1207</v>
      </c>
      <c r="M540" s="270" t="s">
        <v>1208</v>
      </c>
      <c r="N540" s="285" t="s">
        <v>1209</v>
      </c>
      <c r="O540" s="114"/>
      <c r="P540" s="114" t="s">
        <v>84</v>
      </c>
      <c r="Q540" s="750">
        <v>38.457000000000001</v>
      </c>
      <c r="R540" s="635">
        <v>-85.847740000000002</v>
      </c>
      <c r="S540" s="114" t="s">
        <v>61</v>
      </c>
      <c r="T540" s="114"/>
      <c r="U540" s="114" t="s">
        <v>51</v>
      </c>
      <c r="V540" s="282"/>
      <c r="W540" s="286">
        <f>IF(AC540="Intr",0,G540*Definitions!$B$53)</f>
        <v>34560</v>
      </c>
      <c r="X540" s="286">
        <f>IF(AC540="Intr",0,G540*Definitions!$B$54)</f>
        <v>161280</v>
      </c>
      <c r="Y540" s="286">
        <f>IF(AC540="Intr",G540,G540*Definitions!$B$55)</f>
        <v>34560</v>
      </c>
      <c r="Z540" s="286" t="s">
        <v>966</v>
      </c>
      <c r="AA540" s="286"/>
      <c r="AB540" s="286"/>
      <c r="AC540" s="114"/>
      <c r="AD540" s="114"/>
      <c r="AE540" s="114"/>
      <c r="AF540" s="114"/>
      <c r="AG540" s="287"/>
      <c r="AH540" s="114" t="s">
        <v>1210</v>
      </c>
      <c r="AI540" s="105"/>
      <c r="AJ540" s="105"/>
      <c r="AK540" s="105"/>
      <c r="AL540" s="105"/>
      <c r="AM540" s="105"/>
      <c r="AN540" s="105"/>
      <c r="AO540" s="105"/>
      <c r="AP540" s="105"/>
      <c r="AQ540" s="105"/>
      <c r="AR540" s="105"/>
      <c r="AS540" s="105"/>
      <c r="AT540" s="105"/>
      <c r="AU540" s="105"/>
      <c r="AV540" s="105"/>
      <c r="AW540" s="105"/>
      <c r="AX540" s="105"/>
      <c r="AY540" s="105"/>
      <c r="AZ540" s="105"/>
      <c r="BA540" s="105"/>
      <c r="BB540" s="105"/>
      <c r="BC540" s="105"/>
      <c r="BD540" s="105"/>
      <c r="BE540" s="105"/>
      <c r="BF540" s="105"/>
      <c r="BG540" s="105"/>
      <c r="BH540" s="105"/>
      <c r="BI540" s="105"/>
      <c r="BJ540" s="105"/>
      <c r="BK540" s="105"/>
      <c r="BL540" s="105"/>
      <c r="BM540" s="105"/>
      <c r="BN540" s="105"/>
      <c r="BO540" s="105"/>
      <c r="BP540" s="105"/>
      <c r="BQ540" s="105"/>
      <c r="BR540" s="105"/>
      <c r="BS540" s="105"/>
      <c r="BT540" s="105"/>
      <c r="BU540" s="105"/>
      <c r="BV540" s="105"/>
      <c r="BW540" s="105"/>
      <c r="BX540" s="105"/>
      <c r="BY540" s="105"/>
      <c r="BZ540" s="105"/>
      <c r="CA540" s="105"/>
      <c r="CB540" s="105"/>
      <c r="CC540" s="105"/>
      <c r="CD540" s="105"/>
      <c r="CE540" s="105"/>
      <c r="CF540" s="105"/>
      <c r="CG540" s="105"/>
      <c r="CH540" s="105"/>
      <c r="CI540" s="105"/>
      <c r="CJ540" s="105"/>
      <c r="CK540" s="105"/>
      <c r="CL540" s="105"/>
      <c r="CM540" s="105"/>
      <c r="CN540" s="105"/>
      <c r="CO540" s="105"/>
      <c r="CP540" s="105"/>
      <c r="CQ540" s="105"/>
      <c r="CR540" s="105"/>
      <c r="CS540" s="105"/>
      <c r="CT540" s="105"/>
      <c r="CU540" s="105"/>
      <c r="CV540" s="105"/>
      <c r="CW540" s="105"/>
      <c r="CX540" s="105"/>
      <c r="CY540" s="105"/>
      <c r="CZ540" s="105"/>
      <c r="DA540" s="105"/>
      <c r="DB540" s="105"/>
      <c r="DC540" s="105"/>
      <c r="DD540" s="105"/>
      <c r="DE540" s="105"/>
      <c r="DF540" s="105"/>
      <c r="DG540" s="105"/>
      <c r="DH540" s="105"/>
      <c r="DI540" s="105"/>
      <c r="DJ540" s="105"/>
      <c r="DK540" s="105"/>
      <c r="DL540" s="105"/>
      <c r="DM540" s="105"/>
      <c r="DN540" s="105"/>
      <c r="DO540" s="105"/>
      <c r="DP540" s="105"/>
      <c r="DQ540" s="105"/>
      <c r="DR540" s="105"/>
      <c r="DS540" s="105"/>
      <c r="DT540" s="105"/>
      <c r="DU540" s="105"/>
      <c r="DV540" s="105"/>
      <c r="DW540" s="105"/>
      <c r="DX540" s="105"/>
      <c r="DY540" s="105"/>
      <c r="DZ540" s="105"/>
      <c r="EA540" s="105"/>
      <c r="EB540" s="105"/>
      <c r="EC540" s="105"/>
      <c r="ED540" s="105"/>
      <c r="EE540" s="105"/>
      <c r="EF540" s="105"/>
      <c r="EG540" s="105"/>
      <c r="EH540" s="105"/>
      <c r="EI540" s="105"/>
      <c r="EJ540" s="105"/>
      <c r="EK540" s="105"/>
      <c r="EL540" s="105"/>
      <c r="EM540" s="105"/>
      <c r="EN540" s="105"/>
      <c r="EO540" s="105"/>
      <c r="EP540" s="105"/>
      <c r="EQ540" s="105"/>
      <c r="ER540" s="105"/>
      <c r="ES540" s="105"/>
      <c r="ET540" s="105"/>
      <c r="EU540" s="105"/>
      <c r="EV540" s="105"/>
      <c r="EW540" s="105"/>
      <c r="EX540" s="105"/>
      <c r="EY540" s="105"/>
      <c r="EZ540" s="105"/>
      <c r="FA540" s="105"/>
      <c r="FB540" s="105"/>
      <c r="FC540" s="105"/>
      <c r="FD540" s="105"/>
      <c r="FE540" s="105"/>
      <c r="FF540" s="105"/>
      <c r="FG540" s="105"/>
      <c r="FH540" s="105"/>
      <c r="FI540" s="105"/>
      <c r="FJ540" s="105"/>
      <c r="FK540" s="105"/>
      <c r="FL540" s="105"/>
      <c r="FM540" s="105"/>
      <c r="FN540" s="105"/>
      <c r="FO540" s="105"/>
      <c r="FP540" s="105"/>
      <c r="FQ540" s="105"/>
      <c r="FR540" s="105"/>
      <c r="FS540" s="105"/>
      <c r="FT540" s="105"/>
      <c r="FU540" s="105"/>
      <c r="FV540" s="105"/>
      <c r="FW540" s="105"/>
      <c r="FX540" s="105"/>
      <c r="FY540" s="105"/>
      <c r="FZ540" s="105"/>
      <c r="GA540" s="105"/>
      <c r="GB540" s="105"/>
      <c r="GC540" s="105"/>
      <c r="GD540" s="105"/>
      <c r="GE540" s="105"/>
      <c r="GF540" s="105"/>
      <c r="GG540" s="105"/>
      <c r="GH540" s="105"/>
      <c r="GI540" s="105"/>
      <c r="GJ540" s="105"/>
      <c r="GK540" s="105"/>
      <c r="GL540" s="105"/>
      <c r="GM540" s="105"/>
      <c r="GN540" s="105"/>
      <c r="GO540" s="105"/>
      <c r="GP540" s="105"/>
      <c r="GQ540" s="105"/>
      <c r="GR540" s="105"/>
      <c r="GS540" s="105"/>
      <c r="GT540" s="105"/>
      <c r="GU540" s="105"/>
      <c r="GV540" s="105"/>
      <c r="GW540" s="105"/>
      <c r="GX540" s="105"/>
      <c r="GY540" s="105"/>
      <c r="GZ540" s="105"/>
      <c r="HA540" s="105"/>
      <c r="HB540" s="105"/>
      <c r="HC540" s="105"/>
      <c r="HD540" s="105"/>
      <c r="HE540" s="105"/>
      <c r="HF540" s="105"/>
      <c r="HG540" s="105"/>
      <c r="HH540" s="105"/>
      <c r="HI540" s="105"/>
      <c r="HJ540" s="105"/>
      <c r="HK540" s="105"/>
      <c r="HL540" s="105"/>
      <c r="HM540" s="105"/>
      <c r="HN540" s="105"/>
      <c r="HO540" s="105"/>
      <c r="HP540" s="105"/>
      <c r="HQ540" s="105"/>
      <c r="HR540" s="105"/>
      <c r="HS540" s="105"/>
      <c r="HT540" s="105"/>
      <c r="HU540" s="105"/>
      <c r="HV540" s="105"/>
      <c r="HW540" s="105"/>
      <c r="HX540" s="105"/>
      <c r="HY540" s="105"/>
      <c r="HZ540" s="105"/>
      <c r="IA540" s="105"/>
      <c r="IB540" s="105"/>
      <c r="IC540" s="105"/>
      <c r="ID540" s="105"/>
      <c r="IE540" s="105"/>
      <c r="IF540" s="105"/>
      <c r="IG540" s="105"/>
      <c r="IH540" s="105"/>
      <c r="II540" s="105"/>
      <c r="IJ540" s="105"/>
      <c r="IK540" s="105"/>
      <c r="IL540" s="105"/>
      <c r="IM540" s="105"/>
      <c r="IN540" s="105"/>
      <c r="IO540" s="105"/>
      <c r="IP540" s="105"/>
      <c r="IQ540" s="105"/>
      <c r="IR540" s="105"/>
      <c r="IS540" s="105"/>
      <c r="IT540" s="105"/>
      <c r="IU540" s="105"/>
      <c r="IV540" s="105"/>
    </row>
    <row r="541" spans="1:256" s="387" customFormat="1" x14ac:dyDescent="0.2">
      <c r="A541" s="282">
        <v>44824</v>
      </c>
      <c r="B541" s="114" t="s">
        <v>96</v>
      </c>
      <c r="C541" s="114">
        <v>2022</v>
      </c>
      <c r="D541" s="114" t="s">
        <v>10</v>
      </c>
      <c r="E541" s="270">
        <v>-1.3</v>
      </c>
      <c r="F541" s="270" t="s">
        <v>32</v>
      </c>
      <c r="G541" s="283">
        <v>104000</v>
      </c>
      <c r="H541" s="284">
        <v>338</v>
      </c>
      <c r="I541" s="270" t="s">
        <v>80</v>
      </c>
      <c r="J541" s="270" t="s">
        <v>36</v>
      </c>
      <c r="K541" s="270">
        <v>1.59</v>
      </c>
      <c r="L541" s="270" t="s">
        <v>1207</v>
      </c>
      <c r="M541" s="270" t="s">
        <v>1208</v>
      </c>
      <c r="N541" s="285" t="s">
        <v>1209</v>
      </c>
      <c r="O541" s="114"/>
      <c r="P541" s="114" t="s">
        <v>84</v>
      </c>
      <c r="Q541" s="750">
        <v>38.457000000000001</v>
      </c>
      <c r="R541" s="635">
        <v>-85.847740000000002</v>
      </c>
      <c r="S541" s="114" t="s">
        <v>61</v>
      </c>
      <c r="T541" s="114"/>
      <c r="U541" s="114" t="s">
        <v>51</v>
      </c>
      <c r="V541" s="282"/>
      <c r="W541" s="286">
        <f>IF(AC541="Intr",0,G541*Definitions!$B$53)</f>
        <v>15600</v>
      </c>
      <c r="X541" s="286">
        <f>IF(AC541="Intr",0,G541*Definitions!$B$54)</f>
        <v>72800</v>
      </c>
      <c r="Y541" s="286">
        <f>IF(AC541="Intr",G541,G541*Definitions!$B$55)</f>
        <v>15600</v>
      </c>
      <c r="Z541" s="286" t="s">
        <v>966</v>
      </c>
      <c r="AA541" s="286"/>
      <c r="AB541" s="286"/>
      <c r="AC541" s="114"/>
      <c r="AD541" s="114"/>
      <c r="AE541" s="114"/>
      <c r="AF541" s="114"/>
      <c r="AG541" s="287"/>
      <c r="AH541" s="114" t="s">
        <v>1210</v>
      </c>
      <c r="AI541" s="105"/>
      <c r="AJ541" s="105"/>
      <c r="AK541" s="105"/>
      <c r="AL541" s="105"/>
      <c r="AM541" s="105"/>
      <c r="AN541" s="105"/>
      <c r="AO541" s="105"/>
      <c r="AP541" s="105"/>
      <c r="AQ541" s="105"/>
      <c r="AR541" s="105"/>
      <c r="AS541" s="105"/>
      <c r="AT541" s="105"/>
      <c r="AU541" s="105"/>
      <c r="AV541" s="105"/>
      <c r="AW541" s="105"/>
      <c r="AX541" s="105"/>
      <c r="AY541" s="105"/>
      <c r="AZ541" s="105"/>
      <c r="BA541" s="105"/>
      <c r="BB541" s="105"/>
      <c r="BC541" s="105"/>
      <c r="BD541" s="105"/>
      <c r="BE541" s="105"/>
      <c r="BF541" s="105"/>
      <c r="BG541" s="105"/>
      <c r="BH541" s="105"/>
      <c r="BI541" s="105"/>
      <c r="BJ541" s="105"/>
      <c r="BK541" s="105"/>
      <c r="BL541" s="105"/>
      <c r="BM541" s="105"/>
      <c r="BN541" s="105"/>
      <c r="BO541" s="105"/>
      <c r="BP541" s="105"/>
      <c r="BQ541" s="105"/>
      <c r="BR541" s="105"/>
      <c r="BS541" s="105"/>
      <c r="BT541" s="105"/>
      <c r="BU541" s="105"/>
      <c r="BV541" s="105"/>
      <c r="BW541" s="105"/>
      <c r="BX541" s="105"/>
      <c r="BY541" s="105"/>
      <c r="BZ541" s="105"/>
      <c r="CA541" s="105"/>
      <c r="CB541" s="105"/>
      <c r="CC541" s="105"/>
      <c r="CD541" s="105"/>
      <c r="CE541" s="105"/>
      <c r="CF541" s="105"/>
      <c r="CG541" s="105"/>
      <c r="CH541" s="105"/>
      <c r="CI541" s="105"/>
      <c r="CJ541" s="105"/>
      <c r="CK541" s="105"/>
      <c r="CL541" s="105"/>
      <c r="CM541" s="105"/>
      <c r="CN541" s="105"/>
      <c r="CO541" s="105"/>
      <c r="CP541" s="105"/>
      <c r="CQ541" s="105"/>
      <c r="CR541" s="105"/>
      <c r="CS541" s="105"/>
      <c r="CT541" s="105"/>
      <c r="CU541" s="105"/>
      <c r="CV541" s="105"/>
      <c r="CW541" s="105"/>
      <c r="CX541" s="105"/>
      <c r="CY541" s="105"/>
      <c r="CZ541" s="105"/>
      <c r="DA541" s="105"/>
      <c r="DB541" s="105"/>
      <c r="DC541" s="105"/>
      <c r="DD541" s="105"/>
      <c r="DE541" s="105"/>
      <c r="DF541" s="105"/>
      <c r="DG541" s="105"/>
      <c r="DH541" s="105"/>
      <c r="DI541" s="105"/>
      <c r="DJ541" s="105"/>
      <c r="DK541" s="105"/>
      <c r="DL541" s="105"/>
      <c r="DM541" s="105"/>
      <c r="DN541" s="105"/>
      <c r="DO541" s="105"/>
      <c r="DP541" s="105"/>
      <c r="DQ541" s="105"/>
      <c r="DR541" s="105"/>
      <c r="DS541" s="105"/>
      <c r="DT541" s="105"/>
      <c r="DU541" s="105"/>
      <c r="DV541" s="105"/>
      <c r="DW541" s="105"/>
      <c r="DX541" s="105"/>
      <c r="DY541" s="105"/>
      <c r="DZ541" s="105"/>
      <c r="EA541" s="105"/>
      <c r="EB541" s="105"/>
      <c r="EC541" s="105"/>
      <c r="ED541" s="105"/>
      <c r="EE541" s="105"/>
      <c r="EF541" s="105"/>
      <c r="EG541" s="105"/>
      <c r="EH541" s="105"/>
      <c r="EI541" s="105"/>
      <c r="EJ541" s="105"/>
      <c r="EK541" s="105"/>
      <c r="EL541" s="105"/>
      <c r="EM541" s="105"/>
      <c r="EN541" s="105"/>
      <c r="EO541" s="105"/>
      <c r="EP541" s="105"/>
      <c r="EQ541" s="105"/>
      <c r="ER541" s="105"/>
      <c r="ES541" s="105"/>
      <c r="ET541" s="105"/>
      <c r="EU541" s="105"/>
      <c r="EV541" s="105"/>
      <c r="EW541" s="105"/>
      <c r="EX541" s="105"/>
      <c r="EY541" s="105"/>
      <c r="EZ541" s="105"/>
      <c r="FA541" s="105"/>
      <c r="FB541" s="105"/>
      <c r="FC541" s="105"/>
      <c r="FD541" s="105"/>
      <c r="FE541" s="105"/>
      <c r="FF541" s="105"/>
      <c r="FG541" s="105"/>
      <c r="FH541" s="105"/>
      <c r="FI541" s="105"/>
      <c r="FJ541" s="105"/>
      <c r="FK541" s="105"/>
      <c r="FL541" s="105"/>
      <c r="FM541" s="105"/>
      <c r="FN541" s="105"/>
      <c r="FO541" s="105"/>
      <c r="FP541" s="105"/>
      <c r="FQ541" s="105"/>
      <c r="FR541" s="105"/>
      <c r="FS541" s="105"/>
      <c r="FT541" s="105"/>
      <c r="FU541" s="105"/>
      <c r="FV541" s="105"/>
      <c r="FW541" s="105"/>
      <c r="FX541" s="105"/>
      <c r="FY541" s="105"/>
      <c r="FZ541" s="105"/>
      <c r="GA541" s="105"/>
      <c r="GB541" s="105"/>
      <c r="GC541" s="105"/>
      <c r="GD541" s="105"/>
      <c r="GE541" s="105"/>
      <c r="GF541" s="105"/>
      <c r="GG541" s="105"/>
      <c r="GH541" s="105"/>
      <c r="GI541" s="105"/>
      <c r="GJ541" s="105"/>
      <c r="GK541" s="105"/>
      <c r="GL541" s="105"/>
      <c r="GM541" s="105"/>
      <c r="GN541" s="105"/>
      <c r="GO541" s="105"/>
      <c r="GP541" s="105"/>
      <c r="GQ541" s="105"/>
      <c r="GR541" s="105"/>
      <c r="GS541" s="105"/>
      <c r="GT541" s="105"/>
      <c r="GU541" s="105"/>
      <c r="GV541" s="105"/>
      <c r="GW541" s="105"/>
      <c r="GX541" s="105"/>
      <c r="GY541" s="105"/>
      <c r="GZ541" s="105"/>
      <c r="HA541" s="105"/>
      <c r="HB541" s="105"/>
      <c r="HC541" s="105"/>
      <c r="HD541" s="105"/>
      <c r="HE541" s="105"/>
      <c r="HF541" s="105"/>
      <c r="HG541" s="105"/>
      <c r="HH541" s="105"/>
      <c r="HI541" s="105"/>
      <c r="HJ541" s="105"/>
      <c r="HK541" s="105"/>
      <c r="HL541" s="105"/>
      <c r="HM541" s="105"/>
      <c r="HN541" s="105"/>
      <c r="HO541" s="105"/>
      <c r="HP541" s="105"/>
      <c r="HQ541" s="105"/>
      <c r="HR541" s="105"/>
      <c r="HS541" s="105"/>
      <c r="HT541" s="105"/>
      <c r="HU541" s="105"/>
      <c r="HV541" s="105"/>
      <c r="HW541" s="105"/>
      <c r="HX541" s="105"/>
      <c r="HY541" s="105"/>
      <c r="HZ541" s="105"/>
      <c r="IA541" s="105"/>
      <c r="IB541" s="105"/>
      <c r="IC541" s="105"/>
      <c r="ID541" s="105"/>
      <c r="IE541" s="105"/>
      <c r="IF541" s="105"/>
      <c r="IG541" s="105"/>
      <c r="IH541" s="105"/>
      <c r="II541" s="105"/>
      <c r="IJ541" s="105"/>
      <c r="IK541" s="105"/>
      <c r="IL541" s="105"/>
      <c r="IM541" s="105"/>
      <c r="IN541" s="105"/>
      <c r="IO541" s="105"/>
      <c r="IP541" s="105"/>
      <c r="IQ541" s="105"/>
      <c r="IR541" s="105"/>
      <c r="IS541" s="105"/>
      <c r="IT541" s="105"/>
      <c r="IU541" s="105"/>
      <c r="IV541" s="105"/>
    </row>
    <row r="542" spans="1:256" x14ac:dyDescent="0.2">
      <c r="A542" s="33">
        <v>44826</v>
      </c>
      <c r="B542" s="34" t="s">
        <v>96</v>
      </c>
      <c r="C542" s="34">
        <v>2022</v>
      </c>
      <c r="D542" s="34" t="s">
        <v>4</v>
      </c>
      <c r="E542" s="271">
        <v>-37.549999999999997</v>
      </c>
      <c r="F542" s="271" t="s">
        <v>33</v>
      </c>
      <c r="G542" s="272">
        <v>16898</v>
      </c>
      <c r="H542" s="273">
        <v>332</v>
      </c>
      <c r="I542" s="271" t="s">
        <v>80</v>
      </c>
      <c r="J542" s="271" t="s">
        <v>39</v>
      </c>
      <c r="K542" s="271">
        <v>37.549999999999997</v>
      </c>
      <c r="L542" s="271" t="s">
        <v>1219</v>
      </c>
      <c r="M542" s="271" t="s">
        <v>1220</v>
      </c>
      <c r="N542" s="116" t="s">
        <v>1221</v>
      </c>
      <c r="O542" s="34"/>
      <c r="P542" s="34" t="s">
        <v>1222</v>
      </c>
      <c r="Q542" s="773">
        <v>41.645215999999998</v>
      </c>
      <c r="R542" s="592">
        <v>-84.840986000000001</v>
      </c>
      <c r="S542" s="34" t="s">
        <v>63</v>
      </c>
      <c r="T542" s="34"/>
      <c r="U542" s="34" t="s">
        <v>51</v>
      </c>
      <c r="V542" s="33"/>
      <c r="W542" s="35">
        <f>IF(AC542="Intr",0,G542*Definitions!$B$53)</f>
        <v>2534.6999999999998</v>
      </c>
      <c r="X542" s="35">
        <f>IF(AC542="Intr",0,G542*Definitions!$B$54)</f>
        <v>11828.599999999999</v>
      </c>
      <c r="Y542" s="35">
        <f>IF(AC542="Intr",G542,G542*Definitions!$B$55)</f>
        <v>2534.6999999999998</v>
      </c>
      <c r="Z542" s="35" t="s">
        <v>964</v>
      </c>
      <c r="AA542" s="35" t="s">
        <v>965</v>
      </c>
      <c r="AB542" s="35"/>
      <c r="AC542" s="34"/>
      <c r="AD542" s="34"/>
      <c r="AE542" s="34"/>
      <c r="AF542" s="34"/>
      <c r="AG542" s="36"/>
      <c r="AH542" s="34"/>
    </row>
    <row r="543" spans="1:256" x14ac:dyDescent="0.2">
      <c r="A543" s="45">
        <v>44826</v>
      </c>
      <c r="B543" s="46" t="s">
        <v>96</v>
      </c>
      <c r="C543" s="46">
        <v>2022</v>
      </c>
      <c r="D543" s="46" t="s">
        <v>10</v>
      </c>
      <c r="E543" s="181">
        <v>-150</v>
      </c>
      <c r="F543" s="181" t="s">
        <v>33</v>
      </c>
      <c r="G543" s="182">
        <v>60000</v>
      </c>
      <c r="H543" s="183">
        <v>335</v>
      </c>
      <c r="I543" s="181" t="s">
        <v>80</v>
      </c>
      <c r="J543" s="181" t="s">
        <v>41</v>
      </c>
      <c r="K543" s="181">
        <v>250</v>
      </c>
      <c r="L543" s="181" t="s">
        <v>1224</v>
      </c>
      <c r="M543" s="181" t="s">
        <v>1223</v>
      </c>
      <c r="N543" s="76" t="s">
        <v>1225</v>
      </c>
      <c r="O543" s="46"/>
      <c r="P543" s="46" t="s">
        <v>129</v>
      </c>
      <c r="Q543" s="761">
        <v>38.313028000000003</v>
      </c>
      <c r="R543" s="660">
        <v>-85.902213000000003</v>
      </c>
      <c r="S543" s="46" t="s">
        <v>61</v>
      </c>
      <c r="T543" s="46"/>
      <c r="U543" s="46" t="s">
        <v>51</v>
      </c>
      <c r="V543" s="45"/>
      <c r="W543" s="47">
        <f>IF(AC543="Intr",0,G543*Definitions!$B$53)</f>
        <v>9000</v>
      </c>
      <c r="X543" s="47">
        <f>IF(AC543="Intr",0,G543*Definitions!$B$54)</f>
        <v>42000</v>
      </c>
      <c r="Y543" s="47">
        <f>IF(AC543="Intr",G543,G543*Definitions!$B$55)</f>
        <v>9000</v>
      </c>
      <c r="Z543" s="47" t="s">
        <v>966</v>
      </c>
      <c r="AA543" s="47" t="s">
        <v>965</v>
      </c>
      <c r="AB543" s="47"/>
      <c r="AC543" s="46"/>
      <c r="AD543" s="46"/>
      <c r="AE543" s="46"/>
      <c r="AF543" s="46"/>
      <c r="AG543" s="48"/>
      <c r="AH543" s="46"/>
    </row>
    <row r="544" spans="1:256" x14ac:dyDescent="0.2">
      <c r="A544" s="45">
        <v>44826</v>
      </c>
      <c r="B544" s="46" t="s">
        <v>96</v>
      </c>
      <c r="C544" s="46">
        <v>2022</v>
      </c>
      <c r="D544" s="46" t="s">
        <v>10</v>
      </c>
      <c r="E544" s="181">
        <v>-600</v>
      </c>
      <c r="F544" s="181" t="s">
        <v>33</v>
      </c>
      <c r="G544" s="182">
        <v>240000</v>
      </c>
      <c r="H544" s="183">
        <v>335</v>
      </c>
      <c r="I544" s="181" t="s">
        <v>80</v>
      </c>
      <c r="J544" s="181" t="s">
        <v>40</v>
      </c>
      <c r="K544" s="181">
        <v>434</v>
      </c>
      <c r="L544" s="181" t="s">
        <v>1224</v>
      </c>
      <c r="M544" s="181" t="s">
        <v>1223</v>
      </c>
      <c r="N544" s="76" t="s">
        <v>1225</v>
      </c>
      <c r="O544" s="46"/>
      <c r="P544" s="46" t="s">
        <v>129</v>
      </c>
      <c r="Q544" s="761">
        <v>38.313028000000003</v>
      </c>
      <c r="R544" s="660">
        <v>-85.902213000000003</v>
      </c>
      <c r="S544" s="46" t="s">
        <v>61</v>
      </c>
      <c r="T544" s="46"/>
      <c r="U544" s="46" t="s">
        <v>51</v>
      </c>
      <c r="V544" s="45"/>
      <c r="W544" s="47">
        <f>IF(AC544="Intr",0,G544*Definitions!$B$53)</f>
        <v>36000</v>
      </c>
      <c r="X544" s="47">
        <f>IF(AC544="Intr",0,G544*Definitions!$B$54)</f>
        <v>168000</v>
      </c>
      <c r="Y544" s="47">
        <f>IF(AC544="Intr",G544,G544*Definitions!$B$55)</f>
        <v>36000</v>
      </c>
      <c r="Z544" s="47" t="s">
        <v>966</v>
      </c>
      <c r="AA544" s="47" t="s">
        <v>965</v>
      </c>
      <c r="AB544" s="47"/>
      <c r="AC544" s="46"/>
      <c r="AD544" s="46"/>
      <c r="AE544" s="46"/>
      <c r="AF544" s="46"/>
      <c r="AG544" s="48"/>
      <c r="AH544" s="46"/>
    </row>
    <row r="545" spans="1:34" x14ac:dyDescent="0.2">
      <c r="A545" s="45">
        <v>44826</v>
      </c>
      <c r="B545" s="46" t="s">
        <v>96</v>
      </c>
      <c r="C545" s="46">
        <v>2022</v>
      </c>
      <c r="D545" s="46" t="s">
        <v>10</v>
      </c>
      <c r="E545" s="181">
        <v>-4.1000000000000002E-2</v>
      </c>
      <c r="F545" s="181" t="s">
        <v>32</v>
      </c>
      <c r="G545" s="182">
        <v>3280</v>
      </c>
      <c r="H545" s="183">
        <v>335</v>
      </c>
      <c r="I545" s="181" t="s">
        <v>80</v>
      </c>
      <c r="J545" s="181" t="s">
        <v>36</v>
      </c>
      <c r="K545" s="181">
        <v>1.6E-2</v>
      </c>
      <c r="L545" s="181" t="s">
        <v>1224</v>
      </c>
      <c r="M545" s="181" t="s">
        <v>1223</v>
      </c>
      <c r="N545" s="76" t="s">
        <v>1225</v>
      </c>
      <c r="O545" s="46"/>
      <c r="P545" s="46" t="s">
        <v>129</v>
      </c>
      <c r="Q545" s="761">
        <v>38.313028000000003</v>
      </c>
      <c r="R545" s="660">
        <v>-85.902213000000003</v>
      </c>
      <c r="S545" s="46" t="s">
        <v>61</v>
      </c>
      <c r="T545" s="46"/>
      <c r="U545" s="46" t="s">
        <v>51</v>
      </c>
      <c r="V545" s="45"/>
      <c r="W545" s="47">
        <f>IF(AC545="Intr",0,G545*Definitions!$B$53)</f>
        <v>492</v>
      </c>
      <c r="X545" s="47">
        <f>IF(AC545="Intr",0,G545*Definitions!$B$54)</f>
        <v>2296</v>
      </c>
      <c r="Y545" s="47">
        <f>IF(AC545="Intr",G545,G545*Definitions!$B$55)</f>
        <v>492</v>
      </c>
      <c r="Z545" s="47" t="s">
        <v>966</v>
      </c>
      <c r="AA545" s="47" t="s">
        <v>965</v>
      </c>
      <c r="AB545" s="47"/>
      <c r="AC545" s="46"/>
      <c r="AD545" s="46"/>
      <c r="AE545" s="46"/>
      <c r="AF545" s="46"/>
      <c r="AG545" s="48"/>
      <c r="AH545" s="46"/>
    </row>
    <row r="546" spans="1:34" x14ac:dyDescent="0.2">
      <c r="A546" s="45">
        <v>44826</v>
      </c>
      <c r="B546" s="46" t="s">
        <v>96</v>
      </c>
      <c r="C546" s="46">
        <v>2022</v>
      </c>
      <c r="D546" s="46" t="s">
        <v>10</v>
      </c>
      <c r="E546" s="181">
        <v>-5.8999999999999997E-2</v>
      </c>
      <c r="F546" s="181" t="s">
        <v>32</v>
      </c>
      <c r="G546" s="182">
        <v>4720</v>
      </c>
      <c r="H546" s="183">
        <v>335</v>
      </c>
      <c r="I546" s="181" t="s">
        <v>80</v>
      </c>
      <c r="J546" s="181" t="s">
        <v>37</v>
      </c>
      <c r="K546" s="181">
        <v>0.02</v>
      </c>
      <c r="L546" s="181" t="s">
        <v>1224</v>
      </c>
      <c r="M546" s="181" t="s">
        <v>1223</v>
      </c>
      <c r="N546" s="76" t="s">
        <v>1225</v>
      </c>
      <c r="O546" s="46"/>
      <c r="P546" s="46" t="s">
        <v>129</v>
      </c>
      <c r="Q546" s="761">
        <v>38.313028000000003</v>
      </c>
      <c r="R546" s="660">
        <v>-85.902213000000003</v>
      </c>
      <c r="S546" s="46" t="s">
        <v>61</v>
      </c>
      <c r="T546" s="46"/>
      <c r="U546" s="46" t="s">
        <v>51</v>
      </c>
      <c r="V546" s="45"/>
      <c r="W546" s="47">
        <f>IF(AC546="Intr",0,G546*Definitions!$B$53)</f>
        <v>708</v>
      </c>
      <c r="X546" s="47">
        <f>IF(AC546="Intr",0,G546*Definitions!$B$54)</f>
        <v>3304</v>
      </c>
      <c r="Y546" s="47">
        <f>IF(AC546="Intr",G546,G546*Definitions!$B$55)</f>
        <v>708</v>
      </c>
      <c r="Z546" s="47" t="s">
        <v>966</v>
      </c>
      <c r="AA546" s="47" t="s">
        <v>965</v>
      </c>
      <c r="AB546" s="47"/>
      <c r="AC546" s="46"/>
      <c r="AD546" s="46"/>
      <c r="AE546" s="46"/>
      <c r="AF546" s="46"/>
      <c r="AG546" s="48"/>
      <c r="AH546" s="46"/>
    </row>
    <row r="547" spans="1:34" x14ac:dyDescent="0.2">
      <c r="A547" s="145">
        <v>44826</v>
      </c>
      <c r="B547" s="112" t="s">
        <v>96</v>
      </c>
      <c r="C547" s="112">
        <v>2022</v>
      </c>
      <c r="D547" s="112" t="s">
        <v>7</v>
      </c>
      <c r="E547" s="146">
        <v>-0.34100000000000003</v>
      </c>
      <c r="F547" s="146" t="s">
        <v>32</v>
      </c>
      <c r="G547" s="147">
        <v>27280</v>
      </c>
      <c r="H547" s="148" t="s">
        <v>1211</v>
      </c>
      <c r="I547" s="146" t="s">
        <v>81</v>
      </c>
      <c r="J547" s="146" t="s">
        <v>36</v>
      </c>
      <c r="K547" s="146">
        <v>0.34100000000000003</v>
      </c>
      <c r="L547" s="146" t="s">
        <v>1212</v>
      </c>
      <c r="M547" s="146" t="s">
        <v>103</v>
      </c>
      <c r="N547" s="149" t="s">
        <v>1215</v>
      </c>
      <c r="O547" s="112"/>
      <c r="P547" s="112" t="s">
        <v>117</v>
      </c>
      <c r="Q547" s="729">
        <v>39.983576999999997</v>
      </c>
      <c r="R547" s="591">
        <v>-86.265264999999999</v>
      </c>
      <c r="S547" s="112" t="s">
        <v>61</v>
      </c>
      <c r="T547" s="112"/>
      <c r="U547" s="112" t="s">
        <v>51</v>
      </c>
      <c r="V547" s="145"/>
      <c r="W547" s="150">
        <f>IF(AC547="Intr",0,G547*Definitions!$B$53)</f>
        <v>4092</v>
      </c>
      <c r="X547" s="150">
        <f>IF(AC547="Intr",0,G547*Definitions!$B$54)</f>
        <v>19096</v>
      </c>
      <c r="Y547" s="150">
        <f>IF(AC547="Intr",G547,G547*Definitions!$B$55)</f>
        <v>4092</v>
      </c>
      <c r="Z547" s="150" t="s">
        <v>966</v>
      </c>
      <c r="AA547" s="150" t="s">
        <v>963</v>
      </c>
      <c r="AB547" s="150" t="s">
        <v>969</v>
      </c>
      <c r="AC547" s="112"/>
      <c r="AD547" s="112"/>
      <c r="AE547" s="112"/>
      <c r="AF547" s="112"/>
      <c r="AG547" s="151"/>
      <c r="AH547" s="112" t="s">
        <v>1216</v>
      </c>
    </row>
    <row r="548" spans="1:34" x14ac:dyDescent="0.2">
      <c r="A548" s="145">
        <v>44826</v>
      </c>
      <c r="B548" s="112" t="s">
        <v>96</v>
      </c>
      <c r="C548" s="112">
        <v>2022</v>
      </c>
      <c r="D548" s="112" t="s">
        <v>7</v>
      </c>
      <c r="E548" s="146">
        <v>-0.51500000000000001</v>
      </c>
      <c r="F548" s="146" t="s">
        <v>32</v>
      </c>
      <c r="G548" s="147">
        <v>41200</v>
      </c>
      <c r="H548" s="148" t="s">
        <v>1211</v>
      </c>
      <c r="I548" s="146" t="s">
        <v>81</v>
      </c>
      <c r="J548" s="146" t="s">
        <v>38</v>
      </c>
      <c r="K548" s="146">
        <v>0.25700000000000001</v>
      </c>
      <c r="L548" s="146" t="s">
        <v>1212</v>
      </c>
      <c r="M548" s="146" t="s">
        <v>103</v>
      </c>
      <c r="N548" s="149" t="s">
        <v>1215</v>
      </c>
      <c r="O548" s="112"/>
      <c r="P548" s="112" t="s">
        <v>117</v>
      </c>
      <c r="Q548" s="729">
        <v>39.983576999999997</v>
      </c>
      <c r="R548" s="591">
        <v>-86.265264999999999</v>
      </c>
      <c r="S548" s="112" t="s">
        <v>61</v>
      </c>
      <c r="T548" s="112"/>
      <c r="U548" s="112" t="s">
        <v>51</v>
      </c>
      <c r="V548" s="145"/>
      <c r="W548" s="150">
        <f>IF(AC548="Intr",0,G548*Definitions!$B$53)</f>
        <v>6180</v>
      </c>
      <c r="X548" s="150">
        <f>IF(AC548="Intr",0,G548*Definitions!$B$54)</f>
        <v>28839.999999999996</v>
      </c>
      <c r="Y548" s="150">
        <f>IF(AC548="Intr",G548,G548*Definitions!$B$55)</f>
        <v>6180</v>
      </c>
      <c r="Z548" s="150" t="s">
        <v>966</v>
      </c>
      <c r="AA548" s="150" t="s">
        <v>963</v>
      </c>
      <c r="AB548" s="150" t="s">
        <v>1245</v>
      </c>
      <c r="AC548" s="112"/>
      <c r="AD548" s="112"/>
      <c r="AE548" s="112"/>
      <c r="AF548" s="112"/>
      <c r="AG548" s="151"/>
      <c r="AH548" s="112" t="s">
        <v>1217</v>
      </c>
    </row>
    <row r="549" spans="1:34" x14ac:dyDescent="0.2">
      <c r="A549" s="145">
        <v>44826</v>
      </c>
      <c r="B549" s="112" t="s">
        <v>96</v>
      </c>
      <c r="C549" s="112">
        <v>2022</v>
      </c>
      <c r="D549" s="112" t="s">
        <v>7</v>
      </c>
      <c r="E549" s="146">
        <v>-1309</v>
      </c>
      <c r="F549" s="146" t="s">
        <v>33</v>
      </c>
      <c r="G549" s="147">
        <v>589050</v>
      </c>
      <c r="H549" s="148" t="s">
        <v>1211</v>
      </c>
      <c r="I549" s="146" t="s">
        <v>80</v>
      </c>
      <c r="J549" s="146" t="s">
        <v>40</v>
      </c>
      <c r="K549" s="146">
        <v>1091</v>
      </c>
      <c r="L549" s="146" t="s">
        <v>1212</v>
      </c>
      <c r="M549" s="146" t="s">
        <v>1213</v>
      </c>
      <c r="N549" s="149" t="s">
        <v>1214</v>
      </c>
      <c r="O549" s="112"/>
      <c r="P549" s="112" t="s">
        <v>117</v>
      </c>
      <c r="Q549" s="729">
        <v>39.983576999999997</v>
      </c>
      <c r="R549" s="591">
        <v>-86.265264999999999</v>
      </c>
      <c r="S549" s="112" t="s">
        <v>61</v>
      </c>
      <c r="T549" s="112"/>
      <c r="U549" s="112" t="s">
        <v>51</v>
      </c>
      <c r="V549" s="145"/>
      <c r="W549" s="150">
        <f>IF(AC549="Intr",0,G549*Definitions!$B$53)</f>
        <v>88357.5</v>
      </c>
      <c r="X549" s="150">
        <f>IF(AC549="Intr",0,G549*Definitions!$B$54)</f>
        <v>412335</v>
      </c>
      <c r="Y549" s="150">
        <f>IF(AC549="Intr",G549,G549*Definitions!$B$55)</f>
        <v>88357.5</v>
      </c>
      <c r="Z549" s="150" t="s">
        <v>966</v>
      </c>
      <c r="AA549" s="150" t="s">
        <v>965</v>
      </c>
      <c r="AB549" s="150"/>
      <c r="AC549" s="112"/>
      <c r="AD549" s="112"/>
      <c r="AE549" s="112"/>
      <c r="AF549" s="112"/>
      <c r="AG549" s="151"/>
      <c r="AH549" s="112" t="s">
        <v>1218</v>
      </c>
    </row>
    <row r="550" spans="1:34" x14ac:dyDescent="0.2">
      <c r="A550" s="145">
        <v>44826</v>
      </c>
      <c r="B550" s="112" t="s">
        <v>96</v>
      </c>
      <c r="C550" s="112">
        <v>2022</v>
      </c>
      <c r="D550" s="112" t="s">
        <v>7</v>
      </c>
      <c r="E550" s="146">
        <v>-2.87</v>
      </c>
      <c r="F550" s="146" t="s">
        <v>32</v>
      </c>
      <c r="G550" s="147">
        <v>229600</v>
      </c>
      <c r="H550" s="148" t="s">
        <v>1211</v>
      </c>
      <c r="I550" s="146" t="s">
        <v>80</v>
      </c>
      <c r="J550" s="146" t="s">
        <v>38</v>
      </c>
      <c r="K550" s="146">
        <v>1.64</v>
      </c>
      <c r="L550" s="146" t="s">
        <v>1212</v>
      </c>
      <c r="M550" s="146" t="s">
        <v>1213</v>
      </c>
      <c r="N550" s="149" t="s">
        <v>1214</v>
      </c>
      <c r="O550" s="112"/>
      <c r="P550" s="112" t="s">
        <v>117</v>
      </c>
      <c r="Q550" s="729">
        <v>39.983576999999997</v>
      </c>
      <c r="R550" s="591">
        <v>-86.265264999999999</v>
      </c>
      <c r="S550" s="112" t="s">
        <v>61</v>
      </c>
      <c r="T550" s="112"/>
      <c r="U550" s="112" t="s">
        <v>51</v>
      </c>
      <c r="V550" s="145"/>
      <c r="W550" s="150">
        <f>IF(AC550="Intr",0,G550*Definitions!$B$53)</f>
        <v>34440</v>
      </c>
      <c r="X550" s="150">
        <f>IF(AC550="Intr",0,G550*Definitions!$B$54)</f>
        <v>160720</v>
      </c>
      <c r="Y550" s="150">
        <f>IF(AC550="Intr",G550,G550*Definitions!$B$55)</f>
        <v>34440</v>
      </c>
      <c r="Z550" s="150" t="s">
        <v>966</v>
      </c>
      <c r="AA550" s="150" t="s">
        <v>965</v>
      </c>
      <c r="AB550" s="150"/>
      <c r="AC550" s="112"/>
      <c r="AD550" s="112"/>
      <c r="AE550" s="112"/>
      <c r="AF550" s="112"/>
      <c r="AG550" s="151"/>
      <c r="AH550" s="112" t="s">
        <v>1218</v>
      </c>
    </row>
    <row r="551" spans="1:34" x14ac:dyDescent="0.2">
      <c r="A551" s="29">
        <v>44826</v>
      </c>
      <c r="B551" s="30" t="s">
        <v>96</v>
      </c>
      <c r="C551" s="30">
        <v>2022</v>
      </c>
      <c r="D551" s="30" t="s">
        <v>7</v>
      </c>
      <c r="E551" s="217">
        <v>-2.161</v>
      </c>
      <c r="F551" s="217" t="s">
        <v>32</v>
      </c>
      <c r="G551" s="218">
        <v>172880</v>
      </c>
      <c r="H551" s="219">
        <v>337</v>
      </c>
      <c r="I551" s="217" t="s">
        <v>80</v>
      </c>
      <c r="J551" s="217" t="s">
        <v>37</v>
      </c>
      <c r="K551" s="217">
        <v>0.76400000000000001</v>
      </c>
      <c r="L551" s="217" t="s">
        <v>572</v>
      </c>
      <c r="M551" s="217" t="s">
        <v>1226</v>
      </c>
      <c r="N551" s="67" t="s">
        <v>1227</v>
      </c>
      <c r="O551" s="30"/>
      <c r="P551" s="30" t="s">
        <v>162</v>
      </c>
      <c r="Q551" s="812">
        <v>39.667650000000002</v>
      </c>
      <c r="R551" s="636">
        <v>-86.410212999999999</v>
      </c>
      <c r="S551" s="30" t="s">
        <v>61</v>
      </c>
      <c r="T551" s="30"/>
      <c r="U551" s="30" t="s">
        <v>51</v>
      </c>
      <c r="V551" s="29"/>
      <c r="W551" s="31">
        <f>IF(AC551="Intr",0,G551*Definitions!$B$53)</f>
        <v>25932</v>
      </c>
      <c r="X551" s="31">
        <f>IF(AC551="Intr",0,G551*Definitions!$B$54)</f>
        <v>121015.99999999999</v>
      </c>
      <c r="Y551" s="31">
        <f>IF(AC551="Intr",G551,G551*Definitions!$B$55)</f>
        <v>25932</v>
      </c>
      <c r="Z551" s="31" t="s">
        <v>966</v>
      </c>
      <c r="AA551" s="31" t="s">
        <v>965</v>
      </c>
      <c r="AB551" s="31"/>
      <c r="AC551" s="30"/>
      <c r="AD551" s="30"/>
      <c r="AE551" s="30"/>
      <c r="AF551" s="30"/>
      <c r="AG551" s="32"/>
      <c r="AH551" s="30" t="s">
        <v>1228</v>
      </c>
    </row>
    <row r="552" spans="1:34" x14ac:dyDescent="0.2">
      <c r="A552" s="282">
        <v>44830</v>
      </c>
      <c r="B552" s="114" t="s">
        <v>96</v>
      </c>
      <c r="C552" s="114">
        <v>2022</v>
      </c>
      <c r="D552" s="114" t="s">
        <v>10</v>
      </c>
      <c r="E552" s="270">
        <v>-1.1000000000000001</v>
      </c>
      <c r="F552" s="270" t="s">
        <v>32</v>
      </c>
      <c r="G552" s="283">
        <v>88000</v>
      </c>
      <c r="H552" s="284">
        <v>346</v>
      </c>
      <c r="I552" s="270" t="s">
        <v>80</v>
      </c>
      <c r="J552" s="270" t="s">
        <v>36</v>
      </c>
      <c r="K552" s="270">
        <v>0.629</v>
      </c>
      <c r="L552" s="270" t="s">
        <v>1229</v>
      </c>
      <c r="M552" s="270" t="s">
        <v>1230</v>
      </c>
      <c r="N552" s="285" t="s">
        <v>1231</v>
      </c>
      <c r="O552" s="114"/>
      <c r="P552" s="114" t="s">
        <v>129</v>
      </c>
      <c r="Q552" s="750">
        <v>38.358026000000002</v>
      </c>
      <c r="R552" s="635">
        <v>-85.815745000000007</v>
      </c>
      <c r="S552" s="114" t="s">
        <v>61</v>
      </c>
      <c r="T552" s="114"/>
      <c r="U552" s="114" t="s">
        <v>51</v>
      </c>
      <c r="V552" s="282"/>
      <c r="W552" s="286">
        <f>IF(AC552="Intr",0,G552*Definitions!$B$53)</f>
        <v>13200</v>
      </c>
      <c r="X552" s="286">
        <f>IF(AC552="Intr",0,G552*Definitions!$B$54)</f>
        <v>61599.999999999993</v>
      </c>
      <c r="Y552" s="286">
        <f>IF(AC552="Intr",G552,G552*Definitions!$B$55)</f>
        <v>13200</v>
      </c>
      <c r="Z552" s="286" t="s">
        <v>966</v>
      </c>
      <c r="AA552" s="286" t="s">
        <v>965</v>
      </c>
      <c r="AB552" s="286"/>
      <c r="AC552" s="114"/>
      <c r="AD552" s="114"/>
      <c r="AE552" s="114"/>
      <c r="AF552" s="114"/>
      <c r="AG552" s="287"/>
      <c r="AH552" s="114"/>
    </row>
    <row r="553" spans="1:34" x14ac:dyDescent="0.2">
      <c r="A553" s="282">
        <v>44830</v>
      </c>
      <c r="B553" s="114" t="s">
        <v>96</v>
      </c>
      <c r="C553" s="114">
        <v>2022</v>
      </c>
      <c r="D553" s="114" t="s">
        <v>10</v>
      </c>
      <c r="E553" s="270">
        <v>-74.400000000000006</v>
      </c>
      <c r="F553" s="270" t="s">
        <v>33</v>
      </c>
      <c r="G553" s="283">
        <v>29760.000000000004</v>
      </c>
      <c r="H553" s="284">
        <v>346</v>
      </c>
      <c r="I553" s="270" t="s">
        <v>80</v>
      </c>
      <c r="J553" s="270" t="s">
        <v>41</v>
      </c>
      <c r="K553" s="270">
        <v>124</v>
      </c>
      <c r="L553" s="270" t="s">
        <v>1229</v>
      </c>
      <c r="M553" s="270" t="s">
        <v>1230</v>
      </c>
      <c r="N553" s="285" t="s">
        <v>1231</v>
      </c>
      <c r="O553" s="114"/>
      <c r="P553" s="114" t="s">
        <v>129</v>
      </c>
      <c r="Q553" s="750">
        <v>38.358026000000002</v>
      </c>
      <c r="R553" s="635">
        <v>-85.815745000000007</v>
      </c>
      <c r="S553" s="114" t="s">
        <v>61</v>
      </c>
      <c r="T553" s="114"/>
      <c r="U553" s="114" t="s">
        <v>51</v>
      </c>
      <c r="V553" s="282"/>
      <c r="W553" s="286">
        <f>IF(AC553="Intr",0,G553*Definitions!$B$53)</f>
        <v>4464</v>
      </c>
      <c r="X553" s="286">
        <f>IF(AC553="Intr",0,G553*Definitions!$B$54)</f>
        <v>20832</v>
      </c>
      <c r="Y553" s="286">
        <f>IF(AC553="Intr",G553,G553*Definitions!$B$55)</f>
        <v>4464</v>
      </c>
      <c r="Z553" s="286" t="s">
        <v>966</v>
      </c>
      <c r="AA553" s="286" t="s">
        <v>965</v>
      </c>
      <c r="AB553" s="286"/>
      <c r="AC553" s="114"/>
      <c r="AD553" s="114"/>
      <c r="AE553" s="114"/>
      <c r="AF553" s="114"/>
      <c r="AG553" s="287"/>
      <c r="AH553" s="114"/>
    </row>
    <row r="554" spans="1:34" x14ac:dyDescent="0.2">
      <c r="A554" s="37">
        <v>44831</v>
      </c>
      <c r="B554" s="38" t="s">
        <v>96</v>
      </c>
      <c r="C554" s="38">
        <v>2022</v>
      </c>
      <c r="D554" s="38" t="s">
        <v>7</v>
      </c>
      <c r="E554" s="177">
        <v>-0.15</v>
      </c>
      <c r="F554" s="177" t="s">
        <v>32</v>
      </c>
      <c r="G554" s="269">
        <v>12000</v>
      </c>
      <c r="H554" s="179">
        <v>340</v>
      </c>
      <c r="I554" s="177" t="s">
        <v>81</v>
      </c>
      <c r="J554" s="177" t="s">
        <v>38</v>
      </c>
      <c r="K554" s="177">
        <v>0.15</v>
      </c>
      <c r="L554" s="177" t="s">
        <v>1232</v>
      </c>
      <c r="M554" s="177" t="s">
        <v>103</v>
      </c>
      <c r="N554" s="70" t="s">
        <v>1233</v>
      </c>
      <c r="O554" s="38"/>
      <c r="P554" s="38" t="s">
        <v>162</v>
      </c>
      <c r="Q554" s="760">
        <v>39.852600000000002</v>
      </c>
      <c r="R554" s="590">
        <v>-86.418139999999994</v>
      </c>
      <c r="S554" s="38" t="s">
        <v>61</v>
      </c>
      <c r="T554" s="38"/>
      <c r="U554" s="38" t="s">
        <v>51</v>
      </c>
      <c r="V554" s="37"/>
      <c r="W554" s="39">
        <f>IF(AC554="Intr",0,G554*Definitions!$B$53)</f>
        <v>1800</v>
      </c>
      <c r="X554" s="39">
        <f>IF(AC554="Intr",0,G554*Definitions!$B$54)</f>
        <v>8400</v>
      </c>
      <c r="Y554" s="39">
        <f>IF(AC554="Intr",G554,G554*Definitions!$B$55)</f>
        <v>1800</v>
      </c>
      <c r="Z554" s="39" t="s">
        <v>966</v>
      </c>
      <c r="AA554" s="39" t="s">
        <v>963</v>
      </c>
      <c r="AB554" s="39" t="s">
        <v>1268</v>
      </c>
      <c r="AC554" s="38"/>
      <c r="AD554" s="38"/>
      <c r="AE554" s="38"/>
      <c r="AF554" s="38"/>
      <c r="AG554" s="40"/>
      <c r="AH554" s="38"/>
    </row>
    <row r="555" spans="1:34" x14ac:dyDescent="0.2">
      <c r="A555" s="145">
        <v>44840</v>
      </c>
      <c r="B555" s="112" t="s">
        <v>98</v>
      </c>
      <c r="C555" s="112">
        <v>2022</v>
      </c>
      <c r="D555" s="112" t="s">
        <v>2</v>
      </c>
      <c r="E555" s="146">
        <v>-2.2000000000000002</v>
      </c>
      <c r="F555" s="146" t="s">
        <v>32</v>
      </c>
      <c r="G555" s="147">
        <v>209000</v>
      </c>
      <c r="H555" s="148">
        <v>347</v>
      </c>
      <c r="I555" s="146" t="s">
        <v>81</v>
      </c>
      <c r="J555" s="146" t="s">
        <v>36</v>
      </c>
      <c r="K555" s="146">
        <v>2.2000000000000002</v>
      </c>
      <c r="L555" s="146" t="s">
        <v>1237</v>
      </c>
      <c r="M555" s="146" t="s">
        <v>103</v>
      </c>
      <c r="N555" s="149" t="s">
        <v>1238</v>
      </c>
      <c r="O555" s="112"/>
      <c r="P555" s="112" t="s">
        <v>1012</v>
      </c>
      <c r="Q555" s="729">
        <v>41.364803999999999</v>
      </c>
      <c r="R555" s="591">
        <v>-86.319647000000003</v>
      </c>
      <c r="S555" s="112" t="s">
        <v>61</v>
      </c>
      <c r="T555" s="112"/>
      <c r="U555" s="112" t="s">
        <v>51</v>
      </c>
      <c r="V555" s="145"/>
      <c r="W555" s="150">
        <f>IF(AC555="Intr",0,G555*Definitions!$B$53)</f>
        <v>31350</v>
      </c>
      <c r="X555" s="150">
        <f>IF(AC555="Intr",0,G555*Definitions!$B$54)</f>
        <v>146300</v>
      </c>
      <c r="Y555" s="150">
        <f>IF(AC555="Intr",G555,G555*Definitions!$B$55)</f>
        <v>31350</v>
      </c>
      <c r="Z555" s="150" t="s">
        <v>964</v>
      </c>
      <c r="AA555" s="150" t="s">
        <v>963</v>
      </c>
      <c r="AB555" s="150" t="s">
        <v>970</v>
      </c>
      <c r="AC555" s="112"/>
      <c r="AD555" s="112"/>
      <c r="AE555" s="112"/>
      <c r="AF555" s="112"/>
      <c r="AG555" s="151"/>
      <c r="AH555" s="112"/>
    </row>
    <row r="556" spans="1:34" x14ac:dyDescent="0.2">
      <c r="A556" s="45">
        <v>44840</v>
      </c>
      <c r="B556" s="46" t="s">
        <v>98</v>
      </c>
      <c r="C556" s="46">
        <v>2022</v>
      </c>
      <c r="D556" s="46" t="s">
        <v>7</v>
      </c>
      <c r="E556" s="181">
        <v>-0.499</v>
      </c>
      <c r="F556" s="181" t="s">
        <v>32</v>
      </c>
      <c r="G556" s="182">
        <v>39320</v>
      </c>
      <c r="H556" s="183">
        <v>327</v>
      </c>
      <c r="I556" s="181" t="s">
        <v>80</v>
      </c>
      <c r="J556" s="181" t="s">
        <v>36</v>
      </c>
      <c r="K556" s="181">
        <v>0.499</v>
      </c>
      <c r="L556" s="181" t="s">
        <v>1235</v>
      </c>
      <c r="M556" s="181" t="s">
        <v>1234</v>
      </c>
      <c r="N556" s="76" t="s">
        <v>1236</v>
      </c>
      <c r="O556" s="46"/>
      <c r="P556" s="46" t="s">
        <v>137</v>
      </c>
      <c r="Q556" s="761">
        <v>40.090819000000003</v>
      </c>
      <c r="R556" s="660">
        <v>-86.071279000000004</v>
      </c>
      <c r="S556" s="46" t="s">
        <v>63</v>
      </c>
      <c r="T556" s="46"/>
      <c r="U556" s="46" t="s">
        <v>51</v>
      </c>
      <c r="V556" s="45"/>
      <c r="W556" s="47">
        <f>IF(AC556="Intr",0,G556*Definitions!$B$53)</f>
        <v>5898</v>
      </c>
      <c r="X556" s="47">
        <f>IF(AC556="Intr",0,G556*Definitions!$B$54)</f>
        <v>27524</v>
      </c>
      <c r="Y556" s="47">
        <f>IF(AC556="Intr",G556,G556*Definitions!$B$55)</f>
        <v>5898</v>
      </c>
      <c r="Z556" s="47" t="s">
        <v>966</v>
      </c>
      <c r="AA556" s="47" t="s">
        <v>965</v>
      </c>
      <c r="AB556" s="47"/>
      <c r="AC556" s="46"/>
      <c r="AD556" s="46"/>
      <c r="AE556" s="46"/>
      <c r="AF556" s="46"/>
      <c r="AG556" s="48"/>
      <c r="AH556" s="46" t="s">
        <v>710</v>
      </c>
    </row>
    <row r="557" spans="1:34" x14ac:dyDescent="0.2">
      <c r="A557" s="145">
        <v>44860</v>
      </c>
      <c r="B557" s="112" t="s">
        <v>98</v>
      </c>
      <c r="C557" s="112">
        <v>2022</v>
      </c>
      <c r="D557" s="112" t="s">
        <v>1</v>
      </c>
      <c r="E557" s="146">
        <v>-0.40649999999999997</v>
      </c>
      <c r="F557" s="146" t="s">
        <v>32</v>
      </c>
      <c r="G557" s="147">
        <v>38617.51</v>
      </c>
      <c r="H557" s="148">
        <v>349</v>
      </c>
      <c r="I557" s="146" t="s">
        <v>81</v>
      </c>
      <c r="J557" s="146" t="s">
        <v>36</v>
      </c>
      <c r="K557" s="146">
        <v>0.27100000000000002</v>
      </c>
      <c r="L557" s="146" t="s">
        <v>1325</v>
      </c>
      <c r="M557" s="146" t="s">
        <v>103</v>
      </c>
      <c r="N557" s="149" t="s">
        <v>1326</v>
      </c>
      <c r="O557" s="112"/>
      <c r="P557" s="112" t="s">
        <v>227</v>
      </c>
      <c r="Q557" s="729">
        <v>41.543187000000003</v>
      </c>
      <c r="R557" s="591">
        <v>-87.511863000000005</v>
      </c>
      <c r="S557" s="112" t="s">
        <v>61</v>
      </c>
      <c r="T557" s="112"/>
      <c r="U557" s="112" t="s">
        <v>51</v>
      </c>
      <c r="V557" s="145"/>
      <c r="W557" s="150">
        <v>5792.63</v>
      </c>
      <c r="X557" s="150">
        <v>27032.25</v>
      </c>
      <c r="Y557" s="150">
        <v>5792.63</v>
      </c>
      <c r="Z557" s="150" t="s">
        <v>967</v>
      </c>
      <c r="AA557" s="150" t="s">
        <v>963</v>
      </c>
      <c r="AB557" s="150" t="s">
        <v>970</v>
      </c>
      <c r="AC557" s="112"/>
      <c r="AD557" s="112"/>
      <c r="AE557" s="112"/>
      <c r="AF557" s="112"/>
      <c r="AG557" s="151"/>
      <c r="AH557" s="112"/>
    </row>
    <row r="558" spans="1:34" x14ac:dyDescent="0.2">
      <c r="A558" s="33">
        <v>44874</v>
      </c>
      <c r="B558" s="34" t="s">
        <v>884</v>
      </c>
      <c r="C558" s="34">
        <v>2022</v>
      </c>
      <c r="D558" s="34" t="s">
        <v>1</v>
      </c>
      <c r="E558" s="271">
        <v>-1.39</v>
      </c>
      <c r="F558" s="271" t="s">
        <v>32</v>
      </c>
      <c r="G558" s="272">
        <v>132050</v>
      </c>
      <c r="H558" s="273">
        <v>331</v>
      </c>
      <c r="I558" s="271" t="s">
        <v>81</v>
      </c>
      <c r="J558" s="271" t="s">
        <v>36</v>
      </c>
      <c r="K558" s="271">
        <v>0.86</v>
      </c>
      <c r="L558" s="271" t="s">
        <v>1239</v>
      </c>
      <c r="M558" s="271" t="s">
        <v>103</v>
      </c>
      <c r="N558" s="116" t="s">
        <v>1240</v>
      </c>
      <c r="O558" s="34"/>
      <c r="P558" s="34" t="s">
        <v>385</v>
      </c>
      <c r="Q558" s="773">
        <v>41.496250000000003</v>
      </c>
      <c r="R558" s="592">
        <v>-87.080566000000005</v>
      </c>
      <c r="S558" s="34" t="s">
        <v>61</v>
      </c>
      <c r="T558" s="34"/>
      <c r="U558" s="34" t="s">
        <v>51</v>
      </c>
      <c r="V558" s="33"/>
      <c r="W558" s="35">
        <f>IF(AC558="Intr",0,G558*Definitions!$B$53)</f>
        <v>19807.5</v>
      </c>
      <c r="X558" s="35">
        <f>IF(AC558="Intr",0,G558*Definitions!$B$54)</f>
        <v>92435</v>
      </c>
      <c r="Y558" s="35">
        <f>IF(AC558="Intr",G558,G558*Definitions!$B$55)</f>
        <v>19807.5</v>
      </c>
      <c r="Z558" s="35" t="s">
        <v>967</v>
      </c>
      <c r="AA558" s="35" t="s">
        <v>963</v>
      </c>
      <c r="AB558" s="35" t="s">
        <v>970</v>
      </c>
      <c r="AC558" s="34"/>
      <c r="AD558" s="34"/>
      <c r="AE558" s="34"/>
      <c r="AF558" s="34"/>
      <c r="AG558" s="36"/>
      <c r="AH558" s="34"/>
    </row>
    <row r="559" spans="1:34" x14ac:dyDescent="0.2">
      <c r="A559" s="33">
        <v>44874</v>
      </c>
      <c r="B559" s="34" t="s">
        <v>884</v>
      </c>
      <c r="C559" s="34">
        <v>2022</v>
      </c>
      <c r="D559" s="34" t="s">
        <v>1</v>
      </c>
      <c r="E559" s="271">
        <v>-418</v>
      </c>
      <c r="F559" s="271" t="s">
        <v>33</v>
      </c>
      <c r="G559" s="272">
        <v>250800</v>
      </c>
      <c r="H559" s="273">
        <v>331</v>
      </c>
      <c r="I559" s="271" t="s">
        <v>80</v>
      </c>
      <c r="J559" s="271" t="s">
        <v>39</v>
      </c>
      <c r="K559" s="271">
        <v>275</v>
      </c>
      <c r="L559" s="271" t="s">
        <v>1239</v>
      </c>
      <c r="M559" s="271" t="s">
        <v>1241</v>
      </c>
      <c r="N559" s="116" t="s">
        <v>1242</v>
      </c>
      <c r="O559" s="34"/>
      <c r="P559" s="34" t="s">
        <v>385</v>
      </c>
      <c r="Q559" s="773">
        <v>41.496250000000003</v>
      </c>
      <c r="R559" s="592">
        <v>-87.080566000000005</v>
      </c>
      <c r="S559" s="34" t="s">
        <v>61</v>
      </c>
      <c r="T559" s="34"/>
      <c r="U559" s="34" t="s">
        <v>51</v>
      </c>
      <c r="V559" s="33"/>
      <c r="W559" s="35">
        <f>IF(AC559="Intr",0,G559*Definitions!$B$53)</f>
        <v>37620</v>
      </c>
      <c r="X559" s="35">
        <f>IF(AC559="Intr",0,G559*Definitions!$B$54)</f>
        <v>175560</v>
      </c>
      <c r="Y559" s="35">
        <f>IF(AC559="Intr",G559,G559*Definitions!$B$55)</f>
        <v>37620</v>
      </c>
      <c r="Z559" s="35" t="s">
        <v>967</v>
      </c>
      <c r="AA559" s="35"/>
      <c r="AB559" s="35"/>
      <c r="AC559" s="34"/>
      <c r="AD559" s="34"/>
      <c r="AE559" s="34"/>
      <c r="AF559" s="34"/>
      <c r="AG559" s="36"/>
      <c r="AH559" s="34"/>
    </row>
    <row r="560" spans="1:34" x14ac:dyDescent="0.2">
      <c r="A560" s="37">
        <v>44874</v>
      </c>
      <c r="B560" s="38" t="s">
        <v>884</v>
      </c>
      <c r="C560" s="38">
        <v>2022</v>
      </c>
      <c r="D560" s="38" t="s">
        <v>11</v>
      </c>
      <c r="E560" s="177">
        <v>-58</v>
      </c>
      <c r="F560" s="177" t="s">
        <v>33</v>
      </c>
      <c r="G560" s="269">
        <v>23200</v>
      </c>
      <c r="H560" s="179">
        <v>342</v>
      </c>
      <c r="I560" s="177" t="s">
        <v>80</v>
      </c>
      <c r="J560" s="177" t="s">
        <v>40</v>
      </c>
      <c r="K560" s="177">
        <v>56</v>
      </c>
      <c r="L560" s="177" t="s">
        <v>1246</v>
      </c>
      <c r="M560" s="177" t="s">
        <v>103</v>
      </c>
      <c r="N560" s="70" t="s">
        <v>1247</v>
      </c>
      <c r="O560" s="38"/>
      <c r="P560" s="38" t="s">
        <v>89</v>
      </c>
      <c r="Q560" s="760">
        <v>38.012479999999996</v>
      </c>
      <c r="R560" s="590">
        <v>-87.640253999999999</v>
      </c>
      <c r="S560" s="38" t="s">
        <v>62</v>
      </c>
      <c r="T560" s="38"/>
      <c r="U560" s="38" t="s">
        <v>51</v>
      </c>
      <c r="V560" s="37"/>
      <c r="W560" s="39">
        <f>IF(AC560="Intr",0,G560*Definitions!$B$53)</f>
        <v>3480</v>
      </c>
      <c r="X560" s="39">
        <f>IF(AC560="Intr",0,G560*Definitions!$B$54)</f>
        <v>16239.999999999998</v>
      </c>
      <c r="Y560" s="39">
        <f>IF(AC560="Intr",G560,G560*Definitions!$B$55)</f>
        <v>3480</v>
      </c>
      <c r="Z560" s="39" t="s">
        <v>966</v>
      </c>
      <c r="AA560" s="39" t="s">
        <v>965</v>
      </c>
      <c r="AB560" s="39"/>
      <c r="AC560" s="38"/>
      <c r="AD560" s="38"/>
      <c r="AE560" s="38"/>
      <c r="AF560" s="38"/>
      <c r="AG560" s="40"/>
      <c r="AH560" s="38" t="s">
        <v>1248</v>
      </c>
    </row>
    <row r="561" spans="1:34" x14ac:dyDescent="0.2">
      <c r="A561" s="282">
        <v>44874</v>
      </c>
      <c r="B561" s="114" t="s">
        <v>884</v>
      </c>
      <c r="C561" s="114">
        <v>2022</v>
      </c>
      <c r="D561" s="114" t="s">
        <v>5</v>
      </c>
      <c r="E561" s="270">
        <v>-210</v>
      </c>
      <c r="F561" s="270" t="s">
        <v>33</v>
      </c>
      <c r="G561" s="283">
        <v>84000</v>
      </c>
      <c r="H561" s="284">
        <v>350</v>
      </c>
      <c r="I561" s="270" t="s">
        <v>80</v>
      </c>
      <c r="J561" s="270" t="s">
        <v>40</v>
      </c>
      <c r="K561" s="270">
        <v>175</v>
      </c>
      <c r="L561" s="270" t="s">
        <v>726</v>
      </c>
      <c r="M561" s="270" t="s">
        <v>1250</v>
      </c>
      <c r="N561" s="285" t="s">
        <v>1249</v>
      </c>
      <c r="O561" s="114"/>
      <c r="P561" s="114" t="s">
        <v>1251</v>
      </c>
      <c r="Q561" s="750">
        <v>40.464647999999997</v>
      </c>
      <c r="R561" s="635">
        <v>-86.636566000000002</v>
      </c>
      <c r="S561" s="114" t="s">
        <v>63</v>
      </c>
      <c r="T561" s="114"/>
      <c r="U561" s="114" t="s">
        <v>51</v>
      </c>
      <c r="V561" s="282"/>
      <c r="W561" s="286">
        <f>IF(AC561="Intr",0,G561*Definitions!$B$53)</f>
        <v>12600</v>
      </c>
      <c r="X561" s="286">
        <f>IF(AC561="Intr",0,G561*Definitions!$B$54)</f>
        <v>58799.999999999993</v>
      </c>
      <c r="Y561" s="286">
        <f>IF(AC561="Intr",G561,G561*Definitions!$B$55)</f>
        <v>12600</v>
      </c>
      <c r="Z561" s="286" t="s">
        <v>966</v>
      </c>
      <c r="AA561" s="286" t="s">
        <v>965</v>
      </c>
      <c r="AB561" s="286"/>
      <c r="AC561" s="114"/>
      <c r="AD561" s="114"/>
      <c r="AE561" s="114"/>
      <c r="AF561" s="114"/>
      <c r="AG561" s="287"/>
      <c r="AH561" s="114"/>
    </row>
    <row r="562" spans="1:34" x14ac:dyDescent="0.2">
      <c r="A562" s="282">
        <v>44874</v>
      </c>
      <c r="B562" s="114" t="s">
        <v>884</v>
      </c>
      <c r="C562" s="114">
        <v>2022</v>
      </c>
      <c r="D562" s="114" t="s">
        <v>5</v>
      </c>
      <c r="E562" s="270">
        <v>-66</v>
      </c>
      <c r="F562" s="270" t="s">
        <v>33</v>
      </c>
      <c r="G562" s="283">
        <v>26400</v>
      </c>
      <c r="H562" s="284">
        <v>350</v>
      </c>
      <c r="I562" s="270" t="s">
        <v>80</v>
      </c>
      <c r="J562" s="270" t="s">
        <v>39</v>
      </c>
      <c r="K562" s="270">
        <v>101</v>
      </c>
      <c r="L562" s="270" t="s">
        <v>726</v>
      </c>
      <c r="M562" s="270" t="s">
        <v>1250</v>
      </c>
      <c r="N562" s="285" t="s">
        <v>1249</v>
      </c>
      <c r="O562" s="114"/>
      <c r="P562" s="114" t="s">
        <v>1251</v>
      </c>
      <c r="Q562" s="750">
        <v>40.464647999999997</v>
      </c>
      <c r="R562" s="635">
        <v>-86.636566000000002</v>
      </c>
      <c r="S562" s="114" t="s">
        <v>63</v>
      </c>
      <c r="T562" s="114"/>
      <c r="U562" s="114" t="s">
        <v>51</v>
      </c>
      <c r="V562" s="282"/>
      <c r="W562" s="286">
        <f>IF(AC562="Intr",0,G562*Definitions!$B$53)</f>
        <v>3960</v>
      </c>
      <c r="X562" s="286">
        <f>IF(AC562="Intr",0,G562*Definitions!$B$54)</f>
        <v>18480</v>
      </c>
      <c r="Y562" s="286">
        <f>IF(AC562="Intr",G562,G562*Definitions!$B$55)</f>
        <v>3960</v>
      </c>
      <c r="Z562" s="286" t="s">
        <v>966</v>
      </c>
      <c r="AA562" s="286" t="s">
        <v>965</v>
      </c>
      <c r="AB562" s="286"/>
      <c r="AC562" s="114"/>
      <c r="AD562" s="114"/>
      <c r="AE562" s="114"/>
      <c r="AF562" s="114"/>
      <c r="AG562" s="287"/>
      <c r="AH562" s="114"/>
    </row>
    <row r="563" spans="1:34" x14ac:dyDescent="0.2">
      <c r="A563" s="282">
        <v>44874</v>
      </c>
      <c r="B563" s="114" t="s">
        <v>884</v>
      </c>
      <c r="C563" s="114">
        <v>2022</v>
      </c>
      <c r="D563" s="114" t="s">
        <v>5</v>
      </c>
      <c r="E563" s="270">
        <v>-0.18</v>
      </c>
      <c r="F563" s="270" t="s">
        <v>32</v>
      </c>
      <c r="G563" s="283">
        <v>14400</v>
      </c>
      <c r="H563" s="284">
        <v>350</v>
      </c>
      <c r="I563" s="270" t="s">
        <v>80</v>
      </c>
      <c r="J563" s="270" t="s">
        <v>36</v>
      </c>
      <c r="K563" s="270">
        <v>7.5999999999999998E-2</v>
      </c>
      <c r="L563" s="270" t="s">
        <v>726</v>
      </c>
      <c r="M563" s="270" t="s">
        <v>1250</v>
      </c>
      <c r="N563" s="285" t="s">
        <v>1249</v>
      </c>
      <c r="O563" s="114"/>
      <c r="P563" s="114" t="s">
        <v>1251</v>
      </c>
      <c r="Q563" s="750">
        <v>40.464647999999997</v>
      </c>
      <c r="R563" s="635">
        <v>-86.636566000000002</v>
      </c>
      <c r="S563" s="114" t="s">
        <v>63</v>
      </c>
      <c r="T563" s="114"/>
      <c r="U563" s="114" t="s">
        <v>51</v>
      </c>
      <c r="V563" s="282"/>
      <c r="W563" s="286">
        <f>IF(AC563="Intr",0,G563*Definitions!$B$53)</f>
        <v>2160</v>
      </c>
      <c r="X563" s="286">
        <f>IF(AC563="Intr",0,G563*Definitions!$B$54)</f>
        <v>10080</v>
      </c>
      <c r="Y563" s="286">
        <f>IF(AC563="Intr",G563,G563*Definitions!$B$55)</f>
        <v>2160</v>
      </c>
      <c r="Z563" s="286" t="s">
        <v>966</v>
      </c>
      <c r="AA563" s="286" t="s">
        <v>965</v>
      </c>
      <c r="AB563" s="286"/>
      <c r="AC563" s="114"/>
      <c r="AD563" s="114"/>
      <c r="AE563" s="114"/>
      <c r="AF563" s="114"/>
      <c r="AG563" s="287"/>
      <c r="AH563" s="114"/>
    </row>
    <row r="564" spans="1:34" x14ac:dyDescent="0.2">
      <c r="A564" s="282">
        <v>44874</v>
      </c>
      <c r="B564" s="114" t="s">
        <v>884</v>
      </c>
      <c r="C564" s="114">
        <v>2022</v>
      </c>
      <c r="D564" s="114" t="s">
        <v>5</v>
      </c>
      <c r="E564" s="270">
        <v>-0.14000000000000001</v>
      </c>
      <c r="F564" s="270" t="s">
        <v>32</v>
      </c>
      <c r="G564" s="283">
        <v>11200</v>
      </c>
      <c r="H564" s="284">
        <v>350</v>
      </c>
      <c r="I564" s="270" t="s">
        <v>80</v>
      </c>
      <c r="J564" s="270" t="s">
        <v>38</v>
      </c>
      <c r="K564" s="270">
        <v>0.04</v>
      </c>
      <c r="L564" s="270" t="s">
        <v>726</v>
      </c>
      <c r="M564" s="270" t="s">
        <v>1250</v>
      </c>
      <c r="N564" s="285" t="s">
        <v>1249</v>
      </c>
      <c r="O564" s="114"/>
      <c r="P564" s="114" t="s">
        <v>1251</v>
      </c>
      <c r="Q564" s="750">
        <v>40.464647999999997</v>
      </c>
      <c r="R564" s="635">
        <v>-86.636566000000002</v>
      </c>
      <c r="S564" s="114" t="s">
        <v>63</v>
      </c>
      <c r="T564" s="114"/>
      <c r="U564" s="114" t="s">
        <v>51</v>
      </c>
      <c r="V564" s="282"/>
      <c r="W564" s="286">
        <f>IF(AC564="Intr",0,G564*Definitions!$B$53)</f>
        <v>1680</v>
      </c>
      <c r="X564" s="286">
        <f>IF(AC564="Intr",0,G564*Definitions!$B$54)</f>
        <v>7839.9999999999991</v>
      </c>
      <c r="Y564" s="286">
        <f>IF(AC564="Intr",G564,G564*Definitions!$B$55)</f>
        <v>1680</v>
      </c>
      <c r="Z564" s="286" t="s">
        <v>966</v>
      </c>
      <c r="AA564" s="286" t="s">
        <v>965</v>
      </c>
      <c r="AB564" s="286"/>
      <c r="AC564" s="114"/>
      <c r="AD564" s="114"/>
      <c r="AE564" s="114"/>
      <c r="AF564" s="114"/>
      <c r="AG564" s="287"/>
      <c r="AH564" s="114"/>
    </row>
    <row r="565" spans="1:34" x14ac:dyDescent="0.2">
      <c r="A565" s="29">
        <v>44874</v>
      </c>
      <c r="B565" s="30" t="s">
        <v>884</v>
      </c>
      <c r="C565" s="30">
        <v>2022</v>
      </c>
      <c r="D565" s="30" t="s">
        <v>8</v>
      </c>
      <c r="E565" s="217">
        <v>-1.431</v>
      </c>
      <c r="F565" s="217" t="s">
        <v>32</v>
      </c>
      <c r="G565" s="218">
        <v>114480</v>
      </c>
      <c r="H565" s="219">
        <v>341</v>
      </c>
      <c r="I565" s="217" t="s">
        <v>81</v>
      </c>
      <c r="J565" s="217" t="s">
        <v>36</v>
      </c>
      <c r="K565" s="217">
        <v>0.95399999999999996</v>
      </c>
      <c r="L565" s="217" t="s">
        <v>1243</v>
      </c>
      <c r="M565" s="217" t="s">
        <v>103</v>
      </c>
      <c r="N565" s="67" t="s">
        <v>1244</v>
      </c>
      <c r="O565" s="30"/>
      <c r="P565" s="30" t="s">
        <v>101</v>
      </c>
      <c r="Q565" s="747">
        <v>39.591644000000002</v>
      </c>
      <c r="R565" s="636">
        <v>-86.077051999999995</v>
      </c>
      <c r="S565" s="30" t="s">
        <v>61</v>
      </c>
      <c r="T565" s="30"/>
      <c r="U565" s="30" t="s">
        <v>51</v>
      </c>
      <c r="V565" s="29"/>
      <c r="W565" s="31">
        <f>IF(AC565="Intr",0,G565*Definitions!$B$53)</f>
        <v>17172</v>
      </c>
      <c r="X565" s="31">
        <f>IF(AC565="Intr",0,G565*Definitions!$B$54)</f>
        <v>80136</v>
      </c>
      <c r="Y565" s="31">
        <f>IF(AC565="Intr",G565,G565*Definitions!$B$55)</f>
        <v>17172</v>
      </c>
      <c r="Z565" s="31" t="s">
        <v>966</v>
      </c>
      <c r="AA565" s="31" t="s">
        <v>963</v>
      </c>
      <c r="AB565" s="31" t="s">
        <v>970</v>
      </c>
      <c r="AC565" s="30"/>
      <c r="AD565" s="30"/>
      <c r="AE565" s="30"/>
      <c r="AF565" s="30"/>
      <c r="AG565" s="32"/>
      <c r="AH565" s="30"/>
    </row>
    <row r="566" spans="1:34" x14ac:dyDescent="0.2">
      <c r="A566" s="29">
        <v>44874</v>
      </c>
      <c r="B566" s="30" t="s">
        <v>884</v>
      </c>
      <c r="C566" s="30">
        <v>2022</v>
      </c>
      <c r="D566" s="30" t="s">
        <v>8</v>
      </c>
      <c r="E566" s="217">
        <v>-0.13400000000000001</v>
      </c>
      <c r="F566" s="217" t="s">
        <v>32</v>
      </c>
      <c r="G566" s="218">
        <v>10720</v>
      </c>
      <c r="H566" s="219">
        <v>341</v>
      </c>
      <c r="I566" s="217" t="s">
        <v>81</v>
      </c>
      <c r="J566" s="217" t="s">
        <v>38</v>
      </c>
      <c r="K566" s="217">
        <v>6.7000000000000004E-2</v>
      </c>
      <c r="L566" s="217" t="s">
        <v>1243</v>
      </c>
      <c r="M566" s="217" t="s">
        <v>103</v>
      </c>
      <c r="N566" s="67" t="s">
        <v>1244</v>
      </c>
      <c r="O566" s="30"/>
      <c r="P566" s="30" t="s">
        <v>101</v>
      </c>
      <c r="Q566" s="747">
        <v>39.591644000000002</v>
      </c>
      <c r="R566" s="636">
        <v>-86.077051999999995</v>
      </c>
      <c r="S566" s="30" t="s">
        <v>61</v>
      </c>
      <c r="T566" s="30"/>
      <c r="U566" s="30" t="s">
        <v>51</v>
      </c>
      <c r="V566" s="29"/>
      <c r="W566" s="31">
        <f>IF(AC566="Intr",0,G566*Definitions!$B$53)</f>
        <v>1608</v>
      </c>
      <c r="X566" s="31">
        <f>IF(AC566="Intr",0,G566*Definitions!$B$54)</f>
        <v>7503.9999999999991</v>
      </c>
      <c r="Y566" s="31">
        <f>IF(AC566="Intr",G566,G566*Definitions!$B$55)</f>
        <v>1608</v>
      </c>
      <c r="Z566" s="31" t="s">
        <v>966</v>
      </c>
      <c r="AA566" s="31" t="s">
        <v>963</v>
      </c>
      <c r="AB566" s="31" t="s">
        <v>1245</v>
      </c>
      <c r="AC566" s="30"/>
      <c r="AD566" s="30"/>
      <c r="AE566" s="30"/>
      <c r="AF566" s="30"/>
      <c r="AG566" s="32"/>
      <c r="AH566" s="30"/>
    </row>
    <row r="567" spans="1:34" x14ac:dyDescent="0.2">
      <c r="A567" s="33">
        <v>44886</v>
      </c>
      <c r="B567" s="34" t="s">
        <v>884</v>
      </c>
      <c r="C567" s="34">
        <v>2022</v>
      </c>
      <c r="D567" s="34" t="s">
        <v>10</v>
      </c>
      <c r="E567" s="271">
        <v>-0.54</v>
      </c>
      <c r="F567" s="271" t="s">
        <v>32</v>
      </c>
      <c r="G567" s="272">
        <v>43200</v>
      </c>
      <c r="H567" s="273">
        <v>354</v>
      </c>
      <c r="I567" s="271" t="s">
        <v>81</v>
      </c>
      <c r="J567" s="271" t="s">
        <v>36</v>
      </c>
      <c r="K567" s="271">
        <v>0.35899999999999999</v>
      </c>
      <c r="L567" s="271" t="s">
        <v>1260</v>
      </c>
      <c r="M567" s="271" t="s">
        <v>103</v>
      </c>
      <c r="N567" s="116" t="s">
        <v>1259</v>
      </c>
      <c r="O567" s="34"/>
      <c r="P567" s="34" t="s">
        <v>84</v>
      </c>
      <c r="Q567" s="773">
        <v>38.328194000000003</v>
      </c>
      <c r="R567" s="592">
        <v>-85.718721000000002</v>
      </c>
      <c r="S567" s="34" t="s">
        <v>61</v>
      </c>
      <c r="T567" s="34"/>
      <c r="U567" s="34" t="s">
        <v>51</v>
      </c>
      <c r="V567" s="33"/>
      <c r="W567" s="35">
        <f>IF(AC567="Intr",0,G567*Definitions!$B$53)</f>
        <v>6480</v>
      </c>
      <c r="X567" s="35">
        <f>IF(AC567="Intr",0,G567*Definitions!$B$54)</f>
        <v>30239.999999999996</v>
      </c>
      <c r="Y567" s="35">
        <f>IF(AC567="Intr",G567,G567*Definitions!$B$55)</f>
        <v>6480</v>
      </c>
      <c r="Z567" s="35" t="s">
        <v>966</v>
      </c>
      <c r="AA567" s="35" t="s">
        <v>963</v>
      </c>
      <c r="AB567" s="35" t="s">
        <v>970</v>
      </c>
      <c r="AC567" s="34"/>
      <c r="AD567" s="34"/>
      <c r="AE567" s="34"/>
      <c r="AF567" s="34"/>
      <c r="AG567" s="36"/>
      <c r="AH567" s="34"/>
    </row>
    <row r="568" spans="1:34" x14ac:dyDescent="0.2">
      <c r="A568" s="45">
        <v>44886</v>
      </c>
      <c r="B568" s="46" t="s">
        <v>884</v>
      </c>
      <c r="C568" s="46">
        <v>2022</v>
      </c>
      <c r="D568" s="46" t="s">
        <v>7</v>
      </c>
      <c r="E568" s="181">
        <v>-1271</v>
      </c>
      <c r="F568" s="181" t="s">
        <v>33</v>
      </c>
      <c r="G568" s="182">
        <v>571950</v>
      </c>
      <c r="H568" s="183">
        <v>339</v>
      </c>
      <c r="I568" s="181" t="s">
        <v>80</v>
      </c>
      <c r="J568" s="181" t="s">
        <v>40</v>
      </c>
      <c r="K568" s="489">
        <v>1059</v>
      </c>
      <c r="L568" s="181" t="s">
        <v>1252</v>
      </c>
      <c r="M568" s="181" t="s">
        <v>1253</v>
      </c>
      <c r="N568" s="76" t="s">
        <v>1254</v>
      </c>
      <c r="O568" s="46"/>
      <c r="P568" s="46" t="s">
        <v>143</v>
      </c>
      <c r="Q568" s="761">
        <v>39.859699999999997</v>
      </c>
      <c r="R568" s="660">
        <v>-86.039199999999994</v>
      </c>
      <c r="S568" s="46" t="s">
        <v>61</v>
      </c>
      <c r="T568" s="46"/>
      <c r="U568" s="46" t="s">
        <v>51</v>
      </c>
      <c r="V568" s="45"/>
      <c r="W568" s="47">
        <f>IF(AC568="Intr",0,G568*Definitions!$B$53)</f>
        <v>85792.5</v>
      </c>
      <c r="X568" s="47">
        <f>IF(AC568="Intr",0,G568*Definitions!$B$54)</f>
        <v>400365</v>
      </c>
      <c r="Y568" s="47">
        <f>IF(AC568="Intr",G568,G568*Definitions!$B$55)</f>
        <v>85792.5</v>
      </c>
      <c r="Z568" s="47" t="s">
        <v>966</v>
      </c>
      <c r="AA568" s="47" t="s">
        <v>965</v>
      </c>
      <c r="AB568" s="47"/>
      <c r="AC568" s="46"/>
      <c r="AD568" s="46"/>
      <c r="AE568" s="46"/>
      <c r="AF568" s="46"/>
      <c r="AG568" s="48"/>
      <c r="AH568" s="78" t="s">
        <v>1255</v>
      </c>
    </row>
    <row r="569" spans="1:34" x14ac:dyDescent="0.2">
      <c r="A569" s="45">
        <v>44886</v>
      </c>
      <c r="B569" s="46" t="s">
        <v>884</v>
      </c>
      <c r="C569" s="46">
        <v>2022</v>
      </c>
      <c r="D569" s="46" t="s">
        <v>7</v>
      </c>
      <c r="E569" s="181">
        <v>-315</v>
      </c>
      <c r="F569" s="181" t="s">
        <v>33</v>
      </c>
      <c r="G569" s="182">
        <v>141750</v>
      </c>
      <c r="H569" s="183">
        <v>339</v>
      </c>
      <c r="I569" s="181" t="s">
        <v>80</v>
      </c>
      <c r="J569" s="181" t="s">
        <v>41</v>
      </c>
      <c r="K569" s="181">
        <v>263</v>
      </c>
      <c r="L569" s="181" t="s">
        <v>1252</v>
      </c>
      <c r="M569" s="181" t="s">
        <v>1253</v>
      </c>
      <c r="N569" s="76" t="s">
        <v>1254</v>
      </c>
      <c r="O569" s="46"/>
      <c r="P569" s="46" t="s">
        <v>143</v>
      </c>
      <c r="Q569" s="761">
        <v>39.859699999999997</v>
      </c>
      <c r="R569" s="660">
        <v>-86.039199999999994</v>
      </c>
      <c r="S569" s="46" t="s">
        <v>61</v>
      </c>
      <c r="T569" s="46"/>
      <c r="U569" s="46" t="s">
        <v>51</v>
      </c>
      <c r="V569" s="45"/>
      <c r="W569" s="47">
        <f>IF(AC569="Intr",0,G569*Definitions!$B$53)</f>
        <v>21262.5</v>
      </c>
      <c r="X569" s="47">
        <f>IF(AC569="Intr",0,G569*Definitions!$B$54)</f>
        <v>99225</v>
      </c>
      <c r="Y569" s="47">
        <f>IF(AC569="Intr",G569,G569*Definitions!$B$55)</f>
        <v>21262.5</v>
      </c>
      <c r="Z569" s="47" t="s">
        <v>966</v>
      </c>
      <c r="AA569" s="47" t="s">
        <v>965</v>
      </c>
      <c r="AB569" s="47"/>
      <c r="AC569" s="46"/>
      <c r="AD569" s="46"/>
      <c r="AE569" s="46"/>
      <c r="AF569" s="46"/>
      <c r="AG569" s="48"/>
      <c r="AH569" s="78" t="s">
        <v>1256</v>
      </c>
    </row>
    <row r="570" spans="1:34" x14ac:dyDescent="0.2">
      <c r="A570" s="37">
        <v>44886</v>
      </c>
      <c r="B570" s="38" t="s">
        <v>884</v>
      </c>
      <c r="C570" s="38">
        <v>2022</v>
      </c>
      <c r="D570" s="38" t="s">
        <v>7</v>
      </c>
      <c r="E570" s="177">
        <v>-0.2</v>
      </c>
      <c r="F570" s="177" t="s">
        <v>32</v>
      </c>
      <c r="G570" s="269">
        <v>16000</v>
      </c>
      <c r="H570" s="179">
        <v>352</v>
      </c>
      <c r="I570" s="177" t="s">
        <v>81</v>
      </c>
      <c r="J570" s="177" t="s">
        <v>36</v>
      </c>
      <c r="K570" s="177">
        <v>0.2</v>
      </c>
      <c r="L570" s="177" t="s">
        <v>1257</v>
      </c>
      <c r="M570" s="177" t="s">
        <v>103</v>
      </c>
      <c r="N570" s="70" t="s">
        <v>1258</v>
      </c>
      <c r="O570" s="38"/>
      <c r="P570" s="38" t="s">
        <v>137</v>
      </c>
      <c r="Q570" s="760">
        <v>40.042999999999999</v>
      </c>
      <c r="R570" s="590">
        <v>-86.161900000000003</v>
      </c>
      <c r="S570" s="38" t="s">
        <v>61</v>
      </c>
      <c r="T570" s="38"/>
      <c r="U570" s="38" t="s">
        <v>51</v>
      </c>
      <c r="V570" s="37"/>
      <c r="W570" s="39">
        <f>IF(AC570="Intr",0,G570*Definitions!$B$53)</f>
        <v>2400</v>
      </c>
      <c r="X570" s="39">
        <f>IF(AC570="Intr",0,G570*Definitions!$B$54)</f>
        <v>11200</v>
      </c>
      <c r="Y570" s="39">
        <f>IF(AC570="Intr",G570,G570*Definitions!$B$55)</f>
        <v>2400</v>
      </c>
      <c r="Z570" s="39" t="s">
        <v>966</v>
      </c>
      <c r="AA570" s="39" t="s">
        <v>963</v>
      </c>
      <c r="AB570" s="39" t="s">
        <v>969</v>
      </c>
      <c r="AC570" s="38"/>
      <c r="AD570" s="38"/>
      <c r="AE570" s="38"/>
      <c r="AF570" s="38"/>
      <c r="AG570" s="40"/>
      <c r="AH570" s="38"/>
    </row>
    <row r="571" spans="1:34" x14ac:dyDescent="0.2">
      <c r="A571" s="37">
        <v>44901</v>
      </c>
      <c r="B571" s="38" t="s">
        <v>134</v>
      </c>
      <c r="C571" s="38">
        <v>2022</v>
      </c>
      <c r="D571" s="38" t="s">
        <v>6</v>
      </c>
      <c r="E571" s="177">
        <v>-80.5</v>
      </c>
      <c r="F571" s="177" t="s">
        <v>33</v>
      </c>
      <c r="G571" s="269">
        <v>32200</v>
      </c>
      <c r="H571" s="179">
        <v>344</v>
      </c>
      <c r="I571" s="177" t="s">
        <v>80</v>
      </c>
      <c r="J571" s="177" t="s">
        <v>41</v>
      </c>
      <c r="K571" s="177">
        <v>80.5</v>
      </c>
      <c r="L571" s="177" t="s">
        <v>284</v>
      </c>
      <c r="M571" s="177" t="s">
        <v>1261</v>
      </c>
      <c r="N571" s="70" t="s">
        <v>1262</v>
      </c>
      <c r="O571" s="38"/>
      <c r="P571" s="38" t="s">
        <v>205</v>
      </c>
      <c r="Q571" s="760">
        <v>39.557079999999999</v>
      </c>
      <c r="R571" s="590">
        <v>-87.438710999999998</v>
      </c>
      <c r="S571" s="38" t="s">
        <v>62</v>
      </c>
      <c r="T571" s="38"/>
      <c r="U571" s="38" t="s">
        <v>51</v>
      </c>
      <c r="V571" s="37"/>
      <c r="W571" s="39">
        <f>IF(AC571="Intr",0,G571*Definitions!$B$53)</f>
        <v>4830</v>
      </c>
      <c r="X571" s="39">
        <f>IF(AC571="Intr",0,G571*Definitions!$B$54)</f>
        <v>22540</v>
      </c>
      <c r="Y571" s="39">
        <f>IF(AC571="Intr",G571,G571*Definitions!$B$55)</f>
        <v>4830</v>
      </c>
      <c r="Z571" s="39" t="s">
        <v>966</v>
      </c>
      <c r="AA571" s="39" t="s">
        <v>965</v>
      </c>
      <c r="AB571" s="39"/>
      <c r="AC571" s="38"/>
      <c r="AD571" s="38"/>
      <c r="AE571" s="38"/>
      <c r="AF571" s="38"/>
      <c r="AG571" s="40"/>
      <c r="AH571" s="38" t="s">
        <v>710</v>
      </c>
    </row>
    <row r="572" spans="1:34" x14ac:dyDescent="0.2">
      <c r="A572" s="37">
        <v>44901</v>
      </c>
      <c r="B572" s="38" t="s">
        <v>134</v>
      </c>
      <c r="C572" s="38">
        <v>2022</v>
      </c>
      <c r="D572" s="38" t="s">
        <v>6</v>
      </c>
      <c r="E572" s="177">
        <v>-0.53</v>
      </c>
      <c r="F572" s="177" t="s">
        <v>32</v>
      </c>
      <c r="G572" s="269">
        <v>42400</v>
      </c>
      <c r="H572" s="179">
        <v>344</v>
      </c>
      <c r="I572" s="177" t="s">
        <v>80</v>
      </c>
      <c r="J572" s="177" t="s">
        <v>36</v>
      </c>
      <c r="K572" s="177">
        <v>0.53</v>
      </c>
      <c r="L572" s="177" t="s">
        <v>284</v>
      </c>
      <c r="M572" s="177" t="s">
        <v>1261</v>
      </c>
      <c r="N572" s="70" t="s">
        <v>1262</v>
      </c>
      <c r="O572" s="38"/>
      <c r="P572" s="38" t="s">
        <v>205</v>
      </c>
      <c r="Q572" s="760">
        <v>39.557079999999999</v>
      </c>
      <c r="R572" s="590">
        <v>-87.438710999999998</v>
      </c>
      <c r="S572" s="38" t="s">
        <v>62</v>
      </c>
      <c r="T572" s="38"/>
      <c r="U572" s="38" t="s">
        <v>51</v>
      </c>
      <c r="V572" s="37"/>
      <c r="W572" s="39">
        <f>IF(AC572="Intr",0,G572*Definitions!$B$53)</f>
        <v>6360</v>
      </c>
      <c r="X572" s="39">
        <f>IF(AC572="Intr",0,G572*Definitions!$B$54)</f>
        <v>29679.999999999996</v>
      </c>
      <c r="Y572" s="39">
        <f>IF(AC572="Intr",G572,G572*Definitions!$B$55)</f>
        <v>6360</v>
      </c>
      <c r="Z572" s="39" t="s">
        <v>966</v>
      </c>
      <c r="AA572" s="39" t="s">
        <v>965</v>
      </c>
      <c r="AB572" s="39"/>
      <c r="AC572" s="38"/>
      <c r="AD572" s="38"/>
      <c r="AE572" s="38"/>
      <c r="AF572" s="38"/>
      <c r="AG572" s="40"/>
      <c r="AH572" s="38" t="s">
        <v>710</v>
      </c>
    </row>
    <row r="573" spans="1:34" x14ac:dyDescent="0.2">
      <c r="A573" s="282">
        <v>44910</v>
      </c>
      <c r="B573" s="114" t="s">
        <v>134</v>
      </c>
      <c r="C573" s="114">
        <v>2022</v>
      </c>
      <c r="D573" s="114" t="s">
        <v>4</v>
      </c>
      <c r="E573" s="270">
        <v>-6.9420000000000002</v>
      </c>
      <c r="F573" s="270" t="s">
        <v>32</v>
      </c>
      <c r="G573" s="283">
        <v>555360</v>
      </c>
      <c r="H573" s="284">
        <v>365</v>
      </c>
      <c r="I573" s="270" t="s">
        <v>81</v>
      </c>
      <c r="J573" s="270" t="s">
        <v>38</v>
      </c>
      <c r="K573" s="270">
        <v>3.4710000000000001</v>
      </c>
      <c r="L573" s="270" t="s">
        <v>1263</v>
      </c>
      <c r="M573" s="270" t="s">
        <v>103</v>
      </c>
      <c r="N573" s="285" t="s">
        <v>1264</v>
      </c>
      <c r="O573" s="114"/>
      <c r="P573" s="114" t="s">
        <v>310</v>
      </c>
      <c r="Q573" s="750">
        <v>41.368189000000001</v>
      </c>
      <c r="R573" s="635">
        <v>-85.079463000000004</v>
      </c>
      <c r="S573" s="114" t="s">
        <v>61</v>
      </c>
      <c r="T573" s="114"/>
      <c r="U573" s="114" t="s">
        <v>51</v>
      </c>
      <c r="V573" s="282"/>
      <c r="W573" s="286">
        <f>IF(AC573="Intr",0,G573*Definitions!$B$53)</f>
        <v>83304</v>
      </c>
      <c r="X573" s="286">
        <f>IF(AC573="Intr",0,G573*Definitions!$B$54)</f>
        <v>388752</v>
      </c>
      <c r="Y573" s="286">
        <f>IF(AC573="Intr",G573,G573*Definitions!$B$55)</f>
        <v>83304</v>
      </c>
      <c r="Z573" s="286" t="s">
        <v>964</v>
      </c>
      <c r="AA573" s="286" t="s">
        <v>963</v>
      </c>
      <c r="AB573" s="286" t="s">
        <v>1245</v>
      </c>
      <c r="AC573" s="114"/>
      <c r="AD573" s="114"/>
      <c r="AE573" s="114"/>
      <c r="AF573" s="114"/>
      <c r="AG573" s="287"/>
      <c r="AH573" s="114"/>
    </row>
    <row r="574" spans="1:34" x14ac:dyDescent="0.2">
      <c r="A574" s="207">
        <v>44914</v>
      </c>
      <c r="B574" s="208" t="s">
        <v>134</v>
      </c>
      <c r="C574" s="208">
        <v>2022</v>
      </c>
      <c r="D574" s="208" t="s">
        <v>7</v>
      </c>
      <c r="E574" s="209">
        <v>-1.875</v>
      </c>
      <c r="F574" s="209" t="s">
        <v>32</v>
      </c>
      <c r="G574" s="210">
        <v>150000</v>
      </c>
      <c r="H574" s="211">
        <v>359</v>
      </c>
      <c r="I574" s="209" t="s">
        <v>81</v>
      </c>
      <c r="J574" s="209" t="s">
        <v>38</v>
      </c>
      <c r="K574" s="209">
        <v>0.75</v>
      </c>
      <c r="L574" s="209" t="s">
        <v>1166</v>
      </c>
      <c r="M574" s="209" t="s">
        <v>103</v>
      </c>
      <c r="N574" s="212" t="s">
        <v>1265</v>
      </c>
      <c r="O574" s="208"/>
      <c r="P574" s="208" t="s">
        <v>143</v>
      </c>
      <c r="Q574" s="749">
        <v>39.679664000000002</v>
      </c>
      <c r="R574" s="641">
        <v>-86.277248</v>
      </c>
      <c r="S574" s="208" t="s">
        <v>61</v>
      </c>
      <c r="T574" s="208"/>
      <c r="U574" s="208" t="s">
        <v>51</v>
      </c>
      <c r="V574" s="207"/>
      <c r="W574" s="213">
        <f>IF(AC574="Intr",0,G574*Definitions!$B$53)</f>
        <v>22500</v>
      </c>
      <c r="X574" s="213">
        <f>IF(AC574="Intr",0,G574*Definitions!$B$54)</f>
        <v>105000</v>
      </c>
      <c r="Y574" s="213">
        <f>IF(AC574="Intr",G574,G574*Definitions!$B$55)</f>
        <v>22500</v>
      </c>
      <c r="Z574" s="213" t="s">
        <v>966</v>
      </c>
      <c r="AA574" s="213" t="s">
        <v>963</v>
      </c>
      <c r="AB574" s="213" t="s">
        <v>1268</v>
      </c>
      <c r="AC574" s="208"/>
      <c r="AD574" s="208"/>
      <c r="AE574" s="208"/>
      <c r="AF574" s="208"/>
      <c r="AG574" s="214"/>
      <c r="AH574" s="208"/>
    </row>
    <row r="575" spans="1:34" x14ac:dyDescent="0.2">
      <c r="A575" s="207">
        <v>44914</v>
      </c>
      <c r="B575" s="208" t="s">
        <v>134</v>
      </c>
      <c r="C575" s="208">
        <v>2022</v>
      </c>
      <c r="D575" s="208" t="s">
        <v>7</v>
      </c>
      <c r="E575" s="209">
        <v>-158</v>
      </c>
      <c r="F575" s="209" t="s">
        <v>33</v>
      </c>
      <c r="G575" s="210">
        <v>71100</v>
      </c>
      <c r="H575" s="211">
        <v>359</v>
      </c>
      <c r="I575" s="209" t="s">
        <v>80</v>
      </c>
      <c r="J575" s="209" t="s">
        <v>41</v>
      </c>
      <c r="K575" s="209">
        <v>132</v>
      </c>
      <c r="L575" s="209" t="s">
        <v>1166</v>
      </c>
      <c r="M575" s="209" t="s">
        <v>1266</v>
      </c>
      <c r="N575" s="212" t="s">
        <v>1267</v>
      </c>
      <c r="O575" s="208"/>
      <c r="P575" s="208" t="s">
        <v>143</v>
      </c>
      <c r="Q575" s="749">
        <v>39.673189999999998</v>
      </c>
      <c r="R575" s="641">
        <v>-86.279008000000005</v>
      </c>
      <c r="S575" s="208" t="s">
        <v>61</v>
      </c>
      <c r="T575" s="208"/>
      <c r="U575" s="208" t="s">
        <v>51</v>
      </c>
      <c r="V575" s="207"/>
      <c r="W575" s="213">
        <f>IF(AC575="Intr",0,G575*Definitions!$B$53)</f>
        <v>10665</v>
      </c>
      <c r="X575" s="213">
        <f>IF(AC575="Intr",0,G575*Definitions!$B$54)</f>
        <v>49770</v>
      </c>
      <c r="Y575" s="213">
        <f>IF(AC575="Intr",G575,G575*Definitions!$B$55)</f>
        <v>10665</v>
      </c>
      <c r="Z575" s="213" t="s">
        <v>966</v>
      </c>
      <c r="AA575" s="213" t="s">
        <v>965</v>
      </c>
      <c r="AB575" s="213"/>
      <c r="AC575" s="208"/>
      <c r="AD575" s="208"/>
      <c r="AE575" s="208"/>
      <c r="AF575" s="208"/>
      <c r="AG575" s="214"/>
      <c r="AH575" s="208"/>
    </row>
    <row r="576" spans="1:34" x14ac:dyDescent="0.2">
      <c r="A576" s="207">
        <v>44914</v>
      </c>
      <c r="B576" s="208" t="s">
        <v>134</v>
      </c>
      <c r="C576" s="208">
        <v>2022</v>
      </c>
      <c r="D576" s="208" t="s">
        <v>7</v>
      </c>
      <c r="E576" s="209">
        <v>-0.31</v>
      </c>
      <c r="F576" s="209" t="s">
        <v>32</v>
      </c>
      <c r="G576" s="210">
        <v>24800</v>
      </c>
      <c r="H576" s="211">
        <v>359</v>
      </c>
      <c r="I576" s="209" t="s">
        <v>80</v>
      </c>
      <c r="J576" s="209" t="s">
        <v>36</v>
      </c>
      <c r="K576" s="209">
        <v>0.13</v>
      </c>
      <c r="L576" s="209" t="s">
        <v>1166</v>
      </c>
      <c r="M576" s="209" t="s">
        <v>1266</v>
      </c>
      <c r="N576" s="212" t="s">
        <v>1267</v>
      </c>
      <c r="O576" s="208"/>
      <c r="P576" s="208" t="s">
        <v>143</v>
      </c>
      <c r="Q576" s="749">
        <v>39.673189999999998</v>
      </c>
      <c r="R576" s="641">
        <v>-86.279008000000005</v>
      </c>
      <c r="S576" s="208" t="s">
        <v>61</v>
      </c>
      <c r="T576" s="208"/>
      <c r="U576" s="208" t="s">
        <v>51</v>
      </c>
      <c r="V576" s="207"/>
      <c r="W576" s="213">
        <f>IF(AC576="Intr",0,G576*Definitions!$B$53)</f>
        <v>3720</v>
      </c>
      <c r="X576" s="213">
        <f>IF(AC576="Intr",0,G576*Definitions!$B$54)</f>
        <v>17360</v>
      </c>
      <c r="Y576" s="213">
        <f>IF(AC576="Intr",G576,G576*Definitions!$B$55)</f>
        <v>3720</v>
      </c>
      <c r="Z576" s="213" t="s">
        <v>966</v>
      </c>
      <c r="AA576" s="213" t="s">
        <v>965</v>
      </c>
      <c r="AB576" s="213"/>
      <c r="AC576" s="208"/>
      <c r="AD576" s="208"/>
      <c r="AE576" s="208"/>
      <c r="AF576" s="208"/>
      <c r="AG576" s="214"/>
      <c r="AH576" s="208"/>
    </row>
    <row r="577" spans="1:34" x14ac:dyDescent="0.2">
      <c r="A577" s="37">
        <v>44914</v>
      </c>
      <c r="B577" s="38" t="s">
        <v>134</v>
      </c>
      <c r="C577" s="38">
        <v>2022</v>
      </c>
      <c r="D577" s="38" t="s">
        <v>7</v>
      </c>
      <c r="E577" s="177">
        <v>-0.14399999999999999</v>
      </c>
      <c r="F577" s="177" t="s">
        <v>32</v>
      </c>
      <c r="G577" s="269">
        <v>11520</v>
      </c>
      <c r="H577" s="179">
        <v>358</v>
      </c>
      <c r="I577" s="177" t="s">
        <v>80</v>
      </c>
      <c r="J577" s="177" t="s">
        <v>38</v>
      </c>
      <c r="K577" s="177">
        <v>3.5999999999999997E-2</v>
      </c>
      <c r="L577" s="177" t="s">
        <v>1269</v>
      </c>
      <c r="M577" s="177" t="s">
        <v>1270</v>
      </c>
      <c r="N577" s="70" t="s">
        <v>1271</v>
      </c>
      <c r="O577" s="38"/>
      <c r="P577" s="38" t="s">
        <v>137</v>
      </c>
      <c r="Q577" s="760">
        <v>40.000300000000003</v>
      </c>
      <c r="R577" s="590">
        <v>-86.019300000000001</v>
      </c>
      <c r="S577" s="38" t="s">
        <v>63</v>
      </c>
      <c r="T577" s="38"/>
      <c r="U577" s="38" t="s">
        <v>51</v>
      </c>
      <c r="V577" s="37"/>
      <c r="W577" s="39">
        <f>IF(AC577="Intr",0,G577*Definitions!$B$53)</f>
        <v>1728</v>
      </c>
      <c r="X577" s="39">
        <f>IF(AC577="Intr",0,G577*Definitions!$B$54)</f>
        <v>8063.9999999999991</v>
      </c>
      <c r="Y577" s="39">
        <f>IF(AC577="Intr",G577,G577*Definitions!$B$55)</f>
        <v>1728</v>
      </c>
      <c r="Z577" s="39" t="s">
        <v>966</v>
      </c>
      <c r="AA577" s="39" t="s">
        <v>965</v>
      </c>
      <c r="AB577" s="39"/>
      <c r="AC577" s="38"/>
      <c r="AD577" s="38"/>
      <c r="AE577" s="38"/>
      <c r="AF577" s="38"/>
      <c r="AG577" s="40"/>
      <c r="AH577" s="38"/>
    </row>
    <row r="578" spans="1:34" x14ac:dyDescent="0.2">
      <c r="A578" s="37">
        <v>44914</v>
      </c>
      <c r="B578" s="38" t="s">
        <v>134</v>
      </c>
      <c r="C578" s="38">
        <v>2022</v>
      </c>
      <c r="D578" s="38" t="s">
        <v>7</v>
      </c>
      <c r="E578" s="177">
        <v>-61</v>
      </c>
      <c r="F578" s="177" t="s">
        <v>33</v>
      </c>
      <c r="G578" s="269">
        <v>27450</v>
      </c>
      <c r="H578" s="179">
        <v>358</v>
      </c>
      <c r="I578" s="177" t="s">
        <v>80</v>
      </c>
      <c r="J578" s="177" t="s">
        <v>39</v>
      </c>
      <c r="K578" s="177">
        <v>51</v>
      </c>
      <c r="L578" s="177" t="s">
        <v>1269</v>
      </c>
      <c r="M578" s="177" t="s">
        <v>1270</v>
      </c>
      <c r="N578" s="70" t="s">
        <v>1271</v>
      </c>
      <c r="O578" s="38"/>
      <c r="P578" s="38" t="s">
        <v>137</v>
      </c>
      <c r="Q578" s="760">
        <v>40.000300000000003</v>
      </c>
      <c r="R578" s="590">
        <v>-86.019300000000001</v>
      </c>
      <c r="S578" s="38" t="s">
        <v>63</v>
      </c>
      <c r="T578" s="38"/>
      <c r="U578" s="38" t="s">
        <v>51</v>
      </c>
      <c r="V578" s="37"/>
      <c r="W578" s="39">
        <f>IF(AC578="Intr",0,G578*Definitions!$B$53)</f>
        <v>4117.5</v>
      </c>
      <c r="X578" s="39">
        <f>IF(AC578="Intr",0,G578*Definitions!$B$54)</f>
        <v>19215</v>
      </c>
      <c r="Y578" s="39">
        <f>IF(AC578="Intr",G578,G578*Definitions!$B$55)</f>
        <v>4117.5</v>
      </c>
      <c r="Z578" s="39" t="s">
        <v>966</v>
      </c>
      <c r="AA578" s="39" t="s">
        <v>965</v>
      </c>
      <c r="AB578" s="39"/>
      <c r="AC578" s="38"/>
      <c r="AD578" s="38"/>
      <c r="AE578" s="38"/>
      <c r="AF578" s="38"/>
      <c r="AG578" s="40"/>
      <c r="AH578" s="38"/>
    </row>
    <row r="579" spans="1:34" x14ac:dyDescent="0.2">
      <c r="A579" s="37">
        <v>44922</v>
      </c>
      <c r="B579" s="38" t="s">
        <v>134</v>
      </c>
      <c r="C579" s="38">
        <v>2022</v>
      </c>
      <c r="D579" s="38" t="s">
        <v>6</v>
      </c>
      <c r="E579" s="177">
        <v>-0.42</v>
      </c>
      <c r="F579" s="177" t="s">
        <v>32</v>
      </c>
      <c r="G579" s="269">
        <v>33600</v>
      </c>
      <c r="H579" s="179">
        <v>360</v>
      </c>
      <c r="I579" s="177" t="s">
        <v>80</v>
      </c>
      <c r="J579" s="177" t="s">
        <v>36</v>
      </c>
      <c r="K579" s="177">
        <v>0.36</v>
      </c>
      <c r="L579" s="177" t="s">
        <v>1327</v>
      </c>
      <c r="M579" s="177" t="s">
        <v>1328</v>
      </c>
      <c r="N579" s="70" t="s">
        <v>1329</v>
      </c>
      <c r="O579" s="38"/>
      <c r="P579" s="38" t="s">
        <v>274</v>
      </c>
      <c r="Q579" s="760">
        <v>40.441000000000003</v>
      </c>
      <c r="R579" s="590">
        <v>-86.885599999999997</v>
      </c>
      <c r="S579" s="38" t="s">
        <v>63</v>
      </c>
      <c r="T579" s="38"/>
      <c r="U579" s="38" t="s">
        <v>51</v>
      </c>
      <c r="V579" s="37"/>
      <c r="W579" s="39">
        <v>5040</v>
      </c>
      <c r="X579" s="39">
        <v>23520</v>
      </c>
      <c r="Y579" s="39">
        <v>5040</v>
      </c>
      <c r="Z579" s="39" t="s">
        <v>966</v>
      </c>
      <c r="AA579" s="39" t="s">
        <v>965</v>
      </c>
      <c r="AB579" s="39"/>
      <c r="AC579" s="38"/>
      <c r="AD579" s="38"/>
      <c r="AE579" s="38"/>
      <c r="AF579" s="38"/>
      <c r="AG579" s="40"/>
      <c r="AH579" s="38"/>
    </row>
    <row r="580" spans="1:34" x14ac:dyDescent="0.2">
      <c r="A580" s="37">
        <v>44925</v>
      </c>
      <c r="B580" s="38" t="s">
        <v>134</v>
      </c>
      <c r="C580" s="38">
        <v>2022</v>
      </c>
      <c r="D580" s="38" t="s">
        <v>1</v>
      </c>
      <c r="E580" s="177">
        <v>-0.62</v>
      </c>
      <c r="F580" s="177" t="s">
        <v>32</v>
      </c>
      <c r="G580" s="269">
        <v>58900</v>
      </c>
      <c r="H580" s="179">
        <v>362</v>
      </c>
      <c r="I580" s="177" t="s">
        <v>80</v>
      </c>
      <c r="J580" s="177" t="s">
        <v>36</v>
      </c>
      <c r="K580" s="177">
        <v>0.31</v>
      </c>
      <c r="L580" s="177" t="s">
        <v>726</v>
      </c>
      <c r="M580" s="177" t="s">
        <v>1280</v>
      </c>
      <c r="N580" s="70" t="s">
        <v>1281</v>
      </c>
      <c r="O580" s="38"/>
      <c r="P580" s="38" t="s">
        <v>385</v>
      </c>
      <c r="Q580" s="760">
        <v>41.616900000000001</v>
      </c>
      <c r="R580" s="590">
        <v>-87.041520000000006</v>
      </c>
      <c r="S580" s="38" t="s">
        <v>63</v>
      </c>
      <c r="T580" s="38"/>
      <c r="U580" s="38" t="s">
        <v>51</v>
      </c>
      <c r="V580" s="37"/>
      <c r="W580" s="39">
        <f>IF(AC580="Intr",0,G580*Definitions!$B$53)</f>
        <v>8835</v>
      </c>
      <c r="X580" s="39">
        <f>IF(AC580="Intr",0,G580*Definitions!$B$54)</f>
        <v>41230</v>
      </c>
      <c r="Y580" s="39">
        <f>IF(AC580="Intr",G580,G580*Definitions!$B$55)</f>
        <v>8835</v>
      </c>
      <c r="Z580" s="39" t="s">
        <v>967</v>
      </c>
      <c r="AA580" s="39" t="s">
        <v>965</v>
      </c>
      <c r="AB580" s="39"/>
      <c r="AC580" s="38"/>
      <c r="AD580" s="38"/>
      <c r="AE580" s="38"/>
      <c r="AF580" s="38"/>
      <c r="AG580" s="40"/>
      <c r="AH580" s="38" t="s">
        <v>1282</v>
      </c>
    </row>
    <row r="581" spans="1:34" x14ac:dyDescent="0.2">
      <c r="A581" s="37">
        <v>44925</v>
      </c>
      <c r="B581" s="38" t="s">
        <v>134</v>
      </c>
      <c r="C581" s="38">
        <v>2022</v>
      </c>
      <c r="D581" s="38" t="s">
        <v>10</v>
      </c>
      <c r="E581" s="177">
        <v>-1370</v>
      </c>
      <c r="F581" s="177" t="s">
        <v>33</v>
      </c>
      <c r="G581" s="269">
        <v>548000</v>
      </c>
      <c r="H581" s="179">
        <v>364</v>
      </c>
      <c r="I581" s="177" t="s">
        <v>80</v>
      </c>
      <c r="J581" s="177" t="s">
        <v>39</v>
      </c>
      <c r="K581" s="177">
        <v>1370</v>
      </c>
      <c r="L581" s="177" t="s">
        <v>726</v>
      </c>
      <c r="M581" s="177" t="s">
        <v>1275</v>
      </c>
      <c r="N581" s="70" t="s">
        <v>1276</v>
      </c>
      <c r="O581" s="38"/>
      <c r="P581" s="38" t="s">
        <v>1277</v>
      </c>
      <c r="Q581" s="760">
        <v>38.792222000000002</v>
      </c>
      <c r="R581" s="590">
        <v>-84.902221999999995</v>
      </c>
      <c r="S581" s="38" t="s">
        <v>63</v>
      </c>
      <c r="T581" s="38"/>
      <c r="U581" s="38" t="s">
        <v>51</v>
      </c>
      <c r="V581" s="37"/>
      <c r="W581" s="39">
        <f>IF(AC581="Intr",0,G581*Definitions!$B$53)</f>
        <v>82200</v>
      </c>
      <c r="X581" s="39">
        <f>IF(AC581="Intr",0,G581*Definitions!$B$54)</f>
        <v>383600</v>
      </c>
      <c r="Y581" s="39">
        <f>IF(AC581="Intr",G581,G581*Definitions!$B$55)</f>
        <v>82200</v>
      </c>
      <c r="Z581" s="39" t="s">
        <v>966</v>
      </c>
      <c r="AA581" s="39" t="s">
        <v>965</v>
      </c>
      <c r="AB581" s="39"/>
      <c r="AC581" s="38"/>
      <c r="AD581" s="38"/>
      <c r="AE581" s="38"/>
      <c r="AF581" s="38"/>
      <c r="AG581" s="40"/>
      <c r="AH581" s="38" t="s">
        <v>710</v>
      </c>
    </row>
    <row r="582" spans="1:34" x14ac:dyDescent="0.2">
      <c r="A582" s="33">
        <v>44925</v>
      </c>
      <c r="B582" s="34" t="s">
        <v>134</v>
      </c>
      <c r="C582" s="34">
        <v>2022</v>
      </c>
      <c r="D582" s="34" t="s">
        <v>5</v>
      </c>
      <c r="E582" s="271">
        <v>-50</v>
      </c>
      <c r="F582" s="271" t="s">
        <v>33</v>
      </c>
      <c r="G582" s="272">
        <v>20000</v>
      </c>
      <c r="H582" s="273">
        <v>355</v>
      </c>
      <c r="I582" s="271" t="s">
        <v>80</v>
      </c>
      <c r="J582" s="271" t="s">
        <v>41</v>
      </c>
      <c r="K582" s="271">
        <v>50</v>
      </c>
      <c r="L582" s="271" t="s">
        <v>726</v>
      </c>
      <c r="M582" s="271" t="s">
        <v>1272</v>
      </c>
      <c r="N582" s="116" t="s">
        <v>1273</v>
      </c>
      <c r="O582" s="34"/>
      <c r="P582" s="34" t="s">
        <v>1274</v>
      </c>
      <c r="Q582" s="773">
        <v>40.449575000000003</v>
      </c>
      <c r="R582" s="592">
        <v>-85.546802999999997</v>
      </c>
      <c r="S582" s="34" t="s">
        <v>63</v>
      </c>
      <c r="T582" s="34"/>
      <c r="U582" s="34" t="s">
        <v>51</v>
      </c>
      <c r="V582" s="33"/>
      <c r="W582" s="35">
        <f>IF(AC582="Intr",0,G582*Definitions!$B$53)</f>
        <v>3000</v>
      </c>
      <c r="X582" s="35">
        <f>IF(AC582="Intr",0,G582*Definitions!$B$54)</f>
        <v>14000</v>
      </c>
      <c r="Y582" s="35">
        <f>IF(AC582="Intr",G582,G582*Definitions!$B$55)</f>
        <v>3000</v>
      </c>
      <c r="Z582" s="35" t="s">
        <v>966</v>
      </c>
      <c r="AA582" s="35" t="s">
        <v>965</v>
      </c>
      <c r="AB582" s="35"/>
      <c r="AC582" s="34"/>
      <c r="AD582" s="34"/>
      <c r="AE582" s="34"/>
      <c r="AF582" s="34"/>
      <c r="AG582" s="36"/>
      <c r="AH582" s="34"/>
    </row>
    <row r="583" spans="1:34" x14ac:dyDescent="0.2">
      <c r="A583" s="207">
        <v>44925</v>
      </c>
      <c r="B583" s="208" t="s">
        <v>134</v>
      </c>
      <c r="C583" s="208">
        <v>2022</v>
      </c>
      <c r="D583" s="208" t="s">
        <v>7</v>
      </c>
      <c r="E583" s="209">
        <v>-50</v>
      </c>
      <c r="F583" s="209" t="s">
        <v>33</v>
      </c>
      <c r="G583" s="210">
        <v>22500</v>
      </c>
      <c r="H583" s="211">
        <v>363</v>
      </c>
      <c r="I583" s="209" t="s">
        <v>80</v>
      </c>
      <c r="J583" s="209" t="s">
        <v>39</v>
      </c>
      <c r="K583" s="209">
        <v>50</v>
      </c>
      <c r="L583" s="209" t="s">
        <v>726</v>
      </c>
      <c r="M583" s="209" t="s">
        <v>1283</v>
      </c>
      <c r="N583" s="212" t="s">
        <v>1284</v>
      </c>
      <c r="O583" s="208"/>
      <c r="P583" s="208" t="s">
        <v>1285</v>
      </c>
      <c r="Q583" s="749">
        <v>39.566926000000002</v>
      </c>
      <c r="R583" s="641">
        <v>-86.255801000000005</v>
      </c>
      <c r="S583" s="208" t="s">
        <v>63</v>
      </c>
      <c r="T583" s="208"/>
      <c r="U583" s="208" t="s">
        <v>51</v>
      </c>
      <c r="V583" s="207"/>
      <c r="W583" s="213">
        <f>IF(AC583="Intr",0,G583*Definitions!$B$53)</f>
        <v>3375</v>
      </c>
      <c r="X583" s="213">
        <f>IF(AC583="Intr",0,G583*Definitions!$B$54)</f>
        <v>15749.999999999998</v>
      </c>
      <c r="Y583" s="213">
        <f>IF(AC583="Intr",G583,G583*Definitions!$B$55)</f>
        <v>3375</v>
      </c>
      <c r="Z583" s="213" t="s">
        <v>966</v>
      </c>
      <c r="AA583" s="213" t="s">
        <v>965</v>
      </c>
      <c r="AB583" s="213"/>
      <c r="AC583" s="208"/>
      <c r="AD583" s="208"/>
      <c r="AE583" s="208"/>
      <c r="AF583" s="208"/>
      <c r="AG583" s="214"/>
      <c r="AH583" s="208"/>
    </row>
    <row r="584" spans="1:34" x14ac:dyDescent="0.2">
      <c r="A584" s="207">
        <v>44925</v>
      </c>
      <c r="B584" s="208" t="s">
        <v>134</v>
      </c>
      <c r="C584" s="208">
        <v>2022</v>
      </c>
      <c r="D584" s="208" t="s">
        <v>7</v>
      </c>
      <c r="E584" s="209">
        <v>-1.46</v>
      </c>
      <c r="F584" s="209" t="s">
        <v>32</v>
      </c>
      <c r="G584" s="210">
        <v>116800</v>
      </c>
      <c r="H584" s="211">
        <v>363</v>
      </c>
      <c r="I584" s="209" t="s">
        <v>80</v>
      </c>
      <c r="J584" s="209" t="s">
        <v>36</v>
      </c>
      <c r="K584" s="209">
        <v>0.60499999999999998</v>
      </c>
      <c r="L584" s="209" t="s">
        <v>726</v>
      </c>
      <c r="M584" s="209" t="s">
        <v>1283</v>
      </c>
      <c r="N584" s="212" t="s">
        <v>1284</v>
      </c>
      <c r="O584" s="208"/>
      <c r="P584" s="208" t="s">
        <v>1285</v>
      </c>
      <c r="Q584" s="749">
        <v>39.566926000000002</v>
      </c>
      <c r="R584" s="641">
        <v>-86.255801000000005</v>
      </c>
      <c r="S584" s="208" t="s">
        <v>63</v>
      </c>
      <c r="T584" s="208"/>
      <c r="U584" s="208" t="s">
        <v>51</v>
      </c>
      <c r="V584" s="207"/>
      <c r="W584" s="213">
        <f>IF(AC584="Intr",0,G584*Definitions!$B$53)</f>
        <v>17520</v>
      </c>
      <c r="X584" s="213">
        <f>IF(AC584="Intr",0,G584*Definitions!$B$54)</f>
        <v>81760</v>
      </c>
      <c r="Y584" s="213">
        <f>IF(AC584="Intr",G584,G584*Definitions!$B$55)</f>
        <v>17520</v>
      </c>
      <c r="Z584" s="213" t="s">
        <v>966</v>
      </c>
      <c r="AA584" s="213" t="s">
        <v>965</v>
      </c>
      <c r="AB584" s="213"/>
      <c r="AC584" s="208"/>
      <c r="AD584" s="208"/>
      <c r="AE584" s="208"/>
      <c r="AF584" s="208"/>
      <c r="AG584" s="214"/>
      <c r="AH584" s="208"/>
    </row>
    <row r="585" spans="1:34" x14ac:dyDescent="0.2">
      <c r="A585" s="207">
        <v>44925</v>
      </c>
      <c r="B585" s="208" t="s">
        <v>134</v>
      </c>
      <c r="C585" s="208">
        <v>2022</v>
      </c>
      <c r="D585" s="208" t="s">
        <v>7</v>
      </c>
      <c r="E585" s="209">
        <v>-1.004</v>
      </c>
      <c r="F585" s="209" t="s">
        <v>32</v>
      </c>
      <c r="G585" s="210">
        <v>80320</v>
      </c>
      <c r="H585" s="211">
        <v>363</v>
      </c>
      <c r="I585" s="209" t="s">
        <v>80</v>
      </c>
      <c r="J585" s="209" t="s">
        <v>38</v>
      </c>
      <c r="K585" s="209">
        <v>0.251</v>
      </c>
      <c r="L585" s="209" t="s">
        <v>726</v>
      </c>
      <c r="M585" s="209" t="s">
        <v>1283</v>
      </c>
      <c r="N585" s="212" t="s">
        <v>1284</v>
      </c>
      <c r="O585" s="208"/>
      <c r="P585" s="208" t="s">
        <v>1285</v>
      </c>
      <c r="Q585" s="749">
        <v>39.566926000000002</v>
      </c>
      <c r="R585" s="641">
        <v>-86.255801000000005</v>
      </c>
      <c r="S585" s="208" t="s">
        <v>63</v>
      </c>
      <c r="T585" s="208"/>
      <c r="U585" s="208" t="s">
        <v>51</v>
      </c>
      <c r="V585" s="207"/>
      <c r="W585" s="213">
        <f>IF(AC585="Intr",0,G585*Definitions!$B$53)</f>
        <v>12048</v>
      </c>
      <c r="X585" s="213">
        <f>IF(AC585="Intr",0,G585*Definitions!$B$54)</f>
        <v>56224</v>
      </c>
      <c r="Y585" s="213">
        <f>IF(AC585="Intr",G585,G585*Definitions!$B$55)</f>
        <v>12048</v>
      </c>
      <c r="Z585" s="213" t="s">
        <v>966</v>
      </c>
      <c r="AA585" s="213" t="s">
        <v>965</v>
      </c>
      <c r="AB585" s="213"/>
      <c r="AC585" s="208"/>
      <c r="AD585" s="208"/>
      <c r="AE585" s="208"/>
      <c r="AF585" s="208"/>
      <c r="AG585" s="214"/>
      <c r="AH585" s="208"/>
    </row>
    <row r="586" spans="1:34" x14ac:dyDescent="0.2">
      <c r="A586" s="274">
        <v>44925</v>
      </c>
      <c r="B586" s="275" t="s">
        <v>134</v>
      </c>
      <c r="C586" s="275">
        <v>2022</v>
      </c>
      <c r="D586" s="275" t="s">
        <v>8</v>
      </c>
      <c r="E586" s="276">
        <v>-110</v>
      </c>
      <c r="F586" s="276" t="s">
        <v>33</v>
      </c>
      <c r="G586" s="277">
        <v>44000</v>
      </c>
      <c r="H586" s="278">
        <v>357</v>
      </c>
      <c r="I586" s="276" t="s">
        <v>80</v>
      </c>
      <c r="J586" s="276" t="s">
        <v>39</v>
      </c>
      <c r="K586" s="276">
        <v>110</v>
      </c>
      <c r="L586" s="276" t="s">
        <v>726</v>
      </c>
      <c r="M586" s="276" t="s">
        <v>1278</v>
      </c>
      <c r="N586" s="279" t="s">
        <v>1279</v>
      </c>
      <c r="O586" s="275"/>
      <c r="P586" s="275" t="s">
        <v>176</v>
      </c>
      <c r="Q586" s="755">
        <v>39.280039000000002</v>
      </c>
      <c r="R586" s="657">
        <v>-84.874027999999996</v>
      </c>
      <c r="S586" s="275" t="s">
        <v>63</v>
      </c>
      <c r="T586" s="275"/>
      <c r="U586" s="275" t="s">
        <v>51</v>
      </c>
      <c r="V586" s="274"/>
      <c r="W586" s="280">
        <f>IF(AC586="Intr",0,G586*Definitions!$B$53)</f>
        <v>6600</v>
      </c>
      <c r="X586" s="280">
        <f>IF(AC586="Intr",0,G586*Definitions!$B$54)</f>
        <v>30799.999999999996</v>
      </c>
      <c r="Y586" s="280">
        <f>IF(AC586="Intr",G586,G586*Definitions!$B$55)</f>
        <v>6600</v>
      </c>
      <c r="Z586" s="280" t="s">
        <v>966</v>
      </c>
      <c r="AA586" s="280" t="s">
        <v>965</v>
      </c>
      <c r="AB586" s="280"/>
      <c r="AC586" s="275"/>
      <c r="AD586" s="275"/>
      <c r="AE586" s="275"/>
      <c r="AF586" s="275"/>
      <c r="AG586" s="281"/>
      <c r="AH586" s="275" t="s">
        <v>710</v>
      </c>
    </row>
    <row r="587" spans="1:34" x14ac:dyDescent="0.2">
      <c r="A587" s="529"/>
      <c r="B587" s="530"/>
      <c r="C587" s="530"/>
      <c r="D587" s="530"/>
      <c r="E587" s="531"/>
      <c r="F587" s="531"/>
      <c r="G587" s="532"/>
      <c r="H587" s="533"/>
      <c r="I587" s="531"/>
      <c r="J587" s="531"/>
      <c r="K587" s="531"/>
      <c r="L587" s="531"/>
      <c r="M587" s="531"/>
      <c r="N587" s="534"/>
      <c r="O587" s="530"/>
      <c r="P587" s="530"/>
      <c r="Q587" s="758"/>
      <c r="R587" s="659"/>
      <c r="S587" s="530"/>
      <c r="T587" s="530"/>
      <c r="U587" s="530"/>
      <c r="V587" s="529"/>
      <c r="W587" s="535"/>
      <c r="X587" s="535"/>
      <c r="Y587" s="535"/>
      <c r="Z587" s="535"/>
      <c r="AA587" s="535"/>
      <c r="AB587" s="535"/>
      <c r="AC587" s="530"/>
      <c r="AD587" s="530"/>
      <c r="AE587" s="530"/>
      <c r="AF587" s="530"/>
      <c r="AG587" s="536"/>
      <c r="AH587" s="530"/>
    </row>
    <row r="588" spans="1:34" x14ac:dyDescent="0.2">
      <c r="A588" s="37">
        <v>44949</v>
      </c>
      <c r="B588" s="38" t="s">
        <v>635</v>
      </c>
      <c r="C588" s="38">
        <v>2023</v>
      </c>
      <c r="D588" s="38" t="s">
        <v>7</v>
      </c>
      <c r="E588" s="177">
        <v>-330.5</v>
      </c>
      <c r="F588" s="177" t="s">
        <v>33</v>
      </c>
      <c r="G588" s="269">
        <v>148725</v>
      </c>
      <c r="H588" s="179">
        <v>356</v>
      </c>
      <c r="I588" s="177" t="s">
        <v>80</v>
      </c>
      <c r="J588" s="177" t="s">
        <v>39</v>
      </c>
      <c r="K588" s="177">
        <v>330.5</v>
      </c>
      <c r="L588" s="177" t="s">
        <v>1235</v>
      </c>
      <c r="M588" s="177" t="s">
        <v>1287</v>
      </c>
      <c r="N588" s="70" t="s">
        <v>1286</v>
      </c>
      <c r="O588" s="38"/>
      <c r="P588" s="38" t="s">
        <v>137</v>
      </c>
      <c r="Q588" s="760">
        <v>40.040700000000001</v>
      </c>
      <c r="R588" s="590">
        <v>-86.025099999999995</v>
      </c>
      <c r="S588" s="38" t="s">
        <v>63</v>
      </c>
      <c r="T588" s="38"/>
      <c r="U588" s="38" t="s">
        <v>51</v>
      </c>
      <c r="V588" s="37"/>
      <c r="W588" s="39">
        <f>IF(AC588="Intr",0,G588*Definitions!$B$53)</f>
        <v>22308.75</v>
      </c>
      <c r="X588" s="39">
        <f>IF(AC588="Intr",0,G588*Definitions!$B$54)</f>
        <v>104107.5</v>
      </c>
      <c r="Y588" s="39">
        <f>IF(AC588="Intr",G588,G588*Definitions!$B$55)</f>
        <v>22308.75</v>
      </c>
      <c r="Z588" s="39" t="s">
        <v>966</v>
      </c>
      <c r="AA588" s="39" t="s">
        <v>965</v>
      </c>
      <c r="AB588" s="39"/>
      <c r="AC588" s="38"/>
      <c r="AD588" s="38"/>
      <c r="AE588" s="38"/>
      <c r="AF588" s="38"/>
      <c r="AG588" s="40"/>
      <c r="AH588" s="38" t="s">
        <v>710</v>
      </c>
    </row>
    <row r="589" spans="1:34" x14ac:dyDescent="0.2">
      <c r="A589" s="33">
        <v>44956</v>
      </c>
      <c r="B589" s="34" t="s">
        <v>635</v>
      </c>
      <c r="C589" s="34">
        <v>2023</v>
      </c>
      <c r="D589" s="34" t="s">
        <v>1</v>
      </c>
      <c r="E589" s="271">
        <v>-0.15</v>
      </c>
      <c r="F589" s="271" t="s">
        <v>32</v>
      </c>
      <c r="G589" s="272">
        <v>14250</v>
      </c>
      <c r="H589" s="273">
        <v>367</v>
      </c>
      <c r="I589" s="271" t="s">
        <v>81</v>
      </c>
      <c r="J589" s="271" t="s">
        <v>38</v>
      </c>
      <c r="K589" s="271">
        <v>0.14699999999999999</v>
      </c>
      <c r="L589" s="271" t="s">
        <v>1288</v>
      </c>
      <c r="M589" s="271" t="s">
        <v>103</v>
      </c>
      <c r="N589" s="116" t="s">
        <v>1289</v>
      </c>
      <c r="O589" s="34"/>
      <c r="P589" s="34" t="s">
        <v>166</v>
      </c>
      <c r="Q589" s="773">
        <v>41.653461</v>
      </c>
      <c r="R589" s="592">
        <v>-86.894983999999994</v>
      </c>
      <c r="S589" s="34" t="s">
        <v>62</v>
      </c>
      <c r="T589" s="34"/>
      <c r="U589" s="34" t="s">
        <v>51</v>
      </c>
      <c r="V589" s="33"/>
      <c r="W589" s="35">
        <f>IF(AC589="Intr",0,G589*Definitions!$B$53)</f>
        <v>2137.5</v>
      </c>
      <c r="X589" s="35">
        <f>IF(AC589="Intr",0,G589*Definitions!$B$54)</f>
        <v>9975</v>
      </c>
      <c r="Y589" s="35">
        <f>IF(AC589="Intr",G589,G589*Definitions!$B$55)</f>
        <v>2137.5</v>
      </c>
      <c r="Z589" s="35" t="s">
        <v>967</v>
      </c>
      <c r="AA589" s="35" t="s">
        <v>963</v>
      </c>
      <c r="AB589" s="35" t="s">
        <v>1245</v>
      </c>
      <c r="AC589" s="34"/>
      <c r="AD589" s="34"/>
      <c r="AE589" s="34"/>
      <c r="AF589" s="34"/>
      <c r="AG589" s="36"/>
      <c r="AH589" s="34"/>
    </row>
    <row r="590" spans="1:34" x14ac:dyDescent="0.2">
      <c r="A590" s="37">
        <v>44959</v>
      </c>
      <c r="B590" s="38" t="s">
        <v>163</v>
      </c>
      <c r="C590" s="38">
        <v>2023</v>
      </c>
      <c r="D590" s="38" t="s">
        <v>7</v>
      </c>
      <c r="E590" s="177">
        <v>-0.02</v>
      </c>
      <c r="F590" s="177" t="s">
        <v>32</v>
      </c>
      <c r="G590" s="269">
        <v>1600</v>
      </c>
      <c r="H590" s="179">
        <v>292</v>
      </c>
      <c r="I590" s="177" t="s">
        <v>81</v>
      </c>
      <c r="J590" s="177" t="s">
        <v>36</v>
      </c>
      <c r="K590" s="177">
        <v>0.02</v>
      </c>
      <c r="L590" s="177" t="s">
        <v>1290</v>
      </c>
      <c r="M590" s="177" t="s">
        <v>103</v>
      </c>
      <c r="N590" s="70" t="s">
        <v>1291</v>
      </c>
      <c r="O590" s="38"/>
      <c r="P590" s="38" t="s">
        <v>117</v>
      </c>
      <c r="Q590" s="760">
        <v>39.954666000000003</v>
      </c>
      <c r="R590" s="590">
        <v>-86.358998999999997</v>
      </c>
      <c r="S590" s="38" t="s">
        <v>61</v>
      </c>
      <c r="T590" s="38"/>
      <c r="U590" s="38" t="s">
        <v>51</v>
      </c>
      <c r="V590" s="37"/>
      <c r="W590" s="39">
        <f>IF(AC590="Intr",0,G590*Definitions!$B$53)</f>
        <v>240</v>
      </c>
      <c r="X590" s="39">
        <f>IF(AC590="Intr",0,G590*Definitions!$B$54)</f>
        <v>1120</v>
      </c>
      <c r="Y590" s="39">
        <f>IF(AC590="Intr",G590,G590*Definitions!$B$55)</f>
        <v>240</v>
      </c>
      <c r="Z590" s="39" t="s">
        <v>966</v>
      </c>
      <c r="AA590" s="39" t="s">
        <v>963</v>
      </c>
      <c r="AB590" s="39" t="s">
        <v>969</v>
      </c>
      <c r="AC590" s="38"/>
      <c r="AD590" s="38"/>
      <c r="AE590" s="38"/>
      <c r="AF590" s="38"/>
      <c r="AG590" s="40"/>
      <c r="AH590" s="38"/>
    </row>
    <row r="591" spans="1:34" x14ac:dyDescent="0.2">
      <c r="A591" s="274">
        <v>44964</v>
      </c>
      <c r="B591" s="275" t="s">
        <v>163</v>
      </c>
      <c r="C591" s="275">
        <v>2023</v>
      </c>
      <c r="D591" s="275" t="s">
        <v>1</v>
      </c>
      <c r="E591" s="276">
        <v>-2</v>
      </c>
      <c r="F591" s="276" t="s">
        <v>32</v>
      </c>
      <c r="G591" s="277">
        <v>190000</v>
      </c>
      <c r="H591" s="278">
        <v>316</v>
      </c>
      <c r="I591" s="276" t="s">
        <v>80</v>
      </c>
      <c r="J591" s="276" t="s">
        <v>36</v>
      </c>
      <c r="K591" s="276">
        <v>2</v>
      </c>
      <c r="L591" s="276" t="s">
        <v>1292</v>
      </c>
      <c r="M591" s="276" t="s">
        <v>103</v>
      </c>
      <c r="N591" s="279" t="s">
        <v>1293</v>
      </c>
      <c r="O591" s="275"/>
      <c r="P591" s="275" t="s">
        <v>227</v>
      </c>
      <c r="Q591" s="755">
        <v>-87.417884000000001</v>
      </c>
      <c r="R591" s="657">
        <v>41.560015999999997</v>
      </c>
      <c r="S591" s="275" t="s">
        <v>60</v>
      </c>
      <c r="T591" s="275"/>
      <c r="U591" s="275" t="s">
        <v>51</v>
      </c>
      <c r="V591" s="274"/>
      <c r="W591" s="280">
        <f>IF(AC591="Intr",0,G591*Definitions!$B$53)</f>
        <v>28500</v>
      </c>
      <c r="X591" s="280">
        <f>IF(AC591="Intr",0,G591*Definitions!$B$54)</f>
        <v>133000</v>
      </c>
      <c r="Y591" s="280">
        <f>IF(AC591="Intr",G591,G591*Definitions!$B$55)</f>
        <v>28500</v>
      </c>
      <c r="Z591" s="280" t="s">
        <v>967</v>
      </c>
      <c r="AA591" s="280" t="s">
        <v>965</v>
      </c>
      <c r="AB591" s="280"/>
      <c r="AC591" s="275"/>
      <c r="AD591" s="275"/>
      <c r="AE591" s="275"/>
      <c r="AF591" s="275"/>
      <c r="AG591" s="281"/>
      <c r="AH591" s="275" t="s">
        <v>1294</v>
      </c>
    </row>
    <row r="592" spans="1:34" x14ac:dyDescent="0.2">
      <c r="A592" s="207">
        <v>44966</v>
      </c>
      <c r="B592" s="208" t="s">
        <v>163</v>
      </c>
      <c r="C592" s="208">
        <v>2023</v>
      </c>
      <c r="D592" s="208" t="s">
        <v>11</v>
      </c>
      <c r="E592" s="209">
        <v>-151</v>
      </c>
      <c r="F592" s="209" t="s">
        <v>33</v>
      </c>
      <c r="G592" s="210">
        <v>60400</v>
      </c>
      <c r="H592" s="211">
        <v>343</v>
      </c>
      <c r="I592" s="209" t="s">
        <v>80</v>
      </c>
      <c r="J592" s="209" t="s">
        <v>40</v>
      </c>
      <c r="K592" s="209">
        <v>126</v>
      </c>
      <c r="L592" s="209" t="s">
        <v>86</v>
      </c>
      <c r="M592" s="209" t="s">
        <v>1295</v>
      </c>
      <c r="N592" s="212" t="s">
        <v>1296</v>
      </c>
      <c r="O592" s="208"/>
      <c r="P592" s="208" t="s">
        <v>1297</v>
      </c>
      <c r="Q592" s="749">
        <v>38.010286000000001</v>
      </c>
      <c r="R592" s="641">
        <v>-87.548895999999999</v>
      </c>
      <c r="S592" s="208" t="s">
        <v>62</v>
      </c>
      <c r="T592" s="208"/>
      <c r="U592" s="208" t="s">
        <v>51</v>
      </c>
      <c r="V592" s="207"/>
      <c r="W592" s="213">
        <f>IF(AC592="Intr",0,G592*Definitions!$B$53)</f>
        <v>9060</v>
      </c>
      <c r="X592" s="213">
        <f>IF(AC592="Intr",0,G592*Definitions!$B$54)</f>
        <v>42280</v>
      </c>
      <c r="Y592" s="213">
        <f>IF(AC592="Intr",G592,G592*Definitions!$B$55)</f>
        <v>9060</v>
      </c>
      <c r="Z592" s="213" t="s">
        <v>966</v>
      </c>
      <c r="AA592" s="213" t="s">
        <v>965</v>
      </c>
      <c r="AB592" s="213"/>
      <c r="AC592" s="208"/>
      <c r="AD592" s="208"/>
      <c r="AE592" s="208"/>
      <c r="AF592" s="208"/>
      <c r="AG592" s="214"/>
      <c r="AH592" s="208" t="s">
        <v>1298</v>
      </c>
    </row>
    <row r="593" spans="1:34" x14ac:dyDescent="0.2">
      <c r="A593" s="207">
        <v>44966</v>
      </c>
      <c r="B593" s="208" t="s">
        <v>163</v>
      </c>
      <c r="C593" s="208">
        <v>2023</v>
      </c>
      <c r="D593" s="208" t="s">
        <v>11</v>
      </c>
      <c r="E593" s="209">
        <v>-48</v>
      </c>
      <c r="F593" s="209" t="s">
        <v>33</v>
      </c>
      <c r="G593" s="210">
        <v>19200</v>
      </c>
      <c r="H593" s="211">
        <v>343</v>
      </c>
      <c r="I593" s="209" t="s">
        <v>80</v>
      </c>
      <c r="J593" s="209" t="s">
        <v>39</v>
      </c>
      <c r="K593" s="209">
        <v>40</v>
      </c>
      <c r="L593" s="209" t="s">
        <v>86</v>
      </c>
      <c r="M593" s="209" t="s">
        <v>1295</v>
      </c>
      <c r="N593" s="212" t="s">
        <v>1296</v>
      </c>
      <c r="O593" s="208"/>
      <c r="P593" s="208" t="s">
        <v>1297</v>
      </c>
      <c r="Q593" s="749">
        <v>38.010286000000001</v>
      </c>
      <c r="R593" s="641">
        <v>-87.548895999999999</v>
      </c>
      <c r="S593" s="208" t="s">
        <v>62</v>
      </c>
      <c r="T593" s="208"/>
      <c r="U593" s="208" t="s">
        <v>51</v>
      </c>
      <c r="V593" s="207"/>
      <c r="W593" s="213">
        <f>IF(AC593="Intr",0,G593*Definitions!$B$53)</f>
        <v>2880</v>
      </c>
      <c r="X593" s="213">
        <f>IF(AC593="Intr",0,G593*Definitions!$B$54)</f>
        <v>13440</v>
      </c>
      <c r="Y593" s="213">
        <f>IF(AC593="Intr",G593,G593*Definitions!$B$55)</f>
        <v>2880</v>
      </c>
      <c r="Z593" s="213" t="s">
        <v>966</v>
      </c>
      <c r="AA593" s="213" t="s">
        <v>965</v>
      </c>
      <c r="AB593" s="213"/>
      <c r="AC593" s="208"/>
      <c r="AD593" s="208"/>
      <c r="AE593" s="208"/>
      <c r="AF593" s="208"/>
      <c r="AG593" s="214"/>
      <c r="AH593" s="208" t="s">
        <v>1298</v>
      </c>
    </row>
    <row r="594" spans="1:34" x14ac:dyDescent="0.2">
      <c r="A594" s="33">
        <v>44973</v>
      </c>
      <c r="B594" s="34" t="s">
        <v>163</v>
      </c>
      <c r="C594" s="34">
        <v>2023</v>
      </c>
      <c r="D594" s="34" t="s">
        <v>7</v>
      </c>
      <c r="E594" s="271">
        <v>-5.3999999999999999E-2</v>
      </c>
      <c r="F594" s="271" t="s">
        <v>32</v>
      </c>
      <c r="G594" s="272">
        <v>4320</v>
      </c>
      <c r="H594" s="273">
        <v>378</v>
      </c>
      <c r="I594" s="271" t="s">
        <v>81</v>
      </c>
      <c r="J594" s="271" t="s">
        <v>38</v>
      </c>
      <c r="K594" s="271">
        <v>2.7E-2</v>
      </c>
      <c r="L594" s="271" t="s">
        <v>1299</v>
      </c>
      <c r="M594" s="271" t="s">
        <v>103</v>
      </c>
      <c r="N594" s="116" t="s">
        <v>1300</v>
      </c>
      <c r="O594" s="34"/>
      <c r="P594" s="34" t="s">
        <v>121</v>
      </c>
      <c r="Q594" s="773">
        <v>39.831012000000001</v>
      </c>
      <c r="R594" s="592">
        <v>-85.952631999999994</v>
      </c>
      <c r="S594" s="34" t="s">
        <v>61</v>
      </c>
      <c r="T594" s="34"/>
      <c r="U594" s="34" t="s">
        <v>51</v>
      </c>
      <c r="V594" s="33"/>
      <c r="W594" s="35">
        <f>IF(AC594="Intr",0,G594*Definitions!$B$53)</f>
        <v>648</v>
      </c>
      <c r="X594" s="35">
        <f>IF(AC594="Intr",0,G594*Definitions!$B$54)</f>
        <v>3024</v>
      </c>
      <c r="Y594" s="35">
        <f>IF(AC594="Intr",G594,G594*Definitions!$B$55)</f>
        <v>648</v>
      </c>
      <c r="Z594" s="35" t="s">
        <v>966</v>
      </c>
      <c r="AA594" s="35" t="s">
        <v>963</v>
      </c>
      <c r="AB594" s="35" t="s">
        <v>1245</v>
      </c>
      <c r="AC594" s="34"/>
      <c r="AD594" s="34"/>
      <c r="AE594" s="34"/>
      <c r="AF594" s="34"/>
      <c r="AG594" s="36"/>
      <c r="AH594" s="34"/>
    </row>
    <row r="595" spans="1:34" x14ac:dyDescent="0.2">
      <c r="A595" s="33">
        <v>44973</v>
      </c>
      <c r="B595" s="34" t="s">
        <v>163</v>
      </c>
      <c r="C595" s="34">
        <v>2023</v>
      </c>
      <c r="D595" s="34" t="s">
        <v>7</v>
      </c>
      <c r="E595" s="271">
        <v>-0.1095</v>
      </c>
      <c r="F595" s="271" t="s">
        <v>32</v>
      </c>
      <c r="G595" s="272">
        <v>8760</v>
      </c>
      <c r="H595" s="273">
        <v>378</v>
      </c>
      <c r="I595" s="271" t="s">
        <v>81</v>
      </c>
      <c r="J595" s="271" t="s">
        <v>36</v>
      </c>
      <c r="K595" s="271">
        <v>7.2999999999999995E-2</v>
      </c>
      <c r="L595" s="271" t="s">
        <v>1299</v>
      </c>
      <c r="M595" s="271" t="s">
        <v>103</v>
      </c>
      <c r="N595" s="116" t="s">
        <v>1300</v>
      </c>
      <c r="O595" s="34"/>
      <c r="P595" s="34" t="s">
        <v>121</v>
      </c>
      <c r="Q595" s="773">
        <v>39.831012000000001</v>
      </c>
      <c r="R595" s="592">
        <v>-85.952631999999994</v>
      </c>
      <c r="S595" s="34" t="s">
        <v>61</v>
      </c>
      <c r="T595" s="34"/>
      <c r="U595" s="34" t="s">
        <v>51</v>
      </c>
      <c r="V595" s="33"/>
      <c r="W595" s="35">
        <f>IF(AC595="Intr",0,G595*Definitions!$B$53)</f>
        <v>1314</v>
      </c>
      <c r="X595" s="35">
        <f>IF(AC595="Intr",0,G595*Definitions!$B$54)</f>
        <v>6132</v>
      </c>
      <c r="Y595" s="35">
        <f>IF(AC595="Intr",G595,G595*Definitions!$B$55)</f>
        <v>1314</v>
      </c>
      <c r="Z595" s="35" t="s">
        <v>966</v>
      </c>
      <c r="AA595" s="35" t="s">
        <v>963</v>
      </c>
      <c r="AB595" s="35" t="s">
        <v>970</v>
      </c>
      <c r="AC595" s="34"/>
      <c r="AD595" s="34"/>
      <c r="AE595" s="34"/>
      <c r="AF595" s="34"/>
      <c r="AG595" s="36"/>
      <c r="AH595" s="34"/>
    </row>
    <row r="596" spans="1:34" x14ac:dyDescent="0.2">
      <c r="A596" s="33">
        <v>44977</v>
      </c>
      <c r="B596" s="34" t="s">
        <v>163</v>
      </c>
      <c r="C596" s="34">
        <v>2023</v>
      </c>
      <c r="D596" s="34" t="s">
        <v>9</v>
      </c>
      <c r="E596" s="271">
        <v>-79</v>
      </c>
      <c r="F596" s="271" t="s">
        <v>33</v>
      </c>
      <c r="G596" s="272">
        <v>31600</v>
      </c>
      <c r="H596" s="273">
        <v>369</v>
      </c>
      <c r="I596" s="271" t="s">
        <v>80</v>
      </c>
      <c r="J596" s="271" t="s">
        <v>40</v>
      </c>
      <c r="K596" s="271">
        <v>79</v>
      </c>
      <c r="L596" s="271" t="s">
        <v>726</v>
      </c>
      <c r="M596" s="271" t="s">
        <v>1306</v>
      </c>
      <c r="N596" s="116" t="s">
        <v>1307</v>
      </c>
      <c r="O596" s="34"/>
      <c r="P596" s="34" t="s">
        <v>313</v>
      </c>
      <c r="Q596" s="773">
        <v>39.008249999999997</v>
      </c>
      <c r="R596" s="592">
        <v>-86.090530000000001</v>
      </c>
      <c r="S596" s="34" t="s">
        <v>63</v>
      </c>
      <c r="T596" s="34"/>
      <c r="U596" s="34" t="s">
        <v>51</v>
      </c>
      <c r="V596" s="33"/>
      <c r="W596" s="35">
        <f>IF(AC596="Intr",0,G596*Definitions!$B$53)</f>
        <v>4740</v>
      </c>
      <c r="X596" s="35">
        <f>IF(AC596="Intr",0,G596*Definitions!$B$54)</f>
        <v>22120</v>
      </c>
      <c r="Y596" s="35">
        <f>IF(AC596="Intr",G596,G596*Definitions!$B$55)</f>
        <v>4740</v>
      </c>
      <c r="Z596" s="35" t="s">
        <v>966</v>
      </c>
      <c r="AA596" s="35" t="s">
        <v>965</v>
      </c>
      <c r="AB596" s="35"/>
      <c r="AC596" s="34"/>
      <c r="AD596" s="34"/>
      <c r="AE596" s="34"/>
      <c r="AF596" s="34"/>
      <c r="AG596" s="36"/>
      <c r="AH596" s="34"/>
    </row>
    <row r="597" spans="1:34" x14ac:dyDescent="0.2">
      <c r="A597" s="33">
        <v>44977</v>
      </c>
      <c r="B597" s="34" t="s">
        <v>163</v>
      </c>
      <c r="C597" s="34">
        <v>2023</v>
      </c>
      <c r="D597" s="34" t="s">
        <v>9</v>
      </c>
      <c r="E597" s="271">
        <v>-16</v>
      </c>
      <c r="F597" s="271" t="s">
        <v>33</v>
      </c>
      <c r="G597" s="272">
        <v>6400</v>
      </c>
      <c r="H597" s="273">
        <v>369</v>
      </c>
      <c r="I597" s="271" t="s">
        <v>80</v>
      </c>
      <c r="J597" s="271" t="s">
        <v>41</v>
      </c>
      <c r="K597" s="271">
        <v>16</v>
      </c>
      <c r="L597" s="271" t="s">
        <v>726</v>
      </c>
      <c r="M597" s="271" t="s">
        <v>1306</v>
      </c>
      <c r="N597" s="116" t="s">
        <v>1307</v>
      </c>
      <c r="O597" s="34"/>
      <c r="P597" s="34" t="s">
        <v>313</v>
      </c>
      <c r="Q597" s="773">
        <v>39.008249999999997</v>
      </c>
      <c r="R597" s="592">
        <v>-86.090530000000001</v>
      </c>
      <c r="S597" s="34" t="s">
        <v>63</v>
      </c>
      <c r="T597" s="34"/>
      <c r="U597" s="34" t="s">
        <v>51</v>
      </c>
      <c r="V597" s="33"/>
      <c r="W597" s="35">
        <f>IF(AC597="Intr",0,G597*Definitions!$B$53)</f>
        <v>960</v>
      </c>
      <c r="X597" s="35">
        <f>IF(AC597="Intr",0,G597*Definitions!$B$54)</f>
        <v>4480</v>
      </c>
      <c r="Y597" s="35">
        <f>IF(AC597="Intr",G597,G597*Definitions!$B$55)</f>
        <v>960</v>
      </c>
      <c r="Z597" s="35" t="s">
        <v>966</v>
      </c>
      <c r="AA597" s="35" t="s">
        <v>965</v>
      </c>
      <c r="AB597" s="35"/>
      <c r="AC597" s="34"/>
      <c r="AD597" s="34"/>
      <c r="AE597" s="34"/>
      <c r="AF597" s="34"/>
      <c r="AG597" s="36"/>
      <c r="AH597" s="34"/>
    </row>
    <row r="598" spans="1:34" x14ac:dyDescent="0.2">
      <c r="A598" s="37">
        <v>44977</v>
      </c>
      <c r="B598" s="38" t="s">
        <v>163</v>
      </c>
      <c r="C598" s="38">
        <v>2023</v>
      </c>
      <c r="D598" s="38" t="s">
        <v>9</v>
      </c>
      <c r="E598" s="177">
        <v>-266</v>
      </c>
      <c r="F598" s="177" t="s">
        <v>33</v>
      </c>
      <c r="G598" s="269">
        <v>106400</v>
      </c>
      <c r="H598" s="179">
        <v>376</v>
      </c>
      <c r="I598" s="177" t="s">
        <v>80</v>
      </c>
      <c r="J598" s="177" t="s">
        <v>41</v>
      </c>
      <c r="K598" s="177">
        <v>266</v>
      </c>
      <c r="L598" s="177" t="s">
        <v>726</v>
      </c>
      <c r="M598" s="177" t="s">
        <v>1308</v>
      </c>
      <c r="N598" s="70" t="s">
        <v>1309</v>
      </c>
      <c r="O598" s="38"/>
      <c r="P598" s="38" t="s">
        <v>375</v>
      </c>
      <c r="Q598" s="760">
        <v>38.285024999999997</v>
      </c>
      <c r="R598" s="590">
        <v>-86.959277</v>
      </c>
      <c r="S598" s="38" t="s">
        <v>63</v>
      </c>
      <c r="T598" s="38"/>
      <c r="U598" s="38" t="s">
        <v>51</v>
      </c>
      <c r="V598" s="37"/>
      <c r="W598" s="39">
        <f>IF(AC598="Intr",0,G598*Definitions!$B$53)</f>
        <v>15960</v>
      </c>
      <c r="X598" s="39">
        <f>IF(AC598="Intr",0,G598*Definitions!$B$54)</f>
        <v>74480</v>
      </c>
      <c r="Y598" s="39">
        <f>IF(AC598="Intr",G598,G598*Definitions!$B$55)</f>
        <v>15960</v>
      </c>
      <c r="Z598" s="39" t="s">
        <v>966</v>
      </c>
      <c r="AA598" s="39" t="s">
        <v>965</v>
      </c>
      <c r="AB598" s="39"/>
      <c r="AC598" s="38"/>
      <c r="AD598" s="38"/>
      <c r="AE598" s="38"/>
      <c r="AF598" s="38"/>
      <c r="AG598" s="40"/>
      <c r="AH598" s="38"/>
    </row>
    <row r="599" spans="1:34" x14ac:dyDescent="0.2">
      <c r="A599" s="145">
        <v>44977</v>
      </c>
      <c r="B599" s="112" t="s">
        <v>163</v>
      </c>
      <c r="C599" s="112">
        <v>2023</v>
      </c>
      <c r="D599" s="112" t="s">
        <v>5</v>
      </c>
      <c r="E599" s="146">
        <v>-918</v>
      </c>
      <c r="F599" s="146" t="s">
        <v>33</v>
      </c>
      <c r="G599" s="147">
        <v>367200</v>
      </c>
      <c r="H599" s="148">
        <v>370</v>
      </c>
      <c r="I599" s="146" t="s">
        <v>80</v>
      </c>
      <c r="J599" s="146" t="s">
        <v>40</v>
      </c>
      <c r="K599" s="146">
        <v>918</v>
      </c>
      <c r="L599" s="146" t="s">
        <v>726</v>
      </c>
      <c r="M599" s="146" t="s">
        <v>1301</v>
      </c>
      <c r="N599" s="149" t="s">
        <v>1302</v>
      </c>
      <c r="O599" s="112"/>
      <c r="P599" s="112" t="s">
        <v>767</v>
      </c>
      <c r="Q599" s="729">
        <v>40.919710000000002</v>
      </c>
      <c r="R599" s="591">
        <v>-85.533929999999998</v>
      </c>
      <c r="S599" s="112" t="s">
        <v>63</v>
      </c>
      <c r="T599" s="112"/>
      <c r="U599" s="112" t="s">
        <v>51</v>
      </c>
      <c r="V599" s="145"/>
      <c r="W599" s="150">
        <f>IF(AC599="Intr",0,G599*Definitions!$B$53)</f>
        <v>55080</v>
      </c>
      <c r="X599" s="150">
        <f>IF(AC599="Intr",0,G599*Definitions!$B$54)</f>
        <v>257039.99999999997</v>
      </c>
      <c r="Y599" s="150">
        <f>IF(AC599="Intr",G599,G599*Definitions!$B$55)</f>
        <v>55080</v>
      </c>
      <c r="Z599" s="150" t="s">
        <v>966</v>
      </c>
      <c r="AA599" s="150" t="s">
        <v>965</v>
      </c>
      <c r="AB599" s="150"/>
      <c r="AC599" s="112"/>
      <c r="AD599" s="112"/>
      <c r="AE599" s="112"/>
      <c r="AF599" s="112"/>
      <c r="AG599" s="151"/>
      <c r="AH599" s="112"/>
    </row>
    <row r="600" spans="1:34" x14ac:dyDescent="0.2">
      <c r="A600" s="145">
        <v>44977</v>
      </c>
      <c r="B600" s="112" t="s">
        <v>163</v>
      </c>
      <c r="C600" s="112">
        <v>2023</v>
      </c>
      <c r="D600" s="112" t="s">
        <v>5</v>
      </c>
      <c r="E600" s="146">
        <v>-199.4</v>
      </c>
      <c r="F600" s="146" t="s">
        <v>33</v>
      </c>
      <c r="G600" s="147">
        <v>79760</v>
      </c>
      <c r="H600" s="148">
        <v>370</v>
      </c>
      <c r="I600" s="146" t="s">
        <v>80</v>
      </c>
      <c r="J600" s="146" t="s">
        <v>39</v>
      </c>
      <c r="K600" s="146">
        <v>250.6</v>
      </c>
      <c r="L600" s="146" t="s">
        <v>726</v>
      </c>
      <c r="M600" s="146" t="s">
        <v>1301</v>
      </c>
      <c r="N600" s="580" t="s">
        <v>1302</v>
      </c>
      <c r="O600" s="112"/>
      <c r="P600" s="112" t="s">
        <v>767</v>
      </c>
      <c r="Q600" s="729">
        <v>40.919710000000002</v>
      </c>
      <c r="R600" s="591">
        <v>-85.533929999999998</v>
      </c>
      <c r="S600" s="112" t="s">
        <v>63</v>
      </c>
      <c r="T600" s="112"/>
      <c r="U600" s="112" t="s">
        <v>51</v>
      </c>
      <c r="V600" s="145"/>
      <c r="W600" s="150">
        <f>IF(AC600="Intr",0,G600*Definitions!$B$53)</f>
        <v>11964</v>
      </c>
      <c r="X600" s="150">
        <f>IF(AC600="Intr",0,G600*Definitions!$B$54)</f>
        <v>55832</v>
      </c>
      <c r="Y600" s="150">
        <f>IF(AC600="Intr",G600,G600*Definitions!$B$55)</f>
        <v>11964</v>
      </c>
      <c r="Z600" s="150" t="s">
        <v>966</v>
      </c>
      <c r="AA600" s="150" t="s">
        <v>965</v>
      </c>
      <c r="AB600" s="150"/>
      <c r="AC600" s="112"/>
      <c r="AD600" s="112"/>
      <c r="AE600" s="112"/>
      <c r="AF600" s="112"/>
      <c r="AG600" s="151"/>
      <c r="AH600" s="112"/>
    </row>
    <row r="601" spans="1:34" x14ac:dyDescent="0.2">
      <c r="A601" s="145">
        <v>44977</v>
      </c>
      <c r="B601" s="112" t="s">
        <v>163</v>
      </c>
      <c r="C601" s="112">
        <v>2023</v>
      </c>
      <c r="D601" s="112" t="s">
        <v>5</v>
      </c>
      <c r="E601" s="146">
        <v>-3.55</v>
      </c>
      <c r="F601" s="146" t="s">
        <v>32</v>
      </c>
      <c r="G601" s="147">
        <v>284000</v>
      </c>
      <c r="H601" s="148">
        <v>370</v>
      </c>
      <c r="I601" s="146" t="s">
        <v>80</v>
      </c>
      <c r="J601" s="146" t="s">
        <v>38</v>
      </c>
      <c r="K601" s="146">
        <v>0.89</v>
      </c>
      <c r="L601" s="146" t="s">
        <v>726</v>
      </c>
      <c r="M601" s="146" t="s">
        <v>1301</v>
      </c>
      <c r="N601" s="149" t="s">
        <v>1302</v>
      </c>
      <c r="O601" s="112"/>
      <c r="P601" s="112" t="s">
        <v>767</v>
      </c>
      <c r="Q601" s="729">
        <v>40.919710000000002</v>
      </c>
      <c r="R601" s="591">
        <v>-85.533929999999998</v>
      </c>
      <c r="S601" s="112" t="s">
        <v>63</v>
      </c>
      <c r="T601" s="112"/>
      <c r="U601" s="112" t="s">
        <v>51</v>
      </c>
      <c r="V601" s="145"/>
      <c r="W601" s="150">
        <f>IF(AC601="Intr",0,G601*Definitions!$B$53)</f>
        <v>42600</v>
      </c>
      <c r="X601" s="150">
        <f>IF(AC601="Intr",0,G601*Definitions!$B$54)</f>
        <v>198800</v>
      </c>
      <c r="Y601" s="150">
        <f>IF(AC601="Intr",G601,G601*Definitions!$B$55)</f>
        <v>42600</v>
      </c>
      <c r="Z601" s="150" t="s">
        <v>966</v>
      </c>
      <c r="AA601" s="150" t="s">
        <v>965</v>
      </c>
      <c r="AB601" s="150"/>
      <c r="AC601" s="112"/>
      <c r="AD601" s="112"/>
      <c r="AE601" s="112"/>
      <c r="AF601" s="112"/>
      <c r="AG601" s="151"/>
      <c r="AH601" s="112"/>
    </row>
    <row r="602" spans="1:34" x14ac:dyDescent="0.2">
      <c r="A602" s="37">
        <v>44977</v>
      </c>
      <c r="B602" s="38" t="s">
        <v>163</v>
      </c>
      <c r="C602" s="38">
        <v>2023</v>
      </c>
      <c r="D602" s="38" t="s">
        <v>7</v>
      </c>
      <c r="E602" s="177">
        <v>-0.153</v>
      </c>
      <c r="F602" s="177" t="s">
        <v>32</v>
      </c>
      <c r="G602" s="269">
        <v>12240</v>
      </c>
      <c r="H602" s="179">
        <v>368</v>
      </c>
      <c r="I602" s="177" t="s">
        <v>81</v>
      </c>
      <c r="J602" s="177" t="s">
        <v>36</v>
      </c>
      <c r="K602" s="177">
        <v>0.10199999999999999</v>
      </c>
      <c r="L602" s="177" t="s">
        <v>726</v>
      </c>
      <c r="M602" s="177" t="s">
        <v>103</v>
      </c>
      <c r="N602" s="70" t="s">
        <v>1305</v>
      </c>
      <c r="O602" s="38"/>
      <c r="P602" s="38" t="s">
        <v>137</v>
      </c>
      <c r="Q602" s="760">
        <v>40.118119999999998</v>
      </c>
      <c r="R602" s="590">
        <v>-86.123689999999996</v>
      </c>
      <c r="S602" s="38" t="s">
        <v>63</v>
      </c>
      <c r="T602" s="38"/>
      <c r="U602" s="38" t="s">
        <v>51</v>
      </c>
      <c r="V602" s="37"/>
      <c r="W602" s="39">
        <f>IF(AC602="Intr",0,G602*Definitions!$B$53)</f>
        <v>1836</v>
      </c>
      <c r="X602" s="39">
        <f>IF(AC602="Intr",0,G602*Definitions!$B$54)</f>
        <v>8568</v>
      </c>
      <c r="Y602" s="39">
        <f>IF(AC602="Intr",G602,G602*Definitions!$B$55)</f>
        <v>1836</v>
      </c>
      <c r="Z602" s="39" t="s">
        <v>966</v>
      </c>
      <c r="AA602" s="39" t="s">
        <v>963</v>
      </c>
      <c r="AB602" s="39" t="s">
        <v>970</v>
      </c>
      <c r="AC602" s="38"/>
      <c r="AD602" s="38"/>
      <c r="AE602" s="38"/>
      <c r="AF602" s="38"/>
      <c r="AG602" s="40"/>
      <c r="AH602" s="38"/>
    </row>
    <row r="603" spans="1:34" x14ac:dyDescent="0.2">
      <c r="A603" s="282">
        <v>44977</v>
      </c>
      <c r="B603" s="114" t="s">
        <v>163</v>
      </c>
      <c r="C603" s="114">
        <v>2023</v>
      </c>
      <c r="D603" s="114" t="s">
        <v>8</v>
      </c>
      <c r="E603" s="270">
        <v>-320</v>
      </c>
      <c r="F603" s="270" t="s">
        <v>33</v>
      </c>
      <c r="G603" s="283">
        <v>128000</v>
      </c>
      <c r="H603" s="284">
        <v>375</v>
      </c>
      <c r="I603" s="270" t="s">
        <v>80</v>
      </c>
      <c r="J603" s="270" t="s">
        <v>40</v>
      </c>
      <c r="K603" s="270">
        <v>382</v>
      </c>
      <c r="L603" s="270" t="s">
        <v>726</v>
      </c>
      <c r="M603" s="270" t="s">
        <v>1303</v>
      </c>
      <c r="N603" s="285" t="s">
        <v>1304</v>
      </c>
      <c r="O603" s="114"/>
      <c r="P603" s="114" t="s">
        <v>313</v>
      </c>
      <c r="Q603" s="750">
        <v>38.851390000000002</v>
      </c>
      <c r="R603" s="635">
        <v>-85.885660000000001</v>
      </c>
      <c r="S603" s="114" t="s">
        <v>63</v>
      </c>
      <c r="T603" s="114"/>
      <c r="U603" s="114" t="s">
        <v>51</v>
      </c>
      <c r="V603" s="282"/>
      <c r="W603" s="286">
        <f>IF(AC603="Intr",0,G603*Definitions!$B$53)</f>
        <v>19200</v>
      </c>
      <c r="X603" s="286">
        <f>IF(AC603="Intr",0,G603*Definitions!$B$54)</f>
        <v>89600</v>
      </c>
      <c r="Y603" s="286">
        <f>IF(AC603="Intr",G603,G603*Definitions!$B$55)</f>
        <v>19200</v>
      </c>
      <c r="Z603" s="286" t="s">
        <v>966</v>
      </c>
      <c r="AA603" s="286" t="s">
        <v>965</v>
      </c>
      <c r="AB603" s="286"/>
      <c r="AC603" s="114"/>
      <c r="AD603" s="114"/>
      <c r="AE603" s="114"/>
      <c r="AF603" s="114"/>
      <c r="AG603" s="287"/>
      <c r="AH603" s="114"/>
    </row>
    <row r="604" spans="1:34" x14ac:dyDescent="0.2">
      <c r="A604" s="282">
        <v>44977</v>
      </c>
      <c r="B604" s="114" t="s">
        <v>163</v>
      </c>
      <c r="C604" s="114">
        <v>2023</v>
      </c>
      <c r="D604" s="114" t="s">
        <v>8</v>
      </c>
      <c r="E604" s="270">
        <v>-0.51</v>
      </c>
      <c r="F604" s="270" t="s">
        <v>32</v>
      </c>
      <c r="G604" s="283">
        <v>40800</v>
      </c>
      <c r="H604" s="284">
        <v>375</v>
      </c>
      <c r="I604" s="270" t="s">
        <v>80</v>
      </c>
      <c r="J604" s="270" t="s">
        <v>36</v>
      </c>
      <c r="K604" s="270">
        <v>0.21</v>
      </c>
      <c r="L604" s="270" t="s">
        <v>726</v>
      </c>
      <c r="M604" s="270" t="s">
        <v>1303</v>
      </c>
      <c r="N604" s="285" t="s">
        <v>1304</v>
      </c>
      <c r="O604" s="114"/>
      <c r="P604" s="114" t="s">
        <v>313</v>
      </c>
      <c r="Q604" s="750">
        <v>38.851390000000002</v>
      </c>
      <c r="R604" s="635">
        <v>-85.885660000000001</v>
      </c>
      <c r="S604" s="114" t="s">
        <v>63</v>
      </c>
      <c r="T604" s="114"/>
      <c r="U604" s="114" t="s">
        <v>51</v>
      </c>
      <c r="V604" s="282"/>
      <c r="W604" s="286">
        <f>IF(AC604="Intr",0,G604*Definitions!$B$53)</f>
        <v>6120</v>
      </c>
      <c r="X604" s="286">
        <f>IF(AC604="Intr",0,G604*Definitions!$B$54)</f>
        <v>28560</v>
      </c>
      <c r="Y604" s="286">
        <f>IF(AC604="Intr",G604,G604*Definitions!$B$55)</f>
        <v>6120</v>
      </c>
      <c r="Z604" s="286" t="s">
        <v>966</v>
      </c>
      <c r="AA604" s="286" t="s">
        <v>965</v>
      </c>
      <c r="AB604" s="286"/>
      <c r="AC604" s="114"/>
      <c r="AD604" s="114"/>
      <c r="AE604" s="114"/>
      <c r="AF604" s="114"/>
      <c r="AG604" s="287"/>
      <c r="AH604" s="114"/>
    </row>
    <row r="605" spans="1:34" x14ac:dyDescent="0.2">
      <c r="A605" s="282">
        <v>44977</v>
      </c>
      <c r="B605" s="114" t="s">
        <v>163</v>
      </c>
      <c r="C605" s="114">
        <v>2023</v>
      </c>
      <c r="D605" s="114" t="s">
        <v>8</v>
      </c>
      <c r="E605" s="270">
        <v>-0.21</v>
      </c>
      <c r="F605" s="270" t="s">
        <v>32</v>
      </c>
      <c r="G605" s="283">
        <v>16800</v>
      </c>
      <c r="H605" s="284">
        <v>375</v>
      </c>
      <c r="I605" s="270" t="s">
        <v>80</v>
      </c>
      <c r="J605" s="270" t="s">
        <v>38</v>
      </c>
      <c r="K605" s="270">
        <v>5.6000000000000001E-2</v>
      </c>
      <c r="L605" s="270" t="s">
        <v>726</v>
      </c>
      <c r="M605" s="270" t="s">
        <v>1303</v>
      </c>
      <c r="N605" s="285" t="s">
        <v>1304</v>
      </c>
      <c r="O605" s="114"/>
      <c r="P605" s="114" t="s">
        <v>313</v>
      </c>
      <c r="Q605" s="750">
        <v>38.851390000000002</v>
      </c>
      <c r="R605" s="635">
        <v>-85.885660000000001</v>
      </c>
      <c r="S605" s="114" t="s">
        <v>63</v>
      </c>
      <c r="T605" s="114"/>
      <c r="U605" s="114" t="s">
        <v>51</v>
      </c>
      <c r="V605" s="282"/>
      <c r="W605" s="286">
        <f>IF(AC605="Intr",0,G605*Definitions!$B$53)</f>
        <v>2520</v>
      </c>
      <c r="X605" s="286">
        <f>IF(AC605="Intr",0,G605*Definitions!$B$54)</f>
        <v>11760</v>
      </c>
      <c r="Y605" s="286">
        <f>IF(AC605="Intr",G605,G605*Definitions!$B$55)</f>
        <v>2520</v>
      </c>
      <c r="Z605" s="286" t="s">
        <v>966</v>
      </c>
      <c r="AA605" s="286" t="s">
        <v>965</v>
      </c>
      <c r="AB605" s="286"/>
      <c r="AC605" s="114"/>
      <c r="AD605" s="114"/>
      <c r="AE605" s="114"/>
      <c r="AF605" s="114"/>
      <c r="AG605" s="287"/>
      <c r="AH605" s="114"/>
    </row>
    <row r="606" spans="1:34" x14ac:dyDescent="0.2">
      <c r="A606" s="282">
        <v>44984</v>
      </c>
      <c r="B606" s="114" t="s">
        <v>163</v>
      </c>
      <c r="C606" s="114">
        <v>2023</v>
      </c>
      <c r="D606" s="114" t="s">
        <v>6</v>
      </c>
      <c r="E606" s="270">
        <v>-0.20300000000000001</v>
      </c>
      <c r="F606" s="270" t="s">
        <v>32</v>
      </c>
      <c r="G606" s="283">
        <v>16240</v>
      </c>
      <c r="H606" s="284">
        <v>384</v>
      </c>
      <c r="I606" s="270" t="s">
        <v>81</v>
      </c>
      <c r="J606" s="270" t="s">
        <v>36</v>
      </c>
      <c r="K606" s="270">
        <v>0.13500000000000001</v>
      </c>
      <c r="L606" s="270" t="s">
        <v>726</v>
      </c>
      <c r="M606" s="270" t="s">
        <v>103</v>
      </c>
      <c r="N606" s="285" t="s">
        <v>1314</v>
      </c>
      <c r="O606" s="114"/>
      <c r="P606" s="114" t="s">
        <v>1315</v>
      </c>
      <c r="Q606" s="750">
        <v>40.224794000000003</v>
      </c>
      <c r="R606" s="635">
        <v>-86.904089999999997</v>
      </c>
      <c r="S606" s="114" t="s">
        <v>63</v>
      </c>
      <c r="T606" s="114"/>
      <c r="U606" s="114" t="s">
        <v>51</v>
      </c>
      <c r="V606" s="282"/>
      <c r="W606" s="286">
        <f>IF(AC606="Intr",0,G606*Definitions!$B$53)</f>
        <v>2436</v>
      </c>
      <c r="X606" s="286">
        <f>IF(AC606="Intr",0,G606*Definitions!$B$54)</f>
        <v>11368</v>
      </c>
      <c r="Y606" s="286">
        <f>IF(AC606="Intr",G606,G606*Definitions!$B$55)</f>
        <v>2436</v>
      </c>
      <c r="Z606" s="286" t="s">
        <v>966</v>
      </c>
      <c r="AA606" s="286" t="s">
        <v>963</v>
      </c>
      <c r="AB606" s="286" t="s">
        <v>970</v>
      </c>
      <c r="AC606" s="114"/>
      <c r="AD606" s="114"/>
      <c r="AE606" s="114"/>
      <c r="AF606" s="114"/>
      <c r="AG606" s="287"/>
      <c r="AH606" s="114"/>
    </row>
    <row r="607" spans="1:34" x14ac:dyDescent="0.2">
      <c r="A607" s="33">
        <v>44984</v>
      </c>
      <c r="B607" s="34" t="s">
        <v>163</v>
      </c>
      <c r="C607" s="34">
        <v>2023</v>
      </c>
      <c r="D607" s="34" t="s">
        <v>11</v>
      </c>
      <c r="E607" s="271">
        <v>-139</v>
      </c>
      <c r="F607" s="271" t="s">
        <v>33</v>
      </c>
      <c r="G607" s="272">
        <v>55600</v>
      </c>
      <c r="H607" s="273">
        <v>383</v>
      </c>
      <c r="I607" s="271" t="s">
        <v>80</v>
      </c>
      <c r="J607" s="271" t="s">
        <v>41</v>
      </c>
      <c r="K607" s="271">
        <v>139</v>
      </c>
      <c r="L607" s="271" t="s">
        <v>726</v>
      </c>
      <c r="M607" s="271" t="s">
        <v>1321</v>
      </c>
      <c r="N607" s="116" t="s">
        <v>1322</v>
      </c>
      <c r="O607" s="34"/>
      <c r="P607" s="34" t="s">
        <v>325</v>
      </c>
      <c r="Q607" s="773">
        <v>38.039859999999997</v>
      </c>
      <c r="R607" s="592">
        <v>-87.192059999999998</v>
      </c>
      <c r="S607" s="34" t="s">
        <v>63</v>
      </c>
      <c r="T607" s="34"/>
      <c r="U607" s="34" t="s">
        <v>51</v>
      </c>
      <c r="V607" s="33"/>
      <c r="W607" s="35">
        <f>IF(AC607="Intr",0,G607*Definitions!$B$53)</f>
        <v>8340</v>
      </c>
      <c r="X607" s="35">
        <f>IF(AC607="Intr",0,G607*Definitions!$B$54)</f>
        <v>38920</v>
      </c>
      <c r="Y607" s="35">
        <f>IF(AC607="Intr",G607,G607*Definitions!$B$55)</f>
        <v>8340</v>
      </c>
      <c r="Z607" s="35" t="s">
        <v>966</v>
      </c>
      <c r="AA607" s="35" t="s">
        <v>965</v>
      </c>
      <c r="AB607" s="35"/>
      <c r="AC607" s="34"/>
      <c r="AD607" s="34"/>
      <c r="AE607" s="34"/>
      <c r="AF607" s="34"/>
      <c r="AG607" s="36"/>
      <c r="AH607" s="34" t="s">
        <v>212</v>
      </c>
    </row>
    <row r="608" spans="1:34" x14ac:dyDescent="0.2">
      <c r="A608" s="33">
        <v>44984</v>
      </c>
      <c r="B608" s="34" t="s">
        <v>163</v>
      </c>
      <c r="C608" s="34">
        <v>2023</v>
      </c>
      <c r="D608" s="34" t="s">
        <v>11</v>
      </c>
      <c r="E608" s="271">
        <v>-41</v>
      </c>
      <c r="F608" s="271" t="s">
        <v>33</v>
      </c>
      <c r="G608" s="272">
        <v>16400</v>
      </c>
      <c r="H608" s="273">
        <v>383</v>
      </c>
      <c r="I608" s="271" t="s">
        <v>80</v>
      </c>
      <c r="J608" s="271" t="s">
        <v>40</v>
      </c>
      <c r="K608" s="271">
        <v>41</v>
      </c>
      <c r="L608" s="271" t="s">
        <v>726</v>
      </c>
      <c r="M608" s="271" t="s">
        <v>1321</v>
      </c>
      <c r="N608" s="116" t="s">
        <v>1322</v>
      </c>
      <c r="O608" s="34"/>
      <c r="P608" s="34" t="s">
        <v>325</v>
      </c>
      <c r="Q608" s="773">
        <v>38.039859999999997</v>
      </c>
      <c r="R608" s="592">
        <v>-87.192059999999998</v>
      </c>
      <c r="S608" s="34" t="s">
        <v>63</v>
      </c>
      <c r="T608" s="34"/>
      <c r="U608" s="34" t="s">
        <v>51</v>
      </c>
      <c r="V608" s="33"/>
      <c r="W608" s="35">
        <f>IF(AC608="Intr",0,G608*Definitions!$B$53)</f>
        <v>2460</v>
      </c>
      <c r="X608" s="35">
        <f>IF(AC608="Intr",0,G608*Definitions!$B$54)</f>
        <v>11480</v>
      </c>
      <c r="Y608" s="35">
        <f>IF(AC608="Intr",G608,G608*Definitions!$B$55)</f>
        <v>2460</v>
      </c>
      <c r="Z608" s="35" t="s">
        <v>966</v>
      </c>
      <c r="AA608" s="35" t="s">
        <v>965</v>
      </c>
      <c r="AB608" s="35"/>
      <c r="AC608" s="34"/>
      <c r="AD608" s="34"/>
      <c r="AE608" s="34"/>
      <c r="AF608" s="34"/>
      <c r="AG608" s="36"/>
      <c r="AH608" s="34" t="s">
        <v>212</v>
      </c>
    </row>
    <row r="609" spans="1:34" x14ac:dyDescent="0.2">
      <c r="A609" s="207">
        <v>44984</v>
      </c>
      <c r="B609" s="208" t="s">
        <v>163</v>
      </c>
      <c r="C609" s="208">
        <v>2023</v>
      </c>
      <c r="D609" s="208" t="s">
        <v>7</v>
      </c>
      <c r="E609" s="209">
        <v>-0.20399999999999999</v>
      </c>
      <c r="F609" s="209" t="s">
        <v>32</v>
      </c>
      <c r="G609" s="210">
        <v>16320</v>
      </c>
      <c r="H609" s="211">
        <v>379</v>
      </c>
      <c r="I609" s="209" t="s">
        <v>80</v>
      </c>
      <c r="J609" s="209" t="s">
        <v>37</v>
      </c>
      <c r="K609" s="209">
        <v>6.8000000000000005E-2</v>
      </c>
      <c r="L609" s="209" t="s">
        <v>1318</v>
      </c>
      <c r="M609" s="209" t="s">
        <v>1319</v>
      </c>
      <c r="N609" s="212" t="s">
        <v>1320</v>
      </c>
      <c r="O609" s="208"/>
      <c r="P609" s="208" t="s">
        <v>137</v>
      </c>
      <c r="Q609" s="749">
        <v>40.045099999999998</v>
      </c>
      <c r="R609" s="641">
        <v>-86.069100000000006</v>
      </c>
      <c r="S609" s="208" t="s">
        <v>61</v>
      </c>
      <c r="T609" s="208"/>
      <c r="U609" s="208" t="s">
        <v>51</v>
      </c>
      <c r="V609" s="207"/>
      <c r="W609" s="213">
        <f>IF(AC609="Intr",0,G609*Definitions!$B$53)</f>
        <v>2448</v>
      </c>
      <c r="X609" s="213">
        <f>IF(AC609="Intr",0,G609*Definitions!$B$54)</f>
        <v>11424</v>
      </c>
      <c r="Y609" s="213">
        <f>IF(AC609="Intr",G609,G609*Definitions!$B$55)</f>
        <v>2448</v>
      </c>
      <c r="Z609" s="213" t="s">
        <v>966</v>
      </c>
      <c r="AA609" s="213" t="s">
        <v>965</v>
      </c>
      <c r="AB609" s="213"/>
      <c r="AC609" s="208"/>
      <c r="AD609" s="208"/>
      <c r="AE609" s="208"/>
      <c r="AF609" s="208"/>
      <c r="AG609" s="214"/>
      <c r="AH609" s="208"/>
    </row>
    <row r="610" spans="1:34" x14ac:dyDescent="0.2">
      <c r="A610" s="37">
        <v>44984</v>
      </c>
      <c r="B610" s="38" t="s">
        <v>163</v>
      </c>
      <c r="C610" s="38">
        <v>2023</v>
      </c>
      <c r="D610" s="38" t="s">
        <v>8</v>
      </c>
      <c r="E610" s="177">
        <v>-0.22500000000000001</v>
      </c>
      <c r="F610" s="177" t="s">
        <v>32</v>
      </c>
      <c r="G610" s="269">
        <v>18000</v>
      </c>
      <c r="H610" s="179">
        <v>386</v>
      </c>
      <c r="I610" s="177" t="s">
        <v>81</v>
      </c>
      <c r="J610" s="177" t="s">
        <v>38</v>
      </c>
      <c r="K610" s="177">
        <v>0.09</v>
      </c>
      <c r="L610" s="177" t="s">
        <v>1316</v>
      </c>
      <c r="M610" s="177" t="s">
        <v>103</v>
      </c>
      <c r="N610" s="70" t="s">
        <v>1317</v>
      </c>
      <c r="O610" s="38"/>
      <c r="P610" s="38" t="s">
        <v>121</v>
      </c>
      <c r="Q610" s="760">
        <v>39.822262000000002</v>
      </c>
      <c r="R610" s="590">
        <v>-85.790085000000005</v>
      </c>
      <c r="S610" s="38" t="s">
        <v>61</v>
      </c>
      <c r="T610" s="38"/>
      <c r="U610" s="38" t="s">
        <v>51</v>
      </c>
      <c r="V610" s="37"/>
      <c r="W610" s="39">
        <f>IF(AC610="Intr",0,G610*Definitions!$B$53)</f>
        <v>2700</v>
      </c>
      <c r="X610" s="39">
        <f>IF(AC610="Intr",0,G610*Definitions!$B$54)</f>
        <v>12600</v>
      </c>
      <c r="Y610" s="39">
        <f>IF(AC610="Intr",G610,G610*Definitions!$B$55)</f>
        <v>2700</v>
      </c>
      <c r="Z610" s="39" t="s">
        <v>966</v>
      </c>
      <c r="AA610" s="39" t="s">
        <v>963</v>
      </c>
      <c r="AB610" s="39" t="s">
        <v>1268</v>
      </c>
      <c r="AC610" s="38"/>
      <c r="AD610" s="38"/>
      <c r="AE610" s="38"/>
      <c r="AF610" s="38"/>
      <c r="AG610" s="40"/>
      <c r="AH610" s="38"/>
    </row>
    <row r="611" spans="1:34" x14ac:dyDescent="0.2">
      <c r="A611" s="145">
        <v>44998</v>
      </c>
      <c r="B611" s="112" t="s">
        <v>173</v>
      </c>
      <c r="C611" s="112">
        <v>2023</v>
      </c>
      <c r="D611" s="112" t="s">
        <v>8</v>
      </c>
      <c r="E611" s="146">
        <v>-0.16200000000000001</v>
      </c>
      <c r="F611" s="146" t="s">
        <v>32</v>
      </c>
      <c r="G611" s="147">
        <v>12960</v>
      </c>
      <c r="H611" s="148">
        <v>381</v>
      </c>
      <c r="I611" s="146" t="s">
        <v>80</v>
      </c>
      <c r="J611" s="146" t="s">
        <v>36</v>
      </c>
      <c r="K611" s="146">
        <v>8.1000000000000003E-2</v>
      </c>
      <c r="L611" s="146" t="s">
        <v>726</v>
      </c>
      <c r="M611" s="146" t="s">
        <v>1330</v>
      </c>
      <c r="N611" s="149" t="s">
        <v>1331</v>
      </c>
      <c r="O611" s="112"/>
      <c r="P611" s="112" t="s">
        <v>313</v>
      </c>
      <c r="Q611" s="729">
        <v>38.979213000000001</v>
      </c>
      <c r="R611" s="591">
        <v>-86.021602000000001</v>
      </c>
      <c r="S611" s="112" t="s">
        <v>63</v>
      </c>
      <c r="T611" s="112"/>
      <c r="U611" s="112" t="s">
        <v>51</v>
      </c>
      <c r="V611" s="145"/>
      <c r="W611" s="150">
        <f>IF(AC611="Intr",0,G611*Definitions!$B$53)</f>
        <v>1944</v>
      </c>
      <c r="X611" s="150">
        <f>IF(AC611="Intr",0,G611*Definitions!$B$54)</f>
        <v>9072</v>
      </c>
      <c r="Y611" s="150">
        <f>IF(AC611="Intr",G611,G611*Definitions!$B$55)</f>
        <v>1944</v>
      </c>
      <c r="Z611" s="150" t="s">
        <v>966</v>
      </c>
      <c r="AA611" s="150" t="s">
        <v>965</v>
      </c>
      <c r="AB611" s="150"/>
      <c r="AC611" s="112"/>
      <c r="AD611" s="112"/>
      <c r="AE611" s="112"/>
      <c r="AF611" s="112"/>
      <c r="AG611" s="151"/>
      <c r="AH611" s="112"/>
    </row>
    <row r="612" spans="1:34" x14ac:dyDescent="0.2">
      <c r="A612" s="145">
        <v>44998</v>
      </c>
      <c r="B612" s="112" t="s">
        <v>173</v>
      </c>
      <c r="C612" s="112">
        <v>2023</v>
      </c>
      <c r="D612" s="112" t="s">
        <v>8</v>
      </c>
      <c r="E612" s="146">
        <v>-780</v>
      </c>
      <c r="F612" s="146" t="s">
        <v>33</v>
      </c>
      <c r="G612" s="147">
        <v>312000</v>
      </c>
      <c r="H612" s="148">
        <v>381</v>
      </c>
      <c r="I612" s="146" t="s">
        <v>80</v>
      </c>
      <c r="J612" s="146" t="s">
        <v>41</v>
      </c>
      <c r="K612" s="146">
        <v>780</v>
      </c>
      <c r="L612" s="146" t="s">
        <v>726</v>
      </c>
      <c r="M612" s="146" t="s">
        <v>1330</v>
      </c>
      <c r="N612" s="149" t="s">
        <v>1331</v>
      </c>
      <c r="O612" s="112"/>
      <c r="P612" s="112" t="s">
        <v>313</v>
      </c>
      <c r="Q612" s="729">
        <v>38.979213000000001</v>
      </c>
      <c r="R612" s="591">
        <v>-86.021602000000001</v>
      </c>
      <c r="S612" s="112" t="s">
        <v>63</v>
      </c>
      <c r="T612" s="112"/>
      <c r="U612" s="112" t="s">
        <v>51</v>
      </c>
      <c r="V612" s="145"/>
      <c r="W612" s="150">
        <f>IF(AC612="Intr",0,G612*Definitions!$B$53)</f>
        <v>46800</v>
      </c>
      <c r="X612" s="150">
        <f>IF(AC612="Intr",0,G612*Definitions!$B$54)</f>
        <v>218400</v>
      </c>
      <c r="Y612" s="150">
        <f>IF(AC612="Intr",G612,G612*Definitions!$B$55)</f>
        <v>46800</v>
      </c>
      <c r="Z612" s="150" t="s">
        <v>966</v>
      </c>
      <c r="AA612" s="150" t="s">
        <v>965</v>
      </c>
      <c r="AB612" s="150"/>
      <c r="AC612" s="112"/>
      <c r="AD612" s="112"/>
      <c r="AE612" s="112"/>
      <c r="AF612" s="112"/>
      <c r="AG612" s="151"/>
      <c r="AH612" s="112"/>
    </row>
    <row r="613" spans="1:34" x14ac:dyDescent="0.2">
      <c r="A613" s="145">
        <v>44998</v>
      </c>
      <c r="B613" s="112" t="s">
        <v>173</v>
      </c>
      <c r="C613" s="112">
        <v>2023</v>
      </c>
      <c r="D613" s="112" t="s">
        <v>8</v>
      </c>
      <c r="E613" s="146">
        <v>-17</v>
      </c>
      <c r="F613" s="146" t="s">
        <v>33</v>
      </c>
      <c r="G613" s="147">
        <v>6800</v>
      </c>
      <c r="H613" s="148">
        <v>381</v>
      </c>
      <c r="I613" s="146" t="s">
        <v>80</v>
      </c>
      <c r="J613" s="146" t="s">
        <v>39</v>
      </c>
      <c r="K613" s="146">
        <v>17</v>
      </c>
      <c r="L613" s="146" t="s">
        <v>726</v>
      </c>
      <c r="M613" s="146" t="s">
        <v>1330</v>
      </c>
      <c r="N613" s="149" t="s">
        <v>1331</v>
      </c>
      <c r="O613" s="112"/>
      <c r="P613" s="112" t="s">
        <v>313</v>
      </c>
      <c r="Q613" s="729">
        <v>38.979213000000001</v>
      </c>
      <c r="R613" s="591">
        <v>-86.021602000000001</v>
      </c>
      <c r="S613" s="112" t="s">
        <v>63</v>
      </c>
      <c r="T613" s="112"/>
      <c r="U613" s="112" t="s">
        <v>51</v>
      </c>
      <c r="V613" s="145"/>
      <c r="W613" s="150">
        <f>IF(AC613="Intr",0,G613*Definitions!$B$53)</f>
        <v>1020</v>
      </c>
      <c r="X613" s="150">
        <f>IF(AC613="Intr",0,G613*Definitions!$B$54)</f>
        <v>4760</v>
      </c>
      <c r="Y613" s="150">
        <f>IF(AC613="Intr",G613,G613*Definitions!$B$55)</f>
        <v>1020</v>
      </c>
      <c r="Z613" s="150" t="s">
        <v>966</v>
      </c>
      <c r="AA613" s="150" t="s">
        <v>965</v>
      </c>
      <c r="AB613" s="150"/>
      <c r="AC613" s="112"/>
      <c r="AD613" s="112"/>
      <c r="AE613" s="112"/>
      <c r="AF613" s="112"/>
      <c r="AG613" s="151"/>
      <c r="AH613" s="112"/>
    </row>
    <row r="614" spans="1:34" x14ac:dyDescent="0.2">
      <c r="A614" s="37">
        <v>44999</v>
      </c>
      <c r="B614" s="38" t="s">
        <v>173</v>
      </c>
      <c r="C614" s="38">
        <v>2023</v>
      </c>
      <c r="D614" s="38" t="s">
        <v>10</v>
      </c>
      <c r="E614" s="177">
        <v>-0.38</v>
      </c>
      <c r="F614" s="177" t="s">
        <v>32</v>
      </c>
      <c r="G614" s="269">
        <v>30400</v>
      </c>
      <c r="H614" s="179">
        <v>372</v>
      </c>
      <c r="I614" s="177" t="s">
        <v>80</v>
      </c>
      <c r="J614" s="177" t="s">
        <v>36</v>
      </c>
      <c r="K614" s="177">
        <v>0.19</v>
      </c>
      <c r="L614" s="177" t="s">
        <v>1332</v>
      </c>
      <c r="M614" s="177" t="s">
        <v>103</v>
      </c>
      <c r="N614" s="70" t="s">
        <v>1333</v>
      </c>
      <c r="O614" s="38"/>
      <c r="P614" s="38" t="s">
        <v>129</v>
      </c>
      <c r="Q614" s="760">
        <v>38.316153</v>
      </c>
      <c r="R614" s="590">
        <v>-85.901615000000007</v>
      </c>
      <c r="S614" s="38" t="s">
        <v>61</v>
      </c>
      <c r="T614" s="38"/>
      <c r="U614" s="38" t="s">
        <v>51</v>
      </c>
      <c r="V614" s="37"/>
      <c r="W614" s="39">
        <f>IF(AC614="Intr",0,G614*Definitions!$B$53)</f>
        <v>4560</v>
      </c>
      <c r="X614" s="39">
        <f>IF(AC614="Intr",0,G614*Definitions!$B$54)</f>
        <v>21280</v>
      </c>
      <c r="Y614" s="39">
        <f>IF(AC614="Intr",G614,G614*Definitions!$B$55)</f>
        <v>4560</v>
      </c>
      <c r="Z614" s="39" t="s">
        <v>966</v>
      </c>
      <c r="AA614" s="39" t="s">
        <v>965</v>
      </c>
      <c r="AB614" s="39"/>
      <c r="AC614" s="38"/>
      <c r="AD614" s="38"/>
      <c r="AE614" s="38"/>
      <c r="AF614" s="38"/>
      <c r="AG614" s="40"/>
      <c r="AH614" s="38"/>
    </row>
    <row r="615" spans="1:34" x14ac:dyDescent="0.2">
      <c r="A615" s="33">
        <v>45008</v>
      </c>
      <c r="B615" s="34" t="s">
        <v>173</v>
      </c>
      <c r="C615" s="34">
        <v>2023</v>
      </c>
      <c r="D615" s="34" t="s">
        <v>1</v>
      </c>
      <c r="E615" s="271">
        <v>-0.93799999999999994</v>
      </c>
      <c r="F615" s="271" t="s">
        <v>32</v>
      </c>
      <c r="G615" s="272">
        <v>89110</v>
      </c>
      <c r="H615" s="273">
        <v>348</v>
      </c>
      <c r="I615" s="271" t="s">
        <v>80</v>
      </c>
      <c r="J615" s="271" t="s">
        <v>36</v>
      </c>
      <c r="K615" s="271">
        <v>0.93799999999999994</v>
      </c>
      <c r="L615" s="271" t="s">
        <v>1334</v>
      </c>
      <c r="M615" s="271" t="s">
        <v>1335</v>
      </c>
      <c r="N615" s="116" t="s">
        <v>1336</v>
      </c>
      <c r="O615" s="34"/>
      <c r="P615" s="34" t="s">
        <v>385</v>
      </c>
      <c r="Q615" s="795">
        <v>41.569047126842499</v>
      </c>
      <c r="R615" s="692">
        <v>87.042424098139605</v>
      </c>
      <c r="S615" s="34" t="s">
        <v>61</v>
      </c>
      <c r="T615" s="34"/>
      <c r="U615" s="34" t="s">
        <v>51</v>
      </c>
      <c r="V615" s="33"/>
      <c r="W615" s="35">
        <f>IF(AC615="Intr",0,G615*Definitions!$B$53)</f>
        <v>13366.5</v>
      </c>
      <c r="X615" s="35">
        <f>IF(AC615="Intr",0,G615*Definitions!$B$54)</f>
        <v>62376.999999999993</v>
      </c>
      <c r="Y615" s="35">
        <f>IF(AC615="Intr",G615,G615*Definitions!$B$55)</f>
        <v>13366.5</v>
      </c>
      <c r="Z615" s="35" t="s">
        <v>967</v>
      </c>
      <c r="AA615" s="35" t="s">
        <v>965</v>
      </c>
      <c r="AB615" s="35"/>
      <c r="AC615" s="34"/>
      <c r="AD615" s="34"/>
      <c r="AE615" s="34"/>
      <c r="AF615" s="34"/>
      <c r="AG615" s="36"/>
      <c r="AH615" s="34" t="s">
        <v>1589</v>
      </c>
    </row>
    <row r="616" spans="1:34" x14ac:dyDescent="0.2">
      <c r="A616" s="45">
        <v>45012</v>
      </c>
      <c r="B616" s="46" t="s">
        <v>173</v>
      </c>
      <c r="C616" s="46">
        <v>2023</v>
      </c>
      <c r="D616" s="46" t="s">
        <v>7</v>
      </c>
      <c r="E616" s="181">
        <v>-385</v>
      </c>
      <c r="F616" s="181" t="s">
        <v>33</v>
      </c>
      <c r="G616" s="182">
        <v>173250</v>
      </c>
      <c r="H616" s="183">
        <v>265</v>
      </c>
      <c r="I616" s="181" t="s">
        <v>80</v>
      </c>
      <c r="J616" s="181" t="s">
        <v>40</v>
      </c>
      <c r="K616" s="181">
        <v>321</v>
      </c>
      <c r="L616" s="181" t="s">
        <v>1338</v>
      </c>
      <c r="M616" s="181" t="s">
        <v>1337</v>
      </c>
      <c r="N616" s="76" t="s">
        <v>1339</v>
      </c>
      <c r="O616" s="46"/>
      <c r="P616" s="46" t="s">
        <v>143</v>
      </c>
      <c r="Q616" s="761">
        <v>39.640099999999997</v>
      </c>
      <c r="R616" s="660">
        <v>-86.130799999999994</v>
      </c>
      <c r="S616" s="46" t="s">
        <v>61</v>
      </c>
      <c r="T616" s="46"/>
      <c r="U616" s="46" t="s">
        <v>51</v>
      </c>
      <c r="V616" s="45"/>
      <c r="W616" s="47">
        <f>IF(AC616="Intr",0,G616*Definitions!$B$53)</f>
        <v>25987.5</v>
      </c>
      <c r="X616" s="47">
        <f>IF(AC616="Intr",0,G616*Definitions!$B$54)</f>
        <v>121274.99999999999</v>
      </c>
      <c r="Y616" s="47">
        <f>IF(AC616="Intr",G616,G616*Definitions!$B$55)</f>
        <v>25987.5</v>
      </c>
      <c r="Z616" s="47" t="s">
        <v>966</v>
      </c>
      <c r="AA616" s="47" t="s">
        <v>965</v>
      </c>
      <c r="AB616" s="47"/>
      <c r="AC616" s="46"/>
      <c r="AD616" s="46"/>
      <c r="AE616" s="46"/>
      <c r="AF616" s="46"/>
      <c r="AG616" s="48"/>
      <c r="AH616" s="46" t="s">
        <v>1340</v>
      </c>
    </row>
    <row r="617" spans="1:34" x14ac:dyDescent="0.2">
      <c r="A617" s="45">
        <v>45012</v>
      </c>
      <c r="B617" s="46" t="s">
        <v>173</v>
      </c>
      <c r="C617" s="46">
        <v>2023</v>
      </c>
      <c r="D617" s="46" t="s">
        <v>7</v>
      </c>
      <c r="E617" s="181">
        <v>-0.42</v>
      </c>
      <c r="F617" s="181" t="s">
        <v>32</v>
      </c>
      <c r="G617" s="182">
        <v>33600</v>
      </c>
      <c r="H617" s="183">
        <v>265</v>
      </c>
      <c r="I617" s="181" t="s">
        <v>80</v>
      </c>
      <c r="J617" s="181" t="s">
        <v>37</v>
      </c>
      <c r="K617" s="181">
        <v>0.14000000000000001</v>
      </c>
      <c r="L617" s="181" t="s">
        <v>1338</v>
      </c>
      <c r="M617" s="181" t="s">
        <v>1337</v>
      </c>
      <c r="N617" s="76" t="s">
        <v>1339</v>
      </c>
      <c r="O617" s="46"/>
      <c r="P617" s="46" t="s">
        <v>143</v>
      </c>
      <c r="Q617" s="761">
        <v>39.640099999999997</v>
      </c>
      <c r="R617" s="660">
        <v>-86.130799999999994</v>
      </c>
      <c r="S617" s="46" t="s">
        <v>61</v>
      </c>
      <c r="T617" s="46"/>
      <c r="U617" s="46" t="s">
        <v>51</v>
      </c>
      <c r="V617" s="45"/>
      <c r="W617" s="47">
        <f>IF(AC617="Intr",0,G617*Definitions!$B$53)</f>
        <v>5040</v>
      </c>
      <c r="X617" s="47">
        <f>IF(AC617="Intr",0,G617*Definitions!$B$54)</f>
        <v>23520</v>
      </c>
      <c r="Y617" s="47">
        <f>IF(AC617="Intr",G617,G617*Definitions!$B$55)</f>
        <v>5040</v>
      </c>
      <c r="Z617" s="47" t="s">
        <v>966</v>
      </c>
      <c r="AA617" s="47" t="s">
        <v>965</v>
      </c>
      <c r="AB617" s="47"/>
      <c r="AC617" s="46"/>
      <c r="AD617" s="46"/>
      <c r="AE617" s="46"/>
      <c r="AF617" s="46"/>
      <c r="AG617" s="48"/>
      <c r="AH617" s="46" t="s">
        <v>1341</v>
      </c>
    </row>
    <row r="618" spans="1:34" x14ac:dyDescent="0.2">
      <c r="A618" s="45">
        <v>45012</v>
      </c>
      <c r="B618" s="46" t="s">
        <v>173</v>
      </c>
      <c r="C618" s="46">
        <v>2023</v>
      </c>
      <c r="D618" s="46" t="s">
        <v>7</v>
      </c>
      <c r="E618" s="181">
        <v>-0.52</v>
      </c>
      <c r="F618" s="181" t="s">
        <v>32</v>
      </c>
      <c r="G618" s="182">
        <v>41600</v>
      </c>
      <c r="H618" s="183">
        <v>265</v>
      </c>
      <c r="I618" s="181" t="s">
        <v>80</v>
      </c>
      <c r="J618" s="181" t="s">
        <v>36</v>
      </c>
      <c r="K618" s="181">
        <v>0.14000000000000001</v>
      </c>
      <c r="L618" s="181" t="s">
        <v>1338</v>
      </c>
      <c r="M618" s="181" t="s">
        <v>1337</v>
      </c>
      <c r="N618" s="76" t="s">
        <v>1339</v>
      </c>
      <c r="O618" s="46"/>
      <c r="P618" s="46" t="s">
        <v>143</v>
      </c>
      <c r="Q618" s="761">
        <v>39.640099999999997</v>
      </c>
      <c r="R618" s="660">
        <v>-86.130799999999994</v>
      </c>
      <c r="S618" s="46" t="s">
        <v>61</v>
      </c>
      <c r="T618" s="46"/>
      <c r="U618" s="46" t="s">
        <v>51</v>
      </c>
      <c r="V618" s="45"/>
      <c r="W618" s="47">
        <f>IF(AC618="Intr",0,G618*Definitions!$B$53)</f>
        <v>6240</v>
      </c>
      <c r="X618" s="47">
        <f>IF(AC618="Intr",0,G618*Definitions!$B$54)</f>
        <v>29119.999999999996</v>
      </c>
      <c r="Y618" s="47">
        <f>IF(AC618="Intr",G618,G618*Definitions!$B$55)</f>
        <v>6240</v>
      </c>
      <c r="Z618" s="47" t="s">
        <v>966</v>
      </c>
      <c r="AA618" s="47" t="s">
        <v>965</v>
      </c>
      <c r="AB618" s="47"/>
      <c r="AC618" s="46"/>
      <c r="AD618" s="46"/>
      <c r="AE618" s="46"/>
      <c r="AF618" s="46"/>
      <c r="AG618" s="48"/>
      <c r="AH618" s="46" t="s">
        <v>1342</v>
      </c>
    </row>
    <row r="619" spans="1:34" x14ac:dyDescent="0.2">
      <c r="A619" s="37">
        <v>45012</v>
      </c>
      <c r="B619" s="38" t="s">
        <v>173</v>
      </c>
      <c r="C619" s="38">
        <v>2023</v>
      </c>
      <c r="D619" s="38" t="s">
        <v>7</v>
      </c>
      <c r="E619" s="177">
        <v>-245</v>
      </c>
      <c r="F619" s="177" t="s">
        <v>33</v>
      </c>
      <c r="G619" s="269">
        <v>110250</v>
      </c>
      <c r="H619" s="179">
        <v>389</v>
      </c>
      <c r="I619" s="177" t="s">
        <v>80</v>
      </c>
      <c r="J619" s="177" t="s">
        <v>40</v>
      </c>
      <c r="K619" s="177">
        <v>329</v>
      </c>
      <c r="L619" s="177" t="s">
        <v>1344</v>
      </c>
      <c r="M619" s="235" t="s">
        <v>1343</v>
      </c>
      <c r="N619" s="70" t="s">
        <v>1345</v>
      </c>
      <c r="O619" s="38"/>
      <c r="P619" s="38" t="s">
        <v>137</v>
      </c>
      <c r="Q619" s="760">
        <v>40.042230000000004</v>
      </c>
      <c r="R619" s="590">
        <v>-86.128630000000001</v>
      </c>
      <c r="S619" s="38" t="s">
        <v>61</v>
      </c>
      <c r="T619" s="38"/>
      <c r="U619" s="38" t="s">
        <v>51</v>
      </c>
      <c r="V619" s="37"/>
      <c r="W619" s="39">
        <f>IF(AC619="Intr",0,G619*Definitions!$B$53)</f>
        <v>16537.5</v>
      </c>
      <c r="X619" s="39">
        <f>IF(AC619="Intr",0,G619*Definitions!$B$54)</f>
        <v>77175</v>
      </c>
      <c r="Y619" s="39">
        <f>IF(AC619="Intr",G619,G619*Definitions!$B$55)</f>
        <v>16537.5</v>
      </c>
      <c r="Z619" s="39" t="s">
        <v>966</v>
      </c>
      <c r="AA619" s="39" t="s">
        <v>965</v>
      </c>
      <c r="AB619" s="39"/>
      <c r="AC619" s="38"/>
      <c r="AD619" s="38"/>
      <c r="AE619" s="38"/>
      <c r="AF619" s="38"/>
      <c r="AG619" s="40"/>
      <c r="AH619" s="38" t="s">
        <v>710</v>
      </c>
    </row>
    <row r="620" spans="1:34" x14ac:dyDescent="0.2">
      <c r="A620" s="145">
        <v>45034</v>
      </c>
      <c r="B620" s="112" t="s">
        <v>193</v>
      </c>
      <c r="C620" s="112">
        <v>2023</v>
      </c>
      <c r="D620" s="112" t="s">
        <v>1</v>
      </c>
      <c r="E620" s="146">
        <v>-1</v>
      </c>
      <c r="F620" s="146" t="s">
        <v>32</v>
      </c>
      <c r="G620" s="147">
        <v>95000</v>
      </c>
      <c r="H620" s="148">
        <v>337</v>
      </c>
      <c r="I620" s="146" t="s">
        <v>80</v>
      </c>
      <c r="J620" s="146" t="s">
        <v>36</v>
      </c>
      <c r="K620" s="146">
        <v>8.3000000000000004E-2</v>
      </c>
      <c r="L620" s="146" t="s">
        <v>1347</v>
      </c>
      <c r="M620" s="146" t="s">
        <v>1346</v>
      </c>
      <c r="N620" s="149" t="s">
        <v>1348</v>
      </c>
      <c r="O620" s="112"/>
      <c r="P620" s="112" t="s">
        <v>227</v>
      </c>
      <c r="Q620" s="729">
        <v>41.646259000000001</v>
      </c>
      <c r="R620" s="591">
        <v>-87.484943000000001</v>
      </c>
      <c r="S620" s="112" t="s">
        <v>61</v>
      </c>
      <c r="T620" s="112"/>
      <c r="U620" s="112" t="s">
        <v>51</v>
      </c>
      <c r="V620" s="145"/>
      <c r="W620" s="150">
        <f>IF(AC620="Intr",0,G620*Definitions!$B$53)</f>
        <v>14250</v>
      </c>
      <c r="X620" s="150">
        <f>IF(AC620="Intr",0,G620*Definitions!$B$54)</f>
        <v>66500</v>
      </c>
      <c r="Y620" s="150">
        <f>IF(AC620="Intr",G620,G620*Definitions!$B$55)</f>
        <v>14250</v>
      </c>
      <c r="Z620" s="150" t="s">
        <v>967</v>
      </c>
      <c r="AA620" s="150" t="s">
        <v>965</v>
      </c>
      <c r="AB620" s="150"/>
      <c r="AC620" s="112"/>
      <c r="AD620" s="112"/>
      <c r="AE620" s="112"/>
      <c r="AF620" s="112"/>
      <c r="AG620" s="151"/>
      <c r="AH620" s="112"/>
    </row>
    <row r="621" spans="1:34" x14ac:dyDescent="0.2">
      <c r="A621" s="282">
        <v>45034</v>
      </c>
      <c r="B621" s="114" t="s">
        <v>193</v>
      </c>
      <c r="C621" s="114">
        <v>2023</v>
      </c>
      <c r="D621" s="114" t="s">
        <v>1</v>
      </c>
      <c r="E621" s="270">
        <v>-0.48599999999999999</v>
      </c>
      <c r="F621" s="270" t="s">
        <v>32</v>
      </c>
      <c r="G621" s="283">
        <v>46170</v>
      </c>
      <c r="H621" s="284">
        <v>402</v>
      </c>
      <c r="I621" s="270" t="s">
        <v>80</v>
      </c>
      <c r="J621" s="270" t="s">
        <v>36</v>
      </c>
      <c r="K621" s="270">
        <v>0.27</v>
      </c>
      <c r="L621" s="270" t="s">
        <v>1351</v>
      </c>
      <c r="M621" s="270" t="s">
        <v>1349</v>
      </c>
      <c r="N621" s="285" t="s">
        <v>1350</v>
      </c>
      <c r="O621" s="114"/>
      <c r="P621" s="114" t="s">
        <v>385</v>
      </c>
      <c r="Q621" s="750">
        <v>41.560267000000003</v>
      </c>
      <c r="R621" s="635">
        <v>-87.104940999999997</v>
      </c>
      <c r="S621" s="114" t="s">
        <v>61</v>
      </c>
      <c r="T621" s="114"/>
      <c r="U621" s="114" t="s">
        <v>51</v>
      </c>
      <c r="V621" s="282"/>
      <c r="W621" s="286">
        <f>IF(AC621="Intr",0,G621*Definitions!$B$53)</f>
        <v>6925.5</v>
      </c>
      <c r="X621" s="286">
        <f>IF(AC621="Intr",0,G621*Definitions!$B$54)</f>
        <v>32318.999999999996</v>
      </c>
      <c r="Y621" s="286">
        <f>IF(AC621="Intr",G621,G621*Definitions!$B$55)</f>
        <v>6925.5</v>
      </c>
      <c r="Z621" s="286" t="s">
        <v>967</v>
      </c>
      <c r="AA621" s="286" t="s">
        <v>965</v>
      </c>
      <c r="AB621" s="286"/>
      <c r="AC621" s="114"/>
      <c r="AD621" s="114"/>
      <c r="AE621" s="114"/>
      <c r="AF621" s="114"/>
      <c r="AG621" s="287"/>
      <c r="AH621" s="114" t="s">
        <v>1352</v>
      </c>
    </row>
    <row r="622" spans="1:34" x14ac:dyDescent="0.2">
      <c r="A622" s="282">
        <v>45034</v>
      </c>
      <c r="B622" s="114" t="s">
        <v>193</v>
      </c>
      <c r="C622" s="114">
        <v>2023</v>
      </c>
      <c r="D622" s="114" t="s">
        <v>1</v>
      </c>
      <c r="E622" s="270">
        <v>-0.14399999999999999</v>
      </c>
      <c r="F622" s="270" t="s">
        <v>32</v>
      </c>
      <c r="G622" s="283">
        <v>13680</v>
      </c>
      <c r="H622" s="284">
        <v>402</v>
      </c>
      <c r="I622" s="270" t="s">
        <v>80</v>
      </c>
      <c r="J622" s="270" t="s">
        <v>37</v>
      </c>
      <c r="K622" s="270">
        <v>0.14399999999999999</v>
      </c>
      <c r="L622" s="270" t="s">
        <v>1351</v>
      </c>
      <c r="M622" s="270" t="s">
        <v>1349</v>
      </c>
      <c r="N622" s="285" t="s">
        <v>1350</v>
      </c>
      <c r="O622" s="114"/>
      <c r="P622" s="114" t="s">
        <v>385</v>
      </c>
      <c r="Q622" s="750">
        <v>41.560267000000003</v>
      </c>
      <c r="R622" s="635">
        <v>-87.104940999999997</v>
      </c>
      <c r="S622" s="114" t="s">
        <v>61</v>
      </c>
      <c r="T622" s="114"/>
      <c r="U622" s="114" t="s">
        <v>51</v>
      </c>
      <c r="V622" s="282"/>
      <c r="W622" s="286">
        <f>IF(AC622="Intr",0,G622*Definitions!$B$53)</f>
        <v>2052</v>
      </c>
      <c r="X622" s="286">
        <f>IF(AC622="Intr",0,G622*Definitions!$B$54)</f>
        <v>9576</v>
      </c>
      <c r="Y622" s="286">
        <f>IF(AC622="Intr",G622,G622*Definitions!$B$55)</f>
        <v>2052</v>
      </c>
      <c r="Z622" s="286" t="s">
        <v>967</v>
      </c>
      <c r="AA622" s="286" t="s">
        <v>965</v>
      </c>
      <c r="AB622" s="286"/>
      <c r="AC622" s="114"/>
      <c r="AD622" s="114"/>
      <c r="AE622" s="114"/>
      <c r="AF622" s="114"/>
      <c r="AG622" s="287"/>
      <c r="AH622" s="114" t="s">
        <v>1353</v>
      </c>
    </row>
    <row r="623" spans="1:34" x14ac:dyDescent="0.2">
      <c r="A623" s="33">
        <v>45034</v>
      </c>
      <c r="B623" s="34" t="s">
        <v>193</v>
      </c>
      <c r="C623" s="34">
        <v>2023</v>
      </c>
      <c r="D623" s="34" t="s">
        <v>1</v>
      </c>
      <c r="E623" s="271">
        <v>-0.22</v>
      </c>
      <c r="F623" s="271" t="s">
        <v>32</v>
      </c>
      <c r="G623" s="272">
        <v>20900</v>
      </c>
      <c r="H623" s="273">
        <v>380</v>
      </c>
      <c r="I623" s="271" t="s">
        <v>80</v>
      </c>
      <c r="J623" s="271" t="s">
        <v>36</v>
      </c>
      <c r="K623" s="271">
        <v>0.12</v>
      </c>
      <c r="L623" s="271" t="s">
        <v>1362</v>
      </c>
      <c r="M623" s="271" t="s">
        <v>1361</v>
      </c>
      <c r="N623" s="116" t="s">
        <v>1363</v>
      </c>
      <c r="O623" s="34"/>
      <c r="P623" s="34" t="s">
        <v>385</v>
      </c>
      <c r="Q623" s="773">
        <v>41.598882000000003</v>
      </c>
      <c r="R623" s="592">
        <v>-87.191326000000004</v>
      </c>
      <c r="S623" s="34" t="s">
        <v>61</v>
      </c>
      <c r="T623" s="34"/>
      <c r="U623" s="34" t="s">
        <v>51</v>
      </c>
      <c r="V623" s="33"/>
      <c r="W623" s="35">
        <f>IF(AC623="Intr",0,G623*Definitions!$B$53)</f>
        <v>3135</v>
      </c>
      <c r="X623" s="35">
        <f>IF(AC623="Intr",0,G623*Definitions!$B$54)</f>
        <v>14629.999999999998</v>
      </c>
      <c r="Y623" s="35">
        <f>IF(AC623="Intr",G623,G623*Definitions!$B$55)</f>
        <v>3135</v>
      </c>
      <c r="Z623" s="35" t="s">
        <v>967</v>
      </c>
      <c r="AA623" s="35" t="s">
        <v>965</v>
      </c>
      <c r="AB623" s="35"/>
      <c r="AC623" s="34"/>
      <c r="AD623" s="34"/>
      <c r="AE623" s="34"/>
      <c r="AF623" s="34"/>
      <c r="AG623" s="36"/>
      <c r="AH623" s="34"/>
    </row>
    <row r="624" spans="1:34" x14ac:dyDescent="0.2">
      <c r="A624" s="33">
        <v>45034</v>
      </c>
      <c r="B624" s="34" t="s">
        <v>193</v>
      </c>
      <c r="C624" s="34">
        <v>2023</v>
      </c>
      <c r="D624" s="34" t="s">
        <v>1</v>
      </c>
      <c r="E624" s="271">
        <v>-1.33</v>
      </c>
      <c r="F624" s="271" t="s">
        <v>32</v>
      </c>
      <c r="G624" s="272">
        <v>126350</v>
      </c>
      <c r="H624" s="273">
        <v>380</v>
      </c>
      <c r="I624" s="271" t="s">
        <v>80</v>
      </c>
      <c r="J624" s="271" t="s">
        <v>38</v>
      </c>
      <c r="K624" s="271">
        <v>0.37</v>
      </c>
      <c r="L624" s="271" t="s">
        <v>1362</v>
      </c>
      <c r="M624" s="271" t="s">
        <v>1361</v>
      </c>
      <c r="N624" s="116" t="s">
        <v>1363</v>
      </c>
      <c r="O624" s="34"/>
      <c r="P624" s="34" t="s">
        <v>385</v>
      </c>
      <c r="Q624" s="773">
        <v>41.598882000000003</v>
      </c>
      <c r="R624" s="592">
        <v>-87.191326000000004</v>
      </c>
      <c r="S624" s="34" t="s">
        <v>61</v>
      </c>
      <c r="T624" s="34"/>
      <c r="U624" s="34" t="s">
        <v>51</v>
      </c>
      <c r="V624" s="33"/>
      <c r="W624" s="35">
        <f>IF(AC624="Intr",0,G624*Definitions!$B$53)</f>
        <v>18952.5</v>
      </c>
      <c r="X624" s="35">
        <f>IF(AC624="Intr",0,G624*Definitions!$B$54)</f>
        <v>88445</v>
      </c>
      <c r="Y624" s="35">
        <f>IF(AC624="Intr",G624,G624*Definitions!$B$55)</f>
        <v>18952.5</v>
      </c>
      <c r="Z624" s="35" t="s">
        <v>967</v>
      </c>
      <c r="AA624" s="35" t="s">
        <v>965</v>
      </c>
      <c r="AB624" s="35"/>
      <c r="AC624" s="34"/>
      <c r="AD624" s="34"/>
      <c r="AE624" s="34"/>
      <c r="AF624" s="34"/>
      <c r="AG624" s="36"/>
      <c r="AH624" s="34"/>
    </row>
    <row r="625" spans="1:34" x14ac:dyDescent="0.2">
      <c r="A625" s="37">
        <v>45034</v>
      </c>
      <c r="B625" s="38" t="s">
        <v>193</v>
      </c>
      <c r="C625" s="38">
        <v>2023</v>
      </c>
      <c r="D625" s="38" t="s">
        <v>11</v>
      </c>
      <c r="E625" s="177">
        <v>-494</v>
      </c>
      <c r="F625" s="177" t="s">
        <v>33</v>
      </c>
      <c r="G625" s="269">
        <v>197600</v>
      </c>
      <c r="H625" s="179">
        <v>398</v>
      </c>
      <c r="I625" s="177" t="s">
        <v>80</v>
      </c>
      <c r="J625" s="177" t="s">
        <v>40</v>
      </c>
      <c r="K625" s="177">
        <v>412</v>
      </c>
      <c r="L625" s="177" t="s">
        <v>1355</v>
      </c>
      <c r="M625" s="177" t="s">
        <v>1354</v>
      </c>
      <c r="N625" s="70" t="s">
        <v>1356</v>
      </c>
      <c r="O625" s="38"/>
      <c r="P625" s="38" t="s">
        <v>89</v>
      </c>
      <c r="Q625" s="760">
        <v>38.045692000000003</v>
      </c>
      <c r="R625" s="590">
        <v>-87.529272000000006</v>
      </c>
      <c r="S625" s="38" t="s">
        <v>61</v>
      </c>
      <c r="T625" s="38"/>
      <c r="U625" s="38" t="s">
        <v>51</v>
      </c>
      <c r="V625" s="37"/>
      <c r="W625" s="39">
        <f>IF(AC625="Intr",0,G625*Definitions!$B$53)</f>
        <v>29640</v>
      </c>
      <c r="X625" s="39">
        <f>IF(AC625="Intr",0,G625*Definitions!$B$54)</f>
        <v>138320</v>
      </c>
      <c r="Y625" s="39">
        <f>IF(AC625="Intr",G625,G625*Definitions!$B$55)</f>
        <v>29640</v>
      </c>
      <c r="Z625" s="39" t="s">
        <v>966</v>
      </c>
      <c r="AA625" s="39" t="s">
        <v>965</v>
      </c>
      <c r="AB625" s="39"/>
      <c r="AC625" s="38"/>
      <c r="AD625" s="38"/>
      <c r="AE625" s="38"/>
      <c r="AF625" s="38"/>
      <c r="AG625" s="40"/>
      <c r="AH625" s="38" t="s">
        <v>1357</v>
      </c>
    </row>
    <row r="626" spans="1:34" x14ac:dyDescent="0.2">
      <c r="A626" s="282">
        <v>45034</v>
      </c>
      <c r="B626" s="114" t="s">
        <v>193</v>
      </c>
      <c r="C626" s="114">
        <v>2023</v>
      </c>
      <c r="D626" s="114" t="s">
        <v>10</v>
      </c>
      <c r="E626" s="270">
        <v>-288</v>
      </c>
      <c r="F626" s="270" t="s">
        <v>33</v>
      </c>
      <c r="G626" s="283">
        <v>115200</v>
      </c>
      <c r="H626" s="284">
        <v>400</v>
      </c>
      <c r="I626" s="270" t="s">
        <v>80</v>
      </c>
      <c r="J626" s="270" t="s">
        <v>41</v>
      </c>
      <c r="K626" s="270">
        <v>288</v>
      </c>
      <c r="L626" s="270" t="s">
        <v>1367</v>
      </c>
      <c r="M626" s="270" t="s">
        <v>1208</v>
      </c>
      <c r="N626" s="285" t="s">
        <v>1209</v>
      </c>
      <c r="O626" s="114"/>
      <c r="P626" s="114" t="s">
        <v>84</v>
      </c>
      <c r="Q626" s="750">
        <v>38.457000000000001</v>
      </c>
      <c r="R626" s="635">
        <v>-85.847740000000002</v>
      </c>
      <c r="S626" s="114" t="s">
        <v>61</v>
      </c>
      <c r="T626" s="114"/>
      <c r="U626" s="114" t="s">
        <v>51</v>
      </c>
      <c r="V626" s="282"/>
      <c r="W626" s="286">
        <f>IF(AC626="Intr",0,G626*Definitions!$B$53)</f>
        <v>17280</v>
      </c>
      <c r="X626" s="286">
        <f>IF(AC626="Intr",0,G626*Definitions!$B$54)</f>
        <v>80640</v>
      </c>
      <c r="Y626" s="286">
        <f>IF(AC626="Intr",G626,G626*Definitions!$B$55)</f>
        <v>17280</v>
      </c>
      <c r="Z626" s="286" t="s">
        <v>966</v>
      </c>
      <c r="AA626" s="286" t="s">
        <v>965</v>
      </c>
      <c r="AB626" s="286"/>
      <c r="AC626" s="114"/>
      <c r="AD626" s="114"/>
      <c r="AE626" s="114"/>
      <c r="AF626" s="114"/>
      <c r="AG626" s="287"/>
      <c r="AH626" s="114" t="s">
        <v>1368</v>
      </c>
    </row>
    <row r="627" spans="1:34" x14ac:dyDescent="0.2">
      <c r="A627" s="282">
        <v>45034</v>
      </c>
      <c r="B627" s="114" t="s">
        <v>193</v>
      </c>
      <c r="C627" s="114">
        <v>2023</v>
      </c>
      <c r="D627" s="114" t="s">
        <v>10</v>
      </c>
      <c r="E627" s="270">
        <v>-1.3</v>
      </c>
      <c r="F627" s="270" t="s">
        <v>32</v>
      </c>
      <c r="G627" s="283">
        <v>104000</v>
      </c>
      <c r="H627" s="284">
        <v>400</v>
      </c>
      <c r="I627" s="270" t="s">
        <v>80</v>
      </c>
      <c r="J627" s="270" t="s">
        <v>36</v>
      </c>
      <c r="K627" s="270">
        <v>1.3</v>
      </c>
      <c r="L627" s="270" t="s">
        <v>1367</v>
      </c>
      <c r="M627" s="270" t="s">
        <v>1208</v>
      </c>
      <c r="N627" s="285" t="s">
        <v>1209</v>
      </c>
      <c r="O627" s="114"/>
      <c r="P627" s="114" t="s">
        <v>84</v>
      </c>
      <c r="Q627" s="750">
        <v>38.457000000000001</v>
      </c>
      <c r="R627" s="635">
        <v>-85.847740000000002</v>
      </c>
      <c r="S627" s="114" t="s">
        <v>61</v>
      </c>
      <c r="T627" s="114"/>
      <c r="U627" s="114" t="s">
        <v>51</v>
      </c>
      <c r="V627" s="282"/>
      <c r="W627" s="286">
        <f>IF(AC627="Intr",0,G627*Definitions!$B$53)</f>
        <v>15600</v>
      </c>
      <c r="X627" s="286">
        <f>IF(AC627="Intr",0,G627*Definitions!$B$54)</f>
        <v>72800</v>
      </c>
      <c r="Y627" s="286">
        <f>IF(AC627="Intr",G627,G627*Definitions!$B$55)</f>
        <v>15600</v>
      </c>
      <c r="Z627" s="286" t="s">
        <v>966</v>
      </c>
      <c r="AA627" s="286" t="s">
        <v>965</v>
      </c>
      <c r="AB627" s="286"/>
      <c r="AC627" s="114"/>
      <c r="AD627" s="114"/>
      <c r="AE627" s="114"/>
      <c r="AF627" s="114"/>
      <c r="AG627" s="287"/>
      <c r="AH627" s="114" t="s">
        <v>1368</v>
      </c>
    </row>
    <row r="628" spans="1:34" x14ac:dyDescent="0.2">
      <c r="A628" s="45">
        <v>45034</v>
      </c>
      <c r="B628" s="46" t="s">
        <v>193</v>
      </c>
      <c r="C628" s="46">
        <v>2023</v>
      </c>
      <c r="D628" s="46" t="s">
        <v>7</v>
      </c>
      <c r="E628" s="181">
        <v>-17</v>
      </c>
      <c r="F628" s="181" t="s">
        <v>33</v>
      </c>
      <c r="G628" s="182">
        <v>7650</v>
      </c>
      <c r="H628" s="183">
        <v>387</v>
      </c>
      <c r="I628" s="181" t="s">
        <v>80</v>
      </c>
      <c r="J628" s="181" t="s">
        <v>40</v>
      </c>
      <c r="K628" s="181">
        <v>14</v>
      </c>
      <c r="L628" s="181" t="s">
        <v>1359</v>
      </c>
      <c r="M628" s="181" t="s">
        <v>1358</v>
      </c>
      <c r="N628" s="76" t="s">
        <v>1360</v>
      </c>
      <c r="O628" s="46"/>
      <c r="P628" s="46" t="s">
        <v>143</v>
      </c>
      <c r="Q628" s="761">
        <v>39.757373000000001</v>
      </c>
      <c r="R628" s="660">
        <v>-86.294821999999996</v>
      </c>
      <c r="S628" s="46" t="s">
        <v>61</v>
      </c>
      <c r="T628" s="46"/>
      <c r="U628" s="46" t="s">
        <v>51</v>
      </c>
      <c r="V628" s="45"/>
      <c r="W628" s="47">
        <f>IF(AC628="Intr",0,G628*Definitions!$B$53)</f>
        <v>1147.5</v>
      </c>
      <c r="X628" s="47">
        <f>IF(AC628="Intr",0,G628*Definitions!$B$54)</f>
        <v>5355</v>
      </c>
      <c r="Y628" s="47">
        <f>IF(AC628="Intr",G628,G628*Definitions!$B$55)</f>
        <v>1147.5</v>
      </c>
      <c r="Z628" s="47" t="s">
        <v>966</v>
      </c>
      <c r="AA628" s="47" t="s">
        <v>965</v>
      </c>
      <c r="AB628" s="47"/>
      <c r="AC628" s="46"/>
      <c r="AD628" s="46"/>
      <c r="AE628" s="46"/>
      <c r="AF628" s="46"/>
      <c r="AG628" s="48"/>
      <c r="AH628" s="46"/>
    </row>
    <row r="629" spans="1:34" x14ac:dyDescent="0.2">
      <c r="A629" s="45">
        <v>45034</v>
      </c>
      <c r="B629" s="46" t="s">
        <v>193</v>
      </c>
      <c r="C629" s="46">
        <v>2023</v>
      </c>
      <c r="D629" s="46" t="s">
        <v>7</v>
      </c>
      <c r="E629" s="181">
        <v>-0.32400000000000001</v>
      </c>
      <c r="F629" s="181" t="s">
        <v>32</v>
      </c>
      <c r="G629" s="182">
        <v>25920</v>
      </c>
      <c r="H629" s="183">
        <v>387</v>
      </c>
      <c r="I629" s="181" t="s">
        <v>80</v>
      </c>
      <c r="J629" s="181" t="s">
        <v>37</v>
      </c>
      <c r="K629" s="181">
        <v>0.09</v>
      </c>
      <c r="L629" s="181" t="s">
        <v>1359</v>
      </c>
      <c r="M629" s="181" t="s">
        <v>1358</v>
      </c>
      <c r="N629" s="76" t="s">
        <v>1360</v>
      </c>
      <c r="O629" s="46"/>
      <c r="P629" s="46" t="s">
        <v>143</v>
      </c>
      <c r="Q629" s="761">
        <v>39.757373000000001</v>
      </c>
      <c r="R629" s="660">
        <v>-86.294821999999996</v>
      </c>
      <c r="S629" s="46" t="s">
        <v>61</v>
      </c>
      <c r="T629" s="46"/>
      <c r="U629" s="46" t="s">
        <v>51</v>
      </c>
      <c r="V629" s="45"/>
      <c r="W629" s="47">
        <f>IF(AC629="Intr",0,G629*Definitions!$B$53)</f>
        <v>3888</v>
      </c>
      <c r="X629" s="47">
        <f>IF(AC629="Intr",0,G629*Definitions!$B$54)</f>
        <v>18144</v>
      </c>
      <c r="Y629" s="47">
        <f>IF(AC629="Intr",G629,G629*Definitions!$B$55)</f>
        <v>3888</v>
      </c>
      <c r="Z629" s="47" t="s">
        <v>966</v>
      </c>
      <c r="AA629" s="47" t="s">
        <v>965</v>
      </c>
      <c r="AB629" s="47"/>
      <c r="AC629" s="46"/>
      <c r="AD629" s="46"/>
      <c r="AE629" s="46"/>
      <c r="AF629" s="46"/>
      <c r="AG629" s="48"/>
      <c r="AH629" s="46"/>
    </row>
    <row r="630" spans="1:34" x14ac:dyDescent="0.2">
      <c r="A630" s="45">
        <v>45034</v>
      </c>
      <c r="B630" s="46" t="s">
        <v>193</v>
      </c>
      <c r="C630" s="46">
        <v>2023</v>
      </c>
      <c r="D630" s="46" t="s">
        <v>7</v>
      </c>
      <c r="E630" s="181">
        <v>-7.6799999999999993E-2</v>
      </c>
      <c r="F630" s="181" t="s">
        <v>32</v>
      </c>
      <c r="G630" s="182">
        <v>6144</v>
      </c>
      <c r="H630" s="183">
        <v>387</v>
      </c>
      <c r="I630" s="181" t="s">
        <v>80</v>
      </c>
      <c r="J630" s="181" t="s">
        <v>38</v>
      </c>
      <c r="K630" s="181">
        <v>1.6E-2</v>
      </c>
      <c r="L630" s="181" t="s">
        <v>1359</v>
      </c>
      <c r="M630" s="181" t="s">
        <v>1358</v>
      </c>
      <c r="N630" s="76" t="s">
        <v>1360</v>
      </c>
      <c r="O630" s="46"/>
      <c r="P630" s="46" t="s">
        <v>143</v>
      </c>
      <c r="Q630" s="761">
        <v>39.757373000000001</v>
      </c>
      <c r="R630" s="660">
        <v>-86.294821999999996</v>
      </c>
      <c r="S630" s="46" t="s">
        <v>61</v>
      </c>
      <c r="T630" s="46"/>
      <c r="U630" s="46" t="s">
        <v>51</v>
      </c>
      <c r="V630" s="45"/>
      <c r="W630" s="47">
        <f>IF(AC630="Intr",0,G630*Definitions!$B$53)</f>
        <v>921.59999999999991</v>
      </c>
      <c r="X630" s="47">
        <f>IF(AC630="Intr",0,G630*Definitions!$B$54)</f>
        <v>4300.7999999999993</v>
      </c>
      <c r="Y630" s="47">
        <f>IF(AC630="Intr",G630,G630*Definitions!$B$55)</f>
        <v>921.59999999999991</v>
      </c>
      <c r="Z630" s="47" t="s">
        <v>966</v>
      </c>
      <c r="AA630" s="47" t="s">
        <v>965</v>
      </c>
      <c r="AB630" s="47"/>
      <c r="AC630" s="46"/>
      <c r="AD630" s="46"/>
      <c r="AE630" s="46"/>
      <c r="AF630" s="46"/>
      <c r="AG630" s="48"/>
      <c r="AH630" s="46"/>
    </row>
    <row r="631" spans="1:34" x14ac:dyDescent="0.2">
      <c r="A631" s="37">
        <v>45034</v>
      </c>
      <c r="B631" s="38" t="s">
        <v>193</v>
      </c>
      <c r="C631" s="38">
        <v>2023</v>
      </c>
      <c r="D631" s="38" t="s">
        <v>7</v>
      </c>
      <c r="E631" s="177">
        <v>-3.42</v>
      </c>
      <c r="F631" s="177" t="s">
        <v>32</v>
      </c>
      <c r="G631" s="269">
        <v>273600</v>
      </c>
      <c r="H631" s="179" t="s">
        <v>1365</v>
      </c>
      <c r="I631" s="177" t="s">
        <v>81</v>
      </c>
      <c r="J631" s="177" t="s">
        <v>36</v>
      </c>
      <c r="K631" s="177">
        <v>2.13</v>
      </c>
      <c r="L631" s="177" t="s">
        <v>1366</v>
      </c>
      <c r="M631" s="177" t="s">
        <v>103</v>
      </c>
      <c r="N631" s="70" t="s">
        <v>1364</v>
      </c>
      <c r="O631" s="38"/>
      <c r="P631" s="38" t="s">
        <v>137</v>
      </c>
      <c r="Q631" s="760">
        <v>40.078893000000001</v>
      </c>
      <c r="R631" s="590">
        <v>-86.129283999999998</v>
      </c>
      <c r="S631" s="38" t="s">
        <v>61</v>
      </c>
      <c r="T631" s="38"/>
      <c r="U631" s="38" t="s">
        <v>51</v>
      </c>
      <c r="V631" s="37"/>
      <c r="W631" s="39">
        <f>IF(AC631="Intr",0,G631*Definitions!$B$53)</f>
        <v>41040</v>
      </c>
      <c r="X631" s="39">
        <f>IF(AC631="Intr",0,G631*Definitions!$B$54)</f>
        <v>191520</v>
      </c>
      <c r="Y631" s="39">
        <f>IF(AC631="Intr",G631,G631*Definitions!$B$55)</f>
        <v>41040</v>
      </c>
      <c r="Z631" s="39" t="s">
        <v>966</v>
      </c>
      <c r="AA631" s="39" t="s">
        <v>963</v>
      </c>
      <c r="AB631" s="39" t="s">
        <v>970</v>
      </c>
      <c r="AC631" s="38"/>
      <c r="AD631" s="38"/>
      <c r="AE631" s="38"/>
      <c r="AF631" s="38"/>
      <c r="AG631" s="40"/>
      <c r="AH631" s="38"/>
    </row>
    <row r="632" spans="1:34" x14ac:dyDescent="0.2">
      <c r="A632" s="33">
        <v>45040</v>
      </c>
      <c r="B632" s="34" t="s">
        <v>193</v>
      </c>
      <c r="C632" s="34">
        <v>2023</v>
      </c>
      <c r="D632" s="34" t="s">
        <v>5</v>
      </c>
      <c r="E632" s="271">
        <v>-0.7</v>
      </c>
      <c r="F632" s="271" t="s">
        <v>32</v>
      </c>
      <c r="G632" s="272">
        <v>56000</v>
      </c>
      <c r="H632" s="273">
        <v>403</v>
      </c>
      <c r="I632" s="271" t="s">
        <v>80</v>
      </c>
      <c r="J632" s="271" t="s">
        <v>38</v>
      </c>
      <c r="K632" s="271">
        <v>0.2</v>
      </c>
      <c r="L632" s="271" t="s">
        <v>1400</v>
      </c>
      <c r="M632" s="376" t="s">
        <v>1401</v>
      </c>
      <c r="N632" s="116" t="s">
        <v>1402</v>
      </c>
      <c r="O632" s="34"/>
      <c r="P632" s="34" t="s">
        <v>255</v>
      </c>
      <c r="Q632" s="773">
        <v>41.199486999999998</v>
      </c>
      <c r="R632" s="592">
        <v>-85.202242999999996</v>
      </c>
      <c r="S632" s="34" t="s">
        <v>61</v>
      </c>
      <c r="T632" s="34"/>
      <c r="U632" s="34" t="s">
        <v>51</v>
      </c>
      <c r="V632" s="33"/>
      <c r="W632" s="35">
        <f>IF(AC632="Intr",0,G632*Definitions!$B$53)</f>
        <v>8400</v>
      </c>
      <c r="X632" s="35">
        <f>IF(AC632="Intr",0,G632*Definitions!$B$54)</f>
        <v>39200</v>
      </c>
      <c r="Y632" s="35">
        <f>IF(AC632="Intr",G632,G632*Definitions!$B$55)</f>
        <v>8400</v>
      </c>
      <c r="Z632" s="35" t="s">
        <v>964</v>
      </c>
      <c r="AA632" s="35" t="s">
        <v>965</v>
      </c>
      <c r="AB632" s="35"/>
      <c r="AC632" s="34"/>
      <c r="AD632" s="34"/>
      <c r="AE632" s="34"/>
      <c r="AF632" s="34"/>
      <c r="AG632" s="36"/>
      <c r="AH632" s="34"/>
    </row>
    <row r="633" spans="1:34" x14ac:dyDescent="0.2">
      <c r="A633" s="37">
        <v>45041</v>
      </c>
      <c r="B633" s="38" t="s">
        <v>193</v>
      </c>
      <c r="C633" s="38">
        <v>2023</v>
      </c>
      <c r="D633" s="38" t="s">
        <v>10</v>
      </c>
      <c r="E633" s="177">
        <v>-0.72</v>
      </c>
      <c r="F633" s="177" t="s">
        <v>32</v>
      </c>
      <c r="G633" s="269">
        <v>57600</v>
      </c>
      <c r="H633" s="179">
        <v>388</v>
      </c>
      <c r="I633" s="177" t="s">
        <v>80</v>
      </c>
      <c r="J633" s="177" t="s">
        <v>36</v>
      </c>
      <c r="K633" s="177">
        <v>0.29799999999999999</v>
      </c>
      <c r="L633" s="177" t="s">
        <v>1370</v>
      </c>
      <c r="M633" s="235" t="s">
        <v>1369</v>
      </c>
      <c r="N633" s="70" t="s">
        <v>1371</v>
      </c>
      <c r="O633" s="38"/>
      <c r="P633" s="38" t="s">
        <v>84</v>
      </c>
      <c r="Q633" s="760">
        <v>38.338082999999997</v>
      </c>
      <c r="R633" s="590">
        <v>-85.712626</v>
      </c>
      <c r="S633" s="38" t="s">
        <v>61</v>
      </c>
      <c r="T633" s="38"/>
      <c r="U633" s="38" t="s">
        <v>51</v>
      </c>
      <c r="V633" s="37"/>
      <c r="W633" s="39">
        <f>IF(AC633="Intr",0,G633*Definitions!$B$53)</f>
        <v>8640</v>
      </c>
      <c r="X633" s="39">
        <f>IF(AC633="Intr",0,G633*Definitions!$B$54)</f>
        <v>40320</v>
      </c>
      <c r="Y633" s="39">
        <f>IF(AC633="Intr",G633,G633*Definitions!$B$55)</f>
        <v>8640</v>
      </c>
      <c r="Z633" s="39" t="s">
        <v>966</v>
      </c>
      <c r="AA633" s="39" t="s">
        <v>965</v>
      </c>
      <c r="AB633" s="39"/>
      <c r="AC633" s="38"/>
      <c r="AD633" s="38"/>
      <c r="AE633" s="38"/>
      <c r="AF633" s="38"/>
      <c r="AG633" s="40"/>
      <c r="AH633" s="38"/>
    </row>
    <row r="634" spans="1:34" x14ac:dyDescent="0.2">
      <c r="A634" s="145">
        <v>45042</v>
      </c>
      <c r="B634" s="112" t="s">
        <v>193</v>
      </c>
      <c r="C634" s="112">
        <v>2023</v>
      </c>
      <c r="D634" s="112" t="s">
        <v>2</v>
      </c>
      <c r="E634" s="146">
        <v>-1.74</v>
      </c>
      <c r="F634" s="146" t="s">
        <v>32</v>
      </c>
      <c r="G634" s="147">
        <v>165300</v>
      </c>
      <c r="H634" s="148">
        <v>396</v>
      </c>
      <c r="I634" s="146" t="s">
        <v>81</v>
      </c>
      <c r="J634" s="146" t="s">
        <v>38</v>
      </c>
      <c r="K634" s="146">
        <v>0.57999999999999996</v>
      </c>
      <c r="L634" s="146" t="s">
        <v>408</v>
      </c>
      <c r="M634" s="146" t="s">
        <v>103</v>
      </c>
      <c r="N634" s="149" t="s">
        <v>1372</v>
      </c>
      <c r="O634" s="112"/>
      <c r="P634" s="112" t="s">
        <v>259</v>
      </c>
      <c r="Q634" s="729">
        <v>41.217205</v>
      </c>
      <c r="R634" s="591">
        <v>-87.005990999999995</v>
      </c>
      <c r="S634" s="112" t="s">
        <v>62</v>
      </c>
      <c r="T634" s="112"/>
      <c r="U634" s="112" t="s">
        <v>51</v>
      </c>
      <c r="V634" s="145"/>
      <c r="W634" s="150">
        <f>IF(AC634="Intr",0,G634*Definitions!$B$53)</f>
        <v>24795</v>
      </c>
      <c r="X634" s="150">
        <f>IF(AC634="Intr",0,G634*Definitions!$B$54)</f>
        <v>115709.99999999999</v>
      </c>
      <c r="Y634" s="150">
        <f>IF(AC634="Intr",G634,G634*Definitions!$B$55)</f>
        <v>24795</v>
      </c>
      <c r="Z634" s="150" t="s">
        <v>964</v>
      </c>
      <c r="AA634" s="150" t="s">
        <v>963</v>
      </c>
      <c r="AB634" s="150" t="s">
        <v>1268</v>
      </c>
      <c r="AC634" s="112"/>
      <c r="AD634" s="112"/>
      <c r="AE634" s="112"/>
      <c r="AF634" s="112"/>
      <c r="AG634" s="151"/>
      <c r="AH634" s="112"/>
    </row>
    <row r="635" spans="1:34" x14ac:dyDescent="0.2">
      <c r="A635" s="41">
        <v>45042</v>
      </c>
      <c r="B635" s="42" t="s">
        <v>193</v>
      </c>
      <c r="C635" s="42">
        <v>2023</v>
      </c>
      <c r="D635" s="42" t="s">
        <v>6</v>
      </c>
      <c r="E635" s="320">
        <v>-0.6</v>
      </c>
      <c r="F635" s="320" t="s">
        <v>32</v>
      </c>
      <c r="G635" s="343">
        <v>48000</v>
      </c>
      <c r="H635" s="344">
        <v>408</v>
      </c>
      <c r="I635" s="320" t="s">
        <v>80</v>
      </c>
      <c r="J635" s="320" t="s">
        <v>36</v>
      </c>
      <c r="K635" s="320">
        <v>0.25</v>
      </c>
      <c r="L635" s="320" t="s">
        <v>284</v>
      </c>
      <c r="M635" s="320" t="s">
        <v>1389</v>
      </c>
      <c r="N635" s="73" t="s">
        <v>1390</v>
      </c>
      <c r="O635" s="42"/>
      <c r="P635" s="42" t="s">
        <v>205</v>
      </c>
      <c r="Q635" s="731">
        <v>39.397624</v>
      </c>
      <c r="R635" s="593">
        <v>-87.479951</v>
      </c>
      <c r="S635" s="42" t="s">
        <v>63</v>
      </c>
      <c r="T635" s="42"/>
      <c r="U635" s="42" t="s">
        <v>51</v>
      </c>
      <c r="V635" s="41"/>
      <c r="W635" s="43">
        <f>IF(AC635="Intr",0,G635*Definitions!$B$53)</f>
        <v>7200</v>
      </c>
      <c r="X635" s="43">
        <f>IF(AC635="Intr",0,G635*Definitions!$B$54)</f>
        <v>33600</v>
      </c>
      <c r="Y635" s="43">
        <f>IF(AC635="Intr",G635,G635*Definitions!$B$55)</f>
        <v>7200</v>
      </c>
      <c r="Z635" s="43" t="s">
        <v>966</v>
      </c>
      <c r="AA635" s="43" t="s">
        <v>965</v>
      </c>
      <c r="AB635" s="43"/>
      <c r="AC635" s="42"/>
      <c r="AD635" s="42"/>
      <c r="AE635" s="42"/>
      <c r="AF635" s="42"/>
      <c r="AG635" s="44"/>
      <c r="AH635" s="42"/>
    </row>
    <row r="636" spans="1:34" x14ac:dyDescent="0.2">
      <c r="A636" s="145">
        <v>45042</v>
      </c>
      <c r="B636" s="112" t="s">
        <v>193</v>
      </c>
      <c r="C636" s="112">
        <v>2023</v>
      </c>
      <c r="D636" s="112" t="s">
        <v>10</v>
      </c>
      <c r="E636" s="146">
        <v>-113</v>
      </c>
      <c r="F636" s="146" t="s">
        <v>33</v>
      </c>
      <c r="G636" s="147">
        <v>45200</v>
      </c>
      <c r="H636" s="148">
        <v>406</v>
      </c>
      <c r="I636" s="146" t="s">
        <v>80</v>
      </c>
      <c r="J636" s="146" t="s">
        <v>40</v>
      </c>
      <c r="K636" s="146">
        <v>113</v>
      </c>
      <c r="L636" s="146" t="s">
        <v>726</v>
      </c>
      <c r="M636" s="146" t="s">
        <v>1387</v>
      </c>
      <c r="N636" s="149" t="s">
        <v>1388</v>
      </c>
      <c r="O636" s="112"/>
      <c r="P636" s="112" t="s">
        <v>1277</v>
      </c>
      <c r="Q636" s="729">
        <v>38.892364999999998</v>
      </c>
      <c r="R636" s="591">
        <v>-84.811717999999999</v>
      </c>
      <c r="S636" s="112" t="s">
        <v>63</v>
      </c>
      <c r="T636" s="112"/>
      <c r="U636" s="112" t="s">
        <v>51</v>
      </c>
      <c r="V636" s="145"/>
      <c r="W636" s="150">
        <f>IF(AC636="Intr",0,G636*Definitions!$B$53)</f>
        <v>6780</v>
      </c>
      <c r="X636" s="150">
        <f>IF(AC636="Intr",0,G636*Definitions!$B$54)</f>
        <v>31639.999999999996</v>
      </c>
      <c r="Y636" s="150">
        <f>IF(AC636="Intr",G636,G636*Definitions!$B$55)</f>
        <v>6780</v>
      </c>
      <c r="Z636" s="150" t="s">
        <v>966</v>
      </c>
      <c r="AA636" s="150" t="s">
        <v>965</v>
      </c>
      <c r="AB636" s="150"/>
      <c r="AC636" s="112"/>
      <c r="AD636" s="112"/>
      <c r="AE636" s="112"/>
      <c r="AF636" s="112"/>
      <c r="AG636" s="151"/>
      <c r="AH636" s="112"/>
    </row>
    <row r="637" spans="1:34" x14ac:dyDescent="0.2">
      <c r="A637" s="145">
        <v>45042</v>
      </c>
      <c r="B637" s="112" t="s">
        <v>193</v>
      </c>
      <c r="C637" s="112">
        <v>2023</v>
      </c>
      <c r="D637" s="112" t="s">
        <v>10</v>
      </c>
      <c r="E637" s="146">
        <v>-488</v>
      </c>
      <c r="F637" s="146" t="s">
        <v>33</v>
      </c>
      <c r="G637" s="147">
        <v>195200</v>
      </c>
      <c r="H637" s="148">
        <v>406</v>
      </c>
      <c r="I637" s="146" t="s">
        <v>80</v>
      </c>
      <c r="J637" s="146" t="s">
        <v>39</v>
      </c>
      <c r="K637" s="146">
        <v>488</v>
      </c>
      <c r="L637" s="146" t="s">
        <v>726</v>
      </c>
      <c r="M637" s="146" t="s">
        <v>1387</v>
      </c>
      <c r="N637" s="149" t="s">
        <v>1388</v>
      </c>
      <c r="O637" s="112"/>
      <c r="P637" s="112" t="s">
        <v>1277</v>
      </c>
      <c r="Q637" s="729">
        <v>38.892364999999998</v>
      </c>
      <c r="R637" s="591">
        <v>-84.811717999999999</v>
      </c>
      <c r="S637" s="112" t="s">
        <v>63</v>
      </c>
      <c r="T637" s="112"/>
      <c r="U637" s="112" t="s">
        <v>51</v>
      </c>
      <c r="V637" s="145"/>
      <c r="W637" s="150">
        <f>IF(AC637="Intr",0,G637*Definitions!$B$53)</f>
        <v>29280</v>
      </c>
      <c r="X637" s="150">
        <f>IF(AC637="Intr",0,G637*Definitions!$B$54)</f>
        <v>136640</v>
      </c>
      <c r="Y637" s="150">
        <f>IF(AC637="Intr",G637,G637*Definitions!$B$55)</f>
        <v>29280</v>
      </c>
      <c r="Z637" s="150" t="s">
        <v>966</v>
      </c>
      <c r="AA637" s="150" t="s">
        <v>965</v>
      </c>
      <c r="AB637" s="150"/>
      <c r="AC637" s="112"/>
      <c r="AD637" s="112"/>
      <c r="AE637" s="112"/>
      <c r="AF637" s="112"/>
      <c r="AG637" s="151"/>
      <c r="AH637" s="112"/>
    </row>
    <row r="638" spans="1:34" x14ac:dyDescent="0.2">
      <c r="A638" s="145">
        <v>45042</v>
      </c>
      <c r="B638" s="112" t="s">
        <v>193</v>
      </c>
      <c r="C638" s="112">
        <v>2023</v>
      </c>
      <c r="D638" s="112" t="s">
        <v>10</v>
      </c>
      <c r="E638" s="146">
        <v>-6.8000000000000005E-2</v>
      </c>
      <c r="F638" s="146" t="s">
        <v>32</v>
      </c>
      <c r="G638" s="147">
        <v>5440</v>
      </c>
      <c r="H638" s="148">
        <v>406</v>
      </c>
      <c r="I638" s="146" t="s">
        <v>80</v>
      </c>
      <c r="J638" s="146" t="s">
        <v>38</v>
      </c>
      <c r="K638" s="146">
        <v>1.7000000000000001E-2</v>
      </c>
      <c r="L638" s="146" t="s">
        <v>726</v>
      </c>
      <c r="M638" s="146" t="s">
        <v>1387</v>
      </c>
      <c r="N638" s="149" t="s">
        <v>1388</v>
      </c>
      <c r="O638" s="112"/>
      <c r="P638" s="112" t="s">
        <v>1277</v>
      </c>
      <c r="Q638" s="729">
        <v>38.892364999999998</v>
      </c>
      <c r="R638" s="591">
        <v>-84.811717999999999</v>
      </c>
      <c r="S638" s="112" t="s">
        <v>63</v>
      </c>
      <c r="T638" s="112"/>
      <c r="U638" s="112" t="s">
        <v>51</v>
      </c>
      <c r="V638" s="145"/>
      <c r="W638" s="150">
        <f>IF(AC638="Intr",0,G638*Definitions!$B$53)</f>
        <v>816</v>
      </c>
      <c r="X638" s="150">
        <f>IF(AC638="Intr",0,G638*Definitions!$B$54)</f>
        <v>3807.9999999999995</v>
      </c>
      <c r="Y638" s="150">
        <f>IF(AC638="Intr",G638,G638*Definitions!$B$55)</f>
        <v>816</v>
      </c>
      <c r="Z638" s="150" t="s">
        <v>966</v>
      </c>
      <c r="AA638" s="150" t="s">
        <v>965</v>
      </c>
      <c r="AB638" s="150"/>
      <c r="AC638" s="112"/>
      <c r="AD638" s="112"/>
      <c r="AE638" s="112"/>
      <c r="AF638" s="112"/>
      <c r="AG638" s="151"/>
      <c r="AH638" s="112"/>
    </row>
    <row r="639" spans="1:34" x14ac:dyDescent="0.2">
      <c r="A639" s="33">
        <v>45042</v>
      </c>
      <c r="B639" s="34" t="s">
        <v>193</v>
      </c>
      <c r="C639" s="34">
        <v>2023</v>
      </c>
      <c r="D639" s="34" t="s">
        <v>5</v>
      </c>
      <c r="E639" s="271">
        <v>-0.63</v>
      </c>
      <c r="F639" s="271" t="s">
        <v>32</v>
      </c>
      <c r="G639" s="272">
        <v>50400</v>
      </c>
      <c r="H639" s="273">
        <v>345</v>
      </c>
      <c r="I639" s="271" t="s">
        <v>80</v>
      </c>
      <c r="J639" s="271" t="s">
        <v>36</v>
      </c>
      <c r="K639" s="271">
        <v>0.26</v>
      </c>
      <c r="L639" s="271" t="s">
        <v>1376</v>
      </c>
      <c r="M639" s="271" t="s">
        <v>1375</v>
      </c>
      <c r="N639" s="116" t="s">
        <v>1377</v>
      </c>
      <c r="O639" s="34"/>
      <c r="P639" s="34" t="s">
        <v>1251</v>
      </c>
      <c r="Q639" s="773">
        <v>40.580204000000002</v>
      </c>
      <c r="R639" s="592">
        <v>-86.679981999999995</v>
      </c>
      <c r="S639" s="34" t="s">
        <v>61</v>
      </c>
      <c r="T639" s="34"/>
      <c r="U639" s="34" t="s">
        <v>51</v>
      </c>
      <c r="V639" s="33"/>
      <c r="W639" s="35">
        <f>IF(AC639="Intr",0,G639*Definitions!$B$53)</f>
        <v>7560</v>
      </c>
      <c r="X639" s="35">
        <f>IF(AC639="Intr",0,G639*Definitions!$B$54)</f>
        <v>35280</v>
      </c>
      <c r="Y639" s="35">
        <f>IF(AC639="Intr",G639,G639*Definitions!$B$55)</f>
        <v>7560</v>
      </c>
      <c r="Z639" s="35" t="s">
        <v>966</v>
      </c>
      <c r="AA639" s="35" t="s">
        <v>965</v>
      </c>
      <c r="AB639" s="35"/>
      <c r="AC639" s="34"/>
      <c r="AD639" s="34"/>
      <c r="AE639" s="34"/>
      <c r="AF639" s="34"/>
      <c r="AG639" s="36"/>
      <c r="AH639" s="34" t="s">
        <v>1379</v>
      </c>
    </row>
    <row r="640" spans="1:34" x14ac:dyDescent="0.2">
      <c r="A640" s="33">
        <v>45042</v>
      </c>
      <c r="B640" s="34" t="s">
        <v>193</v>
      </c>
      <c r="C640" s="34">
        <v>2023</v>
      </c>
      <c r="D640" s="34" t="s">
        <v>5</v>
      </c>
      <c r="E640" s="271">
        <v>-0.36</v>
      </c>
      <c r="F640" s="271" t="s">
        <v>32</v>
      </c>
      <c r="G640" s="272">
        <v>28800</v>
      </c>
      <c r="H640" s="273">
        <v>345</v>
      </c>
      <c r="I640" s="271" t="s">
        <v>80</v>
      </c>
      <c r="J640" s="271" t="s">
        <v>38</v>
      </c>
      <c r="K640" s="271">
        <v>0.09</v>
      </c>
      <c r="L640" s="271" t="s">
        <v>1376</v>
      </c>
      <c r="M640" s="271" t="s">
        <v>1375</v>
      </c>
      <c r="N640" s="116" t="s">
        <v>1377</v>
      </c>
      <c r="O640" s="34"/>
      <c r="P640" s="34" t="s">
        <v>1251</v>
      </c>
      <c r="Q640" s="773">
        <v>40.580204000000002</v>
      </c>
      <c r="R640" s="592">
        <v>-86.679981999999995</v>
      </c>
      <c r="S640" s="34" t="s">
        <v>61</v>
      </c>
      <c r="T640" s="34"/>
      <c r="U640" s="34" t="s">
        <v>51</v>
      </c>
      <c r="V640" s="33"/>
      <c r="W640" s="35">
        <f>IF(AC640="Intr",0,G640*Definitions!$B$53)</f>
        <v>4320</v>
      </c>
      <c r="X640" s="35">
        <f>IF(AC640="Intr",0,G640*Definitions!$B$54)</f>
        <v>20160</v>
      </c>
      <c r="Y640" s="35">
        <f>IF(AC640="Intr",G640,G640*Definitions!$B$55)</f>
        <v>4320</v>
      </c>
      <c r="Z640" s="35" t="s">
        <v>966</v>
      </c>
      <c r="AA640" s="35" t="s">
        <v>965</v>
      </c>
      <c r="AB640" s="35"/>
      <c r="AC640" s="34"/>
      <c r="AD640" s="34"/>
      <c r="AE640" s="34"/>
      <c r="AF640" s="34"/>
      <c r="AG640" s="36"/>
      <c r="AH640" s="34" t="s">
        <v>1378</v>
      </c>
    </row>
    <row r="641" spans="1:34" x14ac:dyDescent="0.2">
      <c r="A641" s="37">
        <v>45042</v>
      </c>
      <c r="B641" s="38" t="s">
        <v>193</v>
      </c>
      <c r="C641" s="38">
        <v>2023</v>
      </c>
      <c r="D641" s="38" t="s">
        <v>7</v>
      </c>
      <c r="E641" s="177">
        <v>-0.28749999999999998</v>
      </c>
      <c r="F641" s="177" t="s">
        <v>32</v>
      </c>
      <c r="G641" s="269">
        <v>23000</v>
      </c>
      <c r="H641" s="179">
        <v>405</v>
      </c>
      <c r="I641" s="177" t="s">
        <v>81</v>
      </c>
      <c r="J641" s="177" t="s">
        <v>38</v>
      </c>
      <c r="K641" s="177">
        <v>0.115</v>
      </c>
      <c r="L641" s="177" t="s">
        <v>1373</v>
      </c>
      <c r="M641" s="177" t="s">
        <v>103</v>
      </c>
      <c r="N641" s="70" t="s">
        <v>1374</v>
      </c>
      <c r="O641" s="38"/>
      <c r="P641" s="38" t="s">
        <v>143</v>
      </c>
      <c r="Q641" s="760">
        <v>39.774169999999998</v>
      </c>
      <c r="R641" s="590">
        <v>-86.273200000000003</v>
      </c>
      <c r="S641" s="38" t="s">
        <v>61</v>
      </c>
      <c r="T641" s="38"/>
      <c r="U641" s="38" t="s">
        <v>51</v>
      </c>
      <c r="V641" s="37"/>
      <c r="W641" s="39">
        <f>IF(AC641="Intr",0,G641*Definitions!$B$53)</f>
        <v>3450</v>
      </c>
      <c r="X641" s="39">
        <f>IF(AC641="Intr",0,G641*Definitions!$B$54)</f>
        <v>16099.999999999998</v>
      </c>
      <c r="Y641" s="39">
        <f>IF(AC641="Intr",G641,G641*Definitions!$B$55)</f>
        <v>3450</v>
      </c>
      <c r="Z641" s="39" t="s">
        <v>966</v>
      </c>
      <c r="AA641" s="39" t="s">
        <v>963</v>
      </c>
      <c r="AB641" s="39" t="s">
        <v>1268</v>
      </c>
      <c r="AC641" s="38"/>
      <c r="AD641" s="38"/>
      <c r="AE641" s="38"/>
      <c r="AF641" s="38"/>
      <c r="AG641" s="40"/>
      <c r="AH641" s="38"/>
    </row>
    <row r="642" spans="1:34" x14ac:dyDescent="0.2">
      <c r="A642" s="45">
        <v>45042</v>
      </c>
      <c r="B642" s="46" t="s">
        <v>193</v>
      </c>
      <c r="C642" s="46">
        <v>2023</v>
      </c>
      <c r="D642" s="46" t="s">
        <v>7</v>
      </c>
      <c r="E642" s="181">
        <v>-498</v>
      </c>
      <c r="F642" s="181" t="s">
        <v>33</v>
      </c>
      <c r="G642" s="182">
        <v>224100</v>
      </c>
      <c r="H642" s="183">
        <v>393</v>
      </c>
      <c r="I642" s="181" t="s">
        <v>80</v>
      </c>
      <c r="J642" s="181" t="s">
        <v>41</v>
      </c>
      <c r="K642" s="181">
        <v>415</v>
      </c>
      <c r="L642" s="181" t="s">
        <v>1381</v>
      </c>
      <c r="M642" s="181" t="s">
        <v>1380</v>
      </c>
      <c r="N642" s="76" t="s">
        <v>1382</v>
      </c>
      <c r="O642" s="46"/>
      <c r="P642" s="46" t="s">
        <v>162</v>
      </c>
      <c r="Q642" s="761">
        <v>39.739699999999999</v>
      </c>
      <c r="R642" s="660">
        <v>-86.337599999999995</v>
      </c>
      <c r="S642" s="46" t="s">
        <v>61</v>
      </c>
      <c r="T642" s="46"/>
      <c r="U642" s="46" t="s">
        <v>51</v>
      </c>
      <c r="V642" s="45"/>
      <c r="W642" s="47">
        <f>IF(AC642="Intr",0,G642*Definitions!$B$53)</f>
        <v>33615</v>
      </c>
      <c r="X642" s="47">
        <f>IF(AC642="Intr",0,G642*Definitions!$B$54)</f>
        <v>156870</v>
      </c>
      <c r="Y642" s="47">
        <f>IF(AC642="Intr",G642,G642*Definitions!$B$55)</f>
        <v>33615</v>
      </c>
      <c r="Z642" s="47" t="s">
        <v>966</v>
      </c>
      <c r="AA642" s="47" t="s">
        <v>965</v>
      </c>
      <c r="AB642" s="47"/>
      <c r="AC642" s="46"/>
      <c r="AD642" s="46"/>
      <c r="AE642" s="46"/>
      <c r="AF642" s="46"/>
      <c r="AG642" s="48"/>
      <c r="AH642" s="46" t="s">
        <v>1383</v>
      </c>
    </row>
    <row r="643" spans="1:34" x14ac:dyDescent="0.2">
      <c r="A643" s="45">
        <v>45042</v>
      </c>
      <c r="B643" s="46" t="s">
        <v>193</v>
      </c>
      <c r="C643" s="46">
        <v>2023</v>
      </c>
      <c r="D643" s="46" t="s">
        <v>7</v>
      </c>
      <c r="E643" s="181">
        <v>-7.0000000000000007E-2</v>
      </c>
      <c r="F643" s="181" t="s">
        <v>32</v>
      </c>
      <c r="G643" s="182">
        <v>5600</v>
      </c>
      <c r="H643" s="183">
        <v>393</v>
      </c>
      <c r="I643" s="181" t="s">
        <v>80</v>
      </c>
      <c r="J643" s="181" t="s">
        <v>36</v>
      </c>
      <c r="K643" s="181">
        <v>0.03</v>
      </c>
      <c r="L643" s="181" t="s">
        <v>1381</v>
      </c>
      <c r="M643" s="181" t="s">
        <v>1380</v>
      </c>
      <c r="N643" s="76" t="s">
        <v>1382</v>
      </c>
      <c r="O643" s="46"/>
      <c r="P643" s="46" t="s">
        <v>162</v>
      </c>
      <c r="Q643" s="761">
        <v>39.739699999999999</v>
      </c>
      <c r="R643" s="660">
        <v>-86.337599999999995</v>
      </c>
      <c r="S643" s="46" t="s">
        <v>61</v>
      </c>
      <c r="T643" s="46"/>
      <c r="U643" s="46" t="s">
        <v>51</v>
      </c>
      <c r="V643" s="45"/>
      <c r="W643" s="47">
        <f>IF(AC643="Intr",0,G643*Definitions!$B$53)</f>
        <v>840</v>
      </c>
      <c r="X643" s="47">
        <f>IF(AC643="Intr",0,G643*Definitions!$B$54)</f>
        <v>3919.9999999999995</v>
      </c>
      <c r="Y643" s="47">
        <f>IF(AC643="Intr",G643,G643*Definitions!$B$55)</f>
        <v>840</v>
      </c>
      <c r="Z643" s="47" t="s">
        <v>966</v>
      </c>
      <c r="AA643" s="47" t="s">
        <v>965</v>
      </c>
      <c r="AB643" s="47"/>
      <c r="AC643" s="46"/>
      <c r="AD643" s="46"/>
      <c r="AE643" s="46"/>
      <c r="AF643" s="46"/>
      <c r="AG643" s="48"/>
      <c r="AH643" s="46" t="s">
        <v>1384</v>
      </c>
    </row>
    <row r="644" spans="1:34" x14ac:dyDescent="0.2">
      <c r="A644" s="45">
        <v>45042</v>
      </c>
      <c r="B644" s="46" t="s">
        <v>193</v>
      </c>
      <c r="C644" s="46">
        <v>2023</v>
      </c>
      <c r="D644" s="46" t="s">
        <v>7</v>
      </c>
      <c r="E644" s="181">
        <v>-4.8000000000000001E-2</v>
      </c>
      <c r="F644" s="181" t="s">
        <v>32</v>
      </c>
      <c r="G644" s="182">
        <v>3840</v>
      </c>
      <c r="H644" s="183">
        <v>393</v>
      </c>
      <c r="I644" s="181" t="s">
        <v>80</v>
      </c>
      <c r="J644" s="181" t="s">
        <v>37</v>
      </c>
      <c r="K644" s="181">
        <v>1.6E-2</v>
      </c>
      <c r="L644" s="181" t="s">
        <v>1381</v>
      </c>
      <c r="M644" s="181" t="s">
        <v>1380</v>
      </c>
      <c r="N644" s="450" t="s">
        <v>1382</v>
      </c>
      <c r="O644" s="46"/>
      <c r="P644" s="46" t="s">
        <v>162</v>
      </c>
      <c r="Q644" s="761">
        <v>39.739699999999999</v>
      </c>
      <c r="R644" s="660">
        <v>-86.337599999999995</v>
      </c>
      <c r="S644" s="46" t="s">
        <v>61</v>
      </c>
      <c r="T644" s="46"/>
      <c r="U644" s="46" t="s">
        <v>51</v>
      </c>
      <c r="V644" s="45"/>
      <c r="W644" s="47">
        <f>IF(AC644="Intr",0,G644*Definitions!$B$53)</f>
        <v>576</v>
      </c>
      <c r="X644" s="47">
        <f>IF(AC644="Intr",0,G644*Definitions!$B$54)</f>
        <v>2688</v>
      </c>
      <c r="Y644" s="47">
        <f>IF(AC644="Intr",G644,G644*Definitions!$B$55)</f>
        <v>576</v>
      </c>
      <c r="Z644" s="47" t="s">
        <v>966</v>
      </c>
      <c r="AA644" s="47" t="s">
        <v>965</v>
      </c>
      <c r="AB644" s="47"/>
      <c r="AC644" s="46"/>
      <c r="AD644" s="46"/>
      <c r="AE644" s="46"/>
      <c r="AF644" s="46"/>
      <c r="AG644" s="48"/>
      <c r="AH644" s="46" t="s">
        <v>1385</v>
      </c>
    </row>
    <row r="645" spans="1:34" x14ac:dyDescent="0.2">
      <c r="A645" s="45">
        <v>45042</v>
      </c>
      <c r="B645" s="46" t="s">
        <v>193</v>
      </c>
      <c r="C645" s="46">
        <v>2023</v>
      </c>
      <c r="D645" s="46" t="s">
        <v>7</v>
      </c>
      <c r="E645" s="181">
        <v>-0.26</v>
      </c>
      <c r="F645" s="181" t="s">
        <v>32</v>
      </c>
      <c r="G645" s="182">
        <v>20800</v>
      </c>
      <c r="H645" s="183">
        <v>393</v>
      </c>
      <c r="I645" s="181" t="s">
        <v>80</v>
      </c>
      <c r="J645" s="181" t="s">
        <v>38</v>
      </c>
      <c r="K645" s="181">
        <v>6.5000000000000002E-2</v>
      </c>
      <c r="L645" s="181" t="s">
        <v>1381</v>
      </c>
      <c r="M645" s="181" t="s">
        <v>1380</v>
      </c>
      <c r="N645" s="76" t="s">
        <v>1382</v>
      </c>
      <c r="O645" s="46"/>
      <c r="P645" s="46" t="s">
        <v>162</v>
      </c>
      <c r="Q645" s="761">
        <v>39.739699999999999</v>
      </c>
      <c r="R645" s="660">
        <v>-86.337599999999995</v>
      </c>
      <c r="S645" s="46" t="s">
        <v>61</v>
      </c>
      <c r="T645" s="46"/>
      <c r="U645" s="46" t="s">
        <v>51</v>
      </c>
      <c r="V645" s="45"/>
      <c r="W645" s="47">
        <f>IF(AC645="Intr",0,G645*Definitions!$B$53)</f>
        <v>3120</v>
      </c>
      <c r="X645" s="47">
        <f>IF(AC645="Intr",0,G645*Definitions!$B$54)</f>
        <v>14559.999999999998</v>
      </c>
      <c r="Y645" s="47">
        <f>IF(AC645="Intr",G645,G645*Definitions!$B$55)</f>
        <v>3120</v>
      </c>
      <c r="Z645" s="47" t="s">
        <v>966</v>
      </c>
      <c r="AA645" s="47" t="s">
        <v>965</v>
      </c>
      <c r="AB645" s="47"/>
      <c r="AC645" s="46"/>
      <c r="AD645" s="46"/>
      <c r="AE645" s="46"/>
      <c r="AF645" s="46"/>
      <c r="AG645" s="48"/>
      <c r="AH645" s="46" t="s">
        <v>1386</v>
      </c>
    </row>
    <row r="646" spans="1:34" x14ac:dyDescent="0.2">
      <c r="A646" s="37">
        <v>45042</v>
      </c>
      <c r="B646" s="38" t="s">
        <v>193</v>
      </c>
      <c r="C646" s="38">
        <v>2023</v>
      </c>
      <c r="D646" s="38" t="s">
        <v>7</v>
      </c>
      <c r="E646" s="177">
        <v>-22</v>
      </c>
      <c r="F646" s="177" t="s">
        <v>33</v>
      </c>
      <c r="G646" s="269">
        <v>9900</v>
      </c>
      <c r="H646" s="179">
        <v>407</v>
      </c>
      <c r="I646" s="177" t="s">
        <v>80</v>
      </c>
      <c r="J646" s="177" t="s">
        <v>41</v>
      </c>
      <c r="K646" s="177">
        <v>22</v>
      </c>
      <c r="L646" s="177" t="s">
        <v>726</v>
      </c>
      <c r="M646" s="177" t="s">
        <v>1393</v>
      </c>
      <c r="N646" s="70" t="s">
        <v>1394</v>
      </c>
      <c r="O646" s="38"/>
      <c r="P646" s="38" t="s">
        <v>1285</v>
      </c>
      <c r="Q646" s="760">
        <v>39.53875</v>
      </c>
      <c r="R646" s="590">
        <v>-86.383160000000004</v>
      </c>
      <c r="S646" s="38" t="s">
        <v>63</v>
      </c>
      <c r="T646" s="38"/>
      <c r="U646" s="38" t="s">
        <v>51</v>
      </c>
      <c r="V646" s="37"/>
      <c r="W646" s="39">
        <v>1485</v>
      </c>
      <c r="X646" s="39">
        <v>6930</v>
      </c>
      <c r="Y646" s="39">
        <v>1485</v>
      </c>
      <c r="Z646" s="39" t="s">
        <v>966</v>
      </c>
      <c r="AA646" s="39" t="s">
        <v>965</v>
      </c>
      <c r="AB646" s="39"/>
      <c r="AC646" s="38"/>
      <c r="AD646" s="38"/>
      <c r="AE646" s="38"/>
      <c r="AF646" s="38"/>
      <c r="AG646" s="40"/>
      <c r="AH646" s="38"/>
    </row>
    <row r="647" spans="1:34" x14ac:dyDescent="0.2">
      <c r="A647" s="33">
        <v>45043</v>
      </c>
      <c r="B647" s="34" t="s">
        <v>193</v>
      </c>
      <c r="C647" s="34">
        <v>2023</v>
      </c>
      <c r="D647" s="34" t="s">
        <v>3</v>
      </c>
      <c r="E647" s="271">
        <v>-0.26</v>
      </c>
      <c r="F647" s="271" t="s">
        <v>32</v>
      </c>
      <c r="G647" s="272">
        <v>31200</v>
      </c>
      <c r="H647" s="273">
        <v>394</v>
      </c>
      <c r="I647" s="271" t="s">
        <v>80</v>
      </c>
      <c r="J647" s="271" t="s">
        <v>38</v>
      </c>
      <c r="K647" s="271">
        <v>0.22</v>
      </c>
      <c r="L647" s="271" t="s">
        <v>408</v>
      </c>
      <c r="M647" s="271" t="s">
        <v>1391</v>
      </c>
      <c r="N647" s="116" t="s">
        <v>1392</v>
      </c>
      <c r="O647" s="34"/>
      <c r="P647" s="34" t="s">
        <v>1222</v>
      </c>
      <c r="Q647" s="773">
        <v>41.656427999999998</v>
      </c>
      <c r="R647" s="592">
        <v>-85.101192999999995</v>
      </c>
      <c r="S647" s="34" t="s">
        <v>62</v>
      </c>
      <c r="T647" s="34"/>
      <c r="U647" s="34" t="s">
        <v>51</v>
      </c>
      <c r="V647" s="33"/>
      <c r="W647" s="35">
        <f>IF(AC647="Intr",0,G647*Definitions!$B$53)</f>
        <v>4680</v>
      </c>
      <c r="X647" s="35">
        <f>IF(AC647="Intr",0,G647*Definitions!$B$54)</f>
        <v>21840</v>
      </c>
      <c r="Y647" s="35">
        <f>IF(AC647="Intr",G647,G647*Definitions!$B$55)</f>
        <v>4680</v>
      </c>
      <c r="Z647" s="35" t="s">
        <v>964</v>
      </c>
      <c r="AA647" s="35" t="s">
        <v>965</v>
      </c>
      <c r="AB647" s="35"/>
      <c r="AC647" s="34"/>
      <c r="AD647" s="34"/>
      <c r="AE647" s="34"/>
      <c r="AF647" s="34"/>
      <c r="AG647" s="36"/>
      <c r="AH647" s="34"/>
    </row>
    <row r="648" spans="1:34" x14ac:dyDescent="0.2">
      <c r="A648" s="145">
        <v>45061</v>
      </c>
      <c r="B648" s="112" t="s">
        <v>95</v>
      </c>
      <c r="C648" s="112">
        <v>2023</v>
      </c>
      <c r="D648" s="112" t="s">
        <v>2</v>
      </c>
      <c r="E648" s="146">
        <v>-0.39</v>
      </c>
      <c r="F648" s="146" t="s">
        <v>32</v>
      </c>
      <c r="G648" s="147">
        <v>97050</v>
      </c>
      <c r="H648" s="148">
        <v>418</v>
      </c>
      <c r="I648" s="146" t="s">
        <v>80</v>
      </c>
      <c r="J648" s="146" t="s">
        <v>37</v>
      </c>
      <c r="K648" s="146">
        <v>0.13</v>
      </c>
      <c r="L648" s="146" t="s">
        <v>408</v>
      </c>
      <c r="M648" s="146" t="s">
        <v>1395</v>
      </c>
      <c r="N648" s="149" t="s">
        <v>1396</v>
      </c>
      <c r="O648" s="112"/>
      <c r="P648" s="112" t="s">
        <v>259</v>
      </c>
      <c r="Q648" s="729">
        <v>41.217205</v>
      </c>
      <c r="R648" s="591">
        <v>-87.005990999999995</v>
      </c>
      <c r="S648" s="112" t="s">
        <v>62</v>
      </c>
      <c r="T648" s="112"/>
      <c r="U648" s="112" t="s">
        <v>51</v>
      </c>
      <c r="V648" s="145"/>
      <c r="W648" s="150">
        <f>IF(AC648="Intr",0,G648*Definitions!$B$53)</f>
        <v>14557.5</v>
      </c>
      <c r="X648" s="150">
        <f>IF(AC648="Intr",0,G648*Definitions!$B$54)</f>
        <v>67935</v>
      </c>
      <c r="Y648" s="150">
        <f>IF(AC648="Intr",G648,G648*Definitions!$B$55)</f>
        <v>14557.5</v>
      </c>
      <c r="Z648" s="150" t="s">
        <v>964</v>
      </c>
      <c r="AA648" s="150" t="s">
        <v>965</v>
      </c>
      <c r="AB648" s="150"/>
      <c r="AC648" s="112"/>
      <c r="AD648" s="112"/>
      <c r="AE648" s="112"/>
      <c r="AF648" s="112"/>
      <c r="AG648" s="151"/>
      <c r="AH648" s="112"/>
    </row>
    <row r="649" spans="1:34" x14ac:dyDescent="0.2">
      <c r="A649" s="33">
        <v>45069</v>
      </c>
      <c r="B649" s="34" t="s">
        <v>95</v>
      </c>
      <c r="C649" s="34">
        <v>2023</v>
      </c>
      <c r="D649" s="34" t="s">
        <v>7</v>
      </c>
      <c r="E649" s="271">
        <v>-7</v>
      </c>
      <c r="F649" s="271" t="s">
        <v>33</v>
      </c>
      <c r="G649" s="272">
        <v>3150</v>
      </c>
      <c r="H649" s="273">
        <v>413</v>
      </c>
      <c r="I649" s="271" t="s">
        <v>80</v>
      </c>
      <c r="J649" s="271" t="s">
        <v>41</v>
      </c>
      <c r="K649" s="271">
        <v>6</v>
      </c>
      <c r="L649" s="271" t="s">
        <v>1397</v>
      </c>
      <c r="M649" s="116" t="s">
        <v>1398</v>
      </c>
      <c r="N649" s="116" t="s">
        <v>1399</v>
      </c>
      <c r="O649" s="34"/>
      <c r="P649" s="34" t="s">
        <v>137</v>
      </c>
      <c r="Q649" s="795">
        <v>39.956277</v>
      </c>
      <c r="R649" s="692">
        <v>-85.874542000000005</v>
      </c>
      <c r="S649" s="34" t="s">
        <v>61</v>
      </c>
      <c r="T649" s="34"/>
      <c r="U649" s="34" t="s">
        <v>51</v>
      </c>
      <c r="V649" s="33"/>
      <c r="W649" s="35">
        <f>IF(AC649="Intr",0,G649*Definitions!$B$53)</f>
        <v>472.5</v>
      </c>
      <c r="X649" s="35">
        <f>IF(AC649="Intr",0,G649*Definitions!$B$54)</f>
        <v>2205</v>
      </c>
      <c r="Y649" s="35">
        <f>IF(AC649="Intr",G649,G649*Definitions!$B$55)</f>
        <v>472.5</v>
      </c>
      <c r="Z649" s="35" t="s">
        <v>966</v>
      </c>
      <c r="AA649" s="35" t="s">
        <v>965</v>
      </c>
      <c r="AB649" s="35"/>
      <c r="AC649" s="34"/>
      <c r="AD649" s="34"/>
      <c r="AE649" s="34"/>
      <c r="AF649" s="34"/>
      <c r="AG649" s="36"/>
      <c r="AH649" s="34"/>
    </row>
    <row r="650" spans="1:34" x14ac:dyDescent="0.2">
      <c r="A650" s="33">
        <v>45069</v>
      </c>
      <c r="B650" s="34" t="s">
        <v>95</v>
      </c>
      <c r="C650" s="34">
        <v>2023</v>
      </c>
      <c r="D650" s="34" t="s">
        <v>7</v>
      </c>
      <c r="E650" s="271">
        <v>-0.36</v>
      </c>
      <c r="F650" s="271" t="s">
        <v>32</v>
      </c>
      <c r="G650" s="272">
        <v>28800</v>
      </c>
      <c r="H650" s="273">
        <v>413</v>
      </c>
      <c r="I650" s="271" t="s">
        <v>80</v>
      </c>
      <c r="J650" s="271" t="s">
        <v>36</v>
      </c>
      <c r="K650" s="271">
        <v>0.11</v>
      </c>
      <c r="L650" s="271" t="s">
        <v>1397</v>
      </c>
      <c r="M650" s="116" t="s">
        <v>1398</v>
      </c>
      <c r="N650" s="116" t="s">
        <v>1399</v>
      </c>
      <c r="O650" s="34"/>
      <c r="P650" s="34" t="s">
        <v>137</v>
      </c>
      <c r="Q650" s="795">
        <v>39.956277</v>
      </c>
      <c r="R650" s="692">
        <v>-85.874542000000005</v>
      </c>
      <c r="S650" s="34" t="s">
        <v>61</v>
      </c>
      <c r="T650" s="34"/>
      <c r="U650" s="34" t="s">
        <v>51</v>
      </c>
      <c r="V650" s="33"/>
      <c r="W650" s="35">
        <f>IF(AC650="Intr",0,G650*Definitions!$B$53)</f>
        <v>4320</v>
      </c>
      <c r="X650" s="35">
        <f>IF(AC650="Intr",0,G650*Definitions!$B$54)</f>
        <v>20160</v>
      </c>
      <c r="Y650" s="35">
        <f>IF(AC650="Intr",G650,G650*Definitions!$B$55)</f>
        <v>4320</v>
      </c>
      <c r="Z650" s="35" t="s">
        <v>966</v>
      </c>
      <c r="AA650" s="35" t="s">
        <v>965</v>
      </c>
      <c r="AB650" s="35"/>
      <c r="AC650" s="34"/>
      <c r="AD650" s="34"/>
      <c r="AE650" s="34"/>
      <c r="AF650" s="34"/>
      <c r="AG650" s="36"/>
      <c r="AH650" s="34"/>
    </row>
    <row r="651" spans="1:34" x14ac:dyDescent="0.2">
      <c r="A651" s="33">
        <v>45069</v>
      </c>
      <c r="B651" s="34" t="s">
        <v>95</v>
      </c>
      <c r="C651" s="34">
        <v>2023</v>
      </c>
      <c r="D651" s="34" t="s">
        <v>7</v>
      </c>
      <c r="E651" s="271">
        <v>-3</v>
      </c>
      <c r="F651" s="271" t="s">
        <v>32</v>
      </c>
      <c r="G651" s="272">
        <v>240000</v>
      </c>
      <c r="H651" s="273">
        <v>413</v>
      </c>
      <c r="I651" s="271" t="s">
        <v>80</v>
      </c>
      <c r="J651" s="271" t="s">
        <v>38</v>
      </c>
      <c r="K651" s="271">
        <v>0.75</v>
      </c>
      <c r="L651" s="271" t="s">
        <v>1397</v>
      </c>
      <c r="M651" s="116" t="s">
        <v>1398</v>
      </c>
      <c r="N651" s="116" t="s">
        <v>1399</v>
      </c>
      <c r="O651" s="34"/>
      <c r="P651" s="34" t="s">
        <v>137</v>
      </c>
      <c r="Q651" s="795">
        <v>39.956277</v>
      </c>
      <c r="R651" s="692">
        <v>-85.874542000000005</v>
      </c>
      <c r="S651" s="34" t="s">
        <v>61</v>
      </c>
      <c r="T651" s="34"/>
      <c r="U651" s="34" t="s">
        <v>51</v>
      </c>
      <c r="V651" s="33"/>
      <c r="W651" s="35">
        <f>IF(AC651="Intr",0,G651*Definitions!$B$53)</f>
        <v>36000</v>
      </c>
      <c r="X651" s="35">
        <f>IF(AC651="Intr",0,G651*Definitions!$B$54)</f>
        <v>168000</v>
      </c>
      <c r="Y651" s="35">
        <f>IF(AC651="Intr",G651,G651*Definitions!$B$55)</f>
        <v>36000</v>
      </c>
      <c r="Z651" s="35" t="s">
        <v>966</v>
      </c>
      <c r="AA651" s="35" t="s">
        <v>965</v>
      </c>
      <c r="AB651" s="35"/>
      <c r="AC651" s="34"/>
      <c r="AD651" s="34"/>
      <c r="AE651" s="34"/>
      <c r="AF651" s="34"/>
      <c r="AG651" s="36"/>
      <c r="AH651" s="34"/>
    </row>
    <row r="652" spans="1:34" x14ac:dyDescent="0.2">
      <c r="A652" s="45">
        <v>45090</v>
      </c>
      <c r="B652" s="322" t="s">
        <v>433</v>
      </c>
      <c r="C652" s="46">
        <v>2023</v>
      </c>
      <c r="D652" s="46" t="s">
        <v>4</v>
      </c>
      <c r="E652" s="181">
        <v>-0.216</v>
      </c>
      <c r="F652" s="181" t="s">
        <v>32</v>
      </c>
      <c r="G652" s="272">
        <v>17280</v>
      </c>
      <c r="H652" s="181">
        <v>401</v>
      </c>
      <c r="I652" s="181" t="s">
        <v>80</v>
      </c>
      <c r="J652" s="181" t="s">
        <v>38</v>
      </c>
      <c r="K652" s="181">
        <v>0.09</v>
      </c>
      <c r="L652" s="181" t="s">
        <v>1403</v>
      </c>
      <c r="M652" s="181" t="s">
        <v>1404</v>
      </c>
      <c r="N652" s="181" t="s">
        <v>1405</v>
      </c>
      <c r="O652" s="322"/>
      <c r="P652" s="46" t="s">
        <v>310</v>
      </c>
      <c r="Q652" s="794">
        <v>41.323115999999999</v>
      </c>
      <c r="R652" s="691">
        <v>-85.124328000000006</v>
      </c>
      <c r="S652" s="46" t="s">
        <v>63</v>
      </c>
      <c r="T652" s="322"/>
      <c r="U652" s="322" t="s">
        <v>51</v>
      </c>
      <c r="V652" s="322"/>
      <c r="W652" s="47">
        <f>IF(AC652="Intr",0,G652*Definitions!$B$53)</f>
        <v>2592</v>
      </c>
      <c r="X652" s="47">
        <f>IF(AC652="Intr",0,G652*Definitions!$B$54)</f>
        <v>12096</v>
      </c>
      <c r="Y652" s="47">
        <f>IF(AC652="Intr",G652,G652*Definitions!$B$55)</f>
        <v>2592</v>
      </c>
      <c r="Z652" s="46" t="s">
        <v>964</v>
      </c>
      <c r="AA652" s="46" t="s">
        <v>965</v>
      </c>
      <c r="AB652" s="46"/>
      <c r="AC652" s="322"/>
      <c r="AD652" s="322"/>
      <c r="AE652" s="322"/>
      <c r="AF652" s="322"/>
      <c r="AG652" s="322"/>
      <c r="AH652" s="322"/>
    </row>
    <row r="653" spans="1:34" x14ac:dyDescent="0.2">
      <c r="A653" s="37">
        <v>45090</v>
      </c>
      <c r="B653" s="38" t="s">
        <v>433</v>
      </c>
      <c r="C653" s="38">
        <v>2023</v>
      </c>
      <c r="D653" s="38" t="s">
        <v>7</v>
      </c>
      <c r="E653" s="177">
        <v>-1.575</v>
      </c>
      <c r="F653" s="177" t="s">
        <v>32</v>
      </c>
      <c r="G653" s="269">
        <v>126000</v>
      </c>
      <c r="H653" s="179">
        <v>404</v>
      </c>
      <c r="I653" s="177" t="s">
        <v>81</v>
      </c>
      <c r="J653" s="177" t="s">
        <v>38</v>
      </c>
      <c r="K653" s="177">
        <v>0.63</v>
      </c>
      <c r="L653" s="177" t="s">
        <v>1406</v>
      </c>
      <c r="M653" s="177" t="s">
        <v>103</v>
      </c>
      <c r="N653" s="70" t="s">
        <v>1407</v>
      </c>
      <c r="O653" s="38"/>
      <c r="P653" s="38" t="s">
        <v>162</v>
      </c>
      <c r="Q653" s="790">
        <v>39.820008000000001</v>
      </c>
      <c r="R653" s="687">
        <v>-86.371840000000006</v>
      </c>
      <c r="S653" s="38" t="s">
        <v>61</v>
      </c>
      <c r="T653" s="38"/>
      <c r="U653" s="38" t="s">
        <v>51</v>
      </c>
      <c r="V653" s="37"/>
      <c r="W653" s="39">
        <f>IF(AC653="Intr",0,G653*Definitions!$B$53)</f>
        <v>18900</v>
      </c>
      <c r="X653" s="39">
        <f>IF(AC653="Intr",0,G653*Definitions!$B$54)</f>
        <v>88200</v>
      </c>
      <c r="Y653" s="39">
        <f>IF(AC653="Intr",G653,G653*Definitions!$B$55)</f>
        <v>18900</v>
      </c>
      <c r="Z653" s="39" t="s">
        <v>966</v>
      </c>
      <c r="AA653" s="39" t="s">
        <v>963</v>
      </c>
      <c r="AB653" s="39" t="s">
        <v>1268</v>
      </c>
      <c r="AC653" s="38"/>
      <c r="AD653" s="38"/>
      <c r="AE653" s="38"/>
      <c r="AF653" s="38"/>
      <c r="AG653" s="40"/>
      <c r="AH653" s="38"/>
    </row>
    <row r="654" spans="1:34" x14ac:dyDescent="0.2">
      <c r="A654" s="37">
        <v>45091</v>
      </c>
      <c r="B654" s="38" t="s">
        <v>433</v>
      </c>
      <c r="C654" s="38">
        <v>2023</v>
      </c>
      <c r="D654" s="38" t="s">
        <v>2</v>
      </c>
      <c r="E654" s="177">
        <v>-0.121</v>
      </c>
      <c r="F654" s="177" t="s">
        <v>32</v>
      </c>
      <c r="G654" s="215">
        <v>11495</v>
      </c>
      <c r="H654" s="216">
        <v>420</v>
      </c>
      <c r="I654" s="177" t="s">
        <v>80</v>
      </c>
      <c r="J654" s="177" t="s">
        <v>36</v>
      </c>
      <c r="K654" s="177">
        <v>0.121</v>
      </c>
      <c r="L654" s="177" t="s">
        <v>942</v>
      </c>
      <c r="M654" s="70" t="s">
        <v>943</v>
      </c>
      <c r="N654" s="70" t="s">
        <v>944</v>
      </c>
      <c r="O654" s="38"/>
      <c r="P654" s="38" t="s">
        <v>227</v>
      </c>
      <c r="Q654" s="760">
        <v>41.315891999999998</v>
      </c>
      <c r="R654" s="590">
        <v>-87.387343000000001</v>
      </c>
      <c r="S654" s="38" t="s">
        <v>61</v>
      </c>
      <c r="T654" s="38"/>
      <c r="U654" s="38" t="s">
        <v>51</v>
      </c>
      <c r="V654" s="37"/>
      <c r="W654" s="39">
        <f>IF(AC654="Intr",0,G654*Definitions!$B$53)</f>
        <v>1724.25</v>
      </c>
      <c r="X654" s="39">
        <f>IF(AC654="Intr",0,G654*Definitions!$B$54)</f>
        <v>8046.4999999999991</v>
      </c>
      <c r="Y654" s="39">
        <f>IF(AC654="Intr",G654,G654*Definitions!$B$55)</f>
        <v>1724.25</v>
      </c>
      <c r="Z654" s="39" t="s">
        <v>967</v>
      </c>
      <c r="AA654" s="39" t="s">
        <v>965</v>
      </c>
      <c r="AB654" s="39"/>
      <c r="AC654" s="38"/>
      <c r="AD654" s="38"/>
      <c r="AE654" s="38"/>
      <c r="AF654" s="38"/>
      <c r="AG654" s="40"/>
      <c r="AH654" s="38"/>
    </row>
    <row r="655" spans="1:34" x14ac:dyDescent="0.2">
      <c r="A655" s="274">
        <v>45091</v>
      </c>
      <c r="B655" s="275" t="s">
        <v>433</v>
      </c>
      <c r="C655" s="275">
        <v>2023</v>
      </c>
      <c r="D655" s="275" t="s">
        <v>4</v>
      </c>
      <c r="E655" s="276">
        <v>-12.5</v>
      </c>
      <c r="F655" s="276" t="s">
        <v>33</v>
      </c>
      <c r="G655" s="277">
        <v>5625</v>
      </c>
      <c r="H655" s="278">
        <v>416</v>
      </c>
      <c r="I655" s="276" t="s">
        <v>80</v>
      </c>
      <c r="J655" s="276" t="s">
        <v>40</v>
      </c>
      <c r="K655" s="276">
        <v>500</v>
      </c>
      <c r="L655" s="276" t="s">
        <v>726</v>
      </c>
      <c r="M655" s="279" t="s">
        <v>1408</v>
      </c>
      <c r="N655" s="279" t="s">
        <v>1409</v>
      </c>
      <c r="O655" s="275"/>
      <c r="P655" s="275" t="s">
        <v>1222</v>
      </c>
      <c r="Q655" s="755">
        <v>41.558332999999998</v>
      </c>
      <c r="R655" s="657">
        <v>-84.859443999999996</v>
      </c>
      <c r="S655" s="275" t="s">
        <v>63</v>
      </c>
      <c r="T655" s="275"/>
      <c r="U655" s="275" t="s">
        <v>51</v>
      </c>
      <c r="V655" s="274"/>
      <c r="W655" s="280">
        <f>IF(AC655="Intr",0,G655*Definitions!$B$53)</f>
        <v>843.75</v>
      </c>
      <c r="X655" s="280">
        <f>IF(AC655="Intr",0,G655*Definitions!$B$54)</f>
        <v>3937.4999999999995</v>
      </c>
      <c r="Y655" s="280">
        <f>IF(AC655="Intr",G655,G655*Definitions!$B$55)</f>
        <v>843.75</v>
      </c>
      <c r="Z655" s="280" t="s">
        <v>964</v>
      </c>
      <c r="AA655" s="280" t="s">
        <v>965</v>
      </c>
      <c r="AB655" s="280"/>
      <c r="AC655" s="275"/>
      <c r="AD655" s="275"/>
      <c r="AE655" s="275"/>
      <c r="AF655" s="275"/>
      <c r="AG655" s="281"/>
      <c r="AH655" s="275"/>
    </row>
    <row r="656" spans="1:34" x14ac:dyDescent="0.2">
      <c r="A656" s="274">
        <v>45091</v>
      </c>
      <c r="B656" s="275" t="s">
        <v>433</v>
      </c>
      <c r="C656" s="275">
        <v>2023</v>
      </c>
      <c r="D656" s="275" t="s">
        <v>4</v>
      </c>
      <c r="E656" s="276">
        <v>-111</v>
      </c>
      <c r="F656" s="276" t="s">
        <v>33</v>
      </c>
      <c r="G656" s="277">
        <v>49950</v>
      </c>
      <c r="H656" s="278">
        <v>416</v>
      </c>
      <c r="I656" s="276" t="s">
        <v>80</v>
      </c>
      <c r="J656" s="276" t="s">
        <v>39</v>
      </c>
      <c r="K656" s="276">
        <v>200</v>
      </c>
      <c r="L656" s="276" t="s">
        <v>726</v>
      </c>
      <c r="M656" s="279" t="s">
        <v>1408</v>
      </c>
      <c r="N656" s="279" t="s">
        <v>1409</v>
      </c>
      <c r="O656" s="275"/>
      <c r="P656" s="275" t="s">
        <v>1222</v>
      </c>
      <c r="Q656" s="755">
        <v>41.558332999999998</v>
      </c>
      <c r="R656" s="657">
        <v>-84.859443999999996</v>
      </c>
      <c r="S656" s="275" t="s">
        <v>63</v>
      </c>
      <c r="T656" s="275"/>
      <c r="U656" s="275" t="s">
        <v>51</v>
      </c>
      <c r="V656" s="274"/>
      <c r="W656" s="280">
        <v>7492.5</v>
      </c>
      <c r="X656" s="280">
        <v>34965</v>
      </c>
      <c r="Y656" s="280">
        <v>7492.5</v>
      </c>
      <c r="Z656" s="280" t="s">
        <v>964</v>
      </c>
      <c r="AA656" s="280" t="s">
        <v>965</v>
      </c>
      <c r="AB656" s="280"/>
      <c r="AC656" s="275"/>
      <c r="AD656" s="275"/>
      <c r="AE656" s="275"/>
      <c r="AF656" s="275"/>
      <c r="AG656" s="281"/>
      <c r="AH656" s="275"/>
    </row>
    <row r="657" spans="1:34" x14ac:dyDescent="0.2">
      <c r="A657" s="33">
        <v>45091</v>
      </c>
      <c r="B657" s="34" t="s">
        <v>433</v>
      </c>
      <c r="C657" s="34">
        <v>2023</v>
      </c>
      <c r="D657" s="34" t="s">
        <v>4</v>
      </c>
      <c r="E657" s="271">
        <v>-2.5</v>
      </c>
      <c r="F657" s="271" t="s">
        <v>32</v>
      </c>
      <c r="G657" s="272">
        <v>200000</v>
      </c>
      <c r="H657" s="273">
        <v>414</v>
      </c>
      <c r="I657" s="271" t="s">
        <v>81</v>
      </c>
      <c r="J657" s="271" t="s">
        <v>38</v>
      </c>
      <c r="K657" s="271">
        <v>1</v>
      </c>
      <c r="L657" s="271" t="s">
        <v>726</v>
      </c>
      <c r="M657" s="116" t="s">
        <v>103</v>
      </c>
      <c r="N657" s="116" t="s">
        <v>1412</v>
      </c>
      <c r="O657" s="34"/>
      <c r="P657" s="34" t="s">
        <v>255</v>
      </c>
      <c r="Q657" s="773">
        <v>41.084394000000003</v>
      </c>
      <c r="R657" s="592">
        <v>-84.995245999999995</v>
      </c>
      <c r="S657" s="34" t="s">
        <v>63</v>
      </c>
      <c r="T657" s="34"/>
      <c r="U657" s="34" t="s">
        <v>51</v>
      </c>
      <c r="V657" s="33"/>
      <c r="W657" s="35">
        <f>IF(AC657="Intr",0,G657*Definitions!$B$53)</f>
        <v>30000</v>
      </c>
      <c r="X657" s="35">
        <f>IF(AC657="Intr",0,G657*Definitions!$B$54)</f>
        <v>140000</v>
      </c>
      <c r="Y657" s="35">
        <f>IF(AC657="Intr",G657,G657*Definitions!$B$55)</f>
        <v>30000</v>
      </c>
      <c r="Z657" s="35" t="s">
        <v>964</v>
      </c>
      <c r="AA657" s="35" t="s">
        <v>963</v>
      </c>
      <c r="AB657" s="35" t="s">
        <v>1245</v>
      </c>
      <c r="AC657" s="34"/>
      <c r="AD657" s="34"/>
      <c r="AE657" s="34"/>
      <c r="AF657" s="34"/>
      <c r="AG657" s="36"/>
      <c r="AH657" s="34"/>
    </row>
    <row r="658" spans="1:34" x14ac:dyDescent="0.2">
      <c r="A658" s="45">
        <v>45091</v>
      </c>
      <c r="B658" s="46" t="s">
        <v>433</v>
      </c>
      <c r="C658" s="46">
        <v>2023</v>
      </c>
      <c r="D658" s="46" t="s">
        <v>6</v>
      </c>
      <c r="E658" s="181">
        <v>-305</v>
      </c>
      <c r="F658" s="181" t="s">
        <v>33</v>
      </c>
      <c r="G658" s="182">
        <v>122000</v>
      </c>
      <c r="H658" s="183">
        <v>417</v>
      </c>
      <c r="I658" s="181" t="s">
        <v>80</v>
      </c>
      <c r="J658" s="181" t="s">
        <v>40</v>
      </c>
      <c r="K658" s="181">
        <v>305</v>
      </c>
      <c r="L658" s="181" t="s">
        <v>726</v>
      </c>
      <c r="M658" s="76" t="s">
        <v>1413</v>
      </c>
      <c r="N658" s="76" t="s">
        <v>1414</v>
      </c>
      <c r="O658" s="46"/>
      <c r="P658" s="46" t="s">
        <v>1285</v>
      </c>
      <c r="Q658" s="761">
        <v>39.578830000000004</v>
      </c>
      <c r="R658" s="660">
        <v>-86.504829999999998</v>
      </c>
      <c r="S658" s="46" t="s">
        <v>63</v>
      </c>
      <c r="T658" s="46"/>
      <c r="U658" s="46" t="s">
        <v>51</v>
      </c>
      <c r="V658" s="45"/>
      <c r="W658" s="47">
        <f>IF(AC658="Intr",0,G658*Definitions!$B$53)</f>
        <v>18300</v>
      </c>
      <c r="X658" s="47">
        <f>IF(AC658="Intr",0,G658*Definitions!$B$54)</f>
        <v>85400</v>
      </c>
      <c r="Y658" s="47">
        <f>IF(AC658="Intr",G658,G658*Definitions!$B$55)</f>
        <v>18300</v>
      </c>
      <c r="Z658" s="47" t="s">
        <v>966</v>
      </c>
      <c r="AA658" s="47" t="s">
        <v>965</v>
      </c>
      <c r="AB658" s="47"/>
      <c r="AC658" s="46"/>
      <c r="AD658" s="46"/>
      <c r="AE658" s="46"/>
      <c r="AF658" s="46"/>
      <c r="AG658" s="48"/>
      <c r="AH658" s="46"/>
    </row>
    <row r="659" spans="1:34" x14ac:dyDescent="0.2">
      <c r="A659" s="45">
        <v>45091</v>
      </c>
      <c r="B659" s="46" t="s">
        <v>433</v>
      </c>
      <c r="C659" s="46">
        <v>2023</v>
      </c>
      <c r="D659" s="46" t="s">
        <v>6</v>
      </c>
      <c r="E659" s="181">
        <v>-98</v>
      </c>
      <c r="F659" s="181" t="s">
        <v>33</v>
      </c>
      <c r="G659" s="182">
        <v>39200</v>
      </c>
      <c r="H659" s="183">
        <v>417</v>
      </c>
      <c r="I659" s="181" t="s">
        <v>80</v>
      </c>
      <c r="J659" s="181" t="s">
        <v>39</v>
      </c>
      <c r="K659" s="181">
        <v>98</v>
      </c>
      <c r="L659" s="181" t="s">
        <v>726</v>
      </c>
      <c r="M659" s="76" t="s">
        <v>1413</v>
      </c>
      <c r="N659" s="76" t="s">
        <v>1414</v>
      </c>
      <c r="O659" s="46"/>
      <c r="P659" s="46" t="s">
        <v>1285</v>
      </c>
      <c r="Q659" s="761">
        <v>39.578830000000004</v>
      </c>
      <c r="R659" s="660">
        <v>-86.504829999999998</v>
      </c>
      <c r="S659" s="46" t="s">
        <v>63</v>
      </c>
      <c r="T659" s="46"/>
      <c r="U659" s="46" t="s">
        <v>51</v>
      </c>
      <c r="V659" s="45"/>
      <c r="W659" s="47">
        <f>IF(AC659="Intr",0,G659*Definitions!$B$53)</f>
        <v>5880</v>
      </c>
      <c r="X659" s="47">
        <f>IF(AC659="Intr",0,G659*Definitions!$B$54)</f>
        <v>27440</v>
      </c>
      <c r="Y659" s="47">
        <f>IF(AC659="Intr",G659,G659*Definitions!$B$55)</f>
        <v>5880</v>
      </c>
      <c r="Z659" s="47" t="s">
        <v>966</v>
      </c>
      <c r="AA659" s="47" t="s">
        <v>965</v>
      </c>
      <c r="AB659" s="47"/>
      <c r="AC659" s="46"/>
      <c r="AD659" s="46"/>
      <c r="AE659" s="46"/>
      <c r="AF659" s="46"/>
      <c r="AG659" s="48"/>
      <c r="AH659" s="46"/>
    </row>
    <row r="660" spans="1:34" x14ac:dyDescent="0.2">
      <c r="A660" s="45">
        <v>45091</v>
      </c>
      <c r="B660" s="46" t="s">
        <v>433</v>
      </c>
      <c r="C660" s="46">
        <v>2023</v>
      </c>
      <c r="D660" s="46" t="s">
        <v>6</v>
      </c>
      <c r="E660" s="181">
        <v>-4.0000000000000001E-3</v>
      </c>
      <c r="F660" s="181" t="s">
        <v>32</v>
      </c>
      <c r="G660" s="182">
        <v>320</v>
      </c>
      <c r="H660" s="183">
        <v>417</v>
      </c>
      <c r="I660" s="181" t="s">
        <v>80</v>
      </c>
      <c r="J660" s="181" t="s">
        <v>36</v>
      </c>
      <c r="K660" s="181">
        <v>2E-3</v>
      </c>
      <c r="L660" s="181" t="s">
        <v>726</v>
      </c>
      <c r="M660" s="76" t="s">
        <v>1413</v>
      </c>
      <c r="N660" s="76" t="s">
        <v>1414</v>
      </c>
      <c r="O660" s="46"/>
      <c r="P660" s="46" t="s">
        <v>1285</v>
      </c>
      <c r="Q660" s="761">
        <v>39.578830000000004</v>
      </c>
      <c r="R660" s="660">
        <v>-86.504829999999998</v>
      </c>
      <c r="S660" s="46" t="s">
        <v>63</v>
      </c>
      <c r="T660" s="46"/>
      <c r="U660" s="46" t="s">
        <v>51</v>
      </c>
      <c r="V660" s="45"/>
      <c r="W660" s="47">
        <f>IF(AC660="Intr",0,G660*Definitions!$B$53)</f>
        <v>48</v>
      </c>
      <c r="X660" s="47">
        <f>IF(AC660="Intr",0,G660*Definitions!$B$54)</f>
        <v>224</v>
      </c>
      <c r="Y660" s="47">
        <f>IF(AC660="Intr",G660,G660*Definitions!$B$55)</f>
        <v>48</v>
      </c>
      <c r="Z660" s="47" t="s">
        <v>966</v>
      </c>
      <c r="AA660" s="47" t="s">
        <v>965</v>
      </c>
      <c r="AB660" s="47"/>
      <c r="AC660" s="46"/>
      <c r="AD660" s="46"/>
      <c r="AE660" s="46"/>
      <c r="AF660" s="46"/>
      <c r="AG660" s="48"/>
      <c r="AH660" s="46"/>
    </row>
    <row r="661" spans="1:34" x14ac:dyDescent="0.2">
      <c r="A661" s="45">
        <v>45091</v>
      </c>
      <c r="B661" s="46" t="s">
        <v>433</v>
      </c>
      <c r="C661" s="46">
        <v>2023</v>
      </c>
      <c r="D661" s="46" t="s">
        <v>6</v>
      </c>
      <c r="E661" s="181">
        <v>-2.4E-2</v>
      </c>
      <c r="F661" s="181" t="s">
        <v>32</v>
      </c>
      <c r="G661" s="182">
        <v>1920</v>
      </c>
      <c r="H661" s="183">
        <v>417</v>
      </c>
      <c r="I661" s="181" t="s">
        <v>81</v>
      </c>
      <c r="J661" s="181" t="s">
        <v>36</v>
      </c>
      <c r="K661" s="181">
        <v>1.6E-2</v>
      </c>
      <c r="L661" s="181" t="s">
        <v>726</v>
      </c>
      <c r="M661" s="76" t="s">
        <v>103</v>
      </c>
      <c r="N661" s="76" t="s">
        <v>1415</v>
      </c>
      <c r="O661" s="46"/>
      <c r="P661" s="46" t="s">
        <v>1285</v>
      </c>
      <c r="Q661" s="761">
        <v>39.578830000000004</v>
      </c>
      <c r="R661" s="660">
        <v>-86.504829999999998</v>
      </c>
      <c r="S661" s="46" t="s">
        <v>63</v>
      </c>
      <c r="T661" s="46"/>
      <c r="U661" s="46" t="s">
        <v>51</v>
      </c>
      <c r="V661" s="45"/>
      <c r="W661" s="47">
        <f>IF(AC661="Intr",0,G661*Definitions!$B$53)</f>
        <v>288</v>
      </c>
      <c r="X661" s="47">
        <f>IF(AC661="Intr",0,G661*Definitions!$B$54)</f>
        <v>1344</v>
      </c>
      <c r="Y661" s="47">
        <f>IF(AC661="Intr",G661,G661*Definitions!$B$55)</f>
        <v>288</v>
      </c>
      <c r="Z661" s="47" t="s">
        <v>966</v>
      </c>
      <c r="AA661" s="47" t="s">
        <v>963</v>
      </c>
      <c r="AB661" s="47" t="s">
        <v>970</v>
      </c>
      <c r="AC661" s="46"/>
      <c r="AD661" s="46"/>
      <c r="AE661" s="46"/>
      <c r="AF661" s="46"/>
      <c r="AG661" s="48"/>
      <c r="AH661" s="46"/>
    </row>
    <row r="662" spans="1:34" x14ac:dyDescent="0.2">
      <c r="A662" s="145">
        <v>45092</v>
      </c>
      <c r="B662" s="112" t="s">
        <v>433</v>
      </c>
      <c r="C662" s="112">
        <v>2023</v>
      </c>
      <c r="D662" s="112" t="s">
        <v>8</v>
      </c>
      <c r="E662" s="146">
        <v>-2.42</v>
      </c>
      <c r="F662" s="146" t="s">
        <v>32</v>
      </c>
      <c r="G662" s="147">
        <v>193600</v>
      </c>
      <c r="H662" s="148">
        <v>421</v>
      </c>
      <c r="I662" s="146" t="s">
        <v>80</v>
      </c>
      <c r="J662" s="146" t="s">
        <v>36</v>
      </c>
      <c r="K662" s="146">
        <v>1.01</v>
      </c>
      <c r="L662" s="146" t="s">
        <v>726</v>
      </c>
      <c r="M662" s="149" t="s">
        <v>1410</v>
      </c>
      <c r="N662" s="149" t="s">
        <v>1411</v>
      </c>
      <c r="O662" s="112"/>
      <c r="P662" s="112" t="s">
        <v>356</v>
      </c>
      <c r="Q662" s="729">
        <v>39.021799999999999</v>
      </c>
      <c r="R662" s="591">
        <v>-85.620199999999997</v>
      </c>
      <c r="S662" s="112" t="s">
        <v>63</v>
      </c>
      <c r="T662" s="112"/>
      <c r="U662" s="112" t="s">
        <v>51</v>
      </c>
      <c r="V662" s="145"/>
      <c r="W662" s="150">
        <f>IF(AC662="Intr",0,G662*Definitions!$B$53)</f>
        <v>29040</v>
      </c>
      <c r="X662" s="150">
        <f>IF(AC662="Intr",0,G662*Definitions!$B$54)</f>
        <v>135520</v>
      </c>
      <c r="Y662" s="150">
        <f>IF(AC662="Intr",G662,G662*Definitions!$B$55)</f>
        <v>29040</v>
      </c>
      <c r="Z662" s="150" t="s">
        <v>966</v>
      </c>
      <c r="AA662" s="150" t="s">
        <v>965</v>
      </c>
      <c r="AB662" s="150"/>
      <c r="AC662" s="112"/>
      <c r="AD662" s="112"/>
      <c r="AE662" s="112"/>
      <c r="AF662" s="112"/>
      <c r="AG662" s="151"/>
      <c r="AH662" s="112"/>
    </row>
    <row r="663" spans="1:34" x14ac:dyDescent="0.2">
      <c r="A663" s="145">
        <v>45092</v>
      </c>
      <c r="B663" s="112" t="s">
        <v>433</v>
      </c>
      <c r="C663" s="112">
        <v>2023</v>
      </c>
      <c r="D663" s="112" t="s">
        <v>8</v>
      </c>
      <c r="E663" s="146">
        <v>-0.57999999999999996</v>
      </c>
      <c r="F663" s="146" t="s">
        <v>32</v>
      </c>
      <c r="G663" s="147">
        <v>46400</v>
      </c>
      <c r="H663" s="148">
        <v>421</v>
      </c>
      <c r="I663" s="146" t="s">
        <v>80</v>
      </c>
      <c r="J663" s="146" t="s">
        <v>38</v>
      </c>
      <c r="K663" s="146">
        <v>0.16</v>
      </c>
      <c r="L663" s="146" t="s">
        <v>726</v>
      </c>
      <c r="M663" s="149" t="s">
        <v>1410</v>
      </c>
      <c r="N663" s="149" t="s">
        <v>1411</v>
      </c>
      <c r="O663" s="112"/>
      <c r="P663" s="112" t="s">
        <v>356</v>
      </c>
      <c r="Q663" s="729">
        <v>39.021799999999999</v>
      </c>
      <c r="R663" s="591">
        <v>-85.620199999999997</v>
      </c>
      <c r="S663" s="112" t="s">
        <v>63</v>
      </c>
      <c r="T663" s="112"/>
      <c r="U663" s="112" t="s">
        <v>51</v>
      </c>
      <c r="V663" s="145"/>
      <c r="W663" s="150">
        <f>IF(AC663="Intr",0,G663*Definitions!$B$53)</f>
        <v>6960</v>
      </c>
      <c r="X663" s="150">
        <f>IF(AC663="Intr",0,G663*Definitions!$B$54)</f>
        <v>32479.999999999996</v>
      </c>
      <c r="Y663" s="150">
        <f>IF(AC663="Intr",G663,G663*Definitions!$B$55)</f>
        <v>6960</v>
      </c>
      <c r="Z663" s="150" t="s">
        <v>966</v>
      </c>
      <c r="AA663" s="150" t="s">
        <v>965</v>
      </c>
      <c r="AB663" s="150"/>
      <c r="AC663" s="112"/>
      <c r="AD663" s="112"/>
      <c r="AE663" s="112"/>
      <c r="AF663" s="112"/>
      <c r="AG663" s="151"/>
      <c r="AH663" s="112"/>
    </row>
    <row r="664" spans="1:34" x14ac:dyDescent="0.2">
      <c r="A664" s="37">
        <v>45093</v>
      </c>
      <c r="B664" s="38" t="s">
        <v>433</v>
      </c>
      <c r="C664" s="38">
        <v>2023</v>
      </c>
      <c r="D664" s="38" t="s">
        <v>7</v>
      </c>
      <c r="E664" s="177">
        <v>-114</v>
      </c>
      <c r="F664" s="177" t="s">
        <v>33</v>
      </c>
      <c r="G664" s="269">
        <v>51300</v>
      </c>
      <c r="H664" s="179">
        <v>412</v>
      </c>
      <c r="I664" s="177" t="s">
        <v>80</v>
      </c>
      <c r="J664" s="177" t="s">
        <v>40</v>
      </c>
      <c r="K664" s="177">
        <v>114</v>
      </c>
      <c r="L664" s="177" t="s">
        <v>1416</v>
      </c>
      <c r="M664" s="177" t="s">
        <v>1417</v>
      </c>
      <c r="N664" s="70" t="s">
        <v>1418</v>
      </c>
      <c r="O664" s="38"/>
      <c r="P664" s="38" t="s">
        <v>162</v>
      </c>
      <c r="Q664" s="760">
        <v>39.771281999999999</v>
      </c>
      <c r="R664" s="590">
        <v>-86.463390000000004</v>
      </c>
      <c r="S664" s="38" t="s">
        <v>63</v>
      </c>
      <c r="T664" s="38"/>
      <c r="U664" s="38" t="s">
        <v>51</v>
      </c>
      <c r="V664" s="37"/>
      <c r="W664" s="39">
        <f>IF(AC664="Intr",0,G664*Definitions!$B$53)</f>
        <v>7695</v>
      </c>
      <c r="X664" s="39">
        <f>IF(AC664="Intr",0,G664*Definitions!$B$54)</f>
        <v>35910</v>
      </c>
      <c r="Y664" s="39">
        <f>IF(AC664="Intr",G664,G664*Definitions!$B$55)</f>
        <v>7695</v>
      </c>
      <c r="Z664" s="39" t="s">
        <v>966</v>
      </c>
      <c r="AA664" s="39" t="s">
        <v>965</v>
      </c>
      <c r="AB664" s="39"/>
      <c r="AC664" s="38"/>
      <c r="AD664" s="38"/>
      <c r="AE664" s="38"/>
      <c r="AF664" s="38"/>
      <c r="AG664" s="40"/>
      <c r="AH664" s="38"/>
    </row>
    <row r="665" spans="1:34" x14ac:dyDescent="0.2">
      <c r="A665" s="33">
        <v>45104</v>
      </c>
      <c r="B665" s="34" t="s">
        <v>433</v>
      </c>
      <c r="C665" s="34">
        <v>2023</v>
      </c>
      <c r="D665" s="34" t="s">
        <v>2</v>
      </c>
      <c r="E665" s="271">
        <v>-2.9000000000000001E-2</v>
      </c>
      <c r="F665" s="271" t="s">
        <v>32</v>
      </c>
      <c r="G665" s="272">
        <v>2755</v>
      </c>
      <c r="H665" s="273">
        <v>423</v>
      </c>
      <c r="I665" s="271" t="s">
        <v>80</v>
      </c>
      <c r="J665" s="271" t="s">
        <v>36</v>
      </c>
      <c r="K665" s="271">
        <v>2.9000000000000001E-2</v>
      </c>
      <c r="L665" s="271" t="s">
        <v>942</v>
      </c>
      <c r="M665" s="116" t="s">
        <v>943</v>
      </c>
      <c r="N665" s="116" t="s">
        <v>944</v>
      </c>
      <c r="O665" s="34"/>
      <c r="P665" s="34" t="s">
        <v>227</v>
      </c>
      <c r="Q665" s="773">
        <v>41.315891999999998</v>
      </c>
      <c r="R665" s="592">
        <v>-87.387343000000001</v>
      </c>
      <c r="S665" s="34" t="s">
        <v>61</v>
      </c>
      <c r="T665" s="34"/>
      <c r="U665" s="34" t="s">
        <v>51</v>
      </c>
      <c r="V665" s="33"/>
      <c r="W665" s="35">
        <f>IF(AC665="Intr",0,G665*Definitions!$B$53)</f>
        <v>413.25</v>
      </c>
      <c r="X665" s="35">
        <f>IF(AC665="Intr",0,G665*Definitions!$B$54)</f>
        <v>1928.4999999999998</v>
      </c>
      <c r="Y665" s="35">
        <f>IF(AC665="Intr",G665,G665*Definitions!$B$55)</f>
        <v>413.25</v>
      </c>
      <c r="Z665" s="35" t="s">
        <v>967</v>
      </c>
      <c r="AA665" s="35" t="s">
        <v>965</v>
      </c>
      <c r="AB665" s="35"/>
      <c r="AC665" s="34"/>
      <c r="AD665" s="34"/>
      <c r="AE665" s="34"/>
      <c r="AF665" s="34"/>
      <c r="AG665" s="36"/>
      <c r="AH665" s="34"/>
    </row>
    <row r="666" spans="1:34" x14ac:dyDescent="0.2">
      <c r="A666" s="37">
        <v>45124</v>
      </c>
      <c r="B666" s="38" t="s">
        <v>238</v>
      </c>
      <c r="C666" s="38">
        <v>2023</v>
      </c>
      <c r="D666" s="38" t="s">
        <v>6</v>
      </c>
      <c r="E666" s="177">
        <v>-0.158</v>
      </c>
      <c r="F666" s="177" t="s">
        <v>32</v>
      </c>
      <c r="G666" s="269">
        <v>12640</v>
      </c>
      <c r="H666" s="179">
        <v>419</v>
      </c>
      <c r="I666" s="177" t="s">
        <v>81</v>
      </c>
      <c r="J666" s="177" t="s">
        <v>36</v>
      </c>
      <c r="K666" s="177">
        <v>0.105</v>
      </c>
      <c r="L666" s="177" t="s">
        <v>726</v>
      </c>
      <c r="M666" s="177" t="s">
        <v>103</v>
      </c>
      <c r="N666" s="70" t="s">
        <v>1419</v>
      </c>
      <c r="O666" s="38"/>
      <c r="P666" s="38" t="s">
        <v>117</v>
      </c>
      <c r="Q666" s="790">
        <v>40.158392999999997</v>
      </c>
      <c r="R666" s="687">
        <v>-86.539592999999996</v>
      </c>
      <c r="S666" s="38" t="s">
        <v>63</v>
      </c>
      <c r="T666" s="38"/>
      <c r="U666" s="38" t="s">
        <v>51</v>
      </c>
      <c r="V666" s="37"/>
      <c r="W666" s="39">
        <f>IF(AC666="Intr",0,G666*Definitions!$B$53)</f>
        <v>1896</v>
      </c>
      <c r="X666" s="39">
        <f>IF(AC666="Intr",0,G666*Definitions!$B$54)</f>
        <v>8848</v>
      </c>
      <c r="Y666" s="39">
        <f>IF(AC666="Intr",G666,G666*Definitions!$B$55)</f>
        <v>1896</v>
      </c>
      <c r="Z666" s="39" t="s">
        <v>966</v>
      </c>
      <c r="AA666" s="39" t="s">
        <v>963</v>
      </c>
      <c r="AB666" s="39" t="s">
        <v>970</v>
      </c>
      <c r="AC666" s="38"/>
      <c r="AD666" s="38"/>
      <c r="AE666" s="38"/>
      <c r="AF666" s="38"/>
      <c r="AG666" s="40"/>
      <c r="AH666" s="38"/>
    </row>
    <row r="667" spans="1:34" x14ac:dyDescent="0.2">
      <c r="A667" s="58">
        <v>45124</v>
      </c>
      <c r="B667" s="59" t="s">
        <v>238</v>
      </c>
      <c r="C667" s="59">
        <v>2023</v>
      </c>
      <c r="D667" s="59" t="s">
        <v>6</v>
      </c>
      <c r="E667" s="60">
        <v>-0.12</v>
      </c>
      <c r="F667" s="60" t="s">
        <v>32</v>
      </c>
      <c r="G667" s="61">
        <v>9600</v>
      </c>
      <c r="H667" s="62">
        <v>353</v>
      </c>
      <c r="I667" s="60" t="s">
        <v>80</v>
      </c>
      <c r="J667" s="60" t="s">
        <v>36</v>
      </c>
      <c r="K667" s="60">
        <v>5.3999999999999999E-2</v>
      </c>
      <c r="L667" s="60" t="s">
        <v>1535</v>
      </c>
      <c r="M667" s="60" t="s">
        <v>1536</v>
      </c>
      <c r="N667" s="63" t="s">
        <v>1537</v>
      </c>
      <c r="O667" s="59"/>
      <c r="P667" s="59" t="s">
        <v>162</v>
      </c>
      <c r="Q667" s="813">
        <v>39.832208000000001</v>
      </c>
      <c r="R667" s="707">
        <v>-86.664096999999998</v>
      </c>
      <c r="S667" s="59" t="s">
        <v>61</v>
      </c>
      <c r="T667" s="59"/>
      <c r="U667" s="59" t="s">
        <v>51</v>
      </c>
      <c r="V667" s="58"/>
      <c r="W667" s="65">
        <f>IF(AC667="Intr",0,G667*[1]Data!$B$53)</f>
        <v>1440</v>
      </c>
      <c r="X667" s="65">
        <f>IF(AC667="Intr",0,G667*[1]Data!$B$54)</f>
        <v>6720</v>
      </c>
      <c r="Y667" s="65">
        <f>IF(AC667="Intr",G667,G667*[1]Data!$B$55)</f>
        <v>1440</v>
      </c>
      <c r="Z667" s="65" t="s">
        <v>966</v>
      </c>
      <c r="AA667" s="65" t="s">
        <v>965</v>
      </c>
      <c r="AB667" s="65"/>
      <c r="AC667" s="59"/>
      <c r="AD667" s="59"/>
      <c r="AE667" s="59"/>
      <c r="AF667" s="59"/>
      <c r="AG667" s="66"/>
      <c r="AH667" s="59"/>
    </row>
    <row r="668" spans="1:34" x14ac:dyDescent="0.2">
      <c r="A668" s="58">
        <v>45124</v>
      </c>
      <c r="B668" s="59" t="s">
        <v>238</v>
      </c>
      <c r="C668" s="59">
        <v>2023</v>
      </c>
      <c r="D668" s="59" t="s">
        <v>6</v>
      </c>
      <c r="E668" s="60">
        <v>-1.02</v>
      </c>
      <c r="F668" s="60" t="s">
        <v>32</v>
      </c>
      <c r="G668" s="61">
        <v>81600</v>
      </c>
      <c r="H668" s="62">
        <v>353</v>
      </c>
      <c r="I668" s="60" t="s">
        <v>80</v>
      </c>
      <c r="J668" s="60" t="s">
        <v>38</v>
      </c>
      <c r="K668" s="60">
        <v>0.255</v>
      </c>
      <c r="L668" s="60" t="s">
        <v>1535</v>
      </c>
      <c r="M668" s="60" t="s">
        <v>1536</v>
      </c>
      <c r="N668" s="63" t="s">
        <v>1537</v>
      </c>
      <c r="O668" s="59"/>
      <c r="P668" s="59" t="s">
        <v>162</v>
      </c>
      <c r="Q668" s="813">
        <v>39.832208000000001</v>
      </c>
      <c r="R668" s="707">
        <v>-86.664096999999998</v>
      </c>
      <c r="S668" s="59" t="s">
        <v>61</v>
      </c>
      <c r="T668" s="59"/>
      <c r="U668" s="59" t="s">
        <v>51</v>
      </c>
      <c r="V668" s="58"/>
      <c r="W668" s="65">
        <f>IF(AC668="Intr",0,G668*[1]Data!$B$53)</f>
        <v>12240</v>
      </c>
      <c r="X668" s="65">
        <f>IF(AC668="Intr",0,G668*[1]Data!$B$54)</f>
        <v>57120</v>
      </c>
      <c r="Y668" s="65">
        <f>IF(AC668="Intr",G668,G668*[1]Data!$B$55)</f>
        <v>12240</v>
      </c>
      <c r="Z668" s="65" t="s">
        <v>966</v>
      </c>
      <c r="AA668" s="65" t="s">
        <v>965</v>
      </c>
      <c r="AB668" s="65"/>
      <c r="AC668" s="59"/>
      <c r="AD668" s="59"/>
      <c r="AE668" s="59"/>
      <c r="AF668" s="59"/>
      <c r="AG668" s="66"/>
      <c r="AH668" s="59"/>
    </row>
    <row r="669" spans="1:34" x14ac:dyDescent="0.2">
      <c r="A669" s="282">
        <v>45132</v>
      </c>
      <c r="B669" s="114" t="s">
        <v>238</v>
      </c>
      <c r="C669" s="114">
        <v>2023</v>
      </c>
      <c r="D669" s="114" t="s">
        <v>7</v>
      </c>
      <c r="E669" s="270">
        <v>-2.15</v>
      </c>
      <c r="F669" s="270" t="s">
        <v>32</v>
      </c>
      <c r="G669" s="283">
        <v>172000</v>
      </c>
      <c r="H669" s="284">
        <v>422</v>
      </c>
      <c r="I669" s="270" t="s">
        <v>81</v>
      </c>
      <c r="J669" s="270" t="s">
        <v>38</v>
      </c>
      <c r="K669" s="270">
        <v>0.86</v>
      </c>
      <c r="L669" s="270" t="s">
        <v>1420</v>
      </c>
      <c r="M669" s="270" t="s">
        <v>103</v>
      </c>
      <c r="N669" s="285" t="s">
        <v>1421</v>
      </c>
      <c r="O669" s="114"/>
      <c r="P669" s="114" t="s">
        <v>137</v>
      </c>
      <c r="Q669" s="750">
        <v>39.951985999999998</v>
      </c>
      <c r="R669" s="635">
        <v>-86.152573000000004</v>
      </c>
      <c r="S669" s="114" t="s">
        <v>61</v>
      </c>
      <c r="T669" s="114"/>
      <c r="U669" s="114" t="s">
        <v>51</v>
      </c>
      <c r="V669" s="282"/>
      <c r="W669" s="286">
        <f>IF(AC669="Intr",0,G669*Definitions!$B$53)</f>
        <v>25800</v>
      </c>
      <c r="X669" s="286">
        <f>IF(AC669="Intr",0,G669*Definitions!$B$54)</f>
        <v>120399.99999999999</v>
      </c>
      <c r="Y669" s="286">
        <f>IF(AC669="Intr",G669,G669*Definitions!$B$55)</f>
        <v>25800</v>
      </c>
      <c r="Z669" s="286" t="s">
        <v>966</v>
      </c>
      <c r="AA669" s="286" t="s">
        <v>963</v>
      </c>
      <c r="AB669" s="286" t="s">
        <v>1268</v>
      </c>
      <c r="AC669" s="114"/>
      <c r="AD669" s="114"/>
      <c r="AE669" s="114"/>
      <c r="AF669" s="114"/>
      <c r="AG669" s="287"/>
      <c r="AH669" s="114"/>
    </row>
    <row r="670" spans="1:34" x14ac:dyDescent="0.2">
      <c r="A670" s="37">
        <v>45146</v>
      </c>
      <c r="B670" s="38" t="s">
        <v>249</v>
      </c>
      <c r="C670" s="38">
        <v>2023</v>
      </c>
      <c r="D670" s="38" t="s">
        <v>5</v>
      </c>
      <c r="E670" s="177">
        <v>-0.4</v>
      </c>
      <c r="F670" s="177" t="s">
        <v>32</v>
      </c>
      <c r="G670" s="269">
        <v>32000</v>
      </c>
      <c r="H670" s="179">
        <v>409</v>
      </c>
      <c r="I670" s="177" t="s">
        <v>81</v>
      </c>
      <c r="J670" s="177" t="s">
        <v>38</v>
      </c>
      <c r="K670" s="177">
        <v>0.16</v>
      </c>
      <c r="L670" s="177" t="s">
        <v>1422</v>
      </c>
      <c r="M670" s="177" t="s">
        <v>103</v>
      </c>
      <c r="N670" s="70" t="s">
        <v>1423</v>
      </c>
      <c r="O670" s="38"/>
      <c r="P670" s="38" t="s">
        <v>1424</v>
      </c>
      <c r="Q670" s="760">
        <v>40.271099999999997</v>
      </c>
      <c r="R670" s="590">
        <v>-86.492800000000003</v>
      </c>
      <c r="S670" s="38" t="s">
        <v>61</v>
      </c>
      <c r="T670" s="38"/>
      <c r="U670" s="38" t="s">
        <v>51</v>
      </c>
      <c r="V670" s="37"/>
      <c r="W670" s="39">
        <f>IF(AC670="Intr",0,G670*Definitions!$B$53)</f>
        <v>4800</v>
      </c>
      <c r="X670" s="39">
        <f>IF(AC670="Intr",0,G670*Definitions!$B$54)</f>
        <v>22400</v>
      </c>
      <c r="Y670" s="39">
        <f>IF(AC670="Intr",G670,G670*Definitions!$B$55)</f>
        <v>4800</v>
      </c>
      <c r="Z670" s="39" t="s">
        <v>966</v>
      </c>
      <c r="AA670" s="39" t="s">
        <v>963</v>
      </c>
      <c r="AB670" s="39" t="s">
        <v>1268</v>
      </c>
      <c r="AC670" s="38"/>
      <c r="AD670" s="38"/>
      <c r="AE670" s="38"/>
      <c r="AF670" s="38"/>
      <c r="AG670" s="40"/>
      <c r="AH670" s="38"/>
    </row>
    <row r="671" spans="1:34" x14ac:dyDescent="0.2">
      <c r="A671" s="33">
        <v>45153</v>
      </c>
      <c r="B671" s="34" t="s">
        <v>249</v>
      </c>
      <c r="C671" s="34">
        <v>2023</v>
      </c>
      <c r="D671" s="34" t="s">
        <v>10</v>
      </c>
      <c r="E671" s="271">
        <v>-0.4</v>
      </c>
      <c r="F671" s="271" t="s">
        <v>32</v>
      </c>
      <c r="G671" s="272">
        <v>32000</v>
      </c>
      <c r="H671" s="273">
        <v>426</v>
      </c>
      <c r="I671" s="271" t="s">
        <v>80</v>
      </c>
      <c r="J671" s="271" t="s">
        <v>36</v>
      </c>
      <c r="K671" s="271">
        <v>0.34200000000000003</v>
      </c>
      <c r="L671" s="271" t="s">
        <v>1425</v>
      </c>
      <c r="M671" s="271" t="s">
        <v>1426</v>
      </c>
      <c r="N671" s="116" t="s">
        <v>1427</v>
      </c>
      <c r="O671" s="34"/>
      <c r="P671" s="34" t="s">
        <v>84</v>
      </c>
      <c r="Q671" s="773">
        <v>38.423999999999999</v>
      </c>
      <c r="R671" s="592">
        <v>-85.671000000000006</v>
      </c>
      <c r="S671" s="34" t="s">
        <v>61</v>
      </c>
      <c r="T671" s="34"/>
      <c r="U671" s="34" t="s">
        <v>51</v>
      </c>
      <c r="V671" s="33"/>
      <c r="W671" s="35">
        <f>IF(AC671="Intr",0,G671*Definitions!$B$53)</f>
        <v>4800</v>
      </c>
      <c r="X671" s="35">
        <f>IF(AC671="Intr",0,G671*Definitions!$B$54)</f>
        <v>22400</v>
      </c>
      <c r="Y671" s="35">
        <f>IF(AC671="Intr",G671,G671*Definitions!$B$55)</f>
        <v>4800</v>
      </c>
      <c r="Z671" s="35" t="s">
        <v>966</v>
      </c>
      <c r="AA671" s="35" t="s">
        <v>965</v>
      </c>
      <c r="AB671" s="35"/>
      <c r="AC671" s="34"/>
      <c r="AD671" s="34"/>
      <c r="AE671" s="34"/>
      <c r="AF671" s="34"/>
      <c r="AG671" s="36"/>
      <c r="AH671" s="34"/>
    </row>
    <row r="672" spans="1:34" x14ac:dyDescent="0.2">
      <c r="A672" s="37">
        <v>45153</v>
      </c>
      <c r="B672" s="38" t="s">
        <v>249</v>
      </c>
      <c r="C672" s="38">
        <v>2023</v>
      </c>
      <c r="D672" s="38" t="s">
        <v>7</v>
      </c>
      <c r="E672" s="177">
        <v>-0.6</v>
      </c>
      <c r="F672" s="177" t="s">
        <v>32</v>
      </c>
      <c r="G672" s="269">
        <v>48000</v>
      </c>
      <c r="H672" s="179">
        <v>431</v>
      </c>
      <c r="I672" s="177" t="s">
        <v>81</v>
      </c>
      <c r="J672" s="177" t="s">
        <v>36</v>
      </c>
      <c r="K672" s="177">
        <v>0.4</v>
      </c>
      <c r="L672" s="177" t="s">
        <v>1290</v>
      </c>
      <c r="M672" s="177" t="s">
        <v>103</v>
      </c>
      <c r="N672" s="70" t="s">
        <v>1428</v>
      </c>
      <c r="O672" s="38"/>
      <c r="P672" s="38" t="s">
        <v>143</v>
      </c>
      <c r="Q672" s="760">
        <v>39.665360999999997</v>
      </c>
      <c r="R672" s="590">
        <v>-86.302817000000005</v>
      </c>
      <c r="S672" s="38" t="s">
        <v>61</v>
      </c>
      <c r="T672" s="38"/>
      <c r="U672" s="38" t="s">
        <v>51</v>
      </c>
      <c r="V672" s="37"/>
      <c r="W672" s="39">
        <f>IF(AC672="Intr",0,G672*Definitions!$B$53)</f>
        <v>7200</v>
      </c>
      <c r="X672" s="39">
        <f>IF(AC672="Intr",0,G672*Definitions!$B$54)</f>
        <v>33600</v>
      </c>
      <c r="Y672" s="39">
        <f>IF(AC672="Intr",G672,G672*Definitions!$B$55)</f>
        <v>7200</v>
      </c>
      <c r="Z672" s="39" t="s">
        <v>966</v>
      </c>
      <c r="AA672" s="39" t="s">
        <v>963</v>
      </c>
      <c r="AB672" s="39" t="s">
        <v>970</v>
      </c>
      <c r="AC672" s="38"/>
      <c r="AD672" s="38"/>
      <c r="AE672" s="38"/>
      <c r="AF672" s="38"/>
      <c r="AG672" s="40"/>
      <c r="AH672" s="38"/>
    </row>
    <row r="673" spans="1:256" x14ac:dyDescent="0.2">
      <c r="A673" s="41">
        <v>45159</v>
      </c>
      <c r="B673" s="42" t="s">
        <v>249</v>
      </c>
      <c r="C673" s="42">
        <v>2023</v>
      </c>
      <c r="D673" s="42" t="s">
        <v>10</v>
      </c>
      <c r="E673" s="320">
        <v>-0.2</v>
      </c>
      <c r="F673" s="320" t="s">
        <v>32</v>
      </c>
      <c r="G673" s="343">
        <v>16000</v>
      </c>
      <c r="H673" s="344">
        <v>425</v>
      </c>
      <c r="I673" s="320" t="s">
        <v>80</v>
      </c>
      <c r="J673" s="320" t="s">
        <v>37</v>
      </c>
      <c r="K673" s="320">
        <v>0.51100000000000001</v>
      </c>
      <c r="L673" s="73" t="s">
        <v>1367</v>
      </c>
      <c r="M673" s="320" t="s">
        <v>1445</v>
      </c>
      <c r="N673" s="73" t="s">
        <v>1429</v>
      </c>
      <c r="O673" s="42"/>
      <c r="P673" s="42" t="s">
        <v>84</v>
      </c>
      <c r="Q673" s="731">
        <v>38.458959999999998</v>
      </c>
      <c r="R673" s="593">
        <v>-85.843382000000005</v>
      </c>
      <c r="S673" s="42" t="s">
        <v>61</v>
      </c>
      <c r="T673" s="42"/>
      <c r="U673" s="42" t="s">
        <v>51</v>
      </c>
      <c r="V673" s="41"/>
      <c r="W673" s="43">
        <f>IF(AC673="Intr",0,G673*Definitions!$B$53)</f>
        <v>2400</v>
      </c>
      <c r="X673" s="43">
        <f>IF(AC673="Intr",0,G673*Definitions!$B$54)</f>
        <v>11200</v>
      </c>
      <c r="Y673" s="43">
        <f>IF(AC673="Intr",G673,G673*Definitions!$B$55)</f>
        <v>2400</v>
      </c>
      <c r="Z673" s="43" t="s">
        <v>966</v>
      </c>
      <c r="AA673" s="43" t="s">
        <v>965</v>
      </c>
      <c r="AB673" s="43"/>
      <c r="AC673" s="42"/>
      <c r="AD673" s="42"/>
      <c r="AE673" s="42"/>
      <c r="AF673" s="42"/>
      <c r="AG673" s="44"/>
      <c r="AH673" s="75" t="s">
        <v>1430</v>
      </c>
    </row>
    <row r="674" spans="1:256" x14ac:dyDescent="0.2">
      <c r="A674" s="41">
        <v>45159</v>
      </c>
      <c r="B674" s="42" t="s">
        <v>249</v>
      </c>
      <c r="C674" s="42">
        <v>2023</v>
      </c>
      <c r="D674" s="42" t="s">
        <v>10</v>
      </c>
      <c r="E674" s="320">
        <v>-5.7</v>
      </c>
      <c r="F674" s="320" t="s">
        <v>32</v>
      </c>
      <c r="G674" s="343">
        <v>456000</v>
      </c>
      <c r="H674" s="344">
        <v>425</v>
      </c>
      <c r="I674" s="320" t="s">
        <v>80</v>
      </c>
      <c r="J674" s="320" t="s">
        <v>38</v>
      </c>
      <c r="K674" s="320">
        <v>1.4259999999999999</v>
      </c>
      <c r="L674" s="73" t="s">
        <v>1367</v>
      </c>
      <c r="M674" s="320" t="s">
        <v>1445</v>
      </c>
      <c r="N674" s="73" t="s">
        <v>1429</v>
      </c>
      <c r="O674" s="42"/>
      <c r="P674" s="42" t="s">
        <v>84</v>
      </c>
      <c r="Q674" s="731">
        <v>38.458959999999998</v>
      </c>
      <c r="R674" s="593">
        <v>-85.843382000000005</v>
      </c>
      <c r="S674" s="42" t="s">
        <v>61</v>
      </c>
      <c r="T674" s="42"/>
      <c r="U674" s="42" t="s">
        <v>51</v>
      </c>
      <c r="V674" s="41"/>
      <c r="W674" s="43">
        <f>IF(AC674="Intr",0,G674*Definitions!$B$53)</f>
        <v>68400</v>
      </c>
      <c r="X674" s="43">
        <f>IF(AC674="Intr",0,G674*Definitions!$B$54)</f>
        <v>319200</v>
      </c>
      <c r="Y674" s="43">
        <f>IF(AC674="Intr",G674,G674*Definitions!$B$55)</f>
        <v>68400</v>
      </c>
      <c r="Z674" s="43" t="s">
        <v>966</v>
      </c>
      <c r="AA674" s="43" t="s">
        <v>965</v>
      </c>
      <c r="AB674" s="43"/>
      <c r="AC674" s="42"/>
      <c r="AD674" s="42"/>
      <c r="AE674" s="42"/>
      <c r="AF674" s="42"/>
      <c r="AG674" s="44"/>
      <c r="AH674" s="75" t="s">
        <v>1430</v>
      </c>
    </row>
    <row r="675" spans="1:256" s="414" customFormat="1" x14ac:dyDescent="0.2">
      <c r="A675" s="145">
        <v>45163</v>
      </c>
      <c r="B675" s="112" t="s">
        <v>249</v>
      </c>
      <c r="C675" s="112">
        <v>2023</v>
      </c>
      <c r="D675" s="112" t="s">
        <v>4</v>
      </c>
      <c r="E675" s="146">
        <v>-76</v>
      </c>
      <c r="F675" s="146" t="s">
        <v>33</v>
      </c>
      <c r="G675" s="147">
        <v>34200</v>
      </c>
      <c r="H675" s="148">
        <v>424</v>
      </c>
      <c r="I675" s="146" t="s">
        <v>80</v>
      </c>
      <c r="J675" s="146" t="s">
        <v>40</v>
      </c>
      <c r="K675" s="146">
        <v>76</v>
      </c>
      <c r="L675" s="146" t="s">
        <v>645</v>
      </c>
      <c r="M675" s="146" t="s">
        <v>1431</v>
      </c>
      <c r="N675" s="149" t="s">
        <v>1432</v>
      </c>
      <c r="O675" s="112"/>
      <c r="P675" s="112" t="s">
        <v>255</v>
      </c>
      <c r="Q675" s="729">
        <v>41.200370999999997</v>
      </c>
      <c r="R675" s="591">
        <v>-85.068593000000007</v>
      </c>
      <c r="S675" s="112" t="s">
        <v>63</v>
      </c>
      <c r="T675" s="112"/>
      <c r="U675" s="112" t="s">
        <v>51</v>
      </c>
      <c r="V675" s="145"/>
      <c r="W675" s="150">
        <f>IF(AC675="Intr",0,G675*Definitions!$B$53)</f>
        <v>5130</v>
      </c>
      <c r="X675" s="150">
        <f>IF(AC675="Intr",0,G675*Definitions!$B$54)</f>
        <v>23940</v>
      </c>
      <c r="Y675" s="150">
        <f>IF(AC675="Intr",G675,G675*Definitions!$B$55)</f>
        <v>5130</v>
      </c>
      <c r="Z675" s="150" t="s">
        <v>964</v>
      </c>
      <c r="AA675" s="150" t="s">
        <v>965</v>
      </c>
      <c r="AB675" s="150"/>
      <c r="AC675" s="112"/>
      <c r="AD675" s="112"/>
      <c r="AE675" s="112"/>
      <c r="AF675" s="112"/>
      <c r="AG675" s="151"/>
      <c r="AH675" s="112"/>
      <c r="AI675" s="105"/>
      <c r="AJ675" s="105"/>
      <c r="AK675" s="105"/>
      <c r="AL675" s="105"/>
      <c r="AM675" s="105"/>
      <c r="AN675" s="105"/>
      <c r="AO675" s="105"/>
      <c r="AP675" s="105"/>
      <c r="AQ675" s="105"/>
      <c r="AR675" s="105"/>
      <c r="AS675" s="105"/>
      <c r="AT675" s="105"/>
      <c r="AU675" s="105"/>
      <c r="AV675" s="105"/>
      <c r="AW675" s="105"/>
      <c r="AX675" s="105"/>
      <c r="AY675" s="105"/>
      <c r="AZ675" s="105"/>
      <c r="BA675" s="105"/>
      <c r="BB675" s="105"/>
      <c r="BC675" s="105"/>
      <c r="BD675" s="105"/>
      <c r="BE675" s="105"/>
      <c r="BF675" s="105"/>
      <c r="BG675" s="105"/>
      <c r="BH675" s="105"/>
      <c r="BI675" s="105"/>
      <c r="BJ675" s="105"/>
      <c r="BK675" s="105"/>
      <c r="BL675" s="105"/>
      <c r="BM675" s="105"/>
      <c r="BN675" s="105"/>
      <c r="BO675" s="105"/>
      <c r="BP675" s="105"/>
      <c r="BQ675" s="105"/>
      <c r="BR675" s="105"/>
      <c r="BS675" s="105"/>
      <c r="BT675" s="105"/>
      <c r="BU675" s="105"/>
      <c r="BV675" s="105"/>
      <c r="BW675" s="105"/>
      <c r="BX675" s="105"/>
      <c r="BY675" s="105"/>
      <c r="BZ675" s="105"/>
      <c r="CA675" s="105"/>
      <c r="CB675" s="105"/>
      <c r="CC675" s="105"/>
      <c r="CD675" s="105"/>
      <c r="CE675" s="105"/>
      <c r="CF675" s="105"/>
      <c r="CG675" s="105"/>
      <c r="CH675" s="105"/>
      <c r="CI675" s="105"/>
      <c r="CJ675" s="105"/>
      <c r="CK675" s="105"/>
      <c r="CL675" s="105"/>
      <c r="CM675" s="105"/>
      <c r="CN675" s="105"/>
      <c r="CO675" s="105"/>
      <c r="CP675" s="105"/>
      <c r="CQ675" s="105"/>
      <c r="CR675" s="105"/>
      <c r="CS675" s="105"/>
      <c r="CT675" s="105"/>
      <c r="CU675" s="105"/>
      <c r="CV675" s="105"/>
      <c r="CW675" s="105"/>
      <c r="CX675" s="105"/>
      <c r="CY675" s="105"/>
      <c r="CZ675" s="105"/>
      <c r="DA675" s="105"/>
      <c r="DB675" s="105"/>
      <c r="DC675" s="105"/>
      <c r="DD675" s="105"/>
      <c r="DE675" s="105"/>
      <c r="DF675" s="105"/>
      <c r="DG675" s="105"/>
      <c r="DH675" s="105"/>
      <c r="DI675" s="105"/>
      <c r="DJ675" s="105"/>
      <c r="DK675" s="105"/>
      <c r="DL675" s="105"/>
      <c r="DM675" s="105"/>
      <c r="DN675" s="105"/>
      <c r="DO675" s="105"/>
      <c r="DP675" s="105"/>
      <c r="DQ675" s="105"/>
      <c r="DR675" s="105"/>
      <c r="DS675" s="105"/>
      <c r="DT675" s="105"/>
      <c r="DU675" s="105"/>
      <c r="DV675" s="105"/>
      <c r="DW675" s="105"/>
      <c r="DX675" s="105"/>
      <c r="DY675" s="105"/>
      <c r="DZ675" s="105"/>
      <c r="EA675" s="105"/>
      <c r="EB675" s="105"/>
      <c r="EC675" s="105"/>
      <c r="ED675" s="105"/>
      <c r="EE675" s="105"/>
      <c r="EF675" s="105"/>
      <c r="EG675" s="105"/>
      <c r="EH675" s="105"/>
      <c r="EI675" s="105"/>
      <c r="EJ675" s="105"/>
      <c r="EK675" s="105"/>
      <c r="EL675" s="105"/>
      <c r="EM675" s="105"/>
      <c r="EN675" s="105"/>
      <c r="EO675" s="105"/>
      <c r="EP675" s="105"/>
      <c r="EQ675" s="105"/>
      <c r="ER675" s="105"/>
      <c r="ES675" s="105"/>
      <c r="ET675" s="105"/>
      <c r="EU675" s="105"/>
      <c r="EV675" s="105"/>
      <c r="EW675" s="105"/>
      <c r="EX675" s="105"/>
      <c r="EY675" s="105"/>
      <c r="EZ675" s="105"/>
      <c r="FA675" s="105"/>
      <c r="FB675" s="105"/>
      <c r="FC675" s="105"/>
      <c r="FD675" s="105"/>
      <c r="FE675" s="105"/>
      <c r="FF675" s="105"/>
      <c r="FG675" s="105"/>
      <c r="FH675" s="105"/>
      <c r="FI675" s="105"/>
      <c r="FJ675" s="105"/>
      <c r="FK675" s="105"/>
      <c r="FL675" s="105"/>
      <c r="FM675" s="105"/>
      <c r="FN675" s="105"/>
      <c r="FO675" s="105"/>
      <c r="FP675" s="105"/>
      <c r="FQ675" s="105"/>
      <c r="FR675" s="105"/>
      <c r="FS675" s="105"/>
      <c r="FT675" s="105"/>
      <c r="FU675" s="105"/>
      <c r="FV675" s="105"/>
      <c r="FW675" s="105"/>
      <c r="FX675" s="105"/>
      <c r="FY675" s="105"/>
      <c r="FZ675" s="105"/>
      <c r="GA675" s="105"/>
      <c r="GB675" s="105"/>
      <c r="GC675" s="105"/>
      <c r="GD675" s="105"/>
      <c r="GE675" s="105"/>
      <c r="GF675" s="105"/>
      <c r="GG675" s="105"/>
      <c r="GH675" s="105"/>
      <c r="GI675" s="105"/>
      <c r="GJ675" s="105"/>
      <c r="GK675" s="105"/>
      <c r="GL675" s="105"/>
      <c r="GM675" s="105"/>
      <c r="GN675" s="105"/>
      <c r="GO675" s="105"/>
      <c r="GP675" s="105"/>
      <c r="GQ675" s="105"/>
      <c r="GR675" s="105"/>
      <c r="GS675" s="105"/>
      <c r="GT675" s="105"/>
      <c r="GU675" s="105"/>
      <c r="GV675" s="105"/>
      <c r="GW675" s="105"/>
      <c r="GX675" s="105"/>
      <c r="GY675" s="105"/>
      <c r="GZ675" s="105"/>
      <c r="HA675" s="105"/>
      <c r="HB675" s="105"/>
      <c r="HC675" s="105"/>
      <c r="HD675" s="105"/>
      <c r="HE675" s="105"/>
      <c r="HF675" s="105"/>
      <c r="HG675" s="105"/>
      <c r="HH675" s="105"/>
      <c r="HI675" s="105"/>
      <c r="HJ675" s="105"/>
      <c r="HK675" s="105"/>
      <c r="HL675" s="105"/>
      <c r="HM675" s="105"/>
      <c r="HN675" s="105"/>
      <c r="HO675" s="105"/>
      <c r="HP675" s="105"/>
      <c r="HQ675" s="105"/>
      <c r="HR675" s="105"/>
      <c r="HS675" s="105"/>
      <c r="HT675" s="105"/>
      <c r="HU675" s="105"/>
      <c r="HV675" s="105"/>
      <c r="HW675" s="105"/>
      <c r="HX675" s="105"/>
      <c r="HY675" s="105"/>
      <c r="HZ675" s="105"/>
      <c r="IA675" s="105"/>
      <c r="IB675" s="105"/>
      <c r="IC675" s="105"/>
      <c r="ID675" s="105"/>
      <c r="IE675" s="105"/>
      <c r="IF675" s="105"/>
      <c r="IG675" s="105"/>
      <c r="IH675" s="105"/>
      <c r="II675" s="105"/>
      <c r="IJ675" s="105"/>
      <c r="IK675" s="105"/>
      <c r="IL675" s="105"/>
      <c r="IM675" s="105"/>
      <c r="IN675" s="105"/>
      <c r="IO675" s="105"/>
      <c r="IP675" s="105"/>
      <c r="IQ675" s="105"/>
      <c r="IR675" s="105"/>
      <c r="IS675" s="105"/>
      <c r="IT675" s="105"/>
      <c r="IU675" s="105"/>
      <c r="IV675" s="105"/>
    </row>
    <row r="676" spans="1:256" x14ac:dyDescent="0.2">
      <c r="A676" s="145">
        <v>45163</v>
      </c>
      <c r="B676" s="112" t="s">
        <v>249</v>
      </c>
      <c r="C676" s="112">
        <v>2023</v>
      </c>
      <c r="D676" s="112" t="s">
        <v>4</v>
      </c>
      <c r="E676" s="146">
        <v>-0.28000000000000003</v>
      </c>
      <c r="F676" s="146" t="s">
        <v>32</v>
      </c>
      <c r="G676" s="147">
        <v>22400.000000000004</v>
      </c>
      <c r="H676" s="148">
        <v>424</v>
      </c>
      <c r="I676" s="146" t="s">
        <v>80</v>
      </c>
      <c r="J676" s="146" t="s">
        <v>36</v>
      </c>
      <c r="K676" s="146">
        <v>0.14000000000000001</v>
      </c>
      <c r="L676" s="146" t="s">
        <v>645</v>
      </c>
      <c r="M676" s="146" t="s">
        <v>1431</v>
      </c>
      <c r="N676" s="149" t="s">
        <v>1432</v>
      </c>
      <c r="O676" s="112"/>
      <c r="P676" s="112" t="s">
        <v>255</v>
      </c>
      <c r="Q676" s="729">
        <v>41.200370999999997</v>
      </c>
      <c r="R676" s="591">
        <v>-85.068593000000007</v>
      </c>
      <c r="S676" s="112" t="s">
        <v>63</v>
      </c>
      <c r="T676" s="112"/>
      <c r="U676" s="112" t="s">
        <v>51</v>
      </c>
      <c r="V676" s="145"/>
      <c r="W676" s="150">
        <f>IF(AC676="Intr",0,G676*Definitions!$B$53)</f>
        <v>3360.0000000000005</v>
      </c>
      <c r="X676" s="150">
        <f>IF(AC676="Intr",0,G676*Definitions!$B$54)</f>
        <v>15680.000000000002</v>
      </c>
      <c r="Y676" s="150">
        <f>IF(AC676="Intr",G676,G676*Definitions!$B$55)</f>
        <v>3360.0000000000005</v>
      </c>
      <c r="Z676" s="150" t="s">
        <v>964</v>
      </c>
      <c r="AA676" s="150" t="s">
        <v>965</v>
      </c>
      <c r="AB676" s="150"/>
      <c r="AC676" s="112"/>
      <c r="AD676" s="112"/>
      <c r="AE676" s="112"/>
      <c r="AF676" s="112"/>
      <c r="AG676" s="151"/>
      <c r="AH676" s="112"/>
    </row>
    <row r="677" spans="1:256" x14ac:dyDescent="0.2">
      <c r="A677" s="145">
        <v>45163</v>
      </c>
      <c r="B677" s="112" t="s">
        <v>249</v>
      </c>
      <c r="C677" s="112">
        <v>2023</v>
      </c>
      <c r="D677" s="112" t="s">
        <v>4</v>
      </c>
      <c r="E677" s="146">
        <v>-0.32</v>
      </c>
      <c r="F677" s="146" t="s">
        <v>32</v>
      </c>
      <c r="G677" s="147">
        <v>25600</v>
      </c>
      <c r="H677" s="148">
        <v>424</v>
      </c>
      <c r="I677" s="146" t="s">
        <v>80</v>
      </c>
      <c r="J677" s="146" t="s">
        <v>38</v>
      </c>
      <c r="K677" s="146">
        <v>0.08</v>
      </c>
      <c r="L677" s="146" t="s">
        <v>645</v>
      </c>
      <c r="M677" s="146" t="s">
        <v>1431</v>
      </c>
      <c r="N677" s="149" t="s">
        <v>1432</v>
      </c>
      <c r="O677" s="112"/>
      <c r="P677" s="112" t="s">
        <v>255</v>
      </c>
      <c r="Q677" s="729">
        <v>41.200370999999997</v>
      </c>
      <c r="R677" s="591">
        <v>-85.068593000000007</v>
      </c>
      <c r="S677" s="112" t="s">
        <v>63</v>
      </c>
      <c r="T677" s="112"/>
      <c r="U677" s="112" t="s">
        <v>51</v>
      </c>
      <c r="V677" s="145"/>
      <c r="W677" s="150">
        <f>IF(AC677="Intr",0,G677*Definitions!$B$53)</f>
        <v>3840</v>
      </c>
      <c r="X677" s="150">
        <f>IF(AC677="Intr",0,G677*Definitions!$B$54)</f>
        <v>17920</v>
      </c>
      <c r="Y677" s="150">
        <f>IF(AC677="Intr",G677,G677*Definitions!$B$55)</f>
        <v>3840</v>
      </c>
      <c r="Z677" s="150" t="s">
        <v>964</v>
      </c>
      <c r="AA677" s="150" t="s">
        <v>965</v>
      </c>
      <c r="AB677" s="150"/>
      <c r="AC677" s="112"/>
      <c r="AD677" s="112"/>
      <c r="AE677" s="112"/>
      <c r="AF677" s="112"/>
      <c r="AG677" s="151"/>
      <c r="AH677" s="112"/>
    </row>
    <row r="678" spans="1:256" x14ac:dyDescent="0.2">
      <c r="A678" s="37">
        <v>45166</v>
      </c>
      <c r="B678" s="38" t="s">
        <v>249</v>
      </c>
      <c r="C678" s="38">
        <v>2023</v>
      </c>
      <c r="D678" s="38" t="s">
        <v>5</v>
      </c>
      <c r="E678" s="177">
        <v>-88</v>
      </c>
      <c r="F678" s="177" t="s">
        <v>33</v>
      </c>
      <c r="G678" s="269">
        <v>35200</v>
      </c>
      <c r="H678" s="179">
        <v>428</v>
      </c>
      <c r="I678" s="177" t="s">
        <v>80</v>
      </c>
      <c r="J678" s="177" t="s">
        <v>39</v>
      </c>
      <c r="K678" s="177">
        <v>88</v>
      </c>
      <c r="L678" s="177" t="s">
        <v>726</v>
      </c>
      <c r="M678" s="177" t="s">
        <v>1433</v>
      </c>
      <c r="N678" s="70" t="s">
        <v>1434</v>
      </c>
      <c r="O678" s="38"/>
      <c r="P678" s="38" t="s">
        <v>151</v>
      </c>
      <c r="Q678" s="760">
        <v>40.654705999999997</v>
      </c>
      <c r="R678" s="590">
        <v>-85.191113000000001</v>
      </c>
      <c r="S678" s="38" t="s">
        <v>63</v>
      </c>
      <c r="T678" s="38"/>
      <c r="U678" s="38" t="s">
        <v>51</v>
      </c>
      <c r="V678" s="37"/>
      <c r="W678" s="39">
        <f>IF(AC678="Intr",0,G678*Definitions!$B$53)</f>
        <v>5280</v>
      </c>
      <c r="X678" s="39">
        <f>IF(AC678="Intr",0,G678*Definitions!$B$54)</f>
        <v>24640</v>
      </c>
      <c r="Y678" s="39">
        <f>IF(AC678="Intr",G678,G678*Definitions!$B$55)</f>
        <v>5280</v>
      </c>
      <c r="Z678" s="39" t="s">
        <v>966</v>
      </c>
      <c r="AA678" s="39" t="s">
        <v>965</v>
      </c>
      <c r="AB678" s="39"/>
      <c r="AC678" s="38"/>
      <c r="AD678" s="38"/>
      <c r="AE678" s="38"/>
      <c r="AF678" s="38"/>
      <c r="AG678" s="40"/>
      <c r="AH678" s="38"/>
    </row>
    <row r="679" spans="1:256" x14ac:dyDescent="0.2">
      <c r="A679" s="33">
        <v>45175</v>
      </c>
      <c r="B679" s="34" t="s">
        <v>96</v>
      </c>
      <c r="C679" s="34">
        <v>2023</v>
      </c>
      <c r="D679" s="34" t="s">
        <v>8</v>
      </c>
      <c r="E679" s="271">
        <v>-1.48</v>
      </c>
      <c r="F679" s="271" t="s">
        <v>32</v>
      </c>
      <c r="G679" s="272">
        <v>118400</v>
      </c>
      <c r="H679" s="273">
        <v>437</v>
      </c>
      <c r="I679" s="271" t="s">
        <v>80</v>
      </c>
      <c r="J679" s="271" t="s">
        <v>36</v>
      </c>
      <c r="K679" s="271">
        <v>1.23</v>
      </c>
      <c r="L679" s="271" t="s">
        <v>1435</v>
      </c>
      <c r="M679" s="271" t="s">
        <v>1436</v>
      </c>
      <c r="N679" s="116" t="s">
        <v>1437</v>
      </c>
      <c r="O679" s="34"/>
      <c r="P679" s="34" t="s">
        <v>107</v>
      </c>
      <c r="Q679" s="773">
        <v>39.681652999999997</v>
      </c>
      <c r="R679" s="592">
        <v>-85.719256999999999</v>
      </c>
      <c r="S679" s="34" t="s">
        <v>61</v>
      </c>
      <c r="T679" s="34"/>
      <c r="U679" s="34" t="s">
        <v>51</v>
      </c>
      <c r="V679" s="33"/>
      <c r="W679" s="35">
        <f>IF(AC679="Intr",0,G679*Definitions!$B$53)</f>
        <v>17760</v>
      </c>
      <c r="X679" s="35">
        <f>IF(AC679="Intr",0,G679*Definitions!$B$54)</f>
        <v>82880</v>
      </c>
      <c r="Y679" s="35">
        <f>IF(AC679="Intr",G679,G679*Definitions!$B$55)</f>
        <v>17760</v>
      </c>
      <c r="Z679" s="35" t="s">
        <v>966</v>
      </c>
      <c r="AA679" s="35" t="s">
        <v>965</v>
      </c>
      <c r="AB679" s="35"/>
      <c r="AC679" s="34"/>
      <c r="AD679" s="34"/>
      <c r="AE679" s="34"/>
      <c r="AF679" s="34"/>
      <c r="AG679" s="36"/>
      <c r="AH679" s="34"/>
    </row>
    <row r="680" spans="1:256" x14ac:dyDescent="0.2">
      <c r="A680" s="37">
        <v>45223</v>
      </c>
      <c r="B680" s="38" t="s">
        <v>98</v>
      </c>
      <c r="C680" s="38">
        <v>2023</v>
      </c>
      <c r="D680" s="38" t="s">
        <v>7</v>
      </c>
      <c r="E680" s="177">
        <v>-522</v>
      </c>
      <c r="F680" s="177" t="s">
        <v>33</v>
      </c>
      <c r="G680" s="269">
        <v>234900</v>
      </c>
      <c r="H680" s="179">
        <v>453</v>
      </c>
      <c r="I680" s="177" t="s">
        <v>80</v>
      </c>
      <c r="J680" s="177" t="s">
        <v>40</v>
      </c>
      <c r="K680" s="177">
        <v>870</v>
      </c>
      <c r="L680" s="177" t="s">
        <v>1438</v>
      </c>
      <c r="M680" s="177" t="s">
        <v>1439</v>
      </c>
      <c r="N680" s="70" t="s">
        <v>1440</v>
      </c>
      <c r="O680" s="38"/>
      <c r="P680" s="38" t="s">
        <v>143</v>
      </c>
      <c r="Q680" s="760">
        <v>39.854599999999998</v>
      </c>
      <c r="R680" s="590">
        <v>-86.001599999999996</v>
      </c>
      <c r="S680" s="38" t="s">
        <v>61</v>
      </c>
      <c r="T680" s="38"/>
      <c r="U680" s="38" t="s">
        <v>51</v>
      </c>
      <c r="V680" s="37"/>
      <c r="W680" s="39">
        <f>IF(AC680="Intr",0,G680*Definitions!$B$53)</f>
        <v>35235</v>
      </c>
      <c r="X680" s="39">
        <f>IF(AC680="Intr",0,G680*Definitions!$B$54)</f>
        <v>164430</v>
      </c>
      <c r="Y680" s="39">
        <f>IF(AC680="Intr",G680,G680*Definitions!$B$55)</f>
        <v>35235</v>
      </c>
      <c r="Z680" s="39" t="s">
        <v>966</v>
      </c>
      <c r="AA680" s="39" t="s">
        <v>965</v>
      </c>
      <c r="AB680" s="39"/>
      <c r="AC680" s="38"/>
      <c r="AD680" s="38"/>
      <c r="AE680" s="38"/>
      <c r="AF680" s="38"/>
      <c r="AG680" s="40"/>
      <c r="AH680" s="38"/>
    </row>
    <row r="681" spans="1:256" x14ac:dyDescent="0.2">
      <c r="A681" s="41">
        <v>45224</v>
      </c>
      <c r="B681" s="42" t="s">
        <v>98</v>
      </c>
      <c r="C681" s="42">
        <v>2023</v>
      </c>
      <c r="D681" s="42" t="s">
        <v>3</v>
      </c>
      <c r="E681" s="320">
        <v>-49.5</v>
      </c>
      <c r="F681" s="320" t="s">
        <v>33</v>
      </c>
      <c r="G681" s="343">
        <v>29700</v>
      </c>
      <c r="H681" s="344">
        <v>429</v>
      </c>
      <c r="I681" s="320" t="s">
        <v>80</v>
      </c>
      <c r="J681" s="320" t="s">
        <v>39</v>
      </c>
      <c r="K681" s="320">
        <v>49.5</v>
      </c>
      <c r="L681" s="320" t="s">
        <v>726</v>
      </c>
      <c r="M681" s="320" t="s">
        <v>1441</v>
      </c>
      <c r="N681" s="73" t="s">
        <v>1442</v>
      </c>
      <c r="O681" s="42"/>
      <c r="P681" s="42" t="s">
        <v>1222</v>
      </c>
      <c r="Q681" s="731">
        <v>41.664169000000001</v>
      </c>
      <c r="R681" s="593">
        <v>-85.030517000000003</v>
      </c>
      <c r="S681" s="42" t="s">
        <v>63</v>
      </c>
      <c r="T681" s="42"/>
      <c r="U681" s="42" t="s">
        <v>51</v>
      </c>
      <c r="V681" s="41"/>
      <c r="W681" s="43">
        <f>IF(AC681="Intr",0,G681*Definitions!$B$53)</f>
        <v>4455</v>
      </c>
      <c r="X681" s="43">
        <f>IF(AC681="Intr",0,G681*Definitions!$B$54)</f>
        <v>20790</v>
      </c>
      <c r="Y681" s="43">
        <f>IF(AC681="Intr",G681,G681*Definitions!$B$55)</f>
        <v>4455</v>
      </c>
      <c r="Z681" s="43" t="s">
        <v>964</v>
      </c>
      <c r="AA681" s="43" t="s">
        <v>965</v>
      </c>
      <c r="AB681" s="43"/>
      <c r="AC681" s="42"/>
      <c r="AD681" s="42"/>
      <c r="AE681" s="42"/>
      <c r="AF681" s="42"/>
      <c r="AG681" s="44"/>
      <c r="AH681" s="42"/>
    </row>
    <row r="682" spans="1:256" x14ac:dyDescent="0.2">
      <c r="A682" s="41">
        <v>45224</v>
      </c>
      <c r="B682" s="42" t="s">
        <v>98</v>
      </c>
      <c r="C682" s="42">
        <v>2023</v>
      </c>
      <c r="D682" s="42" t="s">
        <v>3</v>
      </c>
      <c r="E682" s="320">
        <v>-2.8000000000000001E-2</v>
      </c>
      <c r="F682" s="320" t="s">
        <v>32</v>
      </c>
      <c r="G682" s="343">
        <v>3360</v>
      </c>
      <c r="H682" s="344">
        <v>429</v>
      </c>
      <c r="I682" s="320" t="s">
        <v>80</v>
      </c>
      <c r="J682" s="320" t="s">
        <v>36</v>
      </c>
      <c r="K682" s="320">
        <v>1.4E-2</v>
      </c>
      <c r="L682" s="320" t="s">
        <v>726</v>
      </c>
      <c r="M682" s="320" t="s">
        <v>1441</v>
      </c>
      <c r="N682" s="73" t="s">
        <v>1442</v>
      </c>
      <c r="O682" s="42"/>
      <c r="P682" s="42" t="s">
        <v>1222</v>
      </c>
      <c r="Q682" s="731">
        <v>41.664169000000001</v>
      </c>
      <c r="R682" s="593">
        <v>-85.030517000000003</v>
      </c>
      <c r="S682" s="42" t="s">
        <v>63</v>
      </c>
      <c r="T682" s="42"/>
      <c r="U682" s="42" t="s">
        <v>51</v>
      </c>
      <c r="V682" s="41"/>
      <c r="W682" s="43">
        <f>IF(AC682="Intr",0,G682*Definitions!$B$53)</f>
        <v>504</v>
      </c>
      <c r="X682" s="43">
        <f>IF(AC682="Intr",0,G682*Definitions!$B$54)</f>
        <v>2352</v>
      </c>
      <c r="Y682" s="43">
        <f>IF(AC682="Intr",G682,G682*Definitions!$B$55)</f>
        <v>504</v>
      </c>
      <c r="Z682" s="43" t="s">
        <v>964</v>
      </c>
      <c r="AA682" s="43" t="s">
        <v>965</v>
      </c>
      <c r="AB682" s="43"/>
      <c r="AC682" s="42"/>
      <c r="AD682" s="42"/>
      <c r="AE682" s="42"/>
      <c r="AF682" s="42"/>
      <c r="AG682" s="44"/>
      <c r="AH682" s="42"/>
    </row>
    <row r="683" spans="1:256" x14ac:dyDescent="0.2">
      <c r="A683" s="37">
        <v>45224</v>
      </c>
      <c r="B683" s="38" t="s">
        <v>98</v>
      </c>
      <c r="C683" s="38">
        <v>2023</v>
      </c>
      <c r="D683" s="38" t="s">
        <v>8</v>
      </c>
      <c r="E683" s="177">
        <v>-0.16400000000000001</v>
      </c>
      <c r="F683" s="177" t="s">
        <v>32</v>
      </c>
      <c r="G683" s="269">
        <v>13120</v>
      </c>
      <c r="H683" s="179">
        <v>430</v>
      </c>
      <c r="I683" s="177" t="s">
        <v>81</v>
      </c>
      <c r="J683" s="177" t="s">
        <v>36</v>
      </c>
      <c r="K683" s="177">
        <v>8.2000000000000003E-2</v>
      </c>
      <c r="L683" s="177" t="s">
        <v>726</v>
      </c>
      <c r="M683" s="177" t="s">
        <v>103</v>
      </c>
      <c r="N683" s="70" t="s">
        <v>1443</v>
      </c>
      <c r="O683" s="38"/>
      <c r="P683" s="38" t="s">
        <v>101</v>
      </c>
      <c r="Q683" s="760">
        <v>39.463856</v>
      </c>
      <c r="R683" s="590">
        <v>-86.053636999999995</v>
      </c>
      <c r="S683" s="38" t="s">
        <v>63</v>
      </c>
      <c r="T683" s="38"/>
      <c r="U683" s="38" t="s">
        <v>51</v>
      </c>
      <c r="V683" s="37"/>
      <c r="W683" s="39">
        <f>IF(AC683="Intr",0,G683*Definitions!$B$53)</f>
        <v>1968</v>
      </c>
      <c r="X683" s="39">
        <f>IF(AC683="Intr",0,G683*Definitions!$B$54)</f>
        <v>9184</v>
      </c>
      <c r="Y683" s="39">
        <f>IF(AC683="Intr",G683,G683*Definitions!$B$55)</f>
        <v>1968</v>
      </c>
      <c r="Z683" s="39" t="s">
        <v>966</v>
      </c>
      <c r="AA683" s="39" t="s">
        <v>963</v>
      </c>
      <c r="AB683" s="39" t="s">
        <v>970</v>
      </c>
      <c r="AC683" s="38"/>
      <c r="AD683" s="38"/>
      <c r="AE683" s="38"/>
      <c r="AF683" s="38"/>
      <c r="AG683" s="40"/>
      <c r="AH683" s="38" t="s">
        <v>1444</v>
      </c>
    </row>
    <row r="684" spans="1:256" x14ac:dyDescent="0.2">
      <c r="A684" s="145">
        <v>45231</v>
      </c>
      <c r="B684" s="112" t="s">
        <v>118</v>
      </c>
      <c r="C684" s="112">
        <v>2023</v>
      </c>
      <c r="D684" s="112" t="s">
        <v>1</v>
      </c>
      <c r="E684" s="146">
        <v>-1.22</v>
      </c>
      <c r="F684" s="146" t="s">
        <v>32</v>
      </c>
      <c r="G684" s="147">
        <v>115900</v>
      </c>
      <c r="H684" s="148">
        <v>374</v>
      </c>
      <c r="I684" s="146" t="s">
        <v>80</v>
      </c>
      <c r="J684" s="146" t="s">
        <v>38</v>
      </c>
      <c r="K684" s="146">
        <v>0.45</v>
      </c>
      <c r="L684" s="146" t="s">
        <v>1581</v>
      </c>
      <c r="M684" s="146" t="s">
        <v>1582</v>
      </c>
      <c r="N684" s="149" t="s">
        <v>1583</v>
      </c>
      <c r="O684" s="112"/>
      <c r="P684" s="112" t="s">
        <v>385</v>
      </c>
      <c r="Q684" s="729">
        <v>41.605400000000003</v>
      </c>
      <c r="R684" s="591">
        <v>-87.028000000000006</v>
      </c>
      <c r="S684" s="112" t="s">
        <v>61</v>
      </c>
      <c r="T684" s="112"/>
      <c r="U684" s="112" t="s">
        <v>51</v>
      </c>
      <c r="V684" s="145"/>
      <c r="W684" s="150">
        <f>IF(AC684="Intr",0,G684*Definitions!$B$53)</f>
        <v>17385</v>
      </c>
      <c r="X684" s="150">
        <f>IF(AC684="Intr",0,G684*Definitions!$B$54)</f>
        <v>81130</v>
      </c>
      <c r="Y684" s="150">
        <f>IF(AC684="Intr",G684,G684*Definitions!$B$55)</f>
        <v>17385</v>
      </c>
      <c r="Z684" s="150" t="s">
        <v>967</v>
      </c>
      <c r="AA684" s="150" t="s">
        <v>965</v>
      </c>
      <c r="AB684" s="150"/>
      <c r="AC684" s="112"/>
      <c r="AD684" s="112"/>
      <c r="AE684" s="112"/>
      <c r="AF684" s="112"/>
      <c r="AG684" s="151"/>
      <c r="AH684" s="112"/>
    </row>
    <row r="685" spans="1:256" x14ac:dyDescent="0.2">
      <c r="A685" s="37">
        <v>45231</v>
      </c>
      <c r="B685" s="38" t="s">
        <v>118</v>
      </c>
      <c r="C685" s="38">
        <v>2023</v>
      </c>
      <c r="D685" s="38" t="s">
        <v>4</v>
      </c>
      <c r="E685" s="177">
        <v>-52</v>
      </c>
      <c r="F685" s="177" t="s">
        <v>33</v>
      </c>
      <c r="G685" s="269">
        <v>23400</v>
      </c>
      <c r="H685" s="179">
        <v>433</v>
      </c>
      <c r="I685" s="177" t="s">
        <v>80</v>
      </c>
      <c r="J685" s="177" t="s">
        <v>40</v>
      </c>
      <c r="K685" s="177">
        <v>52</v>
      </c>
      <c r="L685" s="177" t="s">
        <v>726</v>
      </c>
      <c r="M685" s="70" t="s">
        <v>1458</v>
      </c>
      <c r="N685" s="70" t="s">
        <v>1459</v>
      </c>
      <c r="O685" s="38"/>
      <c r="P685" s="38" t="s">
        <v>113</v>
      </c>
      <c r="Q685" s="760">
        <v>41.366273999999997</v>
      </c>
      <c r="R685" s="590">
        <v>-85.221453999999994</v>
      </c>
      <c r="S685" s="38" t="s">
        <v>63</v>
      </c>
      <c r="T685" s="38"/>
      <c r="U685" s="38" t="s">
        <v>51</v>
      </c>
      <c r="V685" s="37"/>
      <c r="W685" s="39">
        <f>IF(AC685="Intr",0,G685*Definitions!$B$53)</f>
        <v>3510</v>
      </c>
      <c r="X685" s="39">
        <f>IF(AC685="Intr",0,G685*Definitions!$B$54)</f>
        <v>16379.999999999998</v>
      </c>
      <c r="Y685" s="39">
        <f>IF(AC685="Intr",G685,G685*Definitions!$B$55)</f>
        <v>3510</v>
      </c>
      <c r="Z685" s="39" t="s">
        <v>964</v>
      </c>
      <c r="AA685" s="39" t="s">
        <v>965</v>
      </c>
      <c r="AB685" s="39"/>
      <c r="AC685" s="38"/>
      <c r="AD685" s="38"/>
      <c r="AE685" s="38"/>
      <c r="AF685" s="38"/>
      <c r="AG685" s="40"/>
      <c r="AH685" s="38" t="s">
        <v>1462</v>
      </c>
    </row>
    <row r="686" spans="1:256" x14ac:dyDescent="0.2">
      <c r="A686" s="237">
        <v>45231</v>
      </c>
      <c r="B686" s="238" t="s">
        <v>118</v>
      </c>
      <c r="C686" s="238">
        <v>2023</v>
      </c>
      <c r="D686" s="238" t="s">
        <v>11</v>
      </c>
      <c r="E686" s="240">
        <v>-0.38</v>
      </c>
      <c r="F686" s="240" t="s">
        <v>32</v>
      </c>
      <c r="G686" s="317">
        <v>30400</v>
      </c>
      <c r="H686" s="318">
        <v>371</v>
      </c>
      <c r="I686" s="240" t="s">
        <v>80</v>
      </c>
      <c r="J686" s="240" t="s">
        <v>36</v>
      </c>
      <c r="K686" s="240">
        <v>0.38</v>
      </c>
      <c r="L686" s="240" t="s">
        <v>726</v>
      </c>
      <c r="M686" s="240" t="s">
        <v>1584</v>
      </c>
      <c r="N686" s="319" t="s">
        <v>1585</v>
      </c>
      <c r="O686" s="238"/>
      <c r="P686" s="238" t="s">
        <v>325</v>
      </c>
      <c r="Q686" s="734">
        <v>38.194000000000003</v>
      </c>
      <c r="R686" s="648">
        <v>-87.295000000000002</v>
      </c>
      <c r="S686" s="238" t="s">
        <v>63</v>
      </c>
      <c r="T686" s="238"/>
      <c r="U686" s="238" t="s">
        <v>51</v>
      </c>
      <c r="V686" s="237"/>
      <c r="W686" s="244">
        <f>IF(AC686="Intr",0,G686*Definitions!$B$53)</f>
        <v>4560</v>
      </c>
      <c r="X686" s="244">
        <f>IF(AC686="Intr",0,G686*Definitions!$B$54)</f>
        <v>21280</v>
      </c>
      <c r="Y686" s="244">
        <f>IF(AC686="Intr",G686,G686*Definitions!$B$55)</f>
        <v>4560</v>
      </c>
      <c r="Z686" s="244" t="s">
        <v>966</v>
      </c>
      <c r="AA686" s="244" t="s">
        <v>965</v>
      </c>
      <c r="AB686" s="244"/>
      <c r="AC686" s="238"/>
      <c r="AD686" s="238"/>
      <c r="AE686" s="238"/>
      <c r="AF686" s="238"/>
      <c r="AG686" s="245"/>
      <c r="AH686" s="238"/>
    </row>
    <row r="687" spans="1:256" x14ac:dyDescent="0.2">
      <c r="A687" s="160">
        <v>45231</v>
      </c>
      <c r="B687" s="161" t="s">
        <v>118</v>
      </c>
      <c r="C687" s="161">
        <v>2023</v>
      </c>
      <c r="D687" s="161" t="s">
        <v>5</v>
      </c>
      <c r="E687" s="162">
        <v>-67</v>
      </c>
      <c r="F687" s="162" t="s">
        <v>33</v>
      </c>
      <c r="G687" s="163">
        <v>26800</v>
      </c>
      <c r="H687" s="164">
        <v>432</v>
      </c>
      <c r="I687" s="162" t="s">
        <v>80</v>
      </c>
      <c r="J687" s="162" t="s">
        <v>40</v>
      </c>
      <c r="K687" s="162">
        <v>371</v>
      </c>
      <c r="L687" s="162" t="s">
        <v>726</v>
      </c>
      <c r="M687" s="165" t="s">
        <v>1456</v>
      </c>
      <c r="N687" s="165" t="s">
        <v>1457</v>
      </c>
      <c r="O687" s="161"/>
      <c r="P687" s="161" t="s">
        <v>1460</v>
      </c>
      <c r="Q687" s="741">
        <v>40.804890999999998</v>
      </c>
      <c r="R687" s="654">
        <v>-86.023870000000002</v>
      </c>
      <c r="S687" s="161" t="s">
        <v>63</v>
      </c>
      <c r="T687" s="161"/>
      <c r="U687" s="161" t="s">
        <v>51</v>
      </c>
      <c r="V687" s="160"/>
      <c r="W687" s="166">
        <f>IF(AC687="Intr",0,G687*Definitions!$B$53)</f>
        <v>4020</v>
      </c>
      <c r="X687" s="166">
        <f>IF(AC687="Intr",0,G687*Definitions!$B$54)</f>
        <v>18760</v>
      </c>
      <c r="Y687" s="166">
        <f>IF(AC687="Intr",G687,G687*Definitions!$B$55)</f>
        <v>4020</v>
      </c>
      <c r="Z687" s="166" t="s">
        <v>966</v>
      </c>
      <c r="AA687" s="166" t="s">
        <v>965</v>
      </c>
      <c r="AB687" s="166"/>
      <c r="AC687" s="161"/>
      <c r="AD687" s="161"/>
      <c r="AE687" s="161"/>
      <c r="AF687" s="161"/>
      <c r="AG687" s="167"/>
      <c r="AH687" s="161" t="s">
        <v>1461</v>
      </c>
    </row>
    <row r="688" spans="1:256" x14ac:dyDescent="0.2">
      <c r="A688" s="160">
        <v>45231</v>
      </c>
      <c r="B688" s="161" t="s">
        <v>118</v>
      </c>
      <c r="C688" s="161">
        <v>2023</v>
      </c>
      <c r="D688" s="161" t="s">
        <v>5</v>
      </c>
      <c r="E688" s="162">
        <v>-0.1</v>
      </c>
      <c r="F688" s="162" t="s">
        <v>32</v>
      </c>
      <c r="G688" s="163">
        <v>8000</v>
      </c>
      <c r="H688" s="164">
        <v>432</v>
      </c>
      <c r="I688" s="162" t="s">
        <v>80</v>
      </c>
      <c r="J688" s="162" t="s">
        <v>38</v>
      </c>
      <c r="K688" s="162">
        <v>2.5000000000000001E-2</v>
      </c>
      <c r="L688" s="162" t="s">
        <v>726</v>
      </c>
      <c r="M688" s="165" t="s">
        <v>1456</v>
      </c>
      <c r="N688" s="165" t="s">
        <v>1457</v>
      </c>
      <c r="O688" s="161"/>
      <c r="P688" s="161" t="s">
        <v>1460</v>
      </c>
      <c r="Q688" s="741">
        <v>40.804890999999998</v>
      </c>
      <c r="R688" s="654">
        <v>-86.023870000000002</v>
      </c>
      <c r="S688" s="161" t="s">
        <v>63</v>
      </c>
      <c r="T688" s="161"/>
      <c r="U688" s="161" t="s">
        <v>51</v>
      </c>
      <c r="V688" s="160"/>
      <c r="W688" s="166">
        <f>IF(AC688="Intr",0,G688*Definitions!$B$53)</f>
        <v>1200</v>
      </c>
      <c r="X688" s="166">
        <f>IF(AC688="Intr",0,G688*Definitions!$B$54)</f>
        <v>5600</v>
      </c>
      <c r="Y688" s="166">
        <f>IF(AC688="Intr",G688,G688*Definitions!$B$55)</f>
        <v>1200</v>
      </c>
      <c r="Z688" s="166" t="s">
        <v>966</v>
      </c>
      <c r="AA688" s="166" t="s">
        <v>965</v>
      </c>
      <c r="AB688" s="166"/>
      <c r="AC688" s="161"/>
      <c r="AD688" s="161"/>
      <c r="AE688" s="161"/>
      <c r="AF688" s="161"/>
      <c r="AG688" s="167"/>
      <c r="AH688" s="161" t="s">
        <v>1461</v>
      </c>
    </row>
    <row r="689" spans="1:34" x14ac:dyDescent="0.2">
      <c r="A689" s="37">
        <v>45237</v>
      </c>
      <c r="B689" s="38" t="s">
        <v>118</v>
      </c>
      <c r="C689" s="38">
        <v>2023</v>
      </c>
      <c r="D689" s="38" t="s">
        <v>7</v>
      </c>
      <c r="E689" s="177">
        <v>-0.13500000000000001</v>
      </c>
      <c r="F689" s="177" t="s">
        <v>32</v>
      </c>
      <c r="G689" s="215">
        <v>10800</v>
      </c>
      <c r="H689" s="216">
        <v>427</v>
      </c>
      <c r="I689" s="177" t="s">
        <v>81</v>
      </c>
      <c r="J689" s="177" t="s">
        <v>38</v>
      </c>
      <c r="K689" s="177">
        <v>5.3999999999999999E-2</v>
      </c>
      <c r="L689" s="177" t="s">
        <v>1454</v>
      </c>
      <c r="M689" s="177" t="s">
        <v>103</v>
      </c>
      <c r="N689" s="70" t="s">
        <v>1455</v>
      </c>
      <c r="O689" s="38"/>
      <c r="P689" s="38" t="s">
        <v>137</v>
      </c>
      <c r="Q689" s="760">
        <v>40.04</v>
      </c>
      <c r="R689" s="590">
        <v>-86.07</v>
      </c>
      <c r="S689" s="38" t="s">
        <v>61</v>
      </c>
      <c r="T689" s="38"/>
      <c r="U689" s="38" t="s">
        <v>51</v>
      </c>
      <c r="V689" s="37"/>
      <c r="W689" s="39">
        <f>IF(AC689="Intr",0,G689*Definitions!$B$53)</f>
        <v>1620</v>
      </c>
      <c r="X689" s="39">
        <f>IF(AC689="Intr",0,G689*Definitions!$B$54)</f>
        <v>7559.9999999999991</v>
      </c>
      <c r="Y689" s="39">
        <f>IF(AC689="Intr",G689,G689*Definitions!$B$55)</f>
        <v>1620</v>
      </c>
      <c r="Z689" s="39" t="s">
        <v>966</v>
      </c>
      <c r="AA689" s="39" t="s">
        <v>963</v>
      </c>
      <c r="AB689" s="39" t="s">
        <v>1268</v>
      </c>
      <c r="AC689" s="38"/>
      <c r="AD689" s="38"/>
      <c r="AE689" s="38"/>
      <c r="AF689" s="38"/>
      <c r="AG689" s="40"/>
      <c r="AH689" s="38"/>
    </row>
    <row r="690" spans="1:34" x14ac:dyDescent="0.2">
      <c r="A690" s="58">
        <v>45237</v>
      </c>
      <c r="B690" s="59" t="s">
        <v>118</v>
      </c>
      <c r="C690" s="59">
        <v>2023</v>
      </c>
      <c r="D690" s="59" t="s">
        <v>7</v>
      </c>
      <c r="E690" s="60">
        <v>-0.45600000000000002</v>
      </c>
      <c r="F690" s="60" t="s">
        <v>32</v>
      </c>
      <c r="G690" s="61">
        <v>36000</v>
      </c>
      <c r="H690" s="62">
        <v>434</v>
      </c>
      <c r="I690" s="60" t="s">
        <v>81</v>
      </c>
      <c r="J690" s="60" t="s">
        <v>38</v>
      </c>
      <c r="K690" s="60">
        <v>0.18</v>
      </c>
      <c r="L690" s="60" t="s">
        <v>572</v>
      </c>
      <c r="M690" s="60" t="s">
        <v>103</v>
      </c>
      <c r="N690" s="63" t="s">
        <v>1465</v>
      </c>
      <c r="O690" s="59"/>
      <c r="P690" s="59" t="s">
        <v>162</v>
      </c>
      <c r="Q690" s="745">
        <v>39.87256</v>
      </c>
      <c r="R690" s="637">
        <v>-86.383250000000004</v>
      </c>
      <c r="S690" s="59" t="s">
        <v>61</v>
      </c>
      <c r="T690" s="59"/>
      <c r="U690" s="59" t="s">
        <v>51</v>
      </c>
      <c r="V690" s="58"/>
      <c r="W690" s="65">
        <f>IF(AC690="Intr",0,G690*Definitions!$B$53)</f>
        <v>5400</v>
      </c>
      <c r="X690" s="65">
        <f>IF(AC690="Intr",0,G690*Definitions!$B$54)</f>
        <v>25200</v>
      </c>
      <c r="Y690" s="65">
        <f>IF(AC690="Intr",G690,G690*Definitions!$B$55)</f>
        <v>5400</v>
      </c>
      <c r="Z690" s="65" t="s">
        <v>966</v>
      </c>
      <c r="AA690" s="65" t="s">
        <v>963</v>
      </c>
      <c r="AB690" s="65" t="s">
        <v>1268</v>
      </c>
      <c r="AC690" s="59"/>
      <c r="AD690" s="59"/>
      <c r="AE690" s="59"/>
      <c r="AF690" s="59"/>
      <c r="AG690" s="66"/>
      <c r="AH690" s="59"/>
    </row>
    <row r="691" spans="1:34" x14ac:dyDescent="0.2">
      <c r="A691" s="45">
        <v>45238</v>
      </c>
      <c r="B691" s="46" t="s">
        <v>118</v>
      </c>
      <c r="C691" s="46">
        <v>2023</v>
      </c>
      <c r="D691" s="46" t="s">
        <v>1</v>
      </c>
      <c r="E691" s="181">
        <v>-0.39800000000000002</v>
      </c>
      <c r="F691" s="181" t="s">
        <v>32</v>
      </c>
      <c r="G691" s="182">
        <v>37810</v>
      </c>
      <c r="H691" s="183">
        <v>382</v>
      </c>
      <c r="I691" s="181" t="s">
        <v>80</v>
      </c>
      <c r="J691" s="181" t="s">
        <v>36</v>
      </c>
      <c r="K691" s="181">
        <v>0.33200000000000002</v>
      </c>
      <c r="L691" s="181" t="s">
        <v>1448</v>
      </c>
      <c r="M691" s="248" t="s">
        <v>1449</v>
      </c>
      <c r="N691" s="76" t="s">
        <v>1450</v>
      </c>
      <c r="O691" s="46"/>
      <c r="P691" s="46" t="s">
        <v>227</v>
      </c>
      <c r="Q691" s="814">
        <v>41.470463000000002</v>
      </c>
      <c r="R691" s="877">
        <v>-87.297078999999997</v>
      </c>
      <c r="S691" s="46" t="s">
        <v>63</v>
      </c>
      <c r="T691" s="46"/>
      <c r="U691" s="46" t="s">
        <v>51</v>
      </c>
      <c r="V691" s="45"/>
      <c r="W691" s="47">
        <f>IF(AC691="Intr",0,G691*Definitions!$B$53)</f>
        <v>5671.5</v>
      </c>
      <c r="X691" s="47">
        <f>IF(AC691="Intr",0,G691*Definitions!$B$54)</f>
        <v>26467</v>
      </c>
      <c r="Y691" s="47">
        <f>IF(AC691="Intr",G691,G691*Definitions!$B$55)</f>
        <v>5671.5</v>
      </c>
      <c r="Z691" s="47" t="s">
        <v>967</v>
      </c>
      <c r="AA691" s="47" t="s">
        <v>965</v>
      </c>
      <c r="AB691" s="47"/>
      <c r="AC691" s="46"/>
      <c r="AD691" s="46"/>
      <c r="AE691" s="46"/>
      <c r="AF691" s="46"/>
      <c r="AG691" s="48"/>
      <c r="AH691" s="46"/>
    </row>
    <row r="692" spans="1:34" x14ac:dyDescent="0.2">
      <c r="A692" s="37">
        <v>45238</v>
      </c>
      <c r="B692" s="38" t="s">
        <v>118</v>
      </c>
      <c r="C692" s="38">
        <v>2023</v>
      </c>
      <c r="D692" s="38" t="s">
        <v>9</v>
      </c>
      <c r="E692" s="177">
        <v>-2E-3</v>
      </c>
      <c r="F692" s="177" t="s">
        <v>32</v>
      </c>
      <c r="G692" s="215">
        <v>160</v>
      </c>
      <c r="H692" s="216">
        <v>444</v>
      </c>
      <c r="I692" s="177" t="s">
        <v>80</v>
      </c>
      <c r="J692" s="177" t="s">
        <v>36</v>
      </c>
      <c r="K692" s="177">
        <v>2E-3</v>
      </c>
      <c r="L692" s="177" t="s">
        <v>1478</v>
      </c>
      <c r="M692" s="70" t="s">
        <v>1481</v>
      </c>
      <c r="N692" s="70" t="s">
        <v>1482</v>
      </c>
      <c r="O692" s="38"/>
      <c r="P692" s="72" t="s">
        <v>236</v>
      </c>
      <c r="Q692" s="790">
        <v>39.122239999999998</v>
      </c>
      <c r="R692" s="687">
        <v>-86.544452000000007</v>
      </c>
      <c r="S692" s="38" t="s">
        <v>63</v>
      </c>
      <c r="T692" s="38"/>
      <c r="U692" s="38" t="s">
        <v>51</v>
      </c>
      <c r="V692" s="37"/>
      <c r="W692" s="39">
        <f>IF(AC692="Intr",0,G692*Definitions!$B$53)</f>
        <v>24</v>
      </c>
      <c r="X692" s="39">
        <f>IF(AC692="Intr",0,G692*Definitions!$B$54)</f>
        <v>112</v>
      </c>
      <c r="Y692" s="39">
        <f>IF(AC692="Intr",G692,G692*Definitions!$B$55)</f>
        <v>24</v>
      </c>
      <c r="Z692" s="39" t="s">
        <v>966</v>
      </c>
      <c r="AA692" s="39" t="s">
        <v>965</v>
      </c>
      <c r="AB692" s="39"/>
      <c r="AC692" s="38"/>
      <c r="AD692" s="38"/>
      <c r="AE692" s="38"/>
      <c r="AF692" s="38"/>
      <c r="AG692" s="40"/>
      <c r="AH692" s="38"/>
    </row>
    <row r="693" spans="1:34" x14ac:dyDescent="0.2">
      <c r="A693" s="37">
        <v>45238</v>
      </c>
      <c r="B693" s="38" t="s">
        <v>118</v>
      </c>
      <c r="C693" s="38">
        <v>2023</v>
      </c>
      <c r="D693" s="38" t="s">
        <v>9</v>
      </c>
      <c r="E693" s="177">
        <v>-6.3E-2</v>
      </c>
      <c r="F693" s="177" t="s">
        <v>32</v>
      </c>
      <c r="G693" s="215">
        <v>5040</v>
      </c>
      <c r="H693" s="216">
        <v>444</v>
      </c>
      <c r="I693" s="177" t="s">
        <v>80</v>
      </c>
      <c r="J693" s="177" t="s">
        <v>37</v>
      </c>
      <c r="K693" s="177">
        <v>0.02</v>
      </c>
      <c r="L693" s="177" t="s">
        <v>1478</v>
      </c>
      <c r="M693" s="70" t="s">
        <v>1481</v>
      </c>
      <c r="N693" s="70" t="s">
        <v>1482</v>
      </c>
      <c r="O693" s="38"/>
      <c r="P693" s="72" t="s">
        <v>236</v>
      </c>
      <c r="Q693" s="790">
        <v>39.122239999999998</v>
      </c>
      <c r="R693" s="687">
        <v>-86.544452000000007</v>
      </c>
      <c r="S693" s="38" t="s">
        <v>63</v>
      </c>
      <c r="T693" s="38"/>
      <c r="U693" s="38" t="s">
        <v>51</v>
      </c>
      <c r="V693" s="37"/>
      <c r="W693" s="39">
        <f>IF(AC693="Intr",0,G693*Definitions!$B$53)</f>
        <v>756</v>
      </c>
      <c r="X693" s="39">
        <f>IF(AC693="Intr",0,G693*Definitions!$B$54)</f>
        <v>3528</v>
      </c>
      <c r="Y693" s="39">
        <f>IF(AC693="Intr",G693,G693*Definitions!$B$55)</f>
        <v>756</v>
      </c>
      <c r="Z693" s="39" t="s">
        <v>966</v>
      </c>
      <c r="AA693" s="39" t="s">
        <v>965</v>
      </c>
      <c r="AB693" s="39"/>
      <c r="AC693" s="38"/>
      <c r="AD693" s="38"/>
      <c r="AE693" s="38"/>
      <c r="AF693" s="38"/>
      <c r="AG693" s="40"/>
      <c r="AH693" s="38"/>
    </row>
    <row r="694" spans="1:34" x14ac:dyDescent="0.2">
      <c r="A694" s="207">
        <v>45238</v>
      </c>
      <c r="B694" s="208" t="s">
        <v>118</v>
      </c>
      <c r="C694" s="208">
        <v>2023</v>
      </c>
      <c r="D694" s="208" t="s">
        <v>4</v>
      </c>
      <c r="E694" s="209">
        <v>-108</v>
      </c>
      <c r="F694" s="209" t="s">
        <v>33</v>
      </c>
      <c r="G694" s="210">
        <v>48600</v>
      </c>
      <c r="H694" s="211">
        <v>439</v>
      </c>
      <c r="I694" s="209" t="s">
        <v>80</v>
      </c>
      <c r="J694" s="209" t="s">
        <v>39</v>
      </c>
      <c r="K694" s="209">
        <v>379</v>
      </c>
      <c r="L694" s="209" t="s">
        <v>726</v>
      </c>
      <c r="M694" s="232" t="s">
        <v>1470</v>
      </c>
      <c r="N694" s="212" t="s">
        <v>1471</v>
      </c>
      <c r="O694" s="208"/>
      <c r="P694" s="208" t="s">
        <v>113</v>
      </c>
      <c r="Q694" s="815">
        <v>41.372635000000002</v>
      </c>
      <c r="R694" s="672">
        <v>-85.221468000000002</v>
      </c>
      <c r="S694" s="208" t="s">
        <v>63</v>
      </c>
      <c r="T694" s="208"/>
      <c r="U694" s="208" t="s">
        <v>51</v>
      </c>
      <c r="V694" s="207"/>
      <c r="W694" s="213">
        <f>IF(AC694="Intr",0,G694*Definitions!$B$53)</f>
        <v>7290</v>
      </c>
      <c r="X694" s="213">
        <f>IF(AC694="Intr",0,G694*Definitions!$B$54)</f>
        <v>34020</v>
      </c>
      <c r="Y694" s="213">
        <f>IF(AC694="Intr",G694,G694*Definitions!$B$55)</f>
        <v>7290</v>
      </c>
      <c r="Z694" s="213" t="s">
        <v>964</v>
      </c>
      <c r="AA694" s="213" t="s">
        <v>965</v>
      </c>
      <c r="AB694" s="213"/>
      <c r="AC694" s="208"/>
      <c r="AD694" s="208"/>
      <c r="AE694" s="208"/>
      <c r="AF694" s="208"/>
      <c r="AG694" s="214"/>
      <c r="AH694" s="208" t="s">
        <v>1473</v>
      </c>
    </row>
    <row r="695" spans="1:34" x14ac:dyDescent="0.2">
      <c r="A695" s="307">
        <v>45238</v>
      </c>
      <c r="B695" s="308" t="s">
        <v>118</v>
      </c>
      <c r="C695" s="308">
        <v>2023</v>
      </c>
      <c r="D695" s="308" t="s">
        <v>6</v>
      </c>
      <c r="E695" s="309">
        <v>-222</v>
      </c>
      <c r="F695" s="309" t="s">
        <v>33</v>
      </c>
      <c r="G695" s="347">
        <v>88800</v>
      </c>
      <c r="H695" s="311">
        <v>411</v>
      </c>
      <c r="I695" s="309" t="s">
        <v>80</v>
      </c>
      <c r="J695" s="309" t="s">
        <v>41</v>
      </c>
      <c r="K695" s="309">
        <v>222</v>
      </c>
      <c r="L695" s="309" t="s">
        <v>726</v>
      </c>
      <c r="M695" s="312" t="s">
        <v>1452</v>
      </c>
      <c r="N695" s="312" t="s">
        <v>1453</v>
      </c>
      <c r="O695" s="308"/>
      <c r="P695" s="308" t="s">
        <v>274</v>
      </c>
      <c r="Q695" s="816">
        <v>40.445473999999997</v>
      </c>
      <c r="R695" s="686">
        <v>-87.024084999999999</v>
      </c>
      <c r="S695" s="308" t="s">
        <v>63</v>
      </c>
      <c r="T695" s="308"/>
      <c r="U695" s="308" t="s">
        <v>51</v>
      </c>
      <c r="V695" s="307"/>
      <c r="W695" s="313">
        <f>IF(AC695="Intr",0,G695*Definitions!$B$53)</f>
        <v>13320</v>
      </c>
      <c r="X695" s="313">
        <f>IF(AC695="Intr",0,G695*Definitions!$B$54)</f>
        <v>62159.999999999993</v>
      </c>
      <c r="Y695" s="313">
        <f>IF(AC695="Intr",G695,G695*Definitions!$B$55)</f>
        <v>13320</v>
      </c>
      <c r="Z695" s="313" t="s">
        <v>966</v>
      </c>
      <c r="AA695" s="313" t="s">
        <v>965</v>
      </c>
      <c r="AB695" s="313"/>
      <c r="AC695" s="308"/>
      <c r="AD695" s="308"/>
      <c r="AE695" s="308"/>
      <c r="AF695" s="308"/>
      <c r="AG695" s="314"/>
      <c r="AH695" s="308"/>
    </row>
    <row r="696" spans="1:34" x14ac:dyDescent="0.2">
      <c r="A696" s="307">
        <v>45238</v>
      </c>
      <c r="B696" s="308" t="s">
        <v>118</v>
      </c>
      <c r="C696" s="308">
        <v>2023</v>
      </c>
      <c r="D696" s="308" t="s">
        <v>6</v>
      </c>
      <c r="E696" s="309">
        <v>-270</v>
      </c>
      <c r="F696" s="309" t="s">
        <v>33</v>
      </c>
      <c r="G696" s="347">
        <v>108000</v>
      </c>
      <c r="H696" s="311">
        <v>411</v>
      </c>
      <c r="I696" s="309" t="s">
        <v>80</v>
      </c>
      <c r="J696" s="309" t="s">
        <v>40</v>
      </c>
      <c r="K696" s="309">
        <v>270</v>
      </c>
      <c r="L696" s="309" t="s">
        <v>726</v>
      </c>
      <c r="M696" s="312" t="s">
        <v>1452</v>
      </c>
      <c r="N696" s="312" t="s">
        <v>1453</v>
      </c>
      <c r="O696" s="308"/>
      <c r="P696" s="308" t="s">
        <v>274</v>
      </c>
      <c r="Q696" s="816">
        <v>40.445473999999997</v>
      </c>
      <c r="R696" s="686">
        <v>-87.024084999999999</v>
      </c>
      <c r="S696" s="308" t="s">
        <v>63</v>
      </c>
      <c r="T696" s="308"/>
      <c r="U696" s="308" t="s">
        <v>51</v>
      </c>
      <c r="V696" s="307"/>
      <c r="W696" s="313">
        <f>IF(AC696="Intr",0,G696*Definitions!$B$53)</f>
        <v>16200</v>
      </c>
      <c r="X696" s="313">
        <f>IF(AC696="Intr",0,G696*Definitions!$B$54)</f>
        <v>75600</v>
      </c>
      <c r="Y696" s="313">
        <f>IF(AC696="Intr",G696,G696*Definitions!$B$55)</f>
        <v>16200</v>
      </c>
      <c r="Z696" s="313" t="s">
        <v>966</v>
      </c>
      <c r="AA696" s="313" t="s">
        <v>965</v>
      </c>
      <c r="AB696" s="313"/>
      <c r="AC696" s="308"/>
      <c r="AD696" s="308"/>
      <c r="AE696" s="308"/>
      <c r="AF696" s="308"/>
      <c r="AG696" s="314"/>
      <c r="AH696" s="308"/>
    </row>
    <row r="697" spans="1:34" x14ac:dyDescent="0.2">
      <c r="A697" s="307">
        <v>45238</v>
      </c>
      <c r="B697" s="308" t="s">
        <v>118</v>
      </c>
      <c r="C697" s="308">
        <v>2023</v>
      </c>
      <c r="D697" s="308" t="s">
        <v>6</v>
      </c>
      <c r="E697" s="309">
        <v>-120</v>
      </c>
      <c r="F697" s="309" t="s">
        <v>33</v>
      </c>
      <c r="G697" s="347">
        <v>48000</v>
      </c>
      <c r="H697" s="311">
        <v>411</v>
      </c>
      <c r="I697" s="309" t="s">
        <v>80</v>
      </c>
      <c r="J697" s="309" t="s">
        <v>39</v>
      </c>
      <c r="K697" s="309">
        <v>120</v>
      </c>
      <c r="L697" s="309" t="s">
        <v>726</v>
      </c>
      <c r="M697" s="312" t="s">
        <v>1452</v>
      </c>
      <c r="N697" s="312" t="s">
        <v>1453</v>
      </c>
      <c r="O697" s="308"/>
      <c r="P697" s="308" t="s">
        <v>274</v>
      </c>
      <c r="Q697" s="816">
        <v>40.445473999999997</v>
      </c>
      <c r="R697" s="686">
        <v>-87.024084999999999</v>
      </c>
      <c r="S697" s="308" t="s">
        <v>63</v>
      </c>
      <c r="T697" s="308"/>
      <c r="U697" s="308" t="s">
        <v>51</v>
      </c>
      <c r="V697" s="307"/>
      <c r="W697" s="313">
        <f>IF(AC697="Intr",0,G697*Definitions!$B$53)</f>
        <v>7200</v>
      </c>
      <c r="X697" s="313">
        <f>IF(AC697="Intr",0,G697*Definitions!$B$54)</f>
        <v>33600</v>
      </c>
      <c r="Y697" s="313">
        <f>IF(AC697="Intr",G697,G697*Definitions!$B$55)</f>
        <v>7200</v>
      </c>
      <c r="Z697" s="313" t="s">
        <v>966</v>
      </c>
      <c r="AA697" s="313" t="s">
        <v>965</v>
      </c>
      <c r="AB697" s="313"/>
      <c r="AC697" s="308"/>
      <c r="AD697" s="308"/>
      <c r="AE697" s="308"/>
      <c r="AF697" s="308"/>
      <c r="AG697" s="314"/>
      <c r="AH697" s="308"/>
    </row>
    <row r="698" spans="1:34" x14ac:dyDescent="0.2">
      <c r="A698" s="45">
        <v>45238</v>
      </c>
      <c r="B698" s="46" t="s">
        <v>118</v>
      </c>
      <c r="C698" s="46">
        <v>2023</v>
      </c>
      <c r="D698" s="46" t="s">
        <v>11</v>
      </c>
      <c r="E698" s="181">
        <v>-0.95</v>
      </c>
      <c r="F698" s="181" t="s">
        <v>32</v>
      </c>
      <c r="G698" s="182">
        <v>76000</v>
      </c>
      <c r="H698" s="183">
        <v>443</v>
      </c>
      <c r="I698" s="181" t="s">
        <v>80</v>
      </c>
      <c r="J698" s="181" t="s">
        <v>36</v>
      </c>
      <c r="K698" s="181">
        <v>0.39</v>
      </c>
      <c r="L698" s="181" t="s">
        <v>284</v>
      </c>
      <c r="M698" s="76" t="s">
        <v>1479</v>
      </c>
      <c r="N698" s="76" t="s">
        <v>1480</v>
      </c>
      <c r="O698" s="46"/>
      <c r="P698" s="78" t="s">
        <v>393</v>
      </c>
      <c r="Q698" s="794">
        <v>38.334499999999998</v>
      </c>
      <c r="R698" s="691">
        <v>-87.787700000000001</v>
      </c>
      <c r="S698" s="46" t="s">
        <v>62</v>
      </c>
      <c r="T698" s="46"/>
      <c r="U698" s="46" t="s">
        <v>51</v>
      </c>
      <c r="V698" s="45"/>
      <c r="W698" s="47">
        <f>IF(AC698="Intr",0,G698*Definitions!$B$53)</f>
        <v>11400</v>
      </c>
      <c r="X698" s="47">
        <f>IF(AC698="Intr",0,G698*Definitions!$B$54)</f>
        <v>53200</v>
      </c>
      <c r="Y698" s="47">
        <f>IF(AC698="Intr",G698,G698*Definitions!$B$55)</f>
        <v>11400</v>
      </c>
      <c r="Z698" s="47" t="s">
        <v>966</v>
      </c>
      <c r="AA698" s="47" t="s">
        <v>965</v>
      </c>
      <c r="AB698" s="47"/>
      <c r="AC698" s="46"/>
      <c r="AD698" s="46"/>
      <c r="AE698" s="46"/>
      <c r="AF698" s="46"/>
      <c r="AG698" s="48"/>
      <c r="AH698" s="46"/>
    </row>
    <row r="699" spans="1:34" x14ac:dyDescent="0.2">
      <c r="A699" s="58">
        <v>45238</v>
      </c>
      <c r="B699" s="59" t="s">
        <v>118</v>
      </c>
      <c r="C699" s="59">
        <v>2023</v>
      </c>
      <c r="D699" s="59" t="s">
        <v>5</v>
      </c>
      <c r="E699" s="60">
        <v>-83</v>
      </c>
      <c r="F699" s="60" t="s">
        <v>33</v>
      </c>
      <c r="G699" s="61">
        <v>33200</v>
      </c>
      <c r="H699" s="62">
        <v>438</v>
      </c>
      <c r="I699" s="60" t="s">
        <v>80</v>
      </c>
      <c r="J699" s="60" t="s">
        <v>39</v>
      </c>
      <c r="K699" s="60">
        <v>348</v>
      </c>
      <c r="L699" s="60" t="s">
        <v>726</v>
      </c>
      <c r="M699" s="393" t="s">
        <v>1468</v>
      </c>
      <c r="N699" s="63" t="s">
        <v>1469</v>
      </c>
      <c r="O699" s="59"/>
      <c r="P699" s="59" t="s">
        <v>255</v>
      </c>
      <c r="Q699" s="817">
        <v>41.013164000000003</v>
      </c>
      <c r="R699" s="682">
        <v>-85.255988000000002</v>
      </c>
      <c r="S699" s="59" t="s">
        <v>63</v>
      </c>
      <c r="T699" s="59"/>
      <c r="U699" s="59" t="s">
        <v>51</v>
      </c>
      <c r="V699" s="58"/>
      <c r="W699" s="65">
        <f>IF(AC699="Intr",0,G699*Definitions!$B$53)</f>
        <v>4980</v>
      </c>
      <c r="X699" s="65">
        <f>IF(AC699="Intr",0,G699*Definitions!$B$54)</f>
        <v>23240</v>
      </c>
      <c r="Y699" s="65">
        <f>IF(AC699="Intr",G699,G699*Definitions!$B$55)</f>
        <v>4980</v>
      </c>
      <c r="Z699" s="65" t="s">
        <v>964</v>
      </c>
      <c r="AA699" s="65" t="s">
        <v>965</v>
      </c>
      <c r="AB699" s="65"/>
      <c r="AC699" s="59"/>
      <c r="AD699" s="59"/>
      <c r="AE699" s="59"/>
      <c r="AF699" s="59"/>
      <c r="AG699" s="66"/>
      <c r="AH699" s="59" t="s">
        <v>1472</v>
      </c>
    </row>
    <row r="700" spans="1:34" x14ac:dyDescent="0.2">
      <c r="A700" s="37">
        <v>45238</v>
      </c>
      <c r="B700" s="38" t="s">
        <v>118</v>
      </c>
      <c r="C700" s="38">
        <v>2023</v>
      </c>
      <c r="D700" s="38" t="s">
        <v>7</v>
      </c>
      <c r="E700" s="177">
        <v>-0.14000000000000001</v>
      </c>
      <c r="F700" s="177" t="s">
        <v>32</v>
      </c>
      <c r="G700" s="269">
        <v>11200</v>
      </c>
      <c r="H700" s="179">
        <v>410</v>
      </c>
      <c r="I700" s="177" t="s">
        <v>80</v>
      </c>
      <c r="J700" s="177" t="s">
        <v>36</v>
      </c>
      <c r="K700" s="177">
        <v>7.0000000000000007E-2</v>
      </c>
      <c r="L700" s="177" t="s">
        <v>423</v>
      </c>
      <c r="M700" s="70" t="s">
        <v>103</v>
      </c>
      <c r="N700" s="70" t="s">
        <v>1451</v>
      </c>
      <c r="O700" s="38"/>
      <c r="P700" s="38" t="s">
        <v>143</v>
      </c>
      <c r="Q700" s="790">
        <v>39.759799999999998</v>
      </c>
      <c r="R700" s="687">
        <v>-86.173699999999997</v>
      </c>
      <c r="S700" s="38" t="s">
        <v>63</v>
      </c>
      <c r="T700" s="38"/>
      <c r="U700" s="38" t="s">
        <v>51</v>
      </c>
      <c r="V700" s="37"/>
      <c r="W700" s="39">
        <f>IF(AC700="Intr",0,G700*Definitions!$B$53)</f>
        <v>1680</v>
      </c>
      <c r="X700" s="39">
        <f>IF(AC700="Intr",0,G700*Definitions!$B$54)</f>
        <v>7839.9999999999991</v>
      </c>
      <c r="Y700" s="39">
        <f>IF(AC700="Intr",G700,G700*Definitions!$B$55)</f>
        <v>1680</v>
      </c>
      <c r="Z700" s="39" t="s">
        <v>966</v>
      </c>
      <c r="AA700" s="39" t="s">
        <v>965</v>
      </c>
      <c r="AB700" s="39"/>
      <c r="AC700" s="38"/>
      <c r="AD700" s="38"/>
      <c r="AE700" s="38"/>
      <c r="AF700" s="38"/>
      <c r="AG700" s="40"/>
      <c r="AH700" s="38"/>
    </row>
    <row r="701" spans="1:34" x14ac:dyDescent="0.2">
      <c r="A701" s="184">
        <v>45238</v>
      </c>
      <c r="B701" s="113" t="s">
        <v>118</v>
      </c>
      <c r="C701" s="113">
        <v>2023</v>
      </c>
      <c r="D701" s="113" t="s">
        <v>7</v>
      </c>
      <c r="E701" s="185">
        <v>-0.96</v>
      </c>
      <c r="F701" s="185" t="s">
        <v>32</v>
      </c>
      <c r="G701" s="186">
        <v>76800</v>
      </c>
      <c r="H701" s="187">
        <v>436</v>
      </c>
      <c r="I701" s="185" t="s">
        <v>81</v>
      </c>
      <c r="J701" s="185" t="s">
        <v>38</v>
      </c>
      <c r="K701" s="185">
        <v>0.64</v>
      </c>
      <c r="L701" s="185" t="s">
        <v>1466</v>
      </c>
      <c r="M701" s="490" t="s">
        <v>103</v>
      </c>
      <c r="N701" s="188" t="s">
        <v>1467</v>
      </c>
      <c r="O701" s="113"/>
      <c r="P701" s="113" t="s">
        <v>117</v>
      </c>
      <c r="Q701" s="818">
        <v>39.991</v>
      </c>
      <c r="R701" s="878">
        <v>-86.388000000000005</v>
      </c>
      <c r="S701" s="113" t="s">
        <v>61</v>
      </c>
      <c r="T701" s="113"/>
      <c r="U701" s="113" t="s">
        <v>51</v>
      </c>
      <c r="V701" s="184"/>
      <c r="W701" s="189">
        <f>IF(AC701="Intr",0,G701*Definitions!$B$53)</f>
        <v>11520</v>
      </c>
      <c r="X701" s="189">
        <f>IF(AC701="Intr",0,G701*Definitions!$B$54)</f>
        <v>53760</v>
      </c>
      <c r="Y701" s="189">
        <f>IF(AC701="Intr",G701,G701*Definitions!$B$55)</f>
        <v>11520</v>
      </c>
      <c r="Z701" s="189" t="s">
        <v>966</v>
      </c>
      <c r="AA701" s="189" t="s">
        <v>963</v>
      </c>
      <c r="AB701" s="189" t="s">
        <v>1268</v>
      </c>
      <c r="AC701" s="113"/>
      <c r="AD701" s="113"/>
      <c r="AE701" s="113"/>
      <c r="AF701" s="113"/>
      <c r="AG701" s="190"/>
      <c r="AH701" s="113"/>
    </row>
    <row r="702" spans="1:34" x14ac:dyDescent="0.2">
      <c r="A702" s="152">
        <v>45238</v>
      </c>
      <c r="B702" s="153" t="s">
        <v>118</v>
      </c>
      <c r="C702" s="153">
        <v>2023</v>
      </c>
      <c r="D702" s="153" t="s">
        <v>7</v>
      </c>
      <c r="E702" s="154">
        <v>-257</v>
      </c>
      <c r="F702" s="154" t="s">
        <v>33</v>
      </c>
      <c r="G702" s="155">
        <v>115650</v>
      </c>
      <c r="H702" s="156">
        <v>446</v>
      </c>
      <c r="I702" s="154" t="s">
        <v>80</v>
      </c>
      <c r="J702" s="154" t="s">
        <v>40</v>
      </c>
      <c r="K702" s="154">
        <v>413</v>
      </c>
      <c r="L702" s="154" t="s">
        <v>726</v>
      </c>
      <c r="M702" s="157" t="s">
        <v>1485</v>
      </c>
      <c r="N702" s="157" t="s">
        <v>1486</v>
      </c>
      <c r="O702" s="153"/>
      <c r="P702" s="413" t="s">
        <v>162</v>
      </c>
      <c r="Q702" s="793">
        <v>39.741576000000002</v>
      </c>
      <c r="R702" s="690">
        <v>-86.380613999999994</v>
      </c>
      <c r="S702" s="153" t="s">
        <v>63</v>
      </c>
      <c r="T702" s="153"/>
      <c r="U702" s="153" t="s">
        <v>51</v>
      </c>
      <c r="V702" s="152"/>
      <c r="W702" s="158">
        <f>IF(AC702="Intr",0,G702*Definitions!$B$53)</f>
        <v>17347.5</v>
      </c>
      <c r="X702" s="158">
        <f>IF(AC702="Intr",0,G702*Definitions!$B$54)</f>
        <v>80955</v>
      </c>
      <c r="Y702" s="158">
        <f>IF(AC702="Intr",G702,G702*Definitions!$B$55)</f>
        <v>17347.5</v>
      </c>
      <c r="Z702" s="158" t="s">
        <v>966</v>
      </c>
      <c r="AA702" s="158" t="s">
        <v>965</v>
      </c>
      <c r="AB702" s="158"/>
      <c r="AC702" s="153"/>
      <c r="AD702" s="153"/>
      <c r="AE702" s="153"/>
      <c r="AF702" s="153"/>
      <c r="AG702" s="159"/>
      <c r="AH702" s="153"/>
    </row>
    <row r="703" spans="1:34" x14ac:dyDescent="0.2">
      <c r="A703" s="152">
        <v>45238</v>
      </c>
      <c r="B703" s="153" t="s">
        <v>118</v>
      </c>
      <c r="C703" s="153">
        <v>2023</v>
      </c>
      <c r="D703" s="153" t="s">
        <v>7</v>
      </c>
      <c r="E703" s="154">
        <v>-6.5000000000000002E-2</v>
      </c>
      <c r="F703" s="154" t="s">
        <v>32</v>
      </c>
      <c r="G703" s="155">
        <v>5200</v>
      </c>
      <c r="H703" s="156">
        <v>446</v>
      </c>
      <c r="I703" s="154" t="s">
        <v>80</v>
      </c>
      <c r="J703" s="154" t="s">
        <v>37</v>
      </c>
      <c r="K703" s="154">
        <v>1.7999999999999999E-2</v>
      </c>
      <c r="L703" s="154" t="s">
        <v>726</v>
      </c>
      <c r="M703" s="157" t="s">
        <v>1485</v>
      </c>
      <c r="N703" s="157" t="s">
        <v>1486</v>
      </c>
      <c r="O703" s="153"/>
      <c r="P703" s="413" t="s">
        <v>162</v>
      </c>
      <c r="Q703" s="793">
        <v>39.741576000000002</v>
      </c>
      <c r="R703" s="690">
        <v>-86.380613999999994</v>
      </c>
      <c r="S703" s="153" t="s">
        <v>63</v>
      </c>
      <c r="T703" s="153"/>
      <c r="U703" s="153" t="s">
        <v>51</v>
      </c>
      <c r="V703" s="152"/>
      <c r="W703" s="158">
        <f>IF(AC703="Intr",0,G703*Definitions!$B$53)</f>
        <v>780</v>
      </c>
      <c r="X703" s="158">
        <f>IF(AC703="Intr",0,G703*Definitions!$B$54)</f>
        <v>3639.9999999999995</v>
      </c>
      <c r="Y703" s="158">
        <f>IF(AC703="Intr",G703,G703*Definitions!$B$55)</f>
        <v>780</v>
      </c>
      <c r="Z703" s="158" t="s">
        <v>966</v>
      </c>
      <c r="AA703" s="158" t="s">
        <v>965</v>
      </c>
      <c r="AB703" s="158"/>
      <c r="AC703" s="153"/>
      <c r="AD703" s="153"/>
      <c r="AE703" s="153"/>
      <c r="AF703" s="153"/>
      <c r="AG703" s="159"/>
      <c r="AH703" s="153"/>
    </row>
    <row r="704" spans="1:34" x14ac:dyDescent="0.2">
      <c r="A704" s="152">
        <v>45238</v>
      </c>
      <c r="B704" s="153" t="s">
        <v>118</v>
      </c>
      <c r="C704" s="153">
        <v>2023</v>
      </c>
      <c r="D704" s="153" t="s">
        <v>7</v>
      </c>
      <c r="E704" s="154">
        <v>-5.7999999999999996E-3</v>
      </c>
      <c r="F704" s="154" t="s">
        <v>32</v>
      </c>
      <c r="G704" s="155">
        <v>464</v>
      </c>
      <c r="H704" s="156">
        <v>446</v>
      </c>
      <c r="I704" s="154" t="s">
        <v>80</v>
      </c>
      <c r="J704" s="154" t="s">
        <v>38</v>
      </c>
      <c r="K704" s="154">
        <v>1.1999999999999999E-3</v>
      </c>
      <c r="L704" s="154" t="s">
        <v>726</v>
      </c>
      <c r="M704" s="157" t="s">
        <v>1485</v>
      </c>
      <c r="N704" s="157" t="s">
        <v>1486</v>
      </c>
      <c r="O704" s="153"/>
      <c r="P704" s="413" t="s">
        <v>162</v>
      </c>
      <c r="Q704" s="793">
        <v>39.741576000000002</v>
      </c>
      <c r="R704" s="690">
        <v>-86.380613999999994</v>
      </c>
      <c r="S704" s="153" t="s">
        <v>63</v>
      </c>
      <c r="T704" s="153"/>
      <c r="U704" s="153" t="s">
        <v>51</v>
      </c>
      <c r="V704" s="152"/>
      <c r="W704" s="158">
        <f>IF(AC704="Intr",0,G704*Definitions!$B$53)</f>
        <v>69.599999999999994</v>
      </c>
      <c r="X704" s="158">
        <f>IF(AC704="Intr",0,G704*Definitions!$B$54)</f>
        <v>324.79999999999995</v>
      </c>
      <c r="Y704" s="158">
        <f>IF(AC704="Intr",G704,G704*Definitions!$B$55)</f>
        <v>69.599999999999994</v>
      </c>
      <c r="Z704" s="158" t="s">
        <v>966</v>
      </c>
      <c r="AA704" s="158" t="s">
        <v>965</v>
      </c>
      <c r="AB704" s="158"/>
      <c r="AC704" s="153"/>
      <c r="AD704" s="153"/>
      <c r="AE704" s="153"/>
      <c r="AF704" s="153"/>
      <c r="AG704" s="159"/>
      <c r="AH704" s="153"/>
    </row>
    <row r="705" spans="1:34" x14ac:dyDescent="0.2">
      <c r="A705" s="88">
        <v>45238</v>
      </c>
      <c r="B705" s="89" t="s">
        <v>118</v>
      </c>
      <c r="C705" s="89">
        <v>2023</v>
      </c>
      <c r="D705" s="89" t="s">
        <v>8</v>
      </c>
      <c r="E705" s="90">
        <v>-0.14699999999999999</v>
      </c>
      <c r="F705" s="90" t="s">
        <v>32</v>
      </c>
      <c r="G705" s="91">
        <v>11760</v>
      </c>
      <c r="H705" s="92">
        <v>435</v>
      </c>
      <c r="I705" s="90" t="s">
        <v>80</v>
      </c>
      <c r="J705" s="90" t="s">
        <v>36</v>
      </c>
      <c r="K705" s="90">
        <v>0.14699999999999999</v>
      </c>
      <c r="L705" s="90" t="s">
        <v>726</v>
      </c>
      <c r="M705" s="470" t="s">
        <v>1463</v>
      </c>
      <c r="N705" s="93" t="s">
        <v>1464</v>
      </c>
      <c r="O705" s="89"/>
      <c r="P705" s="89" t="s">
        <v>176</v>
      </c>
      <c r="Q705" s="819">
        <v>39.293591999999997</v>
      </c>
      <c r="R705" s="684">
        <v>-84.878966000000005</v>
      </c>
      <c r="S705" s="89" t="s">
        <v>63</v>
      </c>
      <c r="T705" s="89"/>
      <c r="U705" s="89" t="s">
        <v>51</v>
      </c>
      <c r="V705" s="88"/>
      <c r="W705" s="95">
        <f>IF(AC705="Intr",0,G705*Definitions!$B$53)</f>
        <v>1764</v>
      </c>
      <c r="X705" s="95">
        <f>IF(AC705="Intr",0,G705*Definitions!$B$54)</f>
        <v>8232</v>
      </c>
      <c r="Y705" s="95">
        <f>IF(AC705="Intr",G705,G705*Definitions!$B$55)</f>
        <v>1764</v>
      </c>
      <c r="Z705" s="95" t="s">
        <v>966</v>
      </c>
      <c r="AA705" s="95" t="s">
        <v>965</v>
      </c>
      <c r="AB705" s="95"/>
      <c r="AC705" s="89"/>
      <c r="AD705" s="89"/>
      <c r="AE705" s="89"/>
      <c r="AF705" s="89"/>
      <c r="AG705" s="96"/>
      <c r="AH705" s="89" t="s">
        <v>714</v>
      </c>
    </row>
    <row r="706" spans="1:34" x14ac:dyDescent="0.2">
      <c r="A706" s="58">
        <v>45239</v>
      </c>
      <c r="B706" s="59" t="s">
        <v>118</v>
      </c>
      <c r="C706" s="59">
        <v>2023</v>
      </c>
      <c r="D706" s="59" t="s">
        <v>1</v>
      </c>
      <c r="E706" s="60">
        <v>-46.8</v>
      </c>
      <c r="F706" s="60" t="s">
        <v>33</v>
      </c>
      <c r="G706" s="61">
        <v>28080</v>
      </c>
      <c r="H706" s="62">
        <v>445</v>
      </c>
      <c r="I706" s="60" t="s">
        <v>80</v>
      </c>
      <c r="J706" s="60" t="s">
        <v>40</v>
      </c>
      <c r="K706" s="60">
        <v>39</v>
      </c>
      <c r="L706" s="60" t="s">
        <v>1483</v>
      </c>
      <c r="M706" s="63" t="s">
        <v>1586</v>
      </c>
      <c r="N706" s="63" t="s">
        <v>1484</v>
      </c>
      <c r="O706" s="59"/>
      <c r="P706" s="64" t="s">
        <v>385</v>
      </c>
      <c r="Q706" s="813">
        <v>41.593614000000002</v>
      </c>
      <c r="R706" s="707">
        <v>-87.053072999999998</v>
      </c>
      <c r="S706" s="59" t="s">
        <v>63</v>
      </c>
      <c r="T706" s="59"/>
      <c r="U706" s="59" t="s">
        <v>51</v>
      </c>
      <c r="V706" s="58"/>
      <c r="W706" s="65">
        <f>IF(AC706="Intr",0,G706*Definitions!$B$53)</f>
        <v>4212</v>
      </c>
      <c r="X706" s="65">
        <f>IF(AC706="Intr",0,G706*Definitions!$B$54)</f>
        <v>19656</v>
      </c>
      <c r="Y706" s="65">
        <f>IF(AC706="Intr",G706,G706*Definitions!$B$55)</f>
        <v>4212</v>
      </c>
      <c r="Z706" s="65" t="s">
        <v>967</v>
      </c>
      <c r="AA706" s="65" t="s">
        <v>965</v>
      </c>
      <c r="AB706" s="65"/>
      <c r="AC706" s="59"/>
      <c r="AD706" s="59"/>
      <c r="AE706" s="59"/>
      <c r="AF706" s="59"/>
      <c r="AG706" s="66"/>
      <c r="AH706" s="59"/>
    </row>
    <row r="707" spans="1:34" x14ac:dyDescent="0.2">
      <c r="A707" s="58">
        <v>45239</v>
      </c>
      <c r="B707" s="59" t="s">
        <v>118</v>
      </c>
      <c r="C707" s="59">
        <v>2023</v>
      </c>
      <c r="D707" s="59" t="s">
        <v>1</v>
      </c>
      <c r="E707" s="60">
        <v>-6</v>
      </c>
      <c r="F707" s="60" t="s">
        <v>33</v>
      </c>
      <c r="G707" s="61">
        <v>3600</v>
      </c>
      <c r="H707" s="62">
        <v>445</v>
      </c>
      <c r="I707" s="60" t="s">
        <v>80</v>
      </c>
      <c r="J707" s="60" t="s">
        <v>39</v>
      </c>
      <c r="K707" s="60">
        <v>5</v>
      </c>
      <c r="L707" s="60" t="s">
        <v>1483</v>
      </c>
      <c r="M707" s="63" t="s">
        <v>1586</v>
      </c>
      <c r="N707" s="63" t="s">
        <v>1484</v>
      </c>
      <c r="O707" s="59"/>
      <c r="P707" s="64" t="s">
        <v>385</v>
      </c>
      <c r="Q707" s="813">
        <v>41.593614000000002</v>
      </c>
      <c r="R707" s="707">
        <v>-87.053072999999998</v>
      </c>
      <c r="S707" s="59" t="s">
        <v>63</v>
      </c>
      <c r="T707" s="59"/>
      <c r="U707" s="59" t="s">
        <v>51</v>
      </c>
      <c r="V707" s="58"/>
      <c r="W707" s="65">
        <f>IF(AC707="Intr",0,G707*Definitions!$B$53)</f>
        <v>540</v>
      </c>
      <c r="X707" s="65">
        <f>IF(AC707="Intr",0,G707*Definitions!$B$54)</f>
        <v>2520</v>
      </c>
      <c r="Y707" s="65">
        <f>IF(AC707="Intr",G707,G707*Definitions!$B$55)</f>
        <v>540</v>
      </c>
      <c r="Z707" s="65" t="s">
        <v>967</v>
      </c>
      <c r="AA707" s="65" t="s">
        <v>965</v>
      </c>
      <c r="AB707" s="65"/>
      <c r="AC707" s="59"/>
      <c r="AD707" s="59"/>
      <c r="AE707" s="59"/>
      <c r="AF707" s="59"/>
      <c r="AG707" s="66"/>
      <c r="AH707" s="59"/>
    </row>
    <row r="708" spans="1:34" x14ac:dyDescent="0.2">
      <c r="A708" s="58">
        <v>45239</v>
      </c>
      <c r="B708" s="59" t="s">
        <v>118</v>
      </c>
      <c r="C708" s="59">
        <v>2023</v>
      </c>
      <c r="D708" s="59" t="s">
        <v>1</v>
      </c>
      <c r="E708" s="60">
        <v>-6.5280000000000005E-2</v>
      </c>
      <c r="F708" s="60" t="s">
        <v>32</v>
      </c>
      <c r="G708" s="61">
        <v>6202</v>
      </c>
      <c r="H708" s="62">
        <v>445</v>
      </c>
      <c r="I708" s="60" t="s">
        <v>80</v>
      </c>
      <c r="J708" s="60" t="s">
        <v>36</v>
      </c>
      <c r="K708" s="60">
        <v>2.7199999999999998E-2</v>
      </c>
      <c r="L708" s="60" t="s">
        <v>1483</v>
      </c>
      <c r="M708" s="63" t="s">
        <v>1586</v>
      </c>
      <c r="N708" s="63" t="s">
        <v>1484</v>
      </c>
      <c r="O708" s="59"/>
      <c r="P708" s="64" t="s">
        <v>385</v>
      </c>
      <c r="Q708" s="813">
        <v>41.593614000000002</v>
      </c>
      <c r="R708" s="707">
        <v>-87.053072999999998</v>
      </c>
      <c r="S708" s="59" t="s">
        <v>63</v>
      </c>
      <c r="T708" s="59"/>
      <c r="U708" s="59" t="s">
        <v>51</v>
      </c>
      <c r="V708" s="58"/>
      <c r="W708" s="65">
        <f>IF(AC708="Intr",0,G708*Definitions!$B$53)</f>
        <v>930.3</v>
      </c>
      <c r="X708" s="65">
        <f>IF(AC708="Intr",0,G708*Definitions!$B$54)</f>
        <v>4341.3999999999996</v>
      </c>
      <c r="Y708" s="65">
        <f>IF(AC708="Intr",G708,G708*Definitions!$B$55)</f>
        <v>930.3</v>
      </c>
      <c r="Z708" s="65" t="s">
        <v>967</v>
      </c>
      <c r="AA708" s="65" t="s">
        <v>965</v>
      </c>
      <c r="AB708" s="65"/>
      <c r="AC708" s="59"/>
      <c r="AD708" s="59"/>
      <c r="AE708" s="59"/>
      <c r="AF708" s="59"/>
      <c r="AG708" s="66"/>
      <c r="AH708" s="59"/>
    </row>
    <row r="709" spans="1:34" x14ac:dyDescent="0.2">
      <c r="A709" s="58">
        <v>45239</v>
      </c>
      <c r="B709" s="59" t="s">
        <v>118</v>
      </c>
      <c r="C709" s="59">
        <v>2023</v>
      </c>
      <c r="D709" s="59" t="s">
        <v>1</v>
      </c>
      <c r="E709" s="60">
        <v>-0.39410000000000001</v>
      </c>
      <c r="F709" s="60" t="s">
        <v>32</v>
      </c>
      <c r="G709" s="61">
        <v>37440</v>
      </c>
      <c r="H709" s="62">
        <v>445</v>
      </c>
      <c r="I709" s="60" t="s">
        <v>80</v>
      </c>
      <c r="J709" s="60" t="s">
        <v>38</v>
      </c>
      <c r="K709" s="60">
        <v>0.39410000000000001</v>
      </c>
      <c r="L709" s="60" t="s">
        <v>1483</v>
      </c>
      <c r="M709" s="63" t="s">
        <v>1586</v>
      </c>
      <c r="N709" s="63" t="s">
        <v>1484</v>
      </c>
      <c r="O709" s="59"/>
      <c r="P709" s="64" t="s">
        <v>385</v>
      </c>
      <c r="Q709" s="813">
        <v>41.593614000000002</v>
      </c>
      <c r="R709" s="707">
        <v>-87.053072999999998</v>
      </c>
      <c r="S709" s="59" t="s">
        <v>63</v>
      </c>
      <c r="T709" s="59"/>
      <c r="U709" s="59" t="s">
        <v>51</v>
      </c>
      <c r="V709" s="58"/>
      <c r="W709" s="65">
        <f>IF(AC709="Intr",0,G709*Definitions!$B$53)</f>
        <v>5616</v>
      </c>
      <c r="X709" s="65">
        <f>IF(AC709="Intr",0,G709*Definitions!$B$54)</f>
        <v>26208</v>
      </c>
      <c r="Y709" s="65">
        <f>IF(AC709="Intr",G709,G709*Definitions!$B$55)</f>
        <v>5616</v>
      </c>
      <c r="Z709" s="65" t="s">
        <v>967</v>
      </c>
      <c r="AA709" s="65" t="s">
        <v>965</v>
      </c>
      <c r="AB709" s="65"/>
      <c r="AC709" s="59"/>
      <c r="AD709" s="59"/>
      <c r="AE709" s="59"/>
      <c r="AF709" s="59"/>
      <c r="AG709" s="66"/>
      <c r="AH709" s="59"/>
    </row>
    <row r="710" spans="1:34" x14ac:dyDescent="0.2">
      <c r="A710" s="29">
        <v>45243</v>
      </c>
      <c r="B710" s="30" t="s">
        <v>118</v>
      </c>
      <c r="C710" s="30">
        <v>2023</v>
      </c>
      <c r="D710" s="30" t="s">
        <v>1</v>
      </c>
      <c r="E710" s="217">
        <v>-0.77</v>
      </c>
      <c r="F710" s="217" t="s">
        <v>32</v>
      </c>
      <c r="G710" s="218">
        <v>73150</v>
      </c>
      <c r="H710" s="219">
        <v>366</v>
      </c>
      <c r="I710" s="217" t="s">
        <v>81</v>
      </c>
      <c r="J710" s="217" t="s">
        <v>38</v>
      </c>
      <c r="K710" s="217">
        <v>0.38500000000000001</v>
      </c>
      <c r="L710" s="67" t="s">
        <v>1446</v>
      </c>
      <c r="M710" s="67" t="s">
        <v>103</v>
      </c>
      <c r="N710" s="67" t="s">
        <v>1447</v>
      </c>
      <c r="O710" s="30"/>
      <c r="P710" s="30" t="s">
        <v>227</v>
      </c>
      <c r="Q710" s="803">
        <v>41.549857000000003</v>
      </c>
      <c r="R710" s="700">
        <v>-87.520040100000003</v>
      </c>
      <c r="S710" s="30" t="s">
        <v>61</v>
      </c>
      <c r="T710" s="30"/>
      <c r="U710" s="30" t="s">
        <v>51</v>
      </c>
      <c r="V710" s="29"/>
      <c r="W710" s="31">
        <f>IF(AC710="Intr",0,G710*Definitions!$B$53)</f>
        <v>10972.5</v>
      </c>
      <c r="X710" s="31">
        <f>IF(AC710="Intr",0,G710*Definitions!$B$54)</f>
        <v>51205</v>
      </c>
      <c r="Y710" s="31">
        <f>IF(AC710="Intr",G710,G710*Definitions!$B$55)</f>
        <v>10972.5</v>
      </c>
      <c r="Z710" s="31" t="s">
        <v>967</v>
      </c>
      <c r="AA710" s="31" t="s">
        <v>963</v>
      </c>
      <c r="AB710" s="31" t="s">
        <v>971</v>
      </c>
      <c r="AC710" s="30"/>
      <c r="AD710" s="30"/>
      <c r="AE710" s="30"/>
      <c r="AF710" s="30"/>
      <c r="AG710" s="32"/>
      <c r="AH710" s="30"/>
    </row>
    <row r="711" spans="1:34" x14ac:dyDescent="0.2">
      <c r="A711" s="29">
        <v>45243</v>
      </c>
      <c r="B711" s="30" t="s">
        <v>118</v>
      </c>
      <c r="C711" s="30">
        <v>2023</v>
      </c>
      <c r="D711" s="30" t="s">
        <v>1</v>
      </c>
      <c r="E711" s="217">
        <v>-2.0710000000000002</v>
      </c>
      <c r="F711" s="217" t="s">
        <v>32</v>
      </c>
      <c r="G711" s="218">
        <v>196745</v>
      </c>
      <c r="H711" s="219">
        <v>366</v>
      </c>
      <c r="I711" s="217" t="s">
        <v>81</v>
      </c>
      <c r="J711" s="217" t="s">
        <v>36</v>
      </c>
      <c r="K711" s="217">
        <v>1.381</v>
      </c>
      <c r="L711" s="67" t="s">
        <v>1446</v>
      </c>
      <c r="M711" s="217" t="s">
        <v>103</v>
      </c>
      <c r="N711" s="67" t="s">
        <v>1447</v>
      </c>
      <c r="O711" s="30"/>
      <c r="P711" s="30" t="s">
        <v>227</v>
      </c>
      <c r="Q711" s="803">
        <v>41.549857000000003</v>
      </c>
      <c r="R711" s="700">
        <v>-87.520040100000003</v>
      </c>
      <c r="S711" s="30" t="s">
        <v>61</v>
      </c>
      <c r="T711" s="30"/>
      <c r="U711" s="30" t="s">
        <v>51</v>
      </c>
      <c r="V711" s="29"/>
      <c r="W711" s="31">
        <f>IF(AC711="Intr",0,G711*Definitions!$B$53)</f>
        <v>29511.75</v>
      </c>
      <c r="X711" s="31">
        <f>IF(AC711="Intr",0,G711*Definitions!$B$54)</f>
        <v>137721.5</v>
      </c>
      <c r="Y711" s="31">
        <f>IF(AC711="Intr",G711,G711*Definitions!$B$55)</f>
        <v>29511.75</v>
      </c>
      <c r="Z711" s="31" t="s">
        <v>967</v>
      </c>
      <c r="AA711" s="31" t="s">
        <v>963</v>
      </c>
      <c r="AB711" s="31" t="s">
        <v>970</v>
      </c>
      <c r="AC711" s="30"/>
      <c r="AD711" s="30"/>
      <c r="AE711" s="30"/>
      <c r="AF711" s="30"/>
      <c r="AG711" s="32"/>
      <c r="AH711" s="30"/>
    </row>
    <row r="712" spans="1:34" x14ac:dyDescent="0.2">
      <c r="A712" s="282">
        <v>45260</v>
      </c>
      <c r="B712" s="114" t="s">
        <v>118</v>
      </c>
      <c r="C712" s="114">
        <v>2023</v>
      </c>
      <c r="D712" s="114" t="s">
        <v>4</v>
      </c>
      <c r="E712" s="270">
        <v>-1.4339999999999999</v>
      </c>
      <c r="F712" s="270" t="s">
        <v>32</v>
      </c>
      <c r="G712" s="283">
        <v>114720</v>
      </c>
      <c r="H712" s="284">
        <v>440</v>
      </c>
      <c r="I712" s="270" t="s">
        <v>80</v>
      </c>
      <c r="J712" s="270" t="s">
        <v>38</v>
      </c>
      <c r="K712" s="270">
        <v>0.47799999999999998</v>
      </c>
      <c r="L712" s="270" t="s">
        <v>1474</v>
      </c>
      <c r="M712" s="270" t="s">
        <v>1475</v>
      </c>
      <c r="N712" s="285" t="s">
        <v>1476</v>
      </c>
      <c r="O712" s="114"/>
      <c r="P712" s="114" t="s">
        <v>255</v>
      </c>
      <c r="Q712" s="750">
        <v>41.168756999999999</v>
      </c>
      <c r="R712" s="635">
        <v>-85.095179999999999</v>
      </c>
      <c r="S712" s="114" t="s">
        <v>63</v>
      </c>
      <c r="T712" s="114"/>
      <c r="U712" s="114" t="s">
        <v>51</v>
      </c>
      <c r="V712" s="282"/>
      <c r="W712" s="286">
        <f>IF(AC712="Intr",0,G712*Definitions!$B$53)</f>
        <v>17208</v>
      </c>
      <c r="X712" s="286">
        <f>IF(AC712="Intr",0,G712*Definitions!$B$54)</f>
        <v>80304</v>
      </c>
      <c r="Y712" s="286">
        <f>IF(AC712="Intr",G712,G712*Definitions!$B$55)</f>
        <v>17208</v>
      </c>
      <c r="Z712" s="286" t="s">
        <v>964</v>
      </c>
      <c r="AA712" s="286" t="s">
        <v>965</v>
      </c>
      <c r="AB712" s="286"/>
      <c r="AC712" s="114"/>
      <c r="AD712" s="114"/>
      <c r="AE712" s="114"/>
      <c r="AF712" s="114"/>
      <c r="AG712" s="287"/>
      <c r="AH712" s="114" t="s">
        <v>1477</v>
      </c>
    </row>
    <row r="713" spans="1:34" x14ac:dyDescent="0.2">
      <c r="A713" s="282">
        <v>45260</v>
      </c>
      <c r="B713" s="114" t="s">
        <v>118</v>
      </c>
      <c r="C713" s="114">
        <v>2023</v>
      </c>
      <c r="D713" s="114" t="s">
        <v>4</v>
      </c>
      <c r="E713" s="270">
        <v>-6.0000000000000001E-3</v>
      </c>
      <c r="F713" s="270" t="s">
        <v>32</v>
      </c>
      <c r="G713" s="283">
        <v>480</v>
      </c>
      <c r="H713" s="284">
        <v>440</v>
      </c>
      <c r="I713" s="270" t="s">
        <v>80</v>
      </c>
      <c r="J713" s="270" t="s">
        <v>36</v>
      </c>
      <c r="K713" s="270">
        <v>3.0000000000000001E-3</v>
      </c>
      <c r="L713" s="270" t="s">
        <v>1474</v>
      </c>
      <c r="M713" s="270" t="s">
        <v>1475</v>
      </c>
      <c r="N713" s="285" t="s">
        <v>1476</v>
      </c>
      <c r="O713" s="114"/>
      <c r="P713" s="114" t="s">
        <v>255</v>
      </c>
      <c r="Q713" s="750">
        <v>41.168756999999999</v>
      </c>
      <c r="R713" s="635">
        <v>-85.095179999999999</v>
      </c>
      <c r="S713" s="114" t="s">
        <v>63</v>
      </c>
      <c r="T713" s="114"/>
      <c r="U713" s="114" t="s">
        <v>51</v>
      </c>
      <c r="V713" s="282"/>
      <c r="W713" s="286">
        <f>IF(AC713="Intr",0,G713*Definitions!$B$53)</f>
        <v>72</v>
      </c>
      <c r="X713" s="286">
        <f>IF(AC713="Intr",0,G713*Definitions!$B$54)</f>
        <v>336</v>
      </c>
      <c r="Y713" s="286">
        <f>IF(AC713="Intr",G713,G713*Definitions!$B$55)</f>
        <v>72</v>
      </c>
      <c r="Z713" s="286" t="s">
        <v>964</v>
      </c>
      <c r="AA713" s="286" t="s">
        <v>965</v>
      </c>
      <c r="AB713" s="286"/>
      <c r="AC713" s="114"/>
      <c r="AD713" s="114"/>
      <c r="AE713" s="114"/>
      <c r="AF713" s="114"/>
      <c r="AG713" s="287"/>
      <c r="AH713" s="114" t="s">
        <v>1477</v>
      </c>
    </row>
    <row r="714" spans="1:34" x14ac:dyDescent="0.2">
      <c r="A714" s="88">
        <v>45260</v>
      </c>
      <c r="B714" s="89" t="s">
        <v>118</v>
      </c>
      <c r="C714" s="89">
        <v>2023</v>
      </c>
      <c r="D714" s="89" t="s">
        <v>10</v>
      </c>
      <c r="E714" s="90">
        <v>-76</v>
      </c>
      <c r="F714" s="90" t="s">
        <v>33</v>
      </c>
      <c r="G714" s="91">
        <v>30400</v>
      </c>
      <c r="H714" s="92">
        <v>454</v>
      </c>
      <c r="I714" s="90" t="s">
        <v>80</v>
      </c>
      <c r="J714" s="90" t="s">
        <v>41</v>
      </c>
      <c r="K714" s="90">
        <v>127</v>
      </c>
      <c r="L714" s="90" t="s">
        <v>1367</v>
      </c>
      <c r="M714" s="93" t="s">
        <v>1488</v>
      </c>
      <c r="N714" s="93" t="s">
        <v>1429</v>
      </c>
      <c r="O714" s="89"/>
      <c r="P714" s="89" t="s">
        <v>84</v>
      </c>
      <c r="Q714" s="735">
        <v>38.46</v>
      </c>
      <c r="R714" s="649">
        <v>-85.831199999999995</v>
      </c>
      <c r="S714" s="89" t="s">
        <v>61</v>
      </c>
      <c r="T714" s="89"/>
      <c r="U714" s="89" t="s">
        <v>51</v>
      </c>
      <c r="V714" s="88"/>
      <c r="W714" s="95">
        <f>IF(AC714="Intr",0,G714*Definitions!$B$53)</f>
        <v>4560</v>
      </c>
      <c r="X714" s="95">
        <f>IF(AC714="Intr",0,G714*Definitions!$B$54)</f>
        <v>21280</v>
      </c>
      <c r="Y714" s="95">
        <f>IF(AC714="Intr",G714,G714*Definitions!$B$55)</f>
        <v>4560</v>
      </c>
      <c r="Z714" s="95" t="s">
        <v>966</v>
      </c>
      <c r="AA714" s="95" t="s">
        <v>965</v>
      </c>
      <c r="AB714" s="95"/>
      <c r="AC714" s="89"/>
      <c r="AD714" s="89"/>
      <c r="AE714" s="89"/>
      <c r="AF714" s="89"/>
      <c r="AG714" s="96"/>
      <c r="AH714" s="89"/>
    </row>
    <row r="715" spans="1:34" x14ac:dyDescent="0.2">
      <c r="A715" s="88">
        <v>45260</v>
      </c>
      <c r="B715" s="89" t="s">
        <v>118</v>
      </c>
      <c r="C715" s="89">
        <v>2023</v>
      </c>
      <c r="D715" s="89" t="s">
        <v>10</v>
      </c>
      <c r="E715" s="90">
        <v>-1.67</v>
      </c>
      <c r="F715" s="90" t="s">
        <v>32</v>
      </c>
      <c r="G715" s="91">
        <v>133600</v>
      </c>
      <c r="H715" s="92">
        <v>454</v>
      </c>
      <c r="I715" s="90" t="s">
        <v>80</v>
      </c>
      <c r="J715" s="90" t="s">
        <v>37</v>
      </c>
      <c r="K715" s="90">
        <v>0.623</v>
      </c>
      <c r="L715" s="90" t="s">
        <v>1367</v>
      </c>
      <c r="M715" s="93" t="s">
        <v>1488</v>
      </c>
      <c r="N715" s="93" t="s">
        <v>1429</v>
      </c>
      <c r="O715" s="89"/>
      <c r="P715" s="89" t="s">
        <v>84</v>
      </c>
      <c r="Q715" s="735">
        <v>38.46</v>
      </c>
      <c r="R715" s="649">
        <v>-85.831199999999995</v>
      </c>
      <c r="S715" s="89" t="s">
        <v>61</v>
      </c>
      <c r="T715" s="89"/>
      <c r="U715" s="89" t="s">
        <v>51</v>
      </c>
      <c r="V715" s="88"/>
      <c r="W715" s="95">
        <f>IF(AC715="Intr",0,G715*Definitions!$B$53)</f>
        <v>20040</v>
      </c>
      <c r="X715" s="95">
        <f>IF(AC715="Intr",0,G715*Definitions!$B$54)</f>
        <v>93520</v>
      </c>
      <c r="Y715" s="95">
        <f>IF(AC715="Intr",G715,G715*Definitions!$B$55)</f>
        <v>20040</v>
      </c>
      <c r="Z715" s="95" t="s">
        <v>966</v>
      </c>
      <c r="AA715" s="95" t="s">
        <v>965</v>
      </c>
      <c r="AB715" s="95"/>
      <c r="AC715" s="89"/>
      <c r="AD715" s="89"/>
      <c r="AE715" s="89"/>
      <c r="AF715" s="89"/>
      <c r="AG715" s="96"/>
      <c r="AH715" s="89"/>
    </row>
    <row r="716" spans="1:34" x14ac:dyDescent="0.2">
      <c r="A716" s="88">
        <v>45260</v>
      </c>
      <c r="B716" s="89" t="s">
        <v>118</v>
      </c>
      <c r="C716" s="89">
        <v>2023</v>
      </c>
      <c r="D716" s="89" t="s">
        <v>10</v>
      </c>
      <c r="E716" s="90">
        <v>-1.63</v>
      </c>
      <c r="F716" s="90" t="s">
        <v>32</v>
      </c>
      <c r="G716" s="91">
        <v>130400</v>
      </c>
      <c r="H716" s="92">
        <v>454</v>
      </c>
      <c r="I716" s="90" t="s">
        <v>80</v>
      </c>
      <c r="J716" s="90" t="s">
        <v>36</v>
      </c>
      <c r="K716" s="90">
        <v>0.77300000000000002</v>
      </c>
      <c r="L716" s="90" t="s">
        <v>1367</v>
      </c>
      <c r="M716" s="93" t="s">
        <v>1488</v>
      </c>
      <c r="N716" s="93" t="s">
        <v>1429</v>
      </c>
      <c r="O716" s="89"/>
      <c r="P716" s="89" t="s">
        <v>84</v>
      </c>
      <c r="Q716" s="735">
        <v>38.46</v>
      </c>
      <c r="R716" s="649">
        <v>-85.831199999999995</v>
      </c>
      <c r="S716" s="89" t="s">
        <v>61</v>
      </c>
      <c r="T716" s="89"/>
      <c r="U716" s="89" t="s">
        <v>51</v>
      </c>
      <c r="V716" s="88"/>
      <c r="W716" s="95">
        <f>IF(AC716="Intr",0,G716*Definitions!$B$53)</f>
        <v>19560</v>
      </c>
      <c r="X716" s="95">
        <f>IF(AC716="Intr",0,G716*Definitions!$B$54)</f>
        <v>91280</v>
      </c>
      <c r="Y716" s="95">
        <f>IF(AC716="Intr",G716,G716*Definitions!$B$55)</f>
        <v>19560</v>
      </c>
      <c r="Z716" s="95" t="s">
        <v>966</v>
      </c>
      <c r="AA716" s="95" t="s">
        <v>965</v>
      </c>
      <c r="AB716" s="95"/>
      <c r="AC716" s="89"/>
      <c r="AD716" s="89"/>
      <c r="AE716" s="89"/>
      <c r="AF716" s="89"/>
      <c r="AG716" s="96"/>
      <c r="AH716" s="89"/>
    </row>
    <row r="717" spans="1:34" x14ac:dyDescent="0.2">
      <c r="A717" s="160">
        <v>45260</v>
      </c>
      <c r="B717" s="161" t="s">
        <v>118</v>
      </c>
      <c r="C717" s="161">
        <v>2023</v>
      </c>
      <c r="D717" s="161" t="s">
        <v>8</v>
      </c>
      <c r="E717" s="162">
        <v>-0.248</v>
      </c>
      <c r="F717" s="162" t="s">
        <v>32</v>
      </c>
      <c r="G717" s="163">
        <v>19840</v>
      </c>
      <c r="H717" s="164">
        <v>456</v>
      </c>
      <c r="I717" s="162" t="s">
        <v>81</v>
      </c>
      <c r="J717" s="162" t="s">
        <v>38</v>
      </c>
      <c r="K717" s="162">
        <v>0.124</v>
      </c>
      <c r="L717" s="162" t="s">
        <v>1487</v>
      </c>
      <c r="M717" s="162" t="s">
        <v>103</v>
      </c>
      <c r="N717" s="165" t="s">
        <v>1489</v>
      </c>
      <c r="O717" s="161"/>
      <c r="P717" s="161" t="s">
        <v>107</v>
      </c>
      <c r="Q717" s="741">
        <v>39.652476</v>
      </c>
      <c r="R717" s="654">
        <v>-85.942843999999994</v>
      </c>
      <c r="S717" s="161" t="s">
        <v>63</v>
      </c>
      <c r="T717" s="161"/>
      <c r="U717" s="161" t="s">
        <v>51</v>
      </c>
      <c r="V717" s="160"/>
      <c r="W717" s="166">
        <f>IF(AC717="Intr",0,G717*Definitions!$B$53)</f>
        <v>2976</v>
      </c>
      <c r="X717" s="166">
        <f>IF(AC717="Intr",0,G717*Definitions!$B$54)</f>
        <v>13888</v>
      </c>
      <c r="Y717" s="166">
        <f>IF(AC717="Intr",G717,G717*Definitions!$B$55)</f>
        <v>2976</v>
      </c>
      <c r="Z717" s="166" t="s">
        <v>966</v>
      </c>
      <c r="AA717" s="166" t="s">
        <v>963</v>
      </c>
      <c r="AB717" s="166" t="s">
        <v>1245</v>
      </c>
      <c r="AC717" s="161"/>
      <c r="AD717" s="161"/>
      <c r="AE717" s="161"/>
      <c r="AF717" s="161"/>
      <c r="AG717" s="167"/>
      <c r="AH717" s="161"/>
    </row>
    <row r="718" spans="1:34" x14ac:dyDescent="0.2">
      <c r="A718" s="58">
        <v>45264</v>
      </c>
      <c r="B718" s="59" t="s">
        <v>134</v>
      </c>
      <c r="C718" s="59">
        <v>2023</v>
      </c>
      <c r="D718" s="59" t="s">
        <v>2</v>
      </c>
      <c r="E718" s="60">
        <v>-456.6</v>
      </c>
      <c r="F718" s="60" t="s">
        <v>33</v>
      </c>
      <c r="G718" s="61">
        <v>273960</v>
      </c>
      <c r="H718" s="62">
        <v>449</v>
      </c>
      <c r="I718" s="60" t="s">
        <v>80</v>
      </c>
      <c r="J718" s="60" t="s">
        <v>39</v>
      </c>
      <c r="K718" s="60">
        <v>456.6</v>
      </c>
      <c r="L718" s="63" t="s">
        <v>726</v>
      </c>
      <c r="M718" s="63" t="s">
        <v>1541</v>
      </c>
      <c r="N718" s="63" t="s">
        <v>1542</v>
      </c>
      <c r="O718" s="63"/>
      <c r="P718" s="64" t="s">
        <v>385</v>
      </c>
      <c r="Q718" s="745">
        <v>41.439463000000003</v>
      </c>
      <c r="R718" s="637">
        <v>-86.962601000000006</v>
      </c>
      <c r="S718" s="64" t="s">
        <v>63</v>
      </c>
      <c r="T718" s="59"/>
      <c r="U718" s="59" t="s">
        <v>51</v>
      </c>
      <c r="V718" s="58"/>
      <c r="W718" s="65">
        <f>IF(AC718="Intr",0,G718*[1]Data!$B$53)</f>
        <v>41094</v>
      </c>
      <c r="X718" s="65">
        <f>IF(AC718="Intr",0,G718*[1]Data!$B$54)</f>
        <v>191772</v>
      </c>
      <c r="Y718" s="65">
        <f>IF(AC718="Intr",G718,G718*[1]Data!$B$55)</f>
        <v>41094</v>
      </c>
      <c r="Z718" s="64" t="s">
        <v>967</v>
      </c>
      <c r="AA718" s="64" t="s">
        <v>965</v>
      </c>
      <c r="AB718" s="65"/>
      <c r="AC718" s="59"/>
      <c r="AD718" s="59"/>
      <c r="AE718" s="59"/>
      <c r="AF718" s="59"/>
      <c r="AG718" s="66"/>
      <c r="AH718" s="64" t="s">
        <v>1587</v>
      </c>
    </row>
    <row r="719" spans="1:34" x14ac:dyDescent="0.2">
      <c r="A719" s="58">
        <v>45264</v>
      </c>
      <c r="B719" s="59" t="s">
        <v>134</v>
      </c>
      <c r="C719" s="59">
        <v>2023</v>
      </c>
      <c r="D719" s="59" t="s">
        <v>2</v>
      </c>
      <c r="E719" s="60">
        <v>-0.312</v>
      </c>
      <c r="F719" s="60" t="s">
        <v>32</v>
      </c>
      <c r="G719" s="61">
        <v>29640</v>
      </c>
      <c r="H719" s="62">
        <v>449</v>
      </c>
      <c r="I719" s="60" t="s">
        <v>80</v>
      </c>
      <c r="J719" s="60" t="s">
        <v>36</v>
      </c>
      <c r="K719" s="60">
        <v>0.13</v>
      </c>
      <c r="L719" s="63" t="s">
        <v>726</v>
      </c>
      <c r="M719" s="63" t="s">
        <v>1541</v>
      </c>
      <c r="N719" s="63" t="s">
        <v>1542</v>
      </c>
      <c r="O719" s="63"/>
      <c r="P719" s="64" t="s">
        <v>385</v>
      </c>
      <c r="Q719" s="745">
        <v>41.439463000000003</v>
      </c>
      <c r="R719" s="637">
        <v>-86.962601000000006</v>
      </c>
      <c r="S719" s="64" t="s">
        <v>63</v>
      </c>
      <c r="T719" s="59"/>
      <c r="U719" s="59" t="s">
        <v>51</v>
      </c>
      <c r="V719" s="58"/>
      <c r="W719" s="65">
        <f>IF(AC719="Intr",0,G719*[1]Data!$B$53)</f>
        <v>4446</v>
      </c>
      <c r="X719" s="65">
        <f>IF(AC719="Intr",0,G719*[1]Data!$B$54)</f>
        <v>20748</v>
      </c>
      <c r="Y719" s="65">
        <f>IF(AC719="Intr",G719,G719*[1]Data!$B$55)</f>
        <v>4446</v>
      </c>
      <c r="Z719" s="64" t="s">
        <v>967</v>
      </c>
      <c r="AA719" s="64" t="s">
        <v>965</v>
      </c>
      <c r="AB719" s="65"/>
      <c r="AC719" s="59"/>
      <c r="AD719" s="59"/>
      <c r="AE719" s="59"/>
      <c r="AF719" s="59"/>
      <c r="AG719" s="66"/>
      <c r="AH719" s="64" t="s">
        <v>1588</v>
      </c>
    </row>
    <row r="720" spans="1:34" x14ac:dyDescent="0.2">
      <c r="A720" s="79">
        <v>45264</v>
      </c>
      <c r="B720" s="80" t="s">
        <v>134</v>
      </c>
      <c r="C720" s="80">
        <v>2023</v>
      </c>
      <c r="D720" s="80" t="s">
        <v>5</v>
      </c>
      <c r="E720" s="81">
        <v>-129</v>
      </c>
      <c r="F720" s="81" t="s">
        <v>33</v>
      </c>
      <c r="G720" s="82">
        <v>51600</v>
      </c>
      <c r="H720" s="83">
        <v>448</v>
      </c>
      <c r="I720" s="81" t="s">
        <v>80</v>
      </c>
      <c r="J720" s="81" t="s">
        <v>40</v>
      </c>
      <c r="K720" s="81">
        <v>129</v>
      </c>
      <c r="L720" s="84" t="s">
        <v>726</v>
      </c>
      <c r="M720" s="84" t="s">
        <v>1538</v>
      </c>
      <c r="N720" s="84" t="s">
        <v>1539</v>
      </c>
      <c r="O720" s="84"/>
      <c r="P720" s="85" t="s">
        <v>767</v>
      </c>
      <c r="Q720" s="807">
        <v>40.741500000000002</v>
      </c>
      <c r="R720" s="704">
        <v>-85.565899999999999</v>
      </c>
      <c r="S720" s="85" t="s">
        <v>63</v>
      </c>
      <c r="T720" s="80"/>
      <c r="U720" s="80" t="s">
        <v>51</v>
      </c>
      <c r="V720" s="79"/>
      <c r="W720" s="86">
        <f>IF(AC720="Intr",0,G720*[1]Data!$B$53)</f>
        <v>7740</v>
      </c>
      <c r="X720" s="86">
        <f>IF(AC720="Intr",0,G720*[1]Data!$B$54)</f>
        <v>36120</v>
      </c>
      <c r="Y720" s="86">
        <f>IF(AC720="Intr",G720,G720*[1]Data!$B$55)</f>
        <v>7740</v>
      </c>
      <c r="Z720" s="85" t="s">
        <v>966</v>
      </c>
      <c r="AA720" s="85" t="s">
        <v>965</v>
      </c>
      <c r="AB720" s="86"/>
      <c r="AC720" s="80"/>
      <c r="AD720" s="80"/>
      <c r="AE720" s="80"/>
      <c r="AF720" s="80"/>
      <c r="AG720" s="87"/>
      <c r="AH720" s="85" t="s">
        <v>1540</v>
      </c>
    </row>
    <row r="721" spans="1:256" x14ac:dyDescent="0.2">
      <c r="A721" s="88">
        <v>45264</v>
      </c>
      <c r="B721" s="89" t="s">
        <v>134</v>
      </c>
      <c r="C721" s="89">
        <v>2023</v>
      </c>
      <c r="D721" s="89" t="s">
        <v>7</v>
      </c>
      <c r="E721" s="90">
        <v>-0.74</v>
      </c>
      <c r="F721" s="90" t="s">
        <v>32</v>
      </c>
      <c r="G721" s="91">
        <v>59200</v>
      </c>
      <c r="H721" s="92">
        <v>459</v>
      </c>
      <c r="I721" s="90" t="s">
        <v>81</v>
      </c>
      <c r="J721" s="90" t="s">
        <v>36</v>
      </c>
      <c r="K721" s="90">
        <v>0.49</v>
      </c>
      <c r="L721" s="93" t="s">
        <v>1543</v>
      </c>
      <c r="M721" s="93" t="s">
        <v>103</v>
      </c>
      <c r="N721" s="93" t="s">
        <v>1544</v>
      </c>
      <c r="O721" s="93"/>
      <c r="P721" s="94" t="s">
        <v>137</v>
      </c>
      <c r="Q721" s="792">
        <v>39.997776999999999</v>
      </c>
      <c r="R721" s="689">
        <v>-85.956790999999996</v>
      </c>
      <c r="S721" s="94" t="s">
        <v>61</v>
      </c>
      <c r="T721" s="89"/>
      <c r="U721" s="89" t="s">
        <v>51</v>
      </c>
      <c r="V721" s="88"/>
      <c r="W721" s="95">
        <f>IF(AC721="Intr",0,G721*[1]Data!$B$53)</f>
        <v>8880</v>
      </c>
      <c r="X721" s="95">
        <f>IF(AC721="Intr",0,G721*[1]Data!$B$54)</f>
        <v>41440</v>
      </c>
      <c r="Y721" s="95">
        <f>IF(AC721="Intr",G721,G721*[1]Data!$B$55)</f>
        <v>8880</v>
      </c>
      <c r="Z721" s="94" t="s">
        <v>966</v>
      </c>
      <c r="AA721" s="94" t="s">
        <v>962</v>
      </c>
      <c r="AB721" s="95" t="s">
        <v>970</v>
      </c>
      <c r="AC721" s="89"/>
      <c r="AD721" s="89"/>
      <c r="AE721" s="89"/>
      <c r="AF721" s="89"/>
      <c r="AG721" s="96"/>
      <c r="AH721" s="89"/>
    </row>
    <row r="722" spans="1:256" x14ac:dyDescent="0.2">
      <c r="A722" s="288">
        <v>45275</v>
      </c>
      <c r="B722" s="289" t="s">
        <v>134</v>
      </c>
      <c r="C722" s="289">
        <v>2023</v>
      </c>
      <c r="D722" s="289" t="s">
        <v>1</v>
      </c>
      <c r="E722" s="290">
        <v>-88</v>
      </c>
      <c r="F722" s="290" t="s">
        <v>33</v>
      </c>
      <c r="G722" s="291">
        <v>52800</v>
      </c>
      <c r="H722" s="290">
        <v>450</v>
      </c>
      <c r="I722" s="290" t="s">
        <v>80</v>
      </c>
      <c r="J722" s="290" t="s">
        <v>731</v>
      </c>
      <c r="K722" s="290">
        <v>88</v>
      </c>
      <c r="L722" s="290" t="s">
        <v>726</v>
      </c>
      <c r="M722" s="290" t="s">
        <v>1501</v>
      </c>
      <c r="N722" s="290" t="s">
        <v>1502</v>
      </c>
      <c r="O722" s="290"/>
      <c r="P722" s="292" t="s">
        <v>227</v>
      </c>
      <c r="Q722" s="767">
        <v>41.499713</v>
      </c>
      <c r="R722" s="665">
        <v>-87.258708999999996</v>
      </c>
      <c r="S722" s="292" t="s">
        <v>63</v>
      </c>
      <c r="T722" s="289"/>
      <c r="U722" s="289" t="s">
        <v>51</v>
      </c>
      <c r="V722" s="288"/>
      <c r="W722" s="293">
        <f>IF(AC722="Intr",0,G722*Definitions!$B$53)</f>
        <v>7920</v>
      </c>
      <c r="X722" s="293">
        <f>IF(AC722="Intr",0,G722*Definitions!$B$54)</f>
        <v>36960</v>
      </c>
      <c r="Y722" s="293">
        <f>IF(AC722="Intr",G722,G722*Definitions!$B$55)</f>
        <v>7920</v>
      </c>
      <c r="Z722" s="292" t="s">
        <v>967</v>
      </c>
      <c r="AA722" s="292" t="s">
        <v>965</v>
      </c>
      <c r="AB722" s="293"/>
      <c r="AC722" s="289"/>
      <c r="AD722" s="289"/>
      <c r="AE722" s="289"/>
      <c r="AF722" s="289"/>
      <c r="AG722" s="294"/>
      <c r="AH722" s="292">
        <v>1703043</v>
      </c>
    </row>
    <row r="723" spans="1:256" x14ac:dyDescent="0.2">
      <c r="A723" s="288">
        <v>45275</v>
      </c>
      <c r="B723" s="289" t="s">
        <v>134</v>
      </c>
      <c r="C723" s="289">
        <v>2023</v>
      </c>
      <c r="D723" s="289" t="s">
        <v>1</v>
      </c>
      <c r="E723" s="290">
        <v>-0.16600000000000001</v>
      </c>
      <c r="F723" s="290" t="s">
        <v>32</v>
      </c>
      <c r="G723" s="291">
        <v>15770</v>
      </c>
      <c r="H723" s="290">
        <v>450</v>
      </c>
      <c r="I723" s="290" t="s">
        <v>80</v>
      </c>
      <c r="J723" s="290" t="s">
        <v>36</v>
      </c>
      <c r="K723" s="290">
        <v>8.2799999999999999E-2</v>
      </c>
      <c r="L723" s="290" t="s">
        <v>726</v>
      </c>
      <c r="M723" s="290" t="s">
        <v>1501</v>
      </c>
      <c r="N723" s="290" t="s">
        <v>1502</v>
      </c>
      <c r="O723" s="290"/>
      <c r="P723" s="292" t="s">
        <v>227</v>
      </c>
      <c r="Q723" s="767">
        <v>41.499713</v>
      </c>
      <c r="R723" s="665">
        <v>-87.258708999999996</v>
      </c>
      <c r="S723" s="292" t="s">
        <v>63</v>
      </c>
      <c r="T723" s="289"/>
      <c r="U723" s="289" t="s">
        <v>51</v>
      </c>
      <c r="V723" s="288"/>
      <c r="W723" s="293">
        <f>IF(AC723="Intr",0,G723*Definitions!$B$53)</f>
        <v>2365.5</v>
      </c>
      <c r="X723" s="293">
        <f>IF(AC723="Intr",0,G723*Definitions!$B$54)</f>
        <v>11039</v>
      </c>
      <c r="Y723" s="293">
        <f>IF(AC723="Intr",G723,G723*Definitions!$B$55)</f>
        <v>2365.5</v>
      </c>
      <c r="Z723" s="292" t="s">
        <v>967</v>
      </c>
      <c r="AA723" s="292" t="s">
        <v>965</v>
      </c>
      <c r="AB723" s="293"/>
      <c r="AC723" s="289"/>
      <c r="AD723" s="289"/>
      <c r="AE723" s="289"/>
      <c r="AF723" s="289"/>
      <c r="AG723" s="294"/>
      <c r="AH723" s="292">
        <v>1703043</v>
      </c>
    </row>
    <row r="724" spans="1:256" x14ac:dyDescent="0.2">
      <c r="A724" s="29">
        <v>45275</v>
      </c>
      <c r="B724" s="30" t="s">
        <v>134</v>
      </c>
      <c r="C724" s="30">
        <v>2023</v>
      </c>
      <c r="D724" s="30" t="s">
        <v>3</v>
      </c>
      <c r="E724" s="67">
        <v>-313</v>
      </c>
      <c r="F724" s="67" t="s">
        <v>33</v>
      </c>
      <c r="G724" s="68">
        <v>187800</v>
      </c>
      <c r="H724" s="67">
        <v>461</v>
      </c>
      <c r="I724" s="67" t="s">
        <v>80</v>
      </c>
      <c r="J724" s="67" t="s">
        <v>40</v>
      </c>
      <c r="K724" s="67">
        <v>261</v>
      </c>
      <c r="L724" s="67" t="s">
        <v>726</v>
      </c>
      <c r="M724" s="67" t="s">
        <v>1518</v>
      </c>
      <c r="N724" s="67" t="s">
        <v>1519</v>
      </c>
      <c r="O724" s="67"/>
      <c r="P724" s="69" t="s">
        <v>113</v>
      </c>
      <c r="Q724" s="803">
        <v>41.425072999999998</v>
      </c>
      <c r="R724" s="700">
        <v>-85.268182999999993</v>
      </c>
      <c r="S724" s="69" t="s">
        <v>63</v>
      </c>
      <c r="T724" s="30"/>
      <c r="U724" s="30" t="s">
        <v>51</v>
      </c>
      <c r="V724" s="29"/>
      <c r="W724" s="31">
        <f>IF(AC724="Intr",0,G724*[1]Data!$B$53)</f>
        <v>28170</v>
      </c>
      <c r="X724" s="31">
        <f>IF(AC724="Intr",0,G724*[1]Data!$B$54)</f>
        <v>131460</v>
      </c>
      <c r="Y724" s="31">
        <f>IF(AC724="Intr",G724,G724*[1]Data!$B$55)</f>
        <v>28170</v>
      </c>
      <c r="Z724" s="69" t="s">
        <v>964</v>
      </c>
      <c r="AA724" s="69" t="s">
        <v>965</v>
      </c>
      <c r="AB724" s="31"/>
      <c r="AC724" s="30"/>
      <c r="AD724" s="30"/>
      <c r="AE724" s="30"/>
      <c r="AF724" s="30"/>
      <c r="AG724" s="32"/>
      <c r="AH724" s="69" t="s">
        <v>1520</v>
      </c>
    </row>
    <row r="725" spans="1:256" x14ac:dyDescent="0.2">
      <c r="A725" s="29">
        <v>45275</v>
      </c>
      <c r="B725" s="30" t="s">
        <v>134</v>
      </c>
      <c r="C725" s="30">
        <v>2023</v>
      </c>
      <c r="D725" s="30" t="s">
        <v>3</v>
      </c>
      <c r="E725" s="67">
        <v>-0.7</v>
      </c>
      <c r="F725" s="67" t="s">
        <v>32</v>
      </c>
      <c r="G725" s="68">
        <v>84000</v>
      </c>
      <c r="H725" s="67">
        <v>461</v>
      </c>
      <c r="I725" s="67" t="s">
        <v>80</v>
      </c>
      <c r="J725" s="67" t="s">
        <v>36</v>
      </c>
      <c r="K725" s="67">
        <v>0.28999999999999998</v>
      </c>
      <c r="L725" s="67" t="s">
        <v>726</v>
      </c>
      <c r="M725" s="67" t="s">
        <v>1518</v>
      </c>
      <c r="N725" s="67" t="s">
        <v>1519</v>
      </c>
      <c r="O725" s="67"/>
      <c r="P725" s="69" t="s">
        <v>113</v>
      </c>
      <c r="Q725" s="803">
        <v>41.425072999999998</v>
      </c>
      <c r="R725" s="700">
        <v>-85.268182999999993</v>
      </c>
      <c r="S725" s="69" t="s">
        <v>63</v>
      </c>
      <c r="T725" s="30"/>
      <c r="U725" s="30" t="s">
        <v>51</v>
      </c>
      <c r="V725" s="29"/>
      <c r="W725" s="31">
        <f>IF(AC725="Intr",0,G725*[1]Data!$B$53)</f>
        <v>12600</v>
      </c>
      <c r="X725" s="31">
        <f>IF(AC725="Intr",0,G725*[1]Data!$B$54)</f>
        <v>58799.999999999993</v>
      </c>
      <c r="Y725" s="31">
        <f>IF(AC725="Intr",G725,G725*[1]Data!$B$55)</f>
        <v>12600</v>
      </c>
      <c r="Z725" s="69" t="s">
        <v>964</v>
      </c>
      <c r="AA725" s="69" t="s">
        <v>965</v>
      </c>
      <c r="AB725" s="31"/>
      <c r="AC725" s="30"/>
      <c r="AD725" s="30"/>
      <c r="AE725" s="30"/>
      <c r="AF725" s="30"/>
      <c r="AG725" s="32"/>
      <c r="AH725" s="69" t="s">
        <v>1520</v>
      </c>
    </row>
    <row r="726" spans="1:256" x14ac:dyDescent="0.2">
      <c r="A726" s="37">
        <v>45275</v>
      </c>
      <c r="B726" s="38" t="s">
        <v>134</v>
      </c>
      <c r="C726" s="38">
        <v>2023</v>
      </c>
      <c r="D726" s="38" t="s">
        <v>10</v>
      </c>
      <c r="E726" s="70">
        <v>-104</v>
      </c>
      <c r="F726" s="70" t="s">
        <v>33</v>
      </c>
      <c r="G726" s="71">
        <v>41600</v>
      </c>
      <c r="H726" s="70">
        <v>455</v>
      </c>
      <c r="I726" s="70" t="s">
        <v>80</v>
      </c>
      <c r="J726" s="70" t="s">
        <v>41</v>
      </c>
      <c r="K726" s="70">
        <v>890</v>
      </c>
      <c r="L726" s="70" t="s">
        <v>726</v>
      </c>
      <c r="M726" s="70" t="s">
        <v>1503</v>
      </c>
      <c r="N726" s="70" t="s">
        <v>1504</v>
      </c>
      <c r="O726" s="70"/>
      <c r="P726" s="72" t="s">
        <v>1505</v>
      </c>
      <c r="Q726" s="790">
        <v>39.107306000000001</v>
      </c>
      <c r="R726" s="687">
        <v>-85.047321999999994</v>
      </c>
      <c r="S726" s="72" t="s">
        <v>63</v>
      </c>
      <c r="T726" s="38"/>
      <c r="U726" s="38" t="s">
        <v>51</v>
      </c>
      <c r="V726" s="37"/>
      <c r="W726" s="39">
        <f>IF(AC726="Intr",0,G726*Definitions!$B$53)</f>
        <v>6240</v>
      </c>
      <c r="X726" s="39">
        <f>IF(AC726="Intr",0,G726*Definitions!$B$54)</f>
        <v>29119.999999999996</v>
      </c>
      <c r="Y726" s="39">
        <f>IF(AC726="Intr",G726,G726*Definitions!$B$55)</f>
        <v>6240</v>
      </c>
      <c r="Z726" s="72" t="s">
        <v>966</v>
      </c>
      <c r="AA726" s="72" t="s">
        <v>965</v>
      </c>
      <c r="AB726" s="39"/>
      <c r="AC726" s="38"/>
      <c r="AD726" s="38"/>
      <c r="AE726" s="38"/>
      <c r="AF726" s="38"/>
      <c r="AG726" s="40"/>
      <c r="AH726" s="72" t="s">
        <v>1506</v>
      </c>
    </row>
    <row r="727" spans="1:256" x14ac:dyDescent="0.2">
      <c r="A727" s="168">
        <v>45275</v>
      </c>
      <c r="B727" s="169" t="s">
        <v>134</v>
      </c>
      <c r="C727" s="169">
        <v>2023</v>
      </c>
      <c r="D727" s="169" t="s">
        <v>5</v>
      </c>
      <c r="E727" s="173">
        <v>-0.04</v>
      </c>
      <c r="F727" s="173" t="s">
        <v>32</v>
      </c>
      <c r="G727" s="436">
        <f>-(E727*80000)</f>
        <v>3200</v>
      </c>
      <c r="H727" s="173">
        <v>451</v>
      </c>
      <c r="I727" s="173" t="s">
        <v>80</v>
      </c>
      <c r="J727" s="173" t="s">
        <v>38</v>
      </c>
      <c r="K727" s="173">
        <v>0.01</v>
      </c>
      <c r="L727" s="173" t="s">
        <v>726</v>
      </c>
      <c r="M727" s="173" t="s">
        <v>1490</v>
      </c>
      <c r="N727" s="173" t="s">
        <v>1491</v>
      </c>
      <c r="O727" s="173"/>
      <c r="P727" s="437" t="s">
        <v>1492</v>
      </c>
      <c r="Q727" s="820">
        <v>40.614331</v>
      </c>
      <c r="R727" s="708">
        <v>-85.693918999999994</v>
      </c>
      <c r="S727" s="437" t="s">
        <v>63</v>
      </c>
      <c r="T727" s="169"/>
      <c r="U727" s="169" t="s">
        <v>51</v>
      </c>
      <c r="V727" s="168"/>
      <c r="W727" s="174">
        <f>IF(AC727="Intr",0,G727*Definitions!$B$53)</f>
        <v>480</v>
      </c>
      <c r="X727" s="174">
        <f>IF(AC727="Intr",0,G727*Definitions!$B$54)</f>
        <v>2240</v>
      </c>
      <c r="Y727" s="174">
        <f>IF(AC727="Intr",G727,G727*Definitions!$B$55)</f>
        <v>480</v>
      </c>
      <c r="Z727" s="437" t="s">
        <v>966</v>
      </c>
      <c r="AA727" s="437" t="s">
        <v>965</v>
      </c>
      <c r="AB727" s="174"/>
      <c r="AC727" s="169"/>
      <c r="AD727" s="169"/>
      <c r="AE727" s="169"/>
      <c r="AF727" s="169"/>
      <c r="AG727" s="175"/>
      <c r="AH727" s="437" t="s">
        <v>1493</v>
      </c>
    </row>
    <row r="728" spans="1:256" x14ac:dyDescent="0.2">
      <c r="A728" s="168">
        <v>45275</v>
      </c>
      <c r="B728" s="169" t="s">
        <v>134</v>
      </c>
      <c r="C728" s="169">
        <v>2023</v>
      </c>
      <c r="D728" s="169" t="s">
        <v>5</v>
      </c>
      <c r="E728" s="173">
        <v>-178</v>
      </c>
      <c r="F728" s="173" t="s">
        <v>33</v>
      </c>
      <c r="G728" s="436">
        <f>-(E728*400)</f>
        <v>71200</v>
      </c>
      <c r="H728" s="173">
        <v>451</v>
      </c>
      <c r="I728" s="173" t="s">
        <v>80</v>
      </c>
      <c r="J728" s="173" t="s">
        <v>40</v>
      </c>
      <c r="K728" s="173">
        <v>175</v>
      </c>
      <c r="L728" s="173" t="s">
        <v>726</v>
      </c>
      <c r="M728" s="173" t="s">
        <v>1490</v>
      </c>
      <c r="N728" s="173" t="s">
        <v>1491</v>
      </c>
      <c r="O728" s="173"/>
      <c r="P728" s="437" t="s">
        <v>1492</v>
      </c>
      <c r="Q728" s="820">
        <v>40.614331</v>
      </c>
      <c r="R728" s="879">
        <v>-85.693918999999994</v>
      </c>
      <c r="S728" s="437" t="s">
        <v>63</v>
      </c>
      <c r="T728" s="169"/>
      <c r="U728" s="169" t="s">
        <v>51</v>
      </c>
      <c r="V728" s="168"/>
      <c r="W728" s="174">
        <f>IF(AC728="Intr",0,G728*Definitions!$B$53)</f>
        <v>10680</v>
      </c>
      <c r="X728" s="174">
        <f>IF(AC728="Intr",0,G728*Definitions!$B$54)</f>
        <v>49840</v>
      </c>
      <c r="Y728" s="174">
        <f>IF(AC728="Intr",G728,G728*Definitions!$B$55)</f>
        <v>10680</v>
      </c>
      <c r="Z728" s="437" t="s">
        <v>966</v>
      </c>
      <c r="AA728" s="437" t="s">
        <v>965</v>
      </c>
      <c r="AB728" s="174"/>
      <c r="AC728" s="169"/>
      <c r="AD728" s="169"/>
      <c r="AE728" s="169"/>
      <c r="AF728" s="169"/>
      <c r="AG728" s="175"/>
      <c r="AH728" s="437" t="s">
        <v>1493</v>
      </c>
    </row>
    <row r="729" spans="1:256" s="396" customFormat="1" x14ac:dyDescent="0.2">
      <c r="A729" s="367">
        <v>45275</v>
      </c>
      <c r="B729" s="368" t="s">
        <v>134</v>
      </c>
      <c r="C729" s="368">
        <v>2023</v>
      </c>
      <c r="D729" s="368" t="s">
        <v>8</v>
      </c>
      <c r="E729" s="526">
        <v>-4</v>
      </c>
      <c r="F729" s="526" t="s">
        <v>33</v>
      </c>
      <c r="G729" s="527">
        <v>1600</v>
      </c>
      <c r="H729" s="526">
        <v>447</v>
      </c>
      <c r="I729" s="526" t="s">
        <v>80</v>
      </c>
      <c r="J729" s="526" t="s">
        <v>738</v>
      </c>
      <c r="K729" s="526">
        <v>4</v>
      </c>
      <c r="L729" s="526" t="s">
        <v>726</v>
      </c>
      <c r="M729" s="526" t="s">
        <v>1498</v>
      </c>
      <c r="N729" s="526" t="s">
        <v>1499</v>
      </c>
      <c r="O729" s="526"/>
      <c r="P729" s="427" t="s">
        <v>176</v>
      </c>
      <c r="Q729" s="821" t="s">
        <v>1500</v>
      </c>
      <c r="R729" s="709">
        <v>-84.903295</v>
      </c>
      <c r="S729" s="427" t="s">
        <v>63</v>
      </c>
      <c r="T729" s="368"/>
      <c r="U729" s="368" t="s">
        <v>51</v>
      </c>
      <c r="V729" s="367"/>
      <c r="W729" s="374">
        <f>IF(AC729="Intr",0,G729*Definitions!$B$53)</f>
        <v>240</v>
      </c>
      <c r="X729" s="374">
        <f>IF(AC729="Intr",0,G729*Definitions!$B$54)</f>
        <v>1120</v>
      </c>
      <c r="Y729" s="374">
        <f>IF(AC729="Intr",G729,G729*Definitions!$B$55)</f>
        <v>240</v>
      </c>
      <c r="Z729" s="427" t="s">
        <v>966</v>
      </c>
      <c r="AA729" s="427" t="s">
        <v>965</v>
      </c>
      <c r="AB729" s="374"/>
      <c r="AC729" s="368"/>
      <c r="AD729" s="368"/>
      <c r="AE729" s="368"/>
      <c r="AF729" s="368"/>
      <c r="AG729" s="375"/>
      <c r="AH729" s="427">
        <v>1600539</v>
      </c>
      <c r="AI729" s="105"/>
      <c r="AJ729" s="105"/>
      <c r="AK729" s="105"/>
      <c r="AL729" s="105"/>
      <c r="AM729" s="105"/>
      <c r="AN729" s="105"/>
      <c r="AO729" s="105"/>
      <c r="AP729" s="105"/>
      <c r="AQ729" s="105"/>
      <c r="AR729" s="105"/>
      <c r="AS729" s="105"/>
      <c r="AT729" s="105"/>
      <c r="AU729" s="105"/>
      <c r="AV729" s="105"/>
      <c r="AW729" s="105"/>
      <c r="AX729" s="105"/>
      <c r="AY729" s="105"/>
      <c r="AZ729" s="105"/>
      <c r="BA729" s="105"/>
      <c r="BB729" s="105"/>
      <c r="BC729" s="105"/>
      <c r="BD729" s="105"/>
      <c r="BE729" s="105"/>
      <c r="BF729" s="105"/>
      <c r="BG729" s="105"/>
      <c r="BH729" s="105"/>
      <c r="BI729" s="105"/>
      <c r="BJ729" s="105"/>
      <c r="BK729" s="105"/>
      <c r="BL729" s="105"/>
      <c r="BM729" s="105"/>
      <c r="BN729" s="105"/>
      <c r="BO729" s="105"/>
      <c r="BP729" s="105"/>
      <c r="BQ729" s="105"/>
      <c r="BR729" s="105"/>
      <c r="BS729" s="105"/>
      <c r="BT729" s="105"/>
      <c r="BU729" s="105"/>
      <c r="BV729" s="105"/>
      <c r="BW729" s="105"/>
      <c r="BX729" s="105"/>
      <c r="BY729" s="105"/>
      <c r="BZ729" s="105"/>
      <c r="CA729" s="105"/>
      <c r="CB729" s="105"/>
      <c r="CC729" s="105"/>
      <c r="CD729" s="105"/>
      <c r="CE729" s="105"/>
      <c r="CF729" s="105"/>
      <c r="CG729" s="105"/>
      <c r="CH729" s="105"/>
      <c r="CI729" s="105"/>
      <c r="CJ729" s="105"/>
      <c r="CK729" s="105"/>
      <c r="CL729" s="105"/>
      <c r="CM729" s="105"/>
      <c r="CN729" s="105"/>
      <c r="CO729" s="105"/>
      <c r="CP729" s="105"/>
      <c r="CQ729" s="105"/>
      <c r="CR729" s="105"/>
      <c r="CS729" s="105"/>
      <c r="CT729" s="105"/>
      <c r="CU729" s="105"/>
      <c r="CV729" s="105"/>
      <c r="CW729" s="105"/>
      <c r="CX729" s="105"/>
      <c r="CY729" s="105"/>
      <c r="CZ729" s="105"/>
      <c r="DA729" s="105"/>
      <c r="DB729" s="105"/>
      <c r="DC729" s="105"/>
      <c r="DD729" s="105"/>
      <c r="DE729" s="105"/>
      <c r="DF729" s="105"/>
      <c r="DG729" s="105"/>
      <c r="DH729" s="105"/>
      <c r="DI729" s="105"/>
      <c r="DJ729" s="105"/>
      <c r="DK729" s="105"/>
      <c r="DL729" s="105"/>
      <c r="DM729" s="105"/>
      <c r="DN729" s="105"/>
      <c r="DO729" s="105"/>
      <c r="DP729" s="105"/>
      <c r="DQ729" s="105"/>
      <c r="DR729" s="105"/>
      <c r="DS729" s="105"/>
      <c r="DT729" s="105"/>
      <c r="DU729" s="105"/>
      <c r="DV729" s="105"/>
      <c r="DW729" s="105"/>
      <c r="DX729" s="105"/>
      <c r="DY729" s="105"/>
      <c r="DZ729" s="105"/>
      <c r="EA729" s="105"/>
      <c r="EB729" s="105"/>
      <c r="EC729" s="105"/>
      <c r="ED729" s="105"/>
      <c r="EE729" s="105"/>
      <c r="EF729" s="105"/>
      <c r="EG729" s="105"/>
      <c r="EH729" s="105"/>
      <c r="EI729" s="105"/>
      <c r="EJ729" s="105"/>
      <c r="EK729" s="105"/>
      <c r="EL729" s="105"/>
      <c r="EM729" s="105"/>
      <c r="EN729" s="105"/>
      <c r="EO729" s="105"/>
      <c r="EP729" s="105"/>
      <c r="EQ729" s="105"/>
      <c r="ER729" s="105"/>
      <c r="ES729" s="105"/>
      <c r="ET729" s="105"/>
      <c r="EU729" s="105"/>
      <c r="EV729" s="105"/>
      <c r="EW729" s="105"/>
      <c r="EX729" s="105"/>
      <c r="EY729" s="105"/>
      <c r="EZ729" s="105"/>
      <c r="FA729" s="105"/>
      <c r="FB729" s="105"/>
      <c r="FC729" s="105"/>
      <c r="FD729" s="105"/>
      <c r="FE729" s="105"/>
      <c r="FF729" s="105"/>
      <c r="FG729" s="105"/>
      <c r="FH729" s="105"/>
      <c r="FI729" s="105"/>
      <c r="FJ729" s="105"/>
      <c r="FK729" s="105"/>
      <c r="FL729" s="105"/>
      <c r="FM729" s="105"/>
      <c r="FN729" s="105"/>
      <c r="FO729" s="105"/>
      <c r="FP729" s="105"/>
      <c r="FQ729" s="105"/>
      <c r="FR729" s="105"/>
      <c r="FS729" s="105"/>
      <c r="FT729" s="105"/>
      <c r="FU729" s="105"/>
      <c r="FV729" s="105"/>
      <c r="FW729" s="105"/>
      <c r="FX729" s="105"/>
      <c r="FY729" s="105"/>
      <c r="FZ729" s="105"/>
      <c r="GA729" s="105"/>
      <c r="GB729" s="105"/>
      <c r="GC729" s="105"/>
      <c r="GD729" s="105"/>
      <c r="GE729" s="105"/>
      <c r="GF729" s="105"/>
      <c r="GG729" s="105"/>
      <c r="GH729" s="105"/>
      <c r="GI729" s="105"/>
      <c r="GJ729" s="105"/>
      <c r="GK729" s="105"/>
      <c r="GL729" s="105"/>
      <c r="GM729" s="105"/>
      <c r="GN729" s="105"/>
      <c r="GO729" s="105"/>
      <c r="GP729" s="105"/>
      <c r="GQ729" s="105"/>
      <c r="GR729" s="105"/>
      <c r="GS729" s="105"/>
      <c r="GT729" s="105"/>
      <c r="GU729" s="105"/>
      <c r="GV729" s="105"/>
      <c r="GW729" s="105"/>
      <c r="GX729" s="105"/>
      <c r="GY729" s="105"/>
      <c r="GZ729" s="105"/>
      <c r="HA729" s="105"/>
      <c r="HB729" s="105"/>
      <c r="HC729" s="105"/>
      <c r="HD729" s="105"/>
      <c r="HE729" s="105"/>
      <c r="HF729" s="105"/>
      <c r="HG729" s="105"/>
      <c r="HH729" s="105"/>
      <c r="HI729" s="105"/>
      <c r="HJ729" s="105"/>
      <c r="HK729" s="105"/>
      <c r="HL729" s="105"/>
      <c r="HM729" s="105"/>
      <c r="HN729" s="105"/>
      <c r="HO729" s="105"/>
      <c r="HP729" s="105"/>
      <c r="HQ729" s="105"/>
      <c r="HR729" s="105"/>
      <c r="HS729" s="105"/>
      <c r="HT729" s="105"/>
      <c r="HU729" s="105"/>
      <c r="HV729" s="105"/>
      <c r="HW729" s="105"/>
      <c r="HX729" s="105"/>
      <c r="HY729" s="105"/>
      <c r="HZ729" s="105"/>
      <c r="IA729" s="105"/>
      <c r="IB729" s="105"/>
      <c r="IC729" s="105"/>
      <c r="ID729" s="105"/>
      <c r="IE729" s="105"/>
      <c r="IF729" s="105"/>
      <c r="IG729" s="105"/>
      <c r="IH729" s="105"/>
      <c r="II729" s="105"/>
      <c r="IJ729" s="105"/>
      <c r="IK729" s="105"/>
      <c r="IL729" s="105"/>
      <c r="IM729" s="105"/>
      <c r="IN729" s="105"/>
      <c r="IO729" s="105"/>
      <c r="IP729" s="105"/>
      <c r="IQ729" s="105"/>
      <c r="IR729" s="105"/>
      <c r="IS729" s="105"/>
      <c r="IT729" s="105"/>
      <c r="IU729" s="105"/>
      <c r="IV729" s="105"/>
    </row>
    <row r="730" spans="1:256" s="396" customFormat="1" x14ac:dyDescent="0.2">
      <c r="A730" s="367">
        <v>45275</v>
      </c>
      <c r="B730" s="368" t="s">
        <v>134</v>
      </c>
      <c r="C730" s="368">
        <v>2023</v>
      </c>
      <c r="D730" s="368" t="s">
        <v>8</v>
      </c>
      <c r="E730" s="526">
        <v>-314</v>
      </c>
      <c r="F730" s="526" t="s">
        <v>33</v>
      </c>
      <c r="G730" s="527">
        <v>125600</v>
      </c>
      <c r="H730" s="526">
        <v>447</v>
      </c>
      <c r="I730" s="526" t="s">
        <v>80</v>
      </c>
      <c r="J730" s="526" t="s">
        <v>731</v>
      </c>
      <c r="K730" s="526">
        <v>314</v>
      </c>
      <c r="L730" s="526" t="s">
        <v>726</v>
      </c>
      <c r="M730" s="526" t="s">
        <v>1498</v>
      </c>
      <c r="N730" s="526" t="s">
        <v>1499</v>
      </c>
      <c r="O730" s="526"/>
      <c r="P730" s="427" t="s">
        <v>176</v>
      </c>
      <c r="Q730" s="821" t="s">
        <v>1500</v>
      </c>
      <c r="R730" s="709">
        <v>-84.903295</v>
      </c>
      <c r="S730" s="427" t="s">
        <v>63</v>
      </c>
      <c r="T730" s="368"/>
      <c r="U730" s="368" t="s">
        <v>51</v>
      </c>
      <c r="V730" s="367"/>
      <c r="W730" s="374">
        <f>IF(AC730="Intr",0,G730*Definitions!$B$53)</f>
        <v>18840</v>
      </c>
      <c r="X730" s="374">
        <f>IF(AC730="Intr",0,G730*Definitions!$B$54)</f>
        <v>87920</v>
      </c>
      <c r="Y730" s="374">
        <f>IF(AC730="Intr",G730,G730*Definitions!$B$55)</f>
        <v>18840</v>
      </c>
      <c r="Z730" s="427" t="s">
        <v>966</v>
      </c>
      <c r="AA730" s="427" t="s">
        <v>965</v>
      </c>
      <c r="AB730" s="374"/>
      <c r="AC730" s="368"/>
      <c r="AD730" s="368"/>
      <c r="AE730" s="368"/>
      <c r="AF730" s="368"/>
      <c r="AG730" s="375"/>
      <c r="AH730" s="427">
        <v>1600539</v>
      </c>
      <c r="AI730" s="105"/>
      <c r="AJ730" s="105"/>
      <c r="AK730" s="105"/>
      <c r="AL730" s="105"/>
      <c r="AM730" s="105"/>
      <c r="AN730" s="105"/>
      <c r="AO730" s="105"/>
      <c r="AP730" s="105"/>
      <c r="AQ730" s="105"/>
      <c r="AR730" s="105"/>
      <c r="AS730" s="105"/>
      <c r="AT730" s="105"/>
      <c r="AU730" s="105"/>
      <c r="AV730" s="105"/>
      <c r="AW730" s="105"/>
      <c r="AX730" s="105"/>
      <c r="AY730" s="105"/>
      <c r="AZ730" s="105"/>
      <c r="BA730" s="105"/>
      <c r="BB730" s="105"/>
      <c r="BC730" s="105"/>
      <c r="BD730" s="105"/>
      <c r="BE730" s="105"/>
      <c r="BF730" s="105"/>
      <c r="BG730" s="105"/>
      <c r="BH730" s="105"/>
      <c r="BI730" s="105"/>
      <c r="BJ730" s="105"/>
      <c r="BK730" s="105"/>
      <c r="BL730" s="105"/>
      <c r="BM730" s="105"/>
      <c r="BN730" s="105"/>
      <c r="BO730" s="105"/>
      <c r="BP730" s="105"/>
      <c r="BQ730" s="105"/>
      <c r="BR730" s="105"/>
      <c r="BS730" s="105"/>
      <c r="BT730" s="105"/>
      <c r="BU730" s="105"/>
      <c r="BV730" s="105"/>
      <c r="BW730" s="105"/>
      <c r="BX730" s="105"/>
      <c r="BY730" s="105"/>
      <c r="BZ730" s="105"/>
      <c r="CA730" s="105"/>
      <c r="CB730" s="105"/>
      <c r="CC730" s="105"/>
      <c r="CD730" s="105"/>
      <c r="CE730" s="105"/>
      <c r="CF730" s="105"/>
      <c r="CG730" s="105"/>
      <c r="CH730" s="105"/>
      <c r="CI730" s="105"/>
      <c r="CJ730" s="105"/>
      <c r="CK730" s="105"/>
      <c r="CL730" s="105"/>
      <c r="CM730" s="105"/>
      <c r="CN730" s="105"/>
      <c r="CO730" s="105"/>
      <c r="CP730" s="105"/>
      <c r="CQ730" s="105"/>
      <c r="CR730" s="105"/>
      <c r="CS730" s="105"/>
      <c r="CT730" s="105"/>
      <c r="CU730" s="105"/>
      <c r="CV730" s="105"/>
      <c r="CW730" s="105"/>
      <c r="CX730" s="105"/>
      <c r="CY730" s="105"/>
      <c r="CZ730" s="105"/>
      <c r="DA730" s="105"/>
      <c r="DB730" s="105"/>
      <c r="DC730" s="105"/>
      <c r="DD730" s="105"/>
      <c r="DE730" s="105"/>
      <c r="DF730" s="105"/>
      <c r="DG730" s="105"/>
      <c r="DH730" s="105"/>
      <c r="DI730" s="105"/>
      <c r="DJ730" s="105"/>
      <c r="DK730" s="105"/>
      <c r="DL730" s="105"/>
      <c r="DM730" s="105"/>
      <c r="DN730" s="105"/>
      <c r="DO730" s="105"/>
      <c r="DP730" s="105"/>
      <c r="DQ730" s="105"/>
      <c r="DR730" s="105"/>
      <c r="DS730" s="105"/>
      <c r="DT730" s="105"/>
      <c r="DU730" s="105"/>
      <c r="DV730" s="105"/>
      <c r="DW730" s="105"/>
      <c r="DX730" s="105"/>
      <c r="DY730" s="105"/>
      <c r="DZ730" s="105"/>
      <c r="EA730" s="105"/>
      <c r="EB730" s="105"/>
      <c r="EC730" s="105"/>
      <c r="ED730" s="105"/>
      <c r="EE730" s="105"/>
      <c r="EF730" s="105"/>
      <c r="EG730" s="105"/>
      <c r="EH730" s="105"/>
      <c r="EI730" s="105"/>
      <c r="EJ730" s="105"/>
      <c r="EK730" s="105"/>
      <c r="EL730" s="105"/>
      <c r="EM730" s="105"/>
      <c r="EN730" s="105"/>
      <c r="EO730" s="105"/>
      <c r="EP730" s="105"/>
      <c r="EQ730" s="105"/>
      <c r="ER730" s="105"/>
      <c r="ES730" s="105"/>
      <c r="ET730" s="105"/>
      <c r="EU730" s="105"/>
      <c r="EV730" s="105"/>
      <c r="EW730" s="105"/>
      <c r="EX730" s="105"/>
      <c r="EY730" s="105"/>
      <c r="EZ730" s="105"/>
      <c r="FA730" s="105"/>
      <c r="FB730" s="105"/>
      <c r="FC730" s="105"/>
      <c r="FD730" s="105"/>
      <c r="FE730" s="105"/>
      <c r="FF730" s="105"/>
      <c r="FG730" s="105"/>
      <c r="FH730" s="105"/>
      <c r="FI730" s="105"/>
      <c r="FJ730" s="105"/>
      <c r="FK730" s="105"/>
      <c r="FL730" s="105"/>
      <c r="FM730" s="105"/>
      <c r="FN730" s="105"/>
      <c r="FO730" s="105"/>
      <c r="FP730" s="105"/>
      <c r="FQ730" s="105"/>
      <c r="FR730" s="105"/>
      <c r="FS730" s="105"/>
      <c r="FT730" s="105"/>
      <c r="FU730" s="105"/>
      <c r="FV730" s="105"/>
      <c r="FW730" s="105"/>
      <c r="FX730" s="105"/>
      <c r="FY730" s="105"/>
      <c r="FZ730" s="105"/>
      <c r="GA730" s="105"/>
      <c r="GB730" s="105"/>
      <c r="GC730" s="105"/>
      <c r="GD730" s="105"/>
      <c r="GE730" s="105"/>
      <c r="GF730" s="105"/>
      <c r="GG730" s="105"/>
      <c r="GH730" s="105"/>
      <c r="GI730" s="105"/>
      <c r="GJ730" s="105"/>
      <c r="GK730" s="105"/>
      <c r="GL730" s="105"/>
      <c r="GM730" s="105"/>
      <c r="GN730" s="105"/>
      <c r="GO730" s="105"/>
      <c r="GP730" s="105"/>
      <c r="GQ730" s="105"/>
      <c r="GR730" s="105"/>
      <c r="GS730" s="105"/>
      <c r="GT730" s="105"/>
      <c r="GU730" s="105"/>
      <c r="GV730" s="105"/>
      <c r="GW730" s="105"/>
      <c r="GX730" s="105"/>
      <c r="GY730" s="105"/>
      <c r="GZ730" s="105"/>
      <c r="HA730" s="105"/>
      <c r="HB730" s="105"/>
      <c r="HC730" s="105"/>
      <c r="HD730" s="105"/>
      <c r="HE730" s="105"/>
      <c r="HF730" s="105"/>
      <c r="HG730" s="105"/>
      <c r="HH730" s="105"/>
      <c r="HI730" s="105"/>
      <c r="HJ730" s="105"/>
      <c r="HK730" s="105"/>
      <c r="HL730" s="105"/>
      <c r="HM730" s="105"/>
      <c r="HN730" s="105"/>
      <c r="HO730" s="105"/>
      <c r="HP730" s="105"/>
      <c r="HQ730" s="105"/>
      <c r="HR730" s="105"/>
      <c r="HS730" s="105"/>
      <c r="HT730" s="105"/>
      <c r="HU730" s="105"/>
      <c r="HV730" s="105"/>
      <c r="HW730" s="105"/>
      <c r="HX730" s="105"/>
      <c r="HY730" s="105"/>
      <c r="HZ730" s="105"/>
      <c r="IA730" s="105"/>
      <c r="IB730" s="105"/>
      <c r="IC730" s="105"/>
      <c r="ID730" s="105"/>
      <c r="IE730" s="105"/>
      <c r="IF730" s="105"/>
      <c r="IG730" s="105"/>
      <c r="IH730" s="105"/>
      <c r="II730" s="105"/>
      <c r="IJ730" s="105"/>
      <c r="IK730" s="105"/>
      <c r="IL730" s="105"/>
      <c r="IM730" s="105"/>
      <c r="IN730" s="105"/>
      <c r="IO730" s="105"/>
      <c r="IP730" s="105"/>
      <c r="IQ730" s="105"/>
      <c r="IR730" s="105"/>
      <c r="IS730" s="105"/>
      <c r="IT730" s="105"/>
      <c r="IU730" s="105"/>
      <c r="IV730" s="105"/>
    </row>
    <row r="731" spans="1:256" x14ac:dyDescent="0.2">
      <c r="A731" s="438">
        <v>45281</v>
      </c>
      <c r="B731" s="439" t="s">
        <v>134</v>
      </c>
      <c r="C731" s="439">
        <v>2023</v>
      </c>
      <c r="D731" s="439" t="s">
        <v>5</v>
      </c>
      <c r="E731" s="440">
        <v>-5.5999999999999999E-3</v>
      </c>
      <c r="F731" s="440" t="s">
        <v>32</v>
      </c>
      <c r="G731" s="441">
        <v>448</v>
      </c>
      <c r="H731" s="440">
        <v>441</v>
      </c>
      <c r="I731" s="440" t="s">
        <v>80</v>
      </c>
      <c r="J731" s="440" t="s">
        <v>36</v>
      </c>
      <c r="K731" s="440">
        <v>2.8E-3</v>
      </c>
      <c r="L731" s="440" t="s">
        <v>1494</v>
      </c>
      <c r="M731" s="442" t="s">
        <v>1495</v>
      </c>
      <c r="N731" s="440" t="s">
        <v>1496</v>
      </c>
      <c r="O731" s="440"/>
      <c r="P731" s="443" t="s">
        <v>1274</v>
      </c>
      <c r="Q731" s="822">
        <v>40.574525999999999</v>
      </c>
      <c r="R731" s="710">
        <v>-85.655218000000005</v>
      </c>
      <c r="S731" s="443" t="s">
        <v>63</v>
      </c>
      <c r="T731" s="439"/>
      <c r="U731" s="439" t="s">
        <v>51</v>
      </c>
      <c r="V731" s="438"/>
      <c r="W731" s="444">
        <f>IF(AC731="Intr",0,G731*Definitions!$B$53)</f>
        <v>67.2</v>
      </c>
      <c r="X731" s="444">
        <f>IF(AC731="Intr",0,G731*Definitions!$B$54)</f>
        <v>313.59999999999997</v>
      </c>
      <c r="Y731" s="444">
        <f>IF(AC731="Intr",G731,G731*Definitions!$B$55)</f>
        <v>67.2</v>
      </c>
      <c r="Z731" s="443" t="s">
        <v>966</v>
      </c>
      <c r="AA731" s="443" t="s">
        <v>965</v>
      </c>
      <c r="AB731" s="444"/>
      <c r="AC731" s="439"/>
      <c r="AD731" s="439"/>
      <c r="AE731" s="439"/>
      <c r="AF731" s="439"/>
      <c r="AG731" s="445"/>
      <c r="AH731" s="443" t="s">
        <v>1497</v>
      </c>
    </row>
    <row r="732" spans="1:256" x14ac:dyDescent="0.2">
      <c r="A732" s="438">
        <v>45281</v>
      </c>
      <c r="B732" s="439" t="s">
        <v>134</v>
      </c>
      <c r="C732" s="439">
        <v>2023</v>
      </c>
      <c r="D732" s="439" t="s">
        <v>5</v>
      </c>
      <c r="E732" s="440">
        <v>-2.3999999999999998E-3</v>
      </c>
      <c r="F732" s="440" t="s">
        <v>32</v>
      </c>
      <c r="G732" s="441">
        <v>192</v>
      </c>
      <c r="H732" s="440">
        <v>441</v>
      </c>
      <c r="I732" s="440" t="s">
        <v>80</v>
      </c>
      <c r="J732" s="440" t="s">
        <v>37</v>
      </c>
      <c r="K732" s="440">
        <v>8.0000000000000004E-4</v>
      </c>
      <c r="L732" s="440" t="s">
        <v>1494</v>
      </c>
      <c r="M732" s="442" t="s">
        <v>1495</v>
      </c>
      <c r="N732" s="440" t="s">
        <v>1496</v>
      </c>
      <c r="O732" s="440"/>
      <c r="P732" s="443" t="s">
        <v>1274</v>
      </c>
      <c r="Q732" s="822">
        <v>40.574525999999999</v>
      </c>
      <c r="R732" s="710">
        <v>-85.655218000000005</v>
      </c>
      <c r="S732" s="443" t="s">
        <v>63</v>
      </c>
      <c r="T732" s="439"/>
      <c r="U732" s="439" t="s">
        <v>51</v>
      </c>
      <c r="V732" s="438"/>
      <c r="W732" s="444">
        <f>IF(AC732="Intr",0,G732*Definitions!$B$53)</f>
        <v>28.799999999999997</v>
      </c>
      <c r="X732" s="444">
        <f>IF(AC732="Intr",0,G732*Definitions!$B$54)</f>
        <v>134.39999999999998</v>
      </c>
      <c r="Y732" s="444">
        <f>IF(AC732="Intr",G732,G732*Definitions!$B$55)</f>
        <v>28.799999999999997</v>
      </c>
      <c r="Z732" s="443" t="s">
        <v>966</v>
      </c>
      <c r="AA732" s="443" t="s">
        <v>965</v>
      </c>
      <c r="AB732" s="444"/>
      <c r="AC732" s="439"/>
      <c r="AD732" s="439"/>
      <c r="AE732" s="439"/>
      <c r="AF732" s="439"/>
      <c r="AG732" s="445"/>
      <c r="AH732" s="443" t="s">
        <v>1497</v>
      </c>
    </row>
    <row r="733" spans="1:256" x14ac:dyDescent="0.2">
      <c r="A733" s="438">
        <v>45281</v>
      </c>
      <c r="B733" s="439" t="s">
        <v>134</v>
      </c>
      <c r="C733" s="439">
        <v>2023</v>
      </c>
      <c r="D733" s="439" t="s">
        <v>5</v>
      </c>
      <c r="E733" s="440">
        <v>-1.26</v>
      </c>
      <c r="F733" s="440" t="s">
        <v>32</v>
      </c>
      <c r="G733" s="441">
        <v>100800</v>
      </c>
      <c r="H733" s="440">
        <v>441</v>
      </c>
      <c r="I733" s="440" t="s">
        <v>80</v>
      </c>
      <c r="J733" s="440" t="s">
        <v>38</v>
      </c>
      <c r="K733" s="440">
        <v>0.42</v>
      </c>
      <c r="L733" s="440" t="s">
        <v>1494</v>
      </c>
      <c r="M733" s="442" t="s">
        <v>1495</v>
      </c>
      <c r="N733" s="440" t="s">
        <v>1496</v>
      </c>
      <c r="O733" s="440"/>
      <c r="P733" s="443" t="s">
        <v>1274</v>
      </c>
      <c r="Q733" s="822">
        <v>40.574525999999999</v>
      </c>
      <c r="R733" s="710">
        <v>-85.655218000000005</v>
      </c>
      <c r="S733" s="443" t="s">
        <v>63</v>
      </c>
      <c r="T733" s="439"/>
      <c r="U733" s="439" t="s">
        <v>51</v>
      </c>
      <c r="V733" s="438"/>
      <c r="W733" s="444">
        <f>IF(AC733="Intr",0,G733*Definitions!$B$53)</f>
        <v>15120</v>
      </c>
      <c r="X733" s="444">
        <f>IF(AC733="Intr",0,G733*Definitions!$B$54)</f>
        <v>70560</v>
      </c>
      <c r="Y733" s="444">
        <f>IF(AC733="Intr",G733,G733*Definitions!$B$55)</f>
        <v>15120</v>
      </c>
      <c r="Z733" s="443" t="s">
        <v>966</v>
      </c>
      <c r="AA733" s="443" t="s">
        <v>965</v>
      </c>
      <c r="AB733" s="444"/>
      <c r="AC733" s="439"/>
      <c r="AD733" s="439"/>
      <c r="AE733" s="439"/>
      <c r="AF733" s="439"/>
      <c r="AG733" s="445"/>
      <c r="AH733" s="443" t="s">
        <v>1497</v>
      </c>
    </row>
    <row r="734" spans="1:256" x14ac:dyDescent="0.2">
      <c r="A734" s="33">
        <v>45282</v>
      </c>
      <c r="B734" s="34" t="s">
        <v>134</v>
      </c>
      <c r="C734" s="34">
        <v>2023</v>
      </c>
      <c r="D734" s="34" t="s">
        <v>11</v>
      </c>
      <c r="E734" s="116">
        <v>-180</v>
      </c>
      <c r="F734" s="116" t="s">
        <v>33</v>
      </c>
      <c r="G734" s="117">
        <v>72000</v>
      </c>
      <c r="H734" s="116">
        <v>457</v>
      </c>
      <c r="I734" s="116" t="s">
        <v>80</v>
      </c>
      <c r="J734" s="116" t="s">
        <v>41</v>
      </c>
      <c r="K734" s="116">
        <v>471</v>
      </c>
      <c r="L734" s="116" t="s">
        <v>1508</v>
      </c>
      <c r="M734" s="116" t="s">
        <v>1509</v>
      </c>
      <c r="N734" s="116" t="s">
        <v>1510</v>
      </c>
      <c r="O734" s="116"/>
      <c r="P734" s="120" t="s">
        <v>89</v>
      </c>
      <c r="Q734" s="795">
        <v>38.042512000000002</v>
      </c>
      <c r="R734" s="692">
        <v>-87.509769000000006</v>
      </c>
      <c r="S734" s="120" t="s">
        <v>63</v>
      </c>
      <c r="T734" s="34"/>
      <c r="U734" s="34" t="s">
        <v>51</v>
      </c>
      <c r="V734" s="33"/>
      <c r="W734" s="35">
        <f>IF(AC734="Intr",0,G734*Definitions!$B$53)</f>
        <v>10800</v>
      </c>
      <c r="X734" s="35">
        <f>IF(AC734="Intr",0,G734*Definitions!$B$54)</f>
        <v>50400</v>
      </c>
      <c r="Y734" s="35">
        <f>IF(AC734="Intr",G734,G734*Definitions!$B$55)</f>
        <v>10800</v>
      </c>
      <c r="Z734" s="120" t="s">
        <v>966</v>
      </c>
      <c r="AA734" s="120" t="s">
        <v>965</v>
      </c>
      <c r="AB734" s="35"/>
      <c r="AC734" s="34"/>
      <c r="AD734" s="34"/>
      <c r="AE734" s="34"/>
      <c r="AF734" s="34"/>
      <c r="AG734" s="36"/>
      <c r="AH734" s="34"/>
    </row>
    <row r="735" spans="1:256" x14ac:dyDescent="0.2">
      <c r="A735" s="33">
        <v>45282</v>
      </c>
      <c r="B735" s="34" t="s">
        <v>134</v>
      </c>
      <c r="C735" s="34">
        <v>2023</v>
      </c>
      <c r="D735" s="34" t="s">
        <v>11</v>
      </c>
      <c r="E735" s="116">
        <v>-154</v>
      </c>
      <c r="F735" s="116" t="s">
        <v>33</v>
      </c>
      <c r="G735" s="117">
        <v>61600</v>
      </c>
      <c r="H735" s="116">
        <v>457</v>
      </c>
      <c r="I735" s="116" t="s">
        <v>80</v>
      </c>
      <c r="J735" s="116" t="s">
        <v>40</v>
      </c>
      <c r="K735" s="116">
        <v>593</v>
      </c>
      <c r="L735" s="116" t="s">
        <v>1508</v>
      </c>
      <c r="M735" s="116" t="s">
        <v>1509</v>
      </c>
      <c r="N735" s="116" t="s">
        <v>1510</v>
      </c>
      <c r="O735" s="116"/>
      <c r="P735" s="120" t="s">
        <v>89</v>
      </c>
      <c r="Q735" s="795">
        <v>38.042512000000002</v>
      </c>
      <c r="R735" s="692">
        <v>-87.509769000000006</v>
      </c>
      <c r="S735" s="120" t="s">
        <v>63</v>
      </c>
      <c r="T735" s="34"/>
      <c r="U735" s="34" t="s">
        <v>51</v>
      </c>
      <c r="V735" s="33"/>
      <c r="W735" s="35">
        <f>IF(AC735="Intr",0,G735*Definitions!$B$53)</f>
        <v>9240</v>
      </c>
      <c r="X735" s="35">
        <f>IF(AC735="Intr",0,G735*Definitions!$B$54)</f>
        <v>43120</v>
      </c>
      <c r="Y735" s="35">
        <f>IF(AC735="Intr",G735,G735*Definitions!$B$55)</f>
        <v>9240</v>
      </c>
      <c r="Z735" s="120" t="s">
        <v>966</v>
      </c>
      <c r="AA735" s="120" t="s">
        <v>965</v>
      </c>
      <c r="AB735" s="35"/>
      <c r="AC735" s="34"/>
      <c r="AD735" s="34"/>
      <c r="AE735" s="34"/>
      <c r="AF735" s="34"/>
      <c r="AG735" s="36"/>
      <c r="AH735" s="34"/>
    </row>
    <row r="736" spans="1:256" x14ac:dyDescent="0.2">
      <c r="A736" s="160">
        <v>45282</v>
      </c>
      <c r="B736" s="161" t="s">
        <v>134</v>
      </c>
      <c r="C736" s="161">
        <v>2023</v>
      </c>
      <c r="D736" s="161" t="s">
        <v>11</v>
      </c>
      <c r="E736" s="165">
        <v>-257.5</v>
      </c>
      <c r="F736" s="165" t="s">
        <v>33</v>
      </c>
      <c r="G736" s="378">
        <v>103000</v>
      </c>
      <c r="H736" s="165">
        <v>458</v>
      </c>
      <c r="I736" s="165" t="s">
        <v>80</v>
      </c>
      <c r="J736" s="165" t="s">
        <v>41</v>
      </c>
      <c r="K736" s="165">
        <v>896.5</v>
      </c>
      <c r="L736" s="165" t="s">
        <v>1508</v>
      </c>
      <c r="M736" s="379" t="s">
        <v>1511</v>
      </c>
      <c r="N736" s="165" t="s">
        <v>1512</v>
      </c>
      <c r="O736" s="165"/>
      <c r="P736" s="380" t="s">
        <v>89</v>
      </c>
      <c r="Q736" s="799">
        <v>38.085591999999998</v>
      </c>
      <c r="R736" s="696">
        <v>-87.505643000000006</v>
      </c>
      <c r="S736" s="380" t="s">
        <v>63</v>
      </c>
      <c r="T736" s="161"/>
      <c r="U736" s="161" t="s">
        <v>51</v>
      </c>
      <c r="V736" s="160"/>
      <c r="W736" s="166">
        <f>IF(AC736="Intr",0,G736*Definitions!$B$53)</f>
        <v>15450</v>
      </c>
      <c r="X736" s="166">
        <f>IF(AC736="Intr",0,G736*Definitions!$B$54)</f>
        <v>72100</v>
      </c>
      <c r="Y736" s="166">
        <f>IF(AC736="Intr",G736,G736*Definitions!$B$55)</f>
        <v>15450</v>
      </c>
      <c r="Z736" s="380" t="s">
        <v>966</v>
      </c>
      <c r="AA736" s="380" t="s">
        <v>965</v>
      </c>
      <c r="AB736" s="166"/>
      <c r="AC736" s="161"/>
      <c r="AD736" s="161"/>
      <c r="AE736" s="161"/>
      <c r="AF736" s="161"/>
      <c r="AG736" s="167"/>
      <c r="AH736" s="161"/>
    </row>
    <row r="737" spans="1:34" x14ac:dyDescent="0.2">
      <c r="A737" s="160">
        <v>45282</v>
      </c>
      <c r="B737" s="161" t="s">
        <v>134</v>
      </c>
      <c r="C737" s="161">
        <v>2023</v>
      </c>
      <c r="D737" s="161" t="s">
        <v>11</v>
      </c>
      <c r="E737" s="165">
        <v>-258</v>
      </c>
      <c r="F737" s="165" t="s">
        <v>33</v>
      </c>
      <c r="G737" s="378">
        <v>103200</v>
      </c>
      <c r="H737" s="165">
        <v>458</v>
      </c>
      <c r="I737" s="165" t="s">
        <v>80</v>
      </c>
      <c r="J737" s="165" t="s">
        <v>40</v>
      </c>
      <c r="K737" s="165">
        <v>335</v>
      </c>
      <c r="L737" s="165" t="s">
        <v>1508</v>
      </c>
      <c r="M737" s="379" t="s">
        <v>1511</v>
      </c>
      <c r="N737" s="165" t="s">
        <v>1512</v>
      </c>
      <c r="O737" s="165"/>
      <c r="P737" s="380" t="s">
        <v>89</v>
      </c>
      <c r="Q737" s="799">
        <v>38.085591999999998</v>
      </c>
      <c r="R737" s="696">
        <v>-87.505643000000006</v>
      </c>
      <c r="S737" s="380" t="s">
        <v>63</v>
      </c>
      <c r="T737" s="161"/>
      <c r="U737" s="161" t="s">
        <v>51</v>
      </c>
      <c r="V737" s="160"/>
      <c r="W737" s="166">
        <f>IF(AC737="Intr",0,G737*Definitions!$B$53)</f>
        <v>15480</v>
      </c>
      <c r="X737" s="166">
        <f>IF(AC737="Intr",0,G737*Definitions!$B$54)</f>
        <v>72240</v>
      </c>
      <c r="Y737" s="166">
        <f>IF(AC737="Intr",G737,G737*Definitions!$B$55)</f>
        <v>15480</v>
      </c>
      <c r="Z737" s="380" t="s">
        <v>966</v>
      </c>
      <c r="AA737" s="380" t="s">
        <v>965</v>
      </c>
      <c r="AB737" s="166"/>
      <c r="AC737" s="161"/>
      <c r="AD737" s="161"/>
      <c r="AE737" s="161"/>
      <c r="AF737" s="161"/>
      <c r="AG737" s="167"/>
      <c r="AH737" s="161"/>
    </row>
    <row r="738" spans="1:34" x14ac:dyDescent="0.2">
      <c r="A738" s="160">
        <v>45282</v>
      </c>
      <c r="B738" s="161" t="s">
        <v>134</v>
      </c>
      <c r="C738" s="161">
        <v>2023</v>
      </c>
      <c r="D738" s="161" t="s">
        <v>11</v>
      </c>
      <c r="E738" s="165">
        <v>-0.16900000000000001</v>
      </c>
      <c r="F738" s="165" t="s">
        <v>32</v>
      </c>
      <c r="G738" s="378">
        <v>13520</v>
      </c>
      <c r="H738" s="165">
        <v>458</v>
      </c>
      <c r="I738" s="165" t="s">
        <v>80</v>
      </c>
      <c r="J738" s="165" t="s">
        <v>36</v>
      </c>
      <c r="K738" s="165">
        <v>8.4500000000000006E-2</v>
      </c>
      <c r="L738" s="165" t="s">
        <v>1508</v>
      </c>
      <c r="M738" s="379" t="s">
        <v>1511</v>
      </c>
      <c r="N738" s="165" t="s">
        <v>1512</v>
      </c>
      <c r="O738" s="165"/>
      <c r="P738" s="380" t="s">
        <v>89</v>
      </c>
      <c r="Q738" s="799">
        <v>38.085591999999998</v>
      </c>
      <c r="R738" s="696">
        <v>-87.505643000000006</v>
      </c>
      <c r="S738" s="380" t="s">
        <v>63</v>
      </c>
      <c r="T738" s="161"/>
      <c r="U738" s="161" t="s">
        <v>51</v>
      </c>
      <c r="V738" s="160"/>
      <c r="W738" s="166">
        <f>IF(AC738="Intr",0,G738*Definitions!$B$53)</f>
        <v>2028</v>
      </c>
      <c r="X738" s="166">
        <f>IF(AC738="Intr",0,G738*Definitions!$B$54)</f>
        <v>9464</v>
      </c>
      <c r="Y738" s="166">
        <f>IF(AC738="Intr",G738,G738*Definitions!$B$55)</f>
        <v>2028</v>
      </c>
      <c r="Z738" s="380" t="s">
        <v>966</v>
      </c>
      <c r="AA738" s="380" t="s">
        <v>965</v>
      </c>
      <c r="AB738" s="166"/>
      <c r="AC738" s="161"/>
      <c r="AD738" s="161"/>
      <c r="AE738" s="161"/>
      <c r="AF738" s="161"/>
      <c r="AG738" s="167"/>
      <c r="AH738" s="161"/>
    </row>
    <row r="739" spans="1:34" x14ac:dyDescent="0.2">
      <c r="A739" s="152">
        <v>45282</v>
      </c>
      <c r="B739" s="153" t="s">
        <v>134</v>
      </c>
      <c r="C739" s="153">
        <v>2023</v>
      </c>
      <c r="D739" s="153" t="s">
        <v>10</v>
      </c>
      <c r="E739" s="157">
        <v>-68</v>
      </c>
      <c r="F739" s="157" t="s">
        <v>33</v>
      </c>
      <c r="G739" s="411">
        <v>27200</v>
      </c>
      <c r="H739" s="157">
        <v>467</v>
      </c>
      <c r="I739" s="157" t="s">
        <v>80</v>
      </c>
      <c r="J739" s="157" t="s">
        <v>41</v>
      </c>
      <c r="K739" s="157">
        <v>68</v>
      </c>
      <c r="L739" s="157" t="s">
        <v>1367</v>
      </c>
      <c r="M739" s="412" t="s">
        <v>1208</v>
      </c>
      <c r="N739" s="157" t="s">
        <v>1209</v>
      </c>
      <c r="O739" s="157"/>
      <c r="P739" s="413" t="s">
        <v>84</v>
      </c>
      <c r="Q739" s="793">
        <v>38.457000000000001</v>
      </c>
      <c r="R739" s="690">
        <v>-85.847740000000002</v>
      </c>
      <c r="S739" s="413" t="s">
        <v>61</v>
      </c>
      <c r="T739" s="153"/>
      <c r="U739" s="153" t="s">
        <v>51</v>
      </c>
      <c r="V739" s="152"/>
      <c r="W739" s="158">
        <f>IF(AC739="Intr",0,G739*Definitions!$B$53)</f>
        <v>4080</v>
      </c>
      <c r="X739" s="158">
        <f>IF(AC739="Intr",0,G739*Definitions!$B$54)</f>
        <v>19040</v>
      </c>
      <c r="Y739" s="158">
        <f>IF(AC739="Intr",G739,G739*Definitions!$B$55)</f>
        <v>4080</v>
      </c>
      <c r="Z739" s="413" t="s">
        <v>966</v>
      </c>
      <c r="AA739" s="413" t="s">
        <v>963</v>
      </c>
      <c r="AB739" s="158"/>
      <c r="AC739" s="153"/>
      <c r="AD739" s="153"/>
      <c r="AE739" s="153"/>
      <c r="AF739" s="153"/>
      <c r="AG739" s="159"/>
      <c r="AH739" s="413" t="s">
        <v>1517</v>
      </c>
    </row>
    <row r="740" spans="1:34" x14ac:dyDescent="0.2">
      <c r="A740" s="152">
        <v>45282</v>
      </c>
      <c r="B740" s="153" t="s">
        <v>134</v>
      </c>
      <c r="C740" s="153">
        <v>2023</v>
      </c>
      <c r="D740" s="153" t="s">
        <v>10</v>
      </c>
      <c r="E740" s="157">
        <v>-220</v>
      </c>
      <c r="F740" s="157" t="s">
        <v>33</v>
      </c>
      <c r="G740" s="411">
        <v>88000</v>
      </c>
      <c r="H740" s="157">
        <v>467</v>
      </c>
      <c r="I740" s="157" t="s">
        <v>80</v>
      </c>
      <c r="J740" s="157" t="s">
        <v>40</v>
      </c>
      <c r="K740" s="157">
        <v>220</v>
      </c>
      <c r="L740" s="157" t="s">
        <v>1367</v>
      </c>
      <c r="M740" s="412" t="s">
        <v>1208</v>
      </c>
      <c r="N740" s="157" t="s">
        <v>1209</v>
      </c>
      <c r="O740" s="157"/>
      <c r="P740" s="413" t="s">
        <v>84</v>
      </c>
      <c r="Q740" s="793">
        <v>38.457000000000001</v>
      </c>
      <c r="R740" s="690">
        <v>-85.847740000000002</v>
      </c>
      <c r="S740" s="413" t="s">
        <v>61</v>
      </c>
      <c r="T740" s="153"/>
      <c r="U740" s="153" t="s">
        <v>51</v>
      </c>
      <c r="V740" s="152"/>
      <c r="W740" s="158">
        <f>IF(AC740="Intr",0,G740*Definitions!$B$53)</f>
        <v>13200</v>
      </c>
      <c r="X740" s="158">
        <f>IF(AC740="Intr",0,G740*Definitions!$B$54)</f>
        <v>61599.999999999993</v>
      </c>
      <c r="Y740" s="158">
        <f>IF(AC740="Intr",G740,G740*Definitions!$B$55)</f>
        <v>13200</v>
      </c>
      <c r="Z740" s="413" t="s">
        <v>966</v>
      </c>
      <c r="AA740" s="413" t="s">
        <v>963</v>
      </c>
      <c r="AB740" s="158"/>
      <c r="AC740" s="153"/>
      <c r="AD740" s="153"/>
      <c r="AE740" s="153"/>
      <c r="AF740" s="153"/>
      <c r="AG740" s="159"/>
      <c r="AH740" s="413" t="s">
        <v>1517</v>
      </c>
    </row>
    <row r="741" spans="1:34" x14ac:dyDescent="0.2">
      <c r="A741" s="152">
        <v>45282</v>
      </c>
      <c r="B741" s="153" t="s">
        <v>134</v>
      </c>
      <c r="C741" s="153">
        <v>2023</v>
      </c>
      <c r="D741" s="153" t="s">
        <v>10</v>
      </c>
      <c r="E741" s="157">
        <v>-1.2</v>
      </c>
      <c r="F741" s="157" t="s">
        <v>32</v>
      </c>
      <c r="G741" s="411">
        <v>96000</v>
      </c>
      <c r="H741" s="157">
        <v>467</v>
      </c>
      <c r="I741" s="157" t="s">
        <v>80</v>
      </c>
      <c r="J741" s="157" t="s">
        <v>36</v>
      </c>
      <c r="K741" s="157">
        <v>1.2</v>
      </c>
      <c r="L741" s="157" t="s">
        <v>1367</v>
      </c>
      <c r="M741" s="412" t="s">
        <v>1208</v>
      </c>
      <c r="N741" s="157" t="s">
        <v>1209</v>
      </c>
      <c r="O741" s="157"/>
      <c r="P741" s="413" t="s">
        <v>84</v>
      </c>
      <c r="Q741" s="793">
        <v>38.457000000000001</v>
      </c>
      <c r="R741" s="690">
        <v>-85.847740000000002</v>
      </c>
      <c r="S741" s="413" t="s">
        <v>61</v>
      </c>
      <c r="T741" s="153"/>
      <c r="U741" s="153" t="s">
        <v>51</v>
      </c>
      <c r="V741" s="152"/>
      <c r="W741" s="158">
        <f>IF(AC741="Intr",0,G741*Definitions!$B$53)</f>
        <v>14400</v>
      </c>
      <c r="X741" s="158">
        <f>IF(AC741="Intr",0,G741*Definitions!$B$54)</f>
        <v>67200</v>
      </c>
      <c r="Y741" s="158">
        <f>IF(AC741="Intr",G741,G741*Definitions!$B$55)</f>
        <v>14400</v>
      </c>
      <c r="Z741" s="413" t="s">
        <v>966</v>
      </c>
      <c r="AA741" s="413" t="s">
        <v>963</v>
      </c>
      <c r="AB741" s="158"/>
      <c r="AC741" s="153"/>
      <c r="AD741" s="153"/>
      <c r="AE741" s="153"/>
      <c r="AF741" s="153"/>
      <c r="AG741" s="159"/>
      <c r="AH741" s="413" t="s">
        <v>1517</v>
      </c>
    </row>
    <row r="742" spans="1:34" x14ac:dyDescent="0.2">
      <c r="A742" s="152">
        <v>45282</v>
      </c>
      <c r="B742" s="153" t="s">
        <v>134</v>
      </c>
      <c r="C742" s="153">
        <v>2023</v>
      </c>
      <c r="D742" s="153" t="s">
        <v>10</v>
      </c>
      <c r="E742" s="157">
        <v>-0.1</v>
      </c>
      <c r="F742" s="157" t="s">
        <v>32</v>
      </c>
      <c r="G742" s="411">
        <v>8000</v>
      </c>
      <c r="H742" s="157">
        <v>467</v>
      </c>
      <c r="I742" s="157" t="s">
        <v>80</v>
      </c>
      <c r="J742" s="157" t="s">
        <v>38</v>
      </c>
      <c r="K742" s="157">
        <v>0.1</v>
      </c>
      <c r="L742" s="157" t="s">
        <v>1367</v>
      </c>
      <c r="M742" s="412" t="s">
        <v>1208</v>
      </c>
      <c r="N742" s="157" t="s">
        <v>1209</v>
      </c>
      <c r="O742" s="157"/>
      <c r="P742" s="413" t="s">
        <v>84</v>
      </c>
      <c r="Q742" s="793">
        <v>38.457000000000001</v>
      </c>
      <c r="R742" s="690">
        <v>-85.847740000000002</v>
      </c>
      <c r="S742" s="413" t="s">
        <v>61</v>
      </c>
      <c r="T742" s="153"/>
      <c r="U742" s="153" t="s">
        <v>51</v>
      </c>
      <c r="V742" s="152"/>
      <c r="W742" s="158">
        <f>IF(AC742="Intr",0,G742*Definitions!$B$53)</f>
        <v>1200</v>
      </c>
      <c r="X742" s="158">
        <f>IF(AC742="Intr",0,G742*Definitions!$B$54)</f>
        <v>5600</v>
      </c>
      <c r="Y742" s="158">
        <f>IF(AC742="Intr",G742,G742*Definitions!$B$55)</f>
        <v>1200</v>
      </c>
      <c r="Z742" s="413" t="s">
        <v>966</v>
      </c>
      <c r="AA742" s="413" t="s">
        <v>963</v>
      </c>
      <c r="AB742" s="158"/>
      <c r="AC742" s="153"/>
      <c r="AD742" s="153"/>
      <c r="AE742" s="153"/>
      <c r="AF742" s="153"/>
      <c r="AG742" s="159"/>
      <c r="AH742" s="413" t="s">
        <v>1517</v>
      </c>
    </row>
    <row r="743" spans="1:34" x14ac:dyDescent="0.2">
      <c r="A743" s="191">
        <v>45282</v>
      </c>
      <c r="B743" s="192" t="s">
        <v>134</v>
      </c>
      <c r="C743" s="192">
        <v>2023</v>
      </c>
      <c r="D743" s="192" t="s">
        <v>5</v>
      </c>
      <c r="E743" s="196">
        <v>-37</v>
      </c>
      <c r="F743" s="196" t="s">
        <v>33</v>
      </c>
      <c r="G743" s="446">
        <v>14800</v>
      </c>
      <c r="H743" s="196">
        <v>462</v>
      </c>
      <c r="I743" s="196" t="s">
        <v>80</v>
      </c>
      <c r="J743" s="196" t="s">
        <v>40</v>
      </c>
      <c r="K743" s="196">
        <v>37</v>
      </c>
      <c r="L743" s="196" t="s">
        <v>726</v>
      </c>
      <c r="M743" s="193" t="s">
        <v>1513</v>
      </c>
      <c r="N743" s="193" t="s">
        <v>1514</v>
      </c>
      <c r="O743" s="196"/>
      <c r="P743" s="447" t="s">
        <v>455</v>
      </c>
      <c r="Q743" s="823">
        <v>40.803916000000001</v>
      </c>
      <c r="R743" s="711">
        <v>-85.903412000000003</v>
      </c>
      <c r="S743" s="447" t="s">
        <v>63</v>
      </c>
      <c r="T743" s="192"/>
      <c r="U743" s="192" t="s">
        <v>51</v>
      </c>
      <c r="V743" s="191"/>
      <c r="W743" s="197">
        <f>IF(AC743="Intr",0,G743*Definitions!$B$53)</f>
        <v>2220</v>
      </c>
      <c r="X743" s="197">
        <f>IF(AC743="Intr",0,G743*Definitions!$B$54)</f>
        <v>10360</v>
      </c>
      <c r="Y743" s="197">
        <f>IF(AC743="Intr",G743,G743*Definitions!$B$55)</f>
        <v>2220</v>
      </c>
      <c r="Z743" s="197" t="s">
        <v>966</v>
      </c>
      <c r="AA743" s="197" t="s">
        <v>965</v>
      </c>
      <c r="AB743" s="197"/>
      <c r="AC743" s="192"/>
      <c r="AD743" s="192"/>
      <c r="AE743" s="192"/>
      <c r="AF743" s="192"/>
      <c r="AG743" s="198"/>
      <c r="AH743" s="192">
        <v>1900080</v>
      </c>
    </row>
    <row r="744" spans="1:34" x14ac:dyDescent="0.2">
      <c r="A744" s="274">
        <v>45282</v>
      </c>
      <c r="B744" s="275" t="s">
        <v>134</v>
      </c>
      <c r="C744" s="275">
        <v>2023</v>
      </c>
      <c r="D744" s="275" t="s">
        <v>7</v>
      </c>
      <c r="E744" s="279">
        <v>-0.02</v>
      </c>
      <c r="F744" s="279" t="s">
        <v>32</v>
      </c>
      <c r="G744" s="491">
        <v>160</v>
      </c>
      <c r="H744" s="279">
        <v>452</v>
      </c>
      <c r="I744" s="279" t="s">
        <v>81</v>
      </c>
      <c r="J744" s="279" t="s">
        <v>36</v>
      </c>
      <c r="K744" s="279">
        <v>1E-3</v>
      </c>
      <c r="L744" s="279" t="s">
        <v>726</v>
      </c>
      <c r="M744" s="279" t="s">
        <v>103</v>
      </c>
      <c r="N744" s="279" t="s">
        <v>1507</v>
      </c>
      <c r="O744" s="279"/>
      <c r="P744" s="346" t="s">
        <v>162</v>
      </c>
      <c r="Q744" s="796">
        <v>39.7577</v>
      </c>
      <c r="R744" s="693">
        <v>-86.457887999999997</v>
      </c>
      <c r="S744" s="346" t="s">
        <v>63</v>
      </c>
      <c r="T744" s="275"/>
      <c r="U744" s="275" t="s">
        <v>51</v>
      </c>
      <c r="V744" s="274"/>
      <c r="W744" s="280">
        <f>IF(AC744="Intr",0,G744*Definitions!$B$53)</f>
        <v>24</v>
      </c>
      <c r="X744" s="280">
        <f>IF(AC744="Intr",0,G744*Definitions!$B$54)</f>
        <v>112</v>
      </c>
      <c r="Y744" s="280">
        <f>IF(AC744="Intr",G744,G744*Definitions!$B$55)</f>
        <v>24</v>
      </c>
      <c r="Z744" s="280" t="s">
        <v>966</v>
      </c>
      <c r="AA744" s="280" t="s">
        <v>962</v>
      </c>
      <c r="AB744" s="280"/>
      <c r="AC744" s="275"/>
      <c r="AD744" s="275"/>
      <c r="AE744" s="275"/>
      <c r="AF744" s="275"/>
      <c r="AG744" s="281"/>
      <c r="AH744" s="275">
        <v>1900357</v>
      </c>
    </row>
    <row r="745" spans="1:34" x14ac:dyDescent="0.2">
      <c r="A745" s="529"/>
      <c r="B745" s="530"/>
      <c r="C745" s="530"/>
      <c r="D745" s="530"/>
      <c r="E745" s="534"/>
      <c r="F745" s="534"/>
      <c r="G745" s="585"/>
      <c r="H745" s="534"/>
      <c r="I745" s="534"/>
      <c r="J745" s="534"/>
      <c r="K745" s="534"/>
      <c r="L745" s="534"/>
      <c r="M745" s="534"/>
      <c r="N745" s="534"/>
      <c r="O745" s="534"/>
      <c r="P745" s="587"/>
      <c r="Q745" s="740"/>
      <c r="R745" s="653"/>
      <c r="S745" s="587"/>
      <c r="T745" s="530"/>
      <c r="U745" s="530"/>
      <c r="V745" s="529"/>
      <c r="W745" s="535"/>
      <c r="X745" s="535"/>
      <c r="Y745" s="535"/>
      <c r="Z745" s="535"/>
      <c r="AA745" s="535"/>
      <c r="AB745" s="535"/>
      <c r="AC745" s="530"/>
      <c r="AD745" s="530"/>
      <c r="AE745" s="530"/>
      <c r="AF745" s="530"/>
      <c r="AG745" s="536"/>
      <c r="AH745" s="530"/>
    </row>
    <row r="746" spans="1:34" x14ac:dyDescent="0.2">
      <c r="A746" s="33">
        <v>45303</v>
      </c>
      <c r="B746" s="34" t="s">
        <v>635</v>
      </c>
      <c r="C746" s="34">
        <v>2024</v>
      </c>
      <c r="D746" s="34" t="s">
        <v>1</v>
      </c>
      <c r="E746" s="116">
        <v>-1.38</v>
      </c>
      <c r="F746" s="116" t="s">
        <v>32</v>
      </c>
      <c r="G746" s="117">
        <v>131100</v>
      </c>
      <c r="H746" s="116">
        <v>460</v>
      </c>
      <c r="I746" s="116" t="s">
        <v>80</v>
      </c>
      <c r="J746" s="116" t="s">
        <v>36</v>
      </c>
      <c r="K746" s="116">
        <v>0.9</v>
      </c>
      <c r="L746" s="116" t="s">
        <v>1521</v>
      </c>
      <c r="M746" s="118" t="s">
        <v>1522</v>
      </c>
      <c r="N746" s="116" t="s">
        <v>1523</v>
      </c>
      <c r="O746" s="116"/>
      <c r="P746" s="120" t="s">
        <v>227</v>
      </c>
      <c r="Q746" s="795">
        <v>41.375649000000003</v>
      </c>
      <c r="R746" s="692">
        <v>-87.312011999999996</v>
      </c>
      <c r="S746" s="120" t="s">
        <v>61</v>
      </c>
      <c r="T746" s="120"/>
      <c r="U746" s="120" t="s">
        <v>51</v>
      </c>
      <c r="V746" s="33"/>
      <c r="W746" s="35">
        <f>IF(AC746="Intr",0,G746*[1]Data!$B$53)</f>
        <v>19665</v>
      </c>
      <c r="X746" s="35">
        <f>IF(AC746="Intr",0,G746*[1]Data!$B$54)</f>
        <v>91770</v>
      </c>
      <c r="Y746" s="35">
        <f>IF(AC746="Intr",G746,G746*[1]Data!$B$55)</f>
        <v>19665</v>
      </c>
      <c r="Z746" s="120" t="s">
        <v>967</v>
      </c>
      <c r="AA746" s="120" t="s">
        <v>965</v>
      </c>
      <c r="AB746" s="35"/>
      <c r="AC746" s="34"/>
      <c r="AD746" s="34"/>
      <c r="AE746" s="34"/>
      <c r="AF746" s="34"/>
      <c r="AG746" s="36"/>
      <c r="AH746" s="34"/>
    </row>
    <row r="747" spans="1:34" x14ac:dyDescent="0.2">
      <c r="A747" s="37">
        <v>45303</v>
      </c>
      <c r="B747" s="38" t="s">
        <v>635</v>
      </c>
      <c r="C747" s="38">
        <v>2024</v>
      </c>
      <c r="D747" s="38" t="s">
        <v>1</v>
      </c>
      <c r="E747" s="70">
        <v>-0.65</v>
      </c>
      <c r="F747" s="70" t="s">
        <v>32</v>
      </c>
      <c r="G747" s="71">
        <v>61750</v>
      </c>
      <c r="H747" s="70">
        <v>465</v>
      </c>
      <c r="I747" s="70" t="s">
        <v>81</v>
      </c>
      <c r="J747" s="70" t="s">
        <v>36</v>
      </c>
      <c r="K747" s="70">
        <v>0.65</v>
      </c>
      <c r="L747" s="70" t="s">
        <v>1524</v>
      </c>
      <c r="M747" s="70" t="s">
        <v>103</v>
      </c>
      <c r="N747" s="70" t="s">
        <v>1525</v>
      </c>
      <c r="O747" s="70"/>
      <c r="P747" s="72" t="s">
        <v>227</v>
      </c>
      <c r="Q747" s="790">
        <v>41.592683000000001</v>
      </c>
      <c r="R747" s="687">
        <v>-87.425911999999997</v>
      </c>
      <c r="S747" s="72" t="s">
        <v>61</v>
      </c>
      <c r="T747" s="72"/>
      <c r="U747" s="72" t="s">
        <v>51</v>
      </c>
      <c r="V747" s="37"/>
      <c r="W747" s="39">
        <f>IF(AC747="Intr",0,G747*[1]Data!$B$53)</f>
        <v>9262.5</v>
      </c>
      <c r="X747" s="39">
        <f>IF(AC747="Intr",0,G747*[1]Data!$B$54)</f>
        <v>43225</v>
      </c>
      <c r="Y747" s="39">
        <f>IF(AC747="Intr",G747,G747*[1]Data!$B$55)</f>
        <v>9262.5</v>
      </c>
      <c r="Z747" s="72" t="s">
        <v>967</v>
      </c>
      <c r="AA747" s="72" t="s">
        <v>963</v>
      </c>
      <c r="AB747" s="39" t="s">
        <v>1526</v>
      </c>
      <c r="AC747" s="38"/>
      <c r="AD747" s="38"/>
      <c r="AE747" s="38"/>
      <c r="AF747" s="38"/>
      <c r="AG747" s="40"/>
      <c r="AH747" s="38"/>
    </row>
    <row r="748" spans="1:34" x14ac:dyDescent="0.2">
      <c r="A748" s="41">
        <v>45303</v>
      </c>
      <c r="B748" s="42" t="s">
        <v>635</v>
      </c>
      <c r="C748" s="42">
        <v>2024</v>
      </c>
      <c r="D748" s="42" t="s">
        <v>5</v>
      </c>
      <c r="E748" s="73">
        <v>-0.5</v>
      </c>
      <c r="F748" s="73" t="s">
        <v>32</v>
      </c>
      <c r="G748" s="74">
        <v>40000</v>
      </c>
      <c r="H748" s="73">
        <v>466</v>
      </c>
      <c r="I748" s="73" t="s">
        <v>80</v>
      </c>
      <c r="J748" s="73" t="s">
        <v>38</v>
      </c>
      <c r="K748" s="73">
        <v>0.5</v>
      </c>
      <c r="L748" s="73" t="s">
        <v>1527</v>
      </c>
      <c r="M748" s="73" t="s">
        <v>1528</v>
      </c>
      <c r="N748" s="73" t="s">
        <v>1529</v>
      </c>
      <c r="O748" s="73"/>
      <c r="P748" s="75" t="s">
        <v>1274</v>
      </c>
      <c r="Q748" s="731">
        <v>40.452800000000003</v>
      </c>
      <c r="R748" s="593">
        <v>-85.499099999999999</v>
      </c>
      <c r="S748" s="75" t="s">
        <v>61</v>
      </c>
      <c r="T748" s="75"/>
      <c r="U748" s="75" t="s">
        <v>51</v>
      </c>
      <c r="V748" s="41"/>
      <c r="W748" s="43">
        <f>IF(AC748="Intr",0,G748*[1]Data!$B$53)</f>
        <v>6000</v>
      </c>
      <c r="X748" s="43">
        <f>IF(AC748="Intr",0,G748*[1]Data!$B$54)</f>
        <v>28000</v>
      </c>
      <c r="Y748" s="43">
        <f>IF(AC748="Intr",G748,G748*[1]Data!$B$55)</f>
        <v>6000</v>
      </c>
      <c r="Z748" s="75" t="s">
        <v>966</v>
      </c>
      <c r="AA748" s="75" t="s">
        <v>965</v>
      </c>
      <c r="AB748" s="43"/>
      <c r="AC748" s="42"/>
      <c r="AD748" s="42"/>
      <c r="AE748" s="42"/>
      <c r="AF748" s="42"/>
      <c r="AG748" s="44"/>
      <c r="AH748" s="42"/>
    </row>
    <row r="749" spans="1:34" x14ac:dyDescent="0.2">
      <c r="A749" s="37">
        <v>45303</v>
      </c>
      <c r="B749" s="38" t="s">
        <v>635</v>
      </c>
      <c r="C749" s="38">
        <v>2024</v>
      </c>
      <c r="D749" s="38" t="s">
        <v>7</v>
      </c>
      <c r="E749" s="70">
        <v>-1.7250000000000001</v>
      </c>
      <c r="F749" s="70" t="s">
        <v>32</v>
      </c>
      <c r="G749" s="71">
        <v>138000</v>
      </c>
      <c r="H749" s="70">
        <v>468</v>
      </c>
      <c r="I749" s="70" t="s">
        <v>81</v>
      </c>
      <c r="J749" s="70" t="s">
        <v>38</v>
      </c>
      <c r="K749" s="70">
        <v>1.7250000000000001</v>
      </c>
      <c r="L749" s="70" t="s">
        <v>1530</v>
      </c>
      <c r="M749" s="70" t="s">
        <v>103</v>
      </c>
      <c r="N749" s="70" t="s">
        <v>1531</v>
      </c>
      <c r="O749" s="70"/>
      <c r="P749" s="72" t="s">
        <v>117</v>
      </c>
      <c r="Q749" s="790">
        <v>39.947789</v>
      </c>
      <c r="R749" s="687">
        <v>-86.384957</v>
      </c>
      <c r="S749" s="72" t="s">
        <v>61</v>
      </c>
      <c r="T749" s="72"/>
      <c r="U749" s="72" t="s">
        <v>51</v>
      </c>
      <c r="V749" s="37"/>
      <c r="W749" s="39">
        <f>IF(AC749="Intr",0,G749*[1]Data!$B$53)</f>
        <v>20700</v>
      </c>
      <c r="X749" s="39">
        <f>IF(AC749="Intr",0,G749*[1]Data!$B$54)</f>
        <v>96600</v>
      </c>
      <c r="Y749" s="39">
        <f>IF(AC749="Intr",G749,G749*[1]Data!$B$55)</f>
        <v>20700</v>
      </c>
      <c r="Z749" s="72" t="s">
        <v>966</v>
      </c>
      <c r="AA749" s="72" t="s">
        <v>963</v>
      </c>
      <c r="AB749" s="39" t="s">
        <v>1268</v>
      </c>
      <c r="AC749" s="38"/>
      <c r="AD749" s="38"/>
      <c r="AE749" s="38"/>
      <c r="AF749" s="38"/>
      <c r="AG749" s="40"/>
      <c r="AH749" s="38"/>
    </row>
    <row r="750" spans="1:34" x14ac:dyDescent="0.2">
      <c r="A750" s="45">
        <v>45317</v>
      </c>
      <c r="B750" s="46" t="s">
        <v>635</v>
      </c>
      <c r="C750" s="46">
        <v>2024</v>
      </c>
      <c r="D750" s="46" t="s">
        <v>7</v>
      </c>
      <c r="E750" s="76">
        <v>-153.5</v>
      </c>
      <c r="F750" s="76" t="s">
        <v>33</v>
      </c>
      <c r="G750" s="77">
        <v>69075</v>
      </c>
      <c r="H750" s="76">
        <v>469</v>
      </c>
      <c r="I750" s="76" t="s">
        <v>80</v>
      </c>
      <c r="J750" s="76" t="s">
        <v>39</v>
      </c>
      <c r="K750" s="76">
        <v>155</v>
      </c>
      <c r="L750" s="76" t="s">
        <v>1397</v>
      </c>
      <c r="M750" s="76" t="s">
        <v>1515</v>
      </c>
      <c r="N750" s="76" t="s">
        <v>1516</v>
      </c>
      <c r="O750" s="76"/>
      <c r="P750" s="78" t="s">
        <v>117</v>
      </c>
      <c r="Q750" s="794">
        <v>39.947549000000002</v>
      </c>
      <c r="R750" s="691">
        <v>-86.294589000000002</v>
      </c>
      <c r="S750" s="78" t="s">
        <v>61</v>
      </c>
      <c r="T750" s="78"/>
      <c r="U750" s="78" t="s">
        <v>51</v>
      </c>
      <c r="V750" s="45"/>
      <c r="W750" s="47">
        <f>IF(AC750="Intr",0,G750*[1]Data!$B$53)</f>
        <v>10361.25</v>
      </c>
      <c r="X750" s="47">
        <f>IF(AC750="Intr",0,G750*[1]Data!$B$54)</f>
        <v>48352.5</v>
      </c>
      <c r="Y750" s="47">
        <f>IF(AC750="Intr",G750,G750*[1]Data!$B$55)</f>
        <v>10361.25</v>
      </c>
      <c r="Z750" s="78" t="s">
        <v>966</v>
      </c>
      <c r="AA750" s="78" t="s">
        <v>965</v>
      </c>
      <c r="AB750" s="47"/>
      <c r="AC750" s="46"/>
      <c r="AD750" s="46"/>
      <c r="AE750" s="46"/>
      <c r="AF750" s="46"/>
      <c r="AG750" s="48"/>
      <c r="AH750" s="46"/>
    </row>
    <row r="751" spans="1:34" x14ac:dyDescent="0.2">
      <c r="A751" s="49">
        <v>45322</v>
      </c>
      <c r="B751" s="50" t="s">
        <v>635</v>
      </c>
      <c r="C751" s="50">
        <v>2024</v>
      </c>
      <c r="D751" s="50" t="s">
        <v>2</v>
      </c>
      <c r="E751" s="51">
        <v>123</v>
      </c>
      <c r="F751" s="51" t="s">
        <v>33</v>
      </c>
      <c r="G751" s="52">
        <v>-61500</v>
      </c>
      <c r="H751" s="53">
        <v>302</v>
      </c>
      <c r="I751" s="51" t="s">
        <v>80</v>
      </c>
      <c r="J751" s="51" t="s">
        <v>39</v>
      </c>
      <c r="K751" s="51">
        <v>123</v>
      </c>
      <c r="L751" s="51" t="s">
        <v>726</v>
      </c>
      <c r="M751" s="51" t="s">
        <v>1106</v>
      </c>
      <c r="N751" s="54" t="s">
        <v>1107</v>
      </c>
      <c r="O751" s="50"/>
      <c r="P751" s="50" t="s">
        <v>1108</v>
      </c>
      <c r="Q751" s="824">
        <v>40.865900000000003</v>
      </c>
      <c r="R751" s="712">
        <v>-87.281000000000006</v>
      </c>
      <c r="S751" s="50" t="s">
        <v>63</v>
      </c>
      <c r="T751" s="50" t="s">
        <v>1532</v>
      </c>
      <c r="U751" s="50" t="s">
        <v>77</v>
      </c>
      <c r="V751" s="49">
        <v>44957</v>
      </c>
      <c r="W751" s="55">
        <f>IF(AC751="Intr",0,G751*[1]Data!$B$53)</f>
        <v>-9225</v>
      </c>
      <c r="X751" s="55">
        <f>IF(AC751="Intr",0,G751*[1]Data!$B$54)</f>
        <v>-43050</v>
      </c>
      <c r="Y751" s="55">
        <f>IF(AC751="Intr",G751,G751*[1]Data!$B$55)</f>
        <v>-9225</v>
      </c>
      <c r="Z751" s="55" t="s">
        <v>964</v>
      </c>
      <c r="AA751" s="55" t="s">
        <v>965</v>
      </c>
      <c r="AB751" s="55"/>
      <c r="AC751" s="50"/>
      <c r="AD751" s="50" t="s">
        <v>1533</v>
      </c>
      <c r="AE751" s="50"/>
      <c r="AF751" s="50"/>
      <c r="AG751" s="56"/>
      <c r="AH751" s="57" t="s">
        <v>1534</v>
      </c>
    </row>
    <row r="752" spans="1:34" x14ac:dyDescent="0.2">
      <c r="A752" s="49">
        <v>45322</v>
      </c>
      <c r="B752" s="50" t="s">
        <v>635</v>
      </c>
      <c r="C752" s="50">
        <v>2024</v>
      </c>
      <c r="D752" s="50" t="s">
        <v>2</v>
      </c>
      <c r="E752" s="51">
        <v>1.7999999999999999E-2</v>
      </c>
      <c r="F752" s="51" t="s">
        <v>32</v>
      </c>
      <c r="G752" s="52">
        <v>-1710</v>
      </c>
      <c r="H752" s="53">
        <v>302</v>
      </c>
      <c r="I752" s="51" t="s">
        <v>80</v>
      </c>
      <c r="J752" s="51" t="s">
        <v>36</v>
      </c>
      <c r="K752" s="51">
        <v>8.9999999999999993E-3</v>
      </c>
      <c r="L752" s="51" t="s">
        <v>726</v>
      </c>
      <c r="M752" s="51" t="s">
        <v>1106</v>
      </c>
      <c r="N752" s="54" t="s">
        <v>1107</v>
      </c>
      <c r="O752" s="50"/>
      <c r="P752" s="50" t="s">
        <v>1108</v>
      </c>
      <c r="Q752" s="824">
        <v>40.865900000000003</v>
      </c>
      <c r="R752" s="712">
        <v>-87.281000000000006</v>
      </c>
      <c r="S752" s="50" t="s">
        <v>63</v>
      </c>
      <c r="T752" s="50" t="s">
        <v>1532</v>
      </c>
      <c r="U752" s="50" t="s">
        <v>77</v>
      </c>
      <c r="V752" s="49">
        <v>44957</v>
      </c>
      <c r="W752" s="55">
        <f>IF(AC752="Intr",0,G752*[1]Data!$B$53)</f>
        <v>-256.5</v>
      </c>
      <c r="X752" s="55">
        <f>IF(AC752="Intr",0,G752*[1]Data!$B$54)</f>
        <v>-1197</v>
      </c>
      <c r="Y752" s="55">
        <f>IF(AC752="Intr",G752,G752*[1]Data!$B$55)</f>
        <v>-256.5</v>
      </c>
      <c r="Z752" s="55" t="s">
        <v>964</v>
      </c>
      <c r="AA752" s="55" t="s">
        <v>965</v>
      </c>
      <c r="AB752" s="55"/>
      <c r="AC752" s="50"/>
      <c r="AD752" s="50" t="s">
        <v>1533</v>
      </c>
      <c r="AE752" s="50"/>
      <c r="AF752" s="50"/>
      <c r="AG752" s="56"/>
      <c r="AH752" s="57" t="s">
        <v>1534</v>
      </c>
    </row>
    <row r="753" spans="1:256" x14ac:dyDescent="0.2">
      <c r="A753" s="58">
        <v>45327</v>
      </c>
      <c r="B753" s="59" t="s">
        <v>163</v>
      </c>
      <c r="C753" s="59">
        <v>2024</v>
      </c>
      <c r="D753" s="64" t="s">
        <v>7</v>
      </c>
      <c r="E753" s="577">
        <v>-1.36</v>
      </c>
      <c r="F753" s="577" t="s">
        <v>32</v>
      </c>
      <c r="G753" s="579">
        <v>108800</v>
      </c>
      <c r="H753" s="577">
        <v>477</v>
      </c>
      <c r="I753" s="577" t="s">
        <v>81</v>
      </c>
      <c r="J753" s="577" t="s">
        <v>36</v>
      </c>
      <c r="K753" s="577">
        <v>0.68</v>
      </c>
      <c r="L753" s="577" t="s">
        <v>1590</v>
      </c>
      <c r="M753" s="577" t="s">
        <v>103</v>
      </c>
      <c r="N753" s="577" t="s">
        <v>1597</v>
      </c>
      <c r="O753" s="577"/>
      <c r="P753" s="582" t="s">
        <v>117</v>
      </c>
      <c r="Q753" s="825">
        <v>39.930031</v>
      </c>
      <c r="R753" s="713">
        <v>-86.247806999999995</v>
      </c>
      <c r="S753" s="582" t="s">
        <v>61</v>
      </c>
      <c r="T753" s="583"/>
      <c r="U753" s="64" t="s">
        <v>51</v>
      </c>
      <c r="V753" s="58"/>
      <c r="W753" s="65">
        <f>IF(AC753="Intr",0,G753*Definitions!$B$53)</f>
        <v>16320</v>
      </c>
      <c r="X753" s="65">
        <f>IF(AC753="Intr",0,G753*Definitions!$B$54)</f>
        <v>76160</v>
      </c>
      <c r="Y753" s="65">
        <f>IF(AC753="Intr",G753,G753*Definitions!$B$55)</f>
        <v>16320</v>
      </c>
      <c r="Z753" s="582" t="s">
        <v>966</v>
      </c>
      <c r="AA753" s="582" t="s">
        <v>963</v>
      </c>
      <c r="AB753" s="64" t="s">
        <v>1268</v>
      </c>
      <c r="AC753" s="59"/>
      <c r="AD753" s="59"/>
      <c r="AE753" s="59"/>
      <c r="AF753" s="59"/>
      <c r="AG753" s="66"/>
      <c r="AH753" s="59"/>
    </row>
    <row r="754" spans="1:256" x14ac:dyDescent="0.2">
      <c r="A754" s="58">
        <v>45327</v>
      </c>
      <c r="B754" s="59" t="s">
        <v>163</v>
      </c>
      <c r="C754" s="59">
        <v>2024</v>
      </c>
      <c r="D754" s="64" t="s">
        <v>7</v>
      </c>
      <c r="E754" s="63">
        <v>-0.67</v>
      </c>
      <c r="F754" s="63" t="s">
        <v>32</v>
      </c>
      <c r="G754" s="492">
        <v>53600</v>
      </c>
      <c r="H754" s="63">
        <v>477</v>
      </c>
      <c r="I754" s="63" t="s">
        <v>81</v>
      </c>
      <c r="J754" s="63" t="s">
        <v>38</v>
      </c>
      <c r="K754" s="63">
        <v>0.27</v>
      </c>
      <c r="L754" s="63" t="s">
        <v>1590</v>
      </c>
      <c r="M754" s="63" t="s">
        <v>103</v>
      </c>
      <c r="N754" s="63" t="s">
        <v>1597</v>
      </c>
      <c r="O754" s="63"/>
      <c r="P754" s="64" t="s">
        <v>117</v>
      </c>
      <c r="Q754" s="813">
        <v>39.930031</v>
      </c>
      <c r="R754" s="707">
        <v>-86.247806999999995</v>
      </c>
      <c r="S754" s="64" t="s">
        <v>61</v>
      </c>
      <c r="T754" s="59"/>
      <c r="U754" s="64" t="s">
        <v>51</v>
      </c>
      <c r="V754" s="58"/>
      <c r="W754" s="65">
        <f>IF(AC754="Intr",0,G754*Definitions!$B$53)</f>
        <v>8040</v>
      </c>
      <c r="X754" s="65">
        <f>IF(AC754="Intr",0,G754*Definitions!$B$54)</f>
        <v>37520</v>
      </c>
      <c r="Y754" s="65">
        <f>IF(AC754="Intr",G754,G754*Definitions!$B$55)</f>
        <v>8040</v>
      </c>
      <c r="Z754" s="64" t="s">
        <v>966</v>
      </c>
      <c r="AA754" s="64" t="s">
        <v>963</v>
      </c>
      <c r="AB754" s="64" t="s">
        <v>1268</v>
      </c>
      <c r="AC754" s="59"/>
      <c r="AD754" s="59"/>
      <c r="AE754" s="59"/>
      <c r="AF754" s="59"/>
      <c r="AG754" s="66"/>
      <c r="AH754" s="59"/>
    </row>
    <row r="755" spans="1:256" x14ac:dyDescent="0.2">
      <c r="A755" s="145">
        <v>45329</v>
      </c>
      <c r="B755" s="112" t="s">
        <v>163</v>
      </c>
      <c r="C755" s="112">
        <v>2024</v>
      </c>
      <c r="D755" s="342" t="s">
        <v>5</v>
      </c>
      <c r="E755" s="149">
        <v>-47</v>
      </c>
      <c r="F755" s="149" t="s">
        <v>33</v>
      </c>
      <c r="G755" s="448">
        <v>18800</v>
      </c>
      <c r="H755" s="149">
        <v>471</v>
      </c>
      <c r="I755" s="149" t="s">
        <v>80</v>
      </c>
      <c r="J755" s="149" t="s">
        <v>40</v>
      </c>
      <c r="K755" s="149">
        <v>47</v>
      </c>
      <c r="L755" s="149" t="s">
        <v>726</v>
      </c>
      <c r="M755" s="149" t="s">
        <v>1591</v>
      </c>
      <c r="N755" s="149" t="s">
        <v>1598</v>
      </c>
      <c r="O755" s="149"/>
      <c r="P755" s="342" t="s">
        <v>151</v>
      </c>
      <c r="Q755" s="802">
        <v>40.822166000000003</v>
      </c>
      <c r="R755" s="880">
        <v>-85.311150999999995</v>
      </c>
      <c r="S755" s="342" t="s">
        <v>63</v>
      </c>
      <c r="T755" s="112"/>
      <c r="U755" s="342" t="s">
        <v>51</v>
      </c>
      <c r="V755" s="145"/>
      <c r="W755" s="150">
        <f>IF(AC755="Intr",0,G755*Definitions!$B$53)</f>
        <v>2820</v>
      </c>
      <c r="X755" s="150">
        <f>IF(AC755="Intr",0,G755*Definitions!$B$54)</f>
        <v>13160</v>
      </c>
      <c r="Y755" s="150">
        <f>IF(AC755="Intr",G755,G755*Definitions!$B$55)</f>
        <v>2820</v>
      </c>
      <c r="Z755" s="342" t="s">
        <v>966</v>
      </c>
      <c r="AA755" s="342" t="s">
        <v>965</v>
      </c>
      <c r="AB755" s="342"/>
      <c r="AC755" s="112"/>
      <c r="AD755" s="112"/>
      <c r="AE755" s="112"/>
      <c r="AF755" s="112"/>
      <c r="AG755" s="151"/>
      <c r="AH755" s="112"/>
    </row>
    <row r="756" spans="1:256" x14ac:dyDescent="0.2">
      <c r="A756" s="145">
        <v>45329</v>
      </c>
      <c r="B756" s="112" t="s">
        <v>163</v>
      </c>
      <c r="C756" s="112">
        <v>2024</v>
      </c>
      <c r="D756" s="342" t="s">
        <v>5</v>
      </c>
      <c r="E756" s="149">
        <v>-0.64</v>
      </c>
      <c r="F756" s="149" t="s">
        <v>32</v>
      </c>
      <c r="G756" s="448">
        <f>E756*80000*(-1)</f>
        <v>51200</v>
      </c>
      <c r="H756" s="149">
        <v>471</v>
      </c>
      <c r="I756" s="149" t="s">
        <v>80</v>
      </c>
      <c r="J756" s="149" t="s">
        <v>38</v>
      </c>
      <c r="K756" s="149">
        <v>0.16</v>
      </c>
      <c r="L756" s="149" t="s">
        <v>726</v>
      </c>
      <c r="M756" s="149" t="s">
        <v>1591</v>
      </c>
      <c r="N756" s="149" t="s">
        <v>1598</v>
      </c>
      <c r="O756" s="149"/>
      <c r="P756" s="342" t="s">
        <v>151</v>
      </c>
      <c r="Q756" s="802">
        <v>40.822166000000003</v>
      </c>
      <c r="R756" s="699">
        <v>-85.311150999999995</v>
      </c>
      <c r="S756" s="342" t="s">
        <v>63</v>
      </c>
      <c r="T756" s="112"/>
      <c r="U756" s="342" t="s">
        <v>51</v>
      </c>
      <c r="V756" s="145"/>
      <c r="W756" s="150">
        <f>IF(AC756="Intr",0,G756*Definitions!$B$53)</f>
        <v>7680</v>
      </c>
      <c r="X756" s="150">
        <f>IF(AC756="Intr",0,G756*Definitions!$B$54)</f>
        <v>35840</v>
      </c>
      <c r="Y756" s="150">
        <f>IF(AC756="Intr",G756,G756*Definitions!$B$55)</f>
        <v>7680</v>
      </c>
      <c r="Z756" s="342" t="s">
        <v>966</v>
      </c>
      <c r="AA756" s="342" t="s">
        <v>965</v>
      </c>
      <c r="AB756" s="342"/>
      <c r="AC756" s="112"/>
      <c r="AD756" s="112"/>
      <c r="AE756" s="112"/>
      <c r="AF756" s="112"/>
      <c r="AG756" s="151"/>
      <c r="AH756" s="112"/>
    </row>
    <row r="757" spans="1:256" x14ac:dyDescent="0.2">
      <c r="A757" s="45">
        <v>45338</v>
      </c>
      <c r="B757" s="46" t="s">
        <v>163</v>
      </c>
      <c r="C757" s="46">
        <v>2024</v>
      </c>
      <c r="D757" s="78" t="s">
        <v>5</v>
      </c>
      <c r="E757" s="76">
        <v>-1.5</v>
      </c>
      <c r="F757" s="76" t="s">
        <v>32</v>
      </c>
      <c r="G757" s="77">
        <v>120000</v>
      </c>
      <c r="H757" s="76">
        <v>463</v>
      </c>
      <c r="I757" s="76" t="s">
        <v>81</v>
      </c>
      <c r="J757" s="76" t="s">
        <v>36</v>
      </c>
      <c r="K757" s="76">
        <v>1.5</v>
      </c>
      <c r="L757" s="76" t="s">
        <v>1592</v>
      </c>
      <c r="M757" s="76" t="s">
        <v>103</v>
      </c>
      <c r="N757" s="76" t="s">
        <v>1599</v>
      </c>
      <c r="O757" s="76"/>
      <c r="P757" s="78" t="s">
        <v>274</v>
      </c>
      <c r="Q757" s="794">
        <v>40.411695999999999</v>
      </c>
      <c r="R757" s="691">
        <v>-86.825644999999994</v>
      </c>
      <c r="S757" s="78" t="s">
        <v>61</v>
      </c>
      <c r="T757" s="46"/>
      <c r="U757" s="78" t="s">
        <v>51</v>
      </c>
      <c r="V757" s="45"/>
      <c r="W757" s="47">
        <f>IF(AC757="Intr",0,G757*Definitions!$B$53)</f>
        <v>18000</v>
      </c>
      <c r="X757" s="47">
        <f>IF(AC757="Intr",0,G757*Definitions!$B$54)</f>
        <v>84000</v>
      </c>
      <c r="Y757" s="47">
        <f>IF(AC757="Intr",G757,G757*Definitions!$B$55)</f>
        <v>18000</v>
      </c>
      <c r="Z757" s="78" t="s">
        <v>966</v>
      </c>
      <c r="AA757" s="78" t="s">
        <v>963</v>
      </c>
      <c r="AB757" s="78"/>
      <c r="AC757" s="46"/>
      <c r="AD757" s="46"/>
      <c r="AE757" s="46"/>
      <c r="AF757" s="46"/>
      <c r="AG757" s="48"/>
      <c r="AH757" s="46"/>
    </row>
    <row r="758" spans="1:256" x14ac:dyDescent="0.2">
      <c r="A758" s="37">
        <v>45342</v>
      </c>
      <c r="B758" s="38" t="s">
        <v>163</v>
      </c>
      <c r="C758" s="38">
        <v>2024</v>
      </c>
      <c r="D758" s="72" t="s">
        <v>7</v>
      </c>
      <c r="E758" s="70">
        <v>-8.4250000000000007</v>
      </c>
      <c r="F758" s="70" t="s">
        <v>32</v>
      </c>
      <c r="G758" s="71">
        <v>674000</v>
      </c>
      <c r="H758" s="70">
        <v>482</v>
      </c>
      <c r="I758" s="70" t="s">
        <v>81</v>
      </c>
      <c r="J758" s="70" t="s">
        <v>38</v>
      </c>
      <c r="K758" s="70">
        <v>3.37</v>
      </c>
      <c r="L758" s="70" t="s">
        <v>1593</v>
      </c>
      <c r="M758" s="70" t="s">
        <v>103</v>
      </c>
      <c r="N758" s="70" t="s">
        <v>1600</v>
      </c>
      <c r="O758" s="70"/>
      <c r="P758" s="72" t="s">
        <v>143</v>
      </c>
      <c r="Q758" s="790">
        <v>39.641040699999998</v>
      </c>
      <c r="R758" s="687">
        <v>-86.066323299999993</v>
      </c>
      <c r="S758" s="72" t="s">
        <v>61</v>
      </c>
      <c r="T758" s="38"/>
      <c r="U758" s="72" t="s">
        <v>51</v>
      </c>
      <c r="V758" s="37"/>
      <c r="W758" s="39">
        <f>IF(AC758="Intr",0,G758*Definitions!$B$53)</f>
        <v>101100</v>
      </c>
      <c r="X758" s="39">
        <f>IF(AC758="Intr",0,G758*Definitions!$B$54)</f>
        <v>471799.99999999994</v>
      </c>
      <c r="Y758" s="39">
        <f>IF(AC758="Intr",G758,G758*Definitions!$B$55)</f>
        <v>101100</v>
      </c>
      <c r="Z758" s="72" t="s">
        <v>966</v>
      </c>
      <c r="AA758" s="72" t="s">
        <v>963</v>
      </c>
      <c r="AB758" s="72" t="s">
        <v>1268</v>
      </c>
      <c r="AC758" s="38"/>
      <c r="AD758" s="38"/>
      <c r="AE758" s="38"/>
      <c r="AF758" s="38"/>
      <c r="AG758" s="40"/>
      <c r="AH758" s="38"/>
    </row>
    <row r="759" spans="1:256" x14ac:dyDescent="0.2">
      <c r="A759" s="184">
        <v>45342</v>
      </c>
      <c r="B759" s="113" t="s">
        <v>163</v>
      </c>
      <c r="C759" s="113">
        <v>2024</v>
      </c>
      <c r="D759" s="488" t="s">
        <v>8</v>
      </c>
      <c r="E759" s="188">
        <v>-12</v>
      </c>
      <c r="F759" s="188" t="s">
        <v>33</v>
      </c>
      <c r="G759" s="528">
        <v>4800</v>
      </c>
      <c r="H759" s="188">
        <v>472</v>
      </c>
      <c r="I759" s="188" t="s">
        <v>80</v>
      </c>
      <c r="J759" s="188" t="s">
        <v>40</v>
      </c>
      <c r="K759" s="188">
        <v>10</v>
      </c>
      <c r="L759" s="188" t="s">
        <v>1594</v>
      </c>
      <c r="M759" s="188" t="s">
        <v>1595</v>
      </c>
      <c r="N759" s="188" t="s">
        <v>1601</v>
      </c>
      <c r="O759" s="188"/>
      <c r="P759" s="488" t="s">
        <v>356</v>
      </c>
      <c r="Q759" s="826">
        <v>38.997250000000001</v>
      </c>
      <c r="R759" s="714">
        <v>-85.650336999999993</v>
      </c>
      <c r="S759" s="488" t="s">
        <v>61</v>
      </c>
      <c r="T759" s="113"/>
      <c r="U759" s="488" t="s">
        <v>51</v>
      </c>
      <c r="V759" s="184"/>
      <c r="W759" s="189">
        <f>IF(AC759="Intr",0,G759*Definitions!$B$53)</f>
        <v>720</v>
      </c>
      <c r="X759" s="189">
        <f>IF(AC759="Intr",0,G759*Definitions!$B$54)</f>
        <v>3360</v>
      </c>
      <c r="Y759" s="189">
        <f>IF(AC759="Intr",G759,G759*Definitions!$B$55)</f>
        <v>720</v>
      </c>
      <c r="Z759" s="488" t="s">
        <v>966</v>
      </c>
      <c r="AA759" s="488" t="s">
        <v>965</v>
      </c>
      <c r="AB759" s="488"/>
      <c r="AC759" s="113"/>
      <c r="AD759" s="113"/>
      <c r="AE759" s="113"/>
      <c r="AF759" s="113"/>
      <c r="AG759" s="190"/>
      <c r="AH759" s="113"/>
    </row>
    <row r="760" spans="1:256" s="402" customFormat="1" x14ac:dyDescent="0.2">
      <c r="A760" s="184">
        <v>45342</v>
      </c>
      <c r="B760" s="113" t="s">
        <v>163</v>
      </c>
      <c r="C760" s="113">
        <v>2024</v>
      </c>
      <c r="D760" s="575" t="s">
        <v>8</v>
      </c>
      <c r="E760" s="576">
        <v>-1.2</v>
      </c>
      <c r="F760" s="576" t="s">
        <v>32</v>
      </c>
      <c r="G760" s="578">
        <v>96000</v>
      </c>
      <c r="H760" s="576">
        <v>472</v>
      </c>
      <c r="I760" s="576" t="s">
        <v>80</v>
      </c>
      <c r="J760" s="576" t="s">
        <v>37</v>
      </c>
      <c r="K760" s="576">
        <v>0.48</v>
      </c>
      <c r="L760" s="576" t="s">
        <v>1594</v>
      </c>
      <c r="M760" s="188" t="s">
        <v>1595</v>
      </c>
      <c r="N760" s="576" t="s">
        <v>1601</v>
      </c>
      <c r="O760" s="576"/>
      <c r="P760" s="575" t="s">
        <v>356</v>
      </c>
      <c r="Q760" s="827">
        <v>38.997250000000001</v>
      </c>
      <c r="R760" s="715">
        <v>-85.650336999999993</v>
      </c>
      <c r="S760" s="575" t="s">
        <v>61</v>
      </c>
      <c r="T760" s="113"/>
      <c r="U760" s="113" t="s">
        <v>51</v>
      </c>
      <c r="V760" s="184"/>
      <c r="W760" s="189">
        <f>IF(AC760="Intr",0,G760*Definitions!$B$53)</f>
        <v>14400</v>
      </c>
      <c r="X760" s="189">
        <f>IF(AC760="Intr",0,G760*Definitions!$B$54)</f>
        <v>67200</v>
      </c>
      <c r="Y760" s="189">
        <f>IF(AC760="Intr",G760,G760*Definitions!$B$55)</f>
        <v>14400</v>
      </c>
      <c r="Z760" s="575" t="s">
        <v>966</v>
      </c>
      <c r="AA760" s="575" t="s">
        <v>965</v>
      </c>
      <c r="AB760" s="575"/>
      <c r="AC760" s="113"/>
      <c r="AD760" s="113"/>
      <c r="AE760" s="113"/>
      <c r="AF760" s="113"/>
      <c r="AG760" s="190"/>
      <c r="AH760" s="113"/>
      <c r="AI760" s="105"/>
      <c r="AJ760" s="105"/>
      <c r="AK760" s="105"/>
      <c r="AL760" s="105"/>
      <c r="AM760" s="105"/>
      <c r="AN760" s="105"/>
      <c r="AO760" s="105"/>
      <c r="AP760" s="105"/>
      <c r="AQ760" s="105"/>
      <c r="AR760" s="105"/>
      <c r="AS760" s="105"/>
      <c r="AT760" s="105"/>
      <c r="AU760" s="105"/>
      <c r="AV760" s="105"/>
      <c r="AW760" s="105"/>
      <c r="AX760" s="105"/>
      <c r="AY760" s="105"/>
      <c r="AZ760" s="105"/>
      <c r="BA760" s="105"/>
      <c r="BB760" s="105"/>
      <c r="BC760" s="105"/>
      <c r="BD760" s="105"/>
      <c r="BE760" s="105"/>
      <c r="BF760" s="105"/>
      <c r="BG760" s="105"/>
      <c r="BH760" s="105"/>
      <c r="BI760" s="105"/>
      <c r="BJ760" s="105"/>
      <c r="BK760" s="105"/>
      <c r="BL760" s="105"/>
      <c r="BM760" s="105"/>
      <c r="BN760" s="105"/>
      <c r="BO760" s="105"/>
      <c r="BP760" s="105"/>
      <c r="BQ760" s="105"/>
      <c r="BR760" s="105"/>
      <c r="BS760" s="105"/>
      <c r="BT760" s="105"/>
      <c r="BU760" s="105"/>
      <c r="BV760" s="105"/>
      <c r="BW760" s="105"/>
      <c r="BX760" s="105"/>
      <c r="BY760" s="105"/>
      <c r="BZ760" s="105"/>
      <c r="CA760" s="105"/>
      <c r="CB760" s="105"/>
      <c r="CC760" s="105"/>
      <c r="CD760" s="105"/>
      <c r="CE760" s="105"/>
      <c r="CF760" s="105"/>
      <c r="CG760" s="105"/>
      <c r="CH760" s="105"/>
      <c r="CI760" s="105"/>
      <c r="CJ760" s="105"/>
      <c r="CK760" s="105"/>
      <c r="CL760" s="105"/>
      <c r="CM760" s="105"/>
      <c r="CN760" s="105"/>
      <c r="CO760" s="105"/>
      <c r="CP760" s="105"/>
      <c r="CQ760" s="105"/>
      <c r="CR760" s="105"/>
      <c r="CS760" s="105"/>
      <c r="CT760" s="105"/>
      <c r="CU760" s="105"/>
      <c r="CV760" s="105"/>
      <c r="CW760" s="105"/>
      <c r="CX760" s="105"/>
      <c r="CY760" s="105"/>
      <c r="CZ760" s="105"/>
      <c r="DA760" s="105"/>
      <c r="DB760" s="105"/>
      <c r="DC760" s="105"/>
      <c r="DD760" s="105"/>
      <c r="DE760" s="105"/>
      <c r="DF760" s="105"/>
      <c r="DG760" s="105"/>
      <c r="DH760" s="105"/>
      <c r="DI760" s="105"/>
      <c r="DJ760" s="105"/>
      <c r="DK760" s="105"/>
      <c r="DL760" s="105"/>
      <c r="DM760" s="105"/>
      <c r="DN760" s="105"/>
      <c r="DO760" s="105"/>
      <c r="DP760" s="105"/>
      <c r="DQ760" s="105"/>
      <c r="DR760" s="105"/>
      <c r="DS760" s="105"/>
      <c r="DT760" s="105"/>
      <c r="DU760" s="105"/>
      <c r="DV760" s="105"/>
      <c r="DW760" s="105"/>
      <c r="DX760" s="105"/>
      <c r="DY760" s="105"/>
      <c r="DZ760" s="105"/>
      <c r="EA760" s="105"/>
      <c r="EB760" s="105"/>
      <c r="EC760" s="105"/>
      <c r="ED760" s="105"/>
      <c r="EE760" s="105"/>
      <c r="EF760" s="105"/>
      <c r="EG760" s="105"/>
      <c r="EH760" s="105"/>
      <c r="EI760" s="105"/>
      <c r="EJ760" s="105"/>
      <c r="EK760" s="105"/>
      <c r="EL760" s="105"/>
      <c r="EM760" s="105"/>
      <c r="EN760" s="105"/>
      <c r="EO760" s="105"/>
      <c r="EP760" s="105"/>
      <c r="EQ760" s="105"/>
      <c r="ER760" s="105"/>
      <c r="ES760" s="105"/>
      <c r="ET760" s="105"/>
      <c r="EU760" s="105"/>
      <c r="EV760" s="105"/>
      <c r="EW760" s="105"/>
      <c r="EX760" s="105"/>
      <c r="EY760" s="105"/>
      <c r="EZ760" s="105"/>
      <c r="FA760" s="105"/>
      <c r="FB760" s="105"/>
      <c r="FC760" s="105"/>
      <c r="FD760" s="105"/>
      <c r="FE760" s="105"/>
      <c r="FF760" s="105"/>
      <c r="FG760" s="105"/>
      <c r="FH760" s="105"/>
      <c r="FI760" s="105"/>
      <c r="FJ760" s="105"/>
      <c r="FK760" s="105"/>
      <c r="FL760" s="105"/>
      <c r="FM760" s="105"/>
      <c r="FN760" s="105"/>
      <c r="FO760" s="105"/>
      <c r="FP760" s="105"/>
      <c r="FQ760" s="105"/>
      <c r="FR760" s="105"/>
      <c r="FS760" s="105"/>
      <c r="FT760" s="105"/>
      <c r="FU760" s="105"/>
      <c r="FV760" s="105"/>
      <c r="FW760" s="105"/>
      <c r="FX760" s="105"/>
      <c r="FY760" s="105"/>
      <c r="FZ760" s="105"/>
      <c r="GA760" s="105"/>
      <c r="GB760" s="105"/>
      <c r="GC760" s="105"/>
      <c r="GD760" s="105"/>
      <c r="GE760" s="105"/>
      <c r="GF760" s="105"/>
      <c r="GG760" s="105"/>
      <c r="GH760" s="105"/>
      <c r="GI760" s="105"/>
      <c r="GJ760" s="105"/>
      <c r="GK760" s="105"/>
      <c r="GL760" s="105"/>
      <c r="GM760" s="105"/>
      <c r="GN760" s="105"/>
      <c r="GO760" s="105"/>
      <c r="GP760" s="105"/>
      <c r="GQ760" s="105"/>
      <c r="GR760" s="105"/>
      <c r="GS760" s="105"/>
      <c r="GT760" s="105"/>
      <c r="GU760" s="105"/>
      <c r="GV760" s="105"/>
      <c r="GW760" s="105"/>
      <c r="GX760" s="105"/>
      <c r="GY760" s="105"/>
      <c r="GZ760" s="105"/>
      <c r="HA760" s="105"/>
      <c r="HB760" s="105"/>
      <c r="HC760" s="105"/>
      <c r="HD760" s="105"/>
      <c r="HE760" s="105"/>
      <c r="HF760" s="105"/>
      <c r="HG760" s="105"/>
      <c r="HH760" s="105"/>
      <c r="HI760" s="105"/>
      <c r="HJ760" s="105"/>
      <c r="HK760" s="105"/>
      <c r="HL760" s="105"/>
      <c r="HM760" s="105"/>
      <c r="HN760" s="105"/>
      <c r="HO760" s="105"/>
      <c r="HP760" s="105"/>
      <c r="HQ760" s="105"/>
      <c r="HR760" s="105"/>
      <c r="HS760" s="105"/>
      <c r="HT760" s="105"/>
      <c r="HU760" s="105"/>
      <c r="HV760" s="105"/>
      <c r="HW760" s="105"/>
      <c r="HX760" s="105"/>
      <c r="HY760" s="105"/>
      <c r="HZ760" s="105"/>
      <c r="IA760" s="105"/>
      <c r="IB760" s="105"/>
      <c r="IC760" s="105"/>
      <c r="ID760" s="105"/>
      <c r="IE760" s="105"/>
      <c r="IF760" s="105"/>
      <c r="IG760" s="105"/>
      <c r="IH760" s="105"/>
      <c r="II760" s="105"/>
      <c r="IJ760" s="105"/>
      <c r="IK760" s="105"/>
      <c r="IL760" s="105"/>
      <c r="IM760" s="105"/>
      <c r="IN760" s="105"/>
      <c r="IO760" s="105"/>
      <c r="IP760" s="105"/>
      <c r="IQ760" s="105"/>
      <c r="IR760" s="105"/>
      <c r="IS760" s="105"/>
      <c r="IT760" s="105"/>
      <c r="IU760" s="105"/>
      <c r="IV760" s="105"/>
    </row>
    <row r="761" spans="1:256" s="402" customFormat="1" x14ac:dyDescent="0.2">
      <c r="A761" s="282">
        <v>45345</v>
      </c>
      <c r="B761" s="114" t="s">
        <v>163</v>
      </c>
      <c r="C761" s="114">
        <v>2024</v>
      </c>
      <c r="D761" s="356" t="s">
        <v>7</v>
      </c>
      <c r="E761" s="285">
        <v>-3.9350000000000001</v>
      </c>
      <c r="F761" s="285" t="s">
        <v>32</v>
      </c>
      <c r="G761" s="493">
        <v>314800</v>
      </c>
      <c r="H761" s="285">
        <v>475</v>
      </c>
      <c r="I761" s="285" t="s">
        <v>80</v>
      </c>
      <c r="J761" s="285" t="s">
        <v>38</v>
      </c>
      <c r="K761" s="285">
        <v>0.67800000000000005</v>
      </c>
      <c r="L761" s="285" t="s">
        <v>1235</v>
      </c>
      <c r="M761" s="285" t="s">
        <v>1596</v>
      </c>
      <c r="N761" s="285" t="s">
        <v>1602</v>
      </c>
      <c r="O761" s="285"/>
      <c r="P761" s="356" t="s">
        <v>137</v>
      </c>
      <c r="Q761" s="800">
        <v>40.028688000000002</v>
      </c>
      <c r="R761" s="697">
        <v>-86.009584000000004</v>
      </c>
      <c r="S761" s="356" t="s">
        <v>980</v>
      </c>
      <c r="T761" s="114"/>
      <c r="U761" s="114" t="s">
        <v>51</v>
      </c>
      <c r="V761" s="282"/>
      <c r="W761" s="286">
        <f>IF(AC761="Intr",0,G761*Definitions!$B$53)</f>
        <v>47220</v>
      </c>
      <c r="X761" s="286">
        <f>IF(AC761="Intr",0,G761*Definitions!$B$54)</f>
        <v>220360</v>
      </c>
      <c r="Y761" s="286">
        <f>IF(AC761="Intr",G761,G761*Definitions!$B$55)</f>
        <v>47220</v>
      </c>
      <c r="Z761" s="356" t="s">
        <v>966</v>
      </c>
      <c r="AA761" s="356" t="s">
        <v>965</v>
      </c>
      <c r="AB761" s="356"/>
      <c r="AC761" s="114"/>
      <c r="AD761" s="114"/>
      <c r="AE761" s="114"/>
      <c r="AF761" s="114"/>
      <c r="AG761" s="287"/>
      <c r="AH761" s="114"/>
      <c r="AI761" s="105"/>
      <c r="AJ761" s="105"/>
      <c r="AK761" s="105"/>
      <c r="AL761" s="105"/>
      <c r="AM761" s="105"/>
      <c r="AN761" s="105"/>
      <c r="AO761" s="105"/>
      <c r="AP761" s="105"/>
      <c r="AQ761" s="105"/>
      <c r="AR761" s="105"/>
      <c r="AS761" s="105"/>
      <c r="AT761" s="105"/>
      <c r="AU761" s="105"/>
      <c r="AV761" s="105"/>
      <c r="AW761" s="105"/>
      <c r="AX761" s="105"/>
      <c r="AY761" s="105"/>
      <c r="AZ761" s="105"/>
      <c r="BA761" s="105"/>
      <c r="BB761" s="105"/>
      <c r="BC761" s="105"/>
      <c r="BD761" s="105"/>
      <c r="BE761" s="105"/>
      <c r="BF761" s="105"/>
      <c r="BG761" s="105"/>
      <c r="BH761" s="105"/>
      <c r="BI761" s="105"/>
      <c r="BJ761" s="105"/>
      <c r="BK761" s="105"/>
      <c r="BL761" s="105"/>
      <c r="BM761" s="105"/>
      <c r="BN761" s="105"/>
      <c r="BO761" s="105"/>
      <c r="BP761" s="105"/>
      <c r="BQ761" s="105"/>
      <c r="BR761" s="105"/>
      <c r="BS761" s="105"/>
      <c r="BT761" s="105"/>
      <c r="BU761" s="105"/>
      <c r="BV761" s="105"/>
      <c r="BW761" s="105"/>
      <c r="BX761" s="105"/>
      <c r="BY761" s="105"/>
      <c r="BZ761" s="105"/>
      <c r="CA761" s="105"/>
      <c r="CB761" s="105"/>
      <c r="CC761" s="105"/>
      <c r="CD761" s="105"/>
      <c r="CE761" s="105"/>
      <c r="CF761" s="105"/>
      <c r="CG761" s="105"/>
      <c r="CH761" s="105"/>
      <c r="CI761" s="105"/>
      <c r="CJ761" s="105"/>
      <c r="CK761" s="105"/>
      <c r="CL761" s="105"/>
      <c r="CM761" s="105"/>
      <c r="CN761" s="105"/>
      <c r="CO761" s="105"/>
      <c r="CP761" s="105"/>
      <c r="CQ761" s="105"/>
      <c r="CR761" s="105"/>
      <c r="CS761" s="105"/>
      <c r="CT761" s="105"/>
      <c r="CU761" s="105"/>
      <c r="CV761" s="105"/>
      <c r="CW761" s="105"/>
      <c r="CX761" s="105"/>
      <c r="CY761" s="105"/>
      <c r="CZ761" s="105"/>
      <c r="DA761" s="105"/>
      <c r="DB761" s="105"/>
      <c r="DC761" s="105"/>
      <c r="DD761" s="105"/>
      <c r="DE761" s="105"/>
      <c r="DF761" s="105"/>
      <c r="DG761" s="105"/>
      <c r="DH761" s="105"/>
      <c r="DI761" s="105"/>
      <c r="DJ761" s="105"/>
      <c r="DK761" s="105"/>
      <c r="DL761" s="105"/>
      <c r="DM761" s="105"/>
      <c r="DN761" s="105"/>
      <c r="DO761" s="105"/>
      <c r="DP761" s="105"/>
      <c r="DQ761" s="105"/>
      <c r="DR761" s="105"/>
      <c r="DS761" s="105"/>
      <c r="DT761" s="105"/>
      <c r="DU761" s="105"/>
      <c r="DV761" s="105"/>
      <c r="DW761" s="105"/>
      <c r="DX761" s="105"/>
      <c r="DY761" s="105"/>
      <c r="DZ761" s="105"/>
      <c r="EA761" s="105"/>
      <c r="EB761" s="105"/>
      <c r="EC761" s="105"/>
      <c r="ED761" s="105"/>
      <c r="EE761" s="105"/>
      <c r="EF761" s="105"/>
      <c r="EG761" s="105"/>
      <c r="EH761" s="105"/>
      <c r="EI761" s="105"/>
      <c r="EJ761" s="105"/>
      <c r="EK761" s="105"/>
      <c r="EL761" s="105"/>
      <c r="EM761" s="105"/>
      <c r="EN761" s="105"/>
      <c r="EO761" s="105"/>
      <c r="EP761" s="105"/>
      <c r="EQ761" s="105"/>
      <c r="ER761" s="105"/>
      <c r="ES761" s="105"/>
      <c r="ET761" s="105"/>
      <c r="EU761" s="105"/>
      <c r="EV761" s="105"/>
      <c r="EW761" s="105"/>
      <c r="EX761" s="105"/>
      <c r="EY761" s="105"/>
      <c r="EZ761" s="105"/>
      <c r="FA761" s="105"/>
      <c r="FB761" s="105"/>
      <c r="FC761" s="105"/>
      <c r="FD761" s="105"/>
      <c r="FE761" s="105"/>
      <c r="FF761" s="105"/>
      <c r="FG761" s="105"/>
      <c r="FH761" s="105"/>
      <c r="FI761" s="105"/>
      <c r="FJ761" s="105"/>
      <c r="FK761" s="105"/>
      <c r="FL761" s="105"/>
      <c r="FM761" s="105"/>
      <c r="FN761" s="105"/>
      <c r="FO761" s="105"/>
      <c r="FP761" s="105"/>
      <c r="FQ761" s="105"/>
      <c r="FR761" s="105"/>
      <c r="FS761" s="105"/>
      <c r="FT761" s="105"/>
      <c r="FU761" s="105"/>
      <c r="FV761" s="105"/>
      <c r="FW761" s="105"/>
      <c r="FX761" s="105"/>
      <c r="FY761" s="105"/>
      <c r="FZ761" s="105"/>
      <c r="GA761" s="105"/>
      <c r="GB761" s="105"/>
      <c r="GC761" s="105"/>
      <c r="GD761" s="105"/>
      <c r="GE761" s="105"/>
      <c r="GF761" s="105"/>
      <c r="GG761" s="105"/>
      <c r="GH761" s="105"/>
      <c r="GI761" s="105"/>
      <c r="GJ761" s="105"/>
      <c r="GK761" s="105"/>
      <c r="GL761" s="105"/>
      <c r="GM761" s="105"/>
      <c r="GN761" s="105"/>
      <c r="GO761" s="105"/>
      <c r="GP761" s="105"/>
      <c r="GQ761" s="105"/>
      <c r="GR761" s="105"/>
      <c r="GS761" s="105"/>
      <c r="GT761" s="105"/>
      <c r="GU761" s="105"/>
      <c r="GV761" s="105"/>
      <c r="GW761" s="105"/>
      <c r="GX761" s="105"/>
      <c r="GY761" s="105"/>
      <c r="GZ761" s="105"/>
      <c r="HA761" s="105"/>
      <c r="HB761" s="105"/>
      <c r="HC761" s="105"/>
      <c r="HD761" s="105"/>
      <c r="HE761" s="105"/>
      <c r="HF761" s="105"/>
      <c r="HG761" s="105"/>
      <c r="HH761" s="105"/>
      <c r="HI761" s="105"/>
      <c r="HJ761" s="105"/>
      <c r="HK761" s="105"/>
      <c r="HL761" s="105"/>
      <c r="HM761" s="105"/>
      <c r="HN761" s="105"/>
      <c r="HO761" s="105"/>
      <c r="HP761" s="105"/>
      <c r="HQ761" s="105"/>
      <c r="HR761" s="105"/>
      <c r="HS761" s="105"/>
      <c r="HT761" s="105"/>
      <c r="HU761" s="105"/>
      <c r="HV761" s="105"/>
      <c r="HW761" s="105"/>
      <c r="HX761" s="105"/>
      <c r="HY761" s="105"/>
      <c r="HZ761" s="105"/>
      <c r="IA761" s="105"/>
      <c r="IB761" s="105"/>
      <c r="IC761" s="105"/>
      <c r="ID761" s="105"/>
      <c r="IE761" s="105"/>
      <c r="IF761" s="105"/>
      <c r="IG761" s="105"/>
      <c r="IH761" s="105"/>
      <c r="II761" s="105"/>
      <c r="IJ761" s="105"/>
      <c r="IK761" s="105"/>
      <c r="IL761" s="105"/>
      <c r="IM761" s="105"/>
      <c r="IN761" s="105"/>
      <c r="IO761" s="105"/>
      <c r="IP761" s="105"/>
      <c r="IQ761" s="105"/>
      <c r="IR761" s="105"/>
      <c r="IS761" s="105"/>
      <c r="IT761" s="105"/>
      <c r="IU761" s="105"/>
      <c r="IV761" s="105"/>
    </row>
    <row r="762" spans="1:256" s="388" customFormat="1" x14ac:dyDescent="0.2">
      <c r="A762" s="160">
        <v>45358</v>
      </c>
      <c r="B762" s="161" t="s">
        <v>173</v>
      </c>
      <c r="C762" s="161">
        <v>2024</v>
      </c>
      <c r="D762" s="380" t="s">
        <v>6</v>
      </c>
      <c r="E762" s="165">
        <v>-43</v>
      </c>
      <c r="F762" s="165" t="s">
        <v>33</v>
      </c>
      <c r="G762" s="378">
        <v>17200</v>
      </c>
      <c r="H762" s="165">
        <v>473</v>
      </c>
      <c r="I762" s="165" t="s">
        <v>80</v>
      </c>
      <c r="J762" s="165" t="s">
        <v>40</v>
      </c>
      <c r="K762" s="165">
        <v>383</v>
      </c>
      <c r="L762" s="165" t="s">
        <v>726</v>
      </c>
      <c r="M762" s="165" t="s">
        <v>1603</v>
      </c>
      <c r="N762" s="165" t="s">
        <v>1604</v>
      </c>
      <c r="O762" s="380"/>
      <c r="P762" s="380" t="s">
        <v>1605</v>
      </c>
      <c r="Q762" s="799">
        <v>40.117241999999997</v>
      </c>
      <c r="R762" s="696">
        <v>-87.452340000000007</v>
      </c>
      <c r="S762" s="161" t="s">
        <v>63</v>
      </c>
      <c r="T762" s="161"/>
      <c r="U762" s="161" t="s">
        <v>51</v>
      </c>
      <c r="V762" s="160"/>
      <c r="W762" s="166">
        <f>IF(AC762="Intr",0,G762*Definitions!$B$53)</f>
        <v>2580</v>
      </c>
      <c r="X762" s="166">
        <f>IF(AC762="Intr",0,G762*Definitions!$B$54)</f>
        <v>12040</v>
      </c>
      <c r="Y762" s="166">
        <f>IF(AC762="Intr",G762,G762*Definitions!$B$55)</f>
        <v>2580</v>
      </c>
      <c r="Z762" s="166" t="s">
        <v>966</v>
      </c>
      <c r="AA762" s="166" t="s">
        <v>965</v>
      </c>
      <c r="AB762" s="166"/>
      <c r="AC762" s="161"/>
      <c r="AD762" s="161"/>
      <c r="AE762" s="161"/>
      <c r="AF762" s="161"/>
      <c r="AG762" s="167"/>
      <c r="AH762" s="380" t="s">
        <v>1632</v>
      </c>
      <c r="AI762" s="105"/>
      <c r="AJ762" s="105"/>
      <c r="AK762" s="105"/>
      <c r="AL762" s="105"/>
      <c r="AM762" s="105"/>
      <c r="AN762" s="105"/>
      <c r="AO762" s="105"/>
      <c r="AP762" s="105"/>
      <c r="AQ762" s="105"/>
      <c r="AR762" s="105"/>
      <c r="AS762" s="105"/>
      <c r="AT762" s="105"/>
      <c r="AU762" s="105"/>
      <c r="AV762" s="105"/>
      <c r="AW762" s="105"/>
      <c r="AX762" s="105"/>
      <c r="AY762" s="105"/>
      <c r="AZ762" s="105"/>
      <c r="BA762" s="105"/>
      <c r="BB762" s="105"/>
      <c r="BC762" s="105"/>
      <c r="BD762" s="105"/>
      <c r="BE762" s="105"/>
      <c r="BF762" s="105"/>
      <c r="BG762" s="105"/>
      <c r="BH762" s="105"/>
      <c r="BI762" s="105"/>
      <c r="BJ762" s="105"/>
      <c r="BK762" s="105"/>
      <c r="BL762" s="105"/>
      <c r="BM762" s="105"/>
      <c r="BN762" s="105"/>
      <c r="BO762" s="105"/>
      <c r="BP762" s="105"/>
      <c r="BQ762" s="105"/>
      <c r="BR762" s="105"/>
      <c r="BS762" s="105"/>
      <c r="BT762" s="105"/>
      <c r="BU762" s="105"/>
      <c r="BV762" s="105"/>
      <c r="BW762" s="105"/>
      <c r="BX762" s="105"/>
      <c r="BY762" s="105"/>
      <c r="BZ762" s="105"/>
      <c r="CA762" s="105"/>
      <c r="CB762" s="105"/>
      <c r="CC762" s="105"/>
      <c r="CD762" s="105"/>
      <c r="CE762" s="105"/>
      <c r="CF762" s="105"/>
      <c r="CG762" s="105"/>
      <c r="CH762" s="105"/>
      <c r="CI762" s="105"/>
      <c r="CJ762" s="105"/>
      <c r="CK762" s="105"/>
      <c r="CL762" s="105"/>
      <c r="CM762" s="105"/>
      <c r="CN762" s="105"/>
      <c r="CO762" s="105"/>
      <c r="CP762" s="105"/>
      <c r="CQ762" s="105"/>
      <c r="CR762" s="105"/>
      <c r="CS762" s="105"/>
      <c r="CT762" s="105"/>
      <c r="CU762" s="105"/>
      <c r="CV762" s="105"/>
      <c r="CW762" s="105"/>
      <c r="CX762" s="105"/>
      <c r="CY762" s="105"/>
      <c r="CZ762" s="105"/>
      <c r="DA762" s="105"/>
      <c r="DB762" s="105"/>
      <c r="DC762" s="105"/>
      <c r="DD762" s="105"/>
      <c r="DE762" s="105"/>
      <c r="DF762" s="105"/>
      <c r="DG762" s="105"/>
      <c r="DH762" s="105"/>
      <c r="DI762" s="105"/>
      <c r="DJ762" s="105"/>
      <c r="DK762" s="105"/>
      <c r="DL762" s="105"/>
      <c r="DM762" s="105"/>
      <c r="DN762" s="105"/>
      <c r="DO762" s="105"/>
      <c r="DP762" s="105"/>
      <c r="DQ762" s="105"/>
      <c r="DR762" s="105"/>
      <c r="DS762" s="105"/>
      <c r="DT762" s="105"/>
      <c r="DU762" s="105"/>
      <c r="DV762" s="105"/>
      <c r="DW762" s="105"/>
      <c r="DX762" s="105"/>
      <c r="DY762" s="105"/>
      <c r="DZ762" s="105"/>
      <c r="EA762" s="105"/>
      <c r="EB762" s="105"/>
      <c r="EC762" s="105"/>
      <c r="ED762" s="105"/>
      <c r="EE762" s="105"/>
      <c r="EF762" s="105"/>
      <c r="EG762" s="105"/>
      <c r="EH762" s="105"/>
      <c r="EI762" s="105"/>
      <c r="EJ762" s="105"/>
      <c r="EK762" s="105"/>
      <c r="EL762" s="105"/>
      <c r="EM762" s="105"/>
      <c r="EN762" s="105"/>
      <c r="EO762" s="105"/>
      <c r="EP762" s="105"/>
      <c r="EQ762" s="105"/>
      <c r="ER762" s="105"/>
      <c r="ES762" s="105"/>
      <c r="ET762" s="105"/>
      <c r="EU762" s="105"/>
      <c r="EV762" s="105"/>
      <c r="EW762" s="105"/>
      <c r="EX762" s="105"/>
      <c r="EY762" s="105"/>
      <c r="EZ762" s="105"/>
      <c r="FA762" s="105"/>
      <c r="FB762" s="105"/>
      <c r="FC762" s="105"/>
      <c r="FD762" s="105"/>
      <c r="FE762" s="105"/>
      <c r="FF762" s="105"/>
      <c r="FG762" s="105"/>
      <c r="FH762" s="105"/>
      <c r="FI762" s="105"/>
      <c r="FJ762" s="105"/>
      <c r="FK762" s="105"/>
      <c r="FL762" s="105"/>
      <c r="FM762" s="105"/>
      <c r="FN762" s="105"/>
      <c r="FO762" s="105"/>
      <c r="FP762" s="105"/>
      <c r="FQ762" s="105"/>
      <c r="FR762" s="105"/>
      <c r="FS762" s="105"/>
      <c r="FT762" s="105"/>
      <c r="FU762" s="105"/>
      <c r="FV762" s="105"/>
      <c r="FW762" s="105"/>
      <c r="FX762" s="105"/>
      <c r="FY762" s="105"/>
      <c r="FZ762" s="105"/>
      <c r="GA762" s="105"/>
      <c r="GB762" s="105"/>
      <c r="GC762" s="105"/>
      <c r="GD762" s="105"/>
      <c r="GE762" s="105"/>
      <c r="GF762" s="105"/>
      <c r="GG762" s="105"/>
      <c r="GH762" s="105"/>
      <c r="GI762" s="105"/>
      <c r="GJ762" s="105"/>
      <c r="GK762" s="105"/>
      <c r="GL762" s="105"/>
      <c r="GM762" s="105"/>
      <c r="GN762" s="105"/>
      <c r="GO762" s="105"/>
      <c r="GP762" s="105"/>
      <c r="GQ762" s="105"/>
      <c r="GR762" s="105"/>
      <c r="GS762" s="105"/>
      <c r="GT762" s="105"/>
      <c r="GU762" s="105"/>
      <c r="GV762" s="105"/>
      <c r="GW762" s="105"/>
      <c r="GX762" s="105"/>
      <c r="GY762" s="105"/>
      <c r="GZ762" s="105"/>
      <c r="HA762" s="105"/>
      <c r="HB762" s="105"/>
      <c r="HC762" s="105"/>
      <c r="HD762" s="105"/>
      <c r="HE762" s="105"/>
      <c r="HF762" s="105"/>
      <c r="HG762" s="105"/>
      <c r="HH762" s="105"/>
      <c r="HI762" s="105"/>
      <c r="HJ762" s="105"/>
      <c r="HK762" s="105"/>
      <c r="HL762" s="105"/>
      <c r="HM762" s="105"/>
      <c r="HN762" s="105"/>
      <c r="HO762" s="105"/>
      <c r="HP762" s="105"/>
      <c r="HQ762" s="105"/>
      <c r="HR762" s="105"/>
      <c r="HS762" s="105"/>
      <c r="HT762" s="105"/>
      <c r="HU762" s="105"/>
      <c r="HV762" s="105"/>
      <c r="HW762" s="105"/>
      <c r="HX762" s="105"/>
      <c r="HY762" s="105"/>
      <c r="HZ762" s="105"/>
      <c r="IA762" s="105"/>
      <c r="IB762" s="105"/>
      <c r="IC762" s="105"/>
      <c r="ID762" s="105"/>
      <c r="IE762" s="105"/>
      <c r="IF762" s="105"/>
      <c r="IG762" s="105"/>
      <c r="IH762" s="105"/>
      <c r="II762" s="105"/>
      <c r="IJ762" s="105"/>
      <c r="IK762" s="105"/>
      <c r="IL762" s="105"/>
      <c r="IM762" s="105"/>
      <c r="IN762" s="105"/>
      <c r="IO762" s="105"/>
      <c r="IP762" s="105"/>
      <c r="IQ762" s="105"/>
      <c r="IR762" s="105"/>
      <c r="IS762" s="105"/>
      <c r="IT762" s="105"/>
      <c r="IU762" s="105"/>
      <c r="IV762" s="105"/>
    </row>
    <row r="763" spans="1:256" s="388" customFormat="1" x14ac:dyDescent="0.2">
      <c r="A763" s="88">
        <v>45358</v>
      </c>
      <c r="B763" s="89" t="s">
        <v>173</v>
      </c>
      <c r="C763" s="89">
        <v>2024</v>
      </c>
      <c r="D763" s="94" t="s">
        <v>3</v>
      </c>
      <c r="E763" s="93">
        <v>-4.3339999999999996</v>
      </c>
      <c r="F763" s="93" t="s">
        <v>32</v>
      </c>
      <c r="G763" s="546">
        <v>520080</v>
      </c>
      <c r="H763" s="93">
        <v>487</v>
      </c>
      <c r="I763" s="93" t="s">
        <v>81</v>
      </c>
      <c r="J763" s="93" t="s">
        <v>36</v>
      </c>
      <c r="K763" s="93">
        <v>3.044</v>
      </c>
      <c r="L763" s="93" t="s">
        <v>1606</v>
      </c>
      <c r="M763" s="93" t="s">
        <v>103</v>
      </c>
      <c r="N763" s="470" t="s">
        <v>1607</v>
      </c>
      <c r="O763" s="93"/>
      <c r="P763" s="94" t="s">
        <v>270</v>
      </c>
      <c r="Q763" s="792">
        <v>41.662261999999998</v>
      </c>
      <c r="R763" s="689">
        <v>-86.022976999999997</v>
      </c>
      <c r="S763" s="94" t="s">
        <v>61</v>
      </c>
      <c r="T763" s="89"/>
      <c r="U763" s="89" t="s">
        <v>51</v>
      </c>
      <c r="V763" s="88"/>
      <c r="W763" s="95">
        <f>IF(AC763="Intr",0,G763*Definitions!$B$53)</f>
        <v>78012</v>
      </c>
      <c r="X763" s="95">
        <f>IF(AC763="Intr",0,G763*Definitions!$B$54)</f>
        <v>364056</v>
      </c>
      <c r="Y763" s="95">
        <f>IF(AC763="Intr",G763,G763*Definitions!$B$55)</f>
        <v>78012</v>
      </c>
      <c r="Z763" s="94" t="s">
        <v>964</v>
      </c>
      <c r="AA763" s="94" t="s">
        <v>963</v>
      </c>
      <c r="AB763" s="94" t="s">
        <v>970</v>
      </c>
      <c r="AC763" s="89"/>
      <c r="AD763" s="89"/>
      <c r="AE763" s="89"/>
      <c r="AF763" s="89"/>
      <c r="AG763" s="96"/>
      <c r="AH763" s="89"/>
      <c r="AI763" s="105"/>
      <c r="AJ763" s="105"/>
      <c r="AK763" s="105"/>
      <c r="AL763" s="105"/>
      <c r="AM763" s="105"/>
      <c r="AN763" s="105"/>
      <c r="AO763" s="105"/>
      <c r="AP763" s="105"/>
      <c r="AQ763" s="105"/>
      <c r="AR763" s="105"/>
      <c r="AS763" s="105"/>
      <c r="AT763" s="105"/>
      <c r="AU763" s="105"/>
      <c r="AV763" s="105"/>
      <c r="AW763" s="105"/>
      <c r="AX763" s="105"/>
      <c r="AY763" s="105"/>
      <c r="AZ763" s="105"/>
      <c r="BA763" s="105"/>
      <c r="BB763" s="105"/>
      <c r="BC763" s="105"/>
      <c r="BD763" s="105"/>
      <c r="BE763" s="105"/>
      <c r="BF763" s="105"/>
      <c r="BG763" s="105"/>
      <c r="BH763" s="105"/>
      <c r="BI763" s="105"/>
      <c r="BJ763" s="105"/>
      <c r="BK763" s="105"/>
      <c r="BL763" s="105"/>
      <c r="BM763" s="105"/>
      <c r="BN763" s="105"/>
      <c r="BO763" s="105"/>
      <c r="BP763" s="105"/>
      <c r="BQ763" s="105"/>
      <c r="BR763" s="105"/>
      <c r="BS763" s="105"/>
      <c r="BT763" s="105"/>
      <c r="BU763" s="105"/>
      <c r="BV763" s="105"/>
      <c r="BW763" s="105"/>
      <c r="BX763" s="105"/>
      <c r="BY763" s="105"/>
      <c r="BZ763" s="105"/>
      <c r="CA763" s="105"/>
      <c r="CB763" s="105"/>
      <c r="CC763" s="105"/>
      <c r="CD763" s="105"/>
      <c r="CE763" s="105"/>
      <c r="CF763" s="105"/>
      <c r="CG763" s="105"/>
      <c r="CH763" s="105"/>
      <c r="CI763" s="105"/>
      <c r="CJ763" s="105"/>
      <c r="CK763" s="105"/>
      <c r="CL763" s="105"/>
      <c r="CM763" s="105"/>
      <c r="CN763" s="105"/>
      <c r="CO763" s="105"/>
      <c r="CP763" s="105"/>
      <c r="CQ763" s="105"/>
      <c r="CR763" s="105"/>
      <c r="CS763" s="105"/>
      <c r="CT763" s="105"/>
      <c r="CU763" s="105"/>
      <c r="CV763" s="105"/>
      <c r="CW763" s="105"/>
      <c r="CX763" s="105"/>
      <c r="CY763" s="105"/>
      <c r="CZ763" s="105"/>
      <c r="DA763" s="105"/>
      <c r="DB763" s="105"/>
      <c r="DC763" s="105"/>
      <c r="DD763" s="105"/>
      <c r="DE763" s="105"/>
      <c r="DF763" s="105"/>
      <c r="DG763" s="105"/>
      <c r="DH763" s="105"/>
      <c r="DI763" s="105"/>
      <c r="DJ763" s="105"/>
      <c r="DK763" s="105"/>
      <c r="DL763" s="105"/>
      <c r="DM763" s="105"/>
      <c r="DN763" s="105"/>
      <c r="DO763" s="105"/>
      <c r="DP763" s="105"/>
      <c r="DQ763" s="105"/>
      <c r="DR763" s="105"/>
      <c r="DS763" s="105"/>
      <c r="DT763" s="105"/>
      <c r="DU763" s="105"/>
      <c r="DV763" s="105"/>
      <c r="DW763" s="105"/>
      <c r="DX763" s="105"/>
      <c r="DY763" s="105"/>
      <c r="DZ763" s="105"/>
      <c r="EA763" s="105"/>
      <c r="EB763" s="105"/>
      <c r="EC763" s="105"/>
      <c r="ED763" s="105"/>
      <c r="EE763" s="105"/>
      <c r="EF763" s="105"/>
      <c r="EG763" s="105"/>
      <c r="EH763" s="105"/>
      <c r="EI763" s="105"/>
      <c r="EJ763" s="105"/>
      <c r="EK763" s="105"/>
      <c r="EL763" s="105"/>
      <c r="EM763" s="105"/>
      <c r="EN763" s="105"/>
      <c r="EO763" s="105"/>
      <c r="EP763" s="105"/>
      <c r="EQ763" s="105"/>
      <c r="ER763" s="105"/>
      <c r="ES763" s="105"/>
      <c r="ET763" s="105"/>
      <c r="EU763" s="105"/>
      <c r="EV763" s="105"/>
      <c r="EW763" s="105"/>
      <c r="EX763" s="105"/>
      <c r="EY763" s="105"/>
      <c r="EZ763" s="105"/>
      <c r="FA763" s="105"/>
      <c r="FB763" s="105"/>
      <c r="FC763" s="105"/>
      <c r="FD763" s="105"/>
      <c r="FE763" s="105"/>
      <c r="FF763" s="105"/>
      <c r="FG763" s="105"/>
      <c r="FH763" s="105"/>
      <c r="FI763" s="105"/>
      <c r="FJ763" s="105"/>
      <c r="FK763" s="105"/>
      <c r="FL763" s="105"/>
      <c r="FM763" s="105"/>
      <c r="FN763" s="105"/>
      <c r="FO763" s="105"/>
      <c r="FP763" s="105"/>
      <c r="FQ763" s="105"/>
      <c r="FR763" s="105"/>
      <c r="FS763" s="105"/>
      <c r="FT763" s="105"/>
      <c r="FU763" s="105"/>
      <c r="FV763" s="105"/>
      <c r="FW763" s="105"/>
      <c r="FX763" s="105"/>
      <c r="FY763" s="105"/>
      <c r="FZ763" s="105"/>
      <c r="GA763" s="105"/>
      <c r="GB763" s="105"/>
      <c r="GC763" s="105"/>
      <c r="GD763" s="105"/>
      <c r="GE763" s="105"/>
      <c r="GF763" s="105"/>
      <c r="GG763" s="105"/>
      <c r="GH763" s="105"/>
      <c r="GI763" s="105"/>
      <c r="GJ763" s="105"/>
      <c r="GK763" s="105"/>
      <c r="GL763" s="105"/>
      <c r="GM763" s="105"/>
      <c r="GN763" s="105"/>
      <c r="GO763" s="105"/>
      <c r="GP763" s="105"/>
      <c r="GQ763" s="105"/>
      <c r="GR763" s="105"/>
      <c r="GS763" s="105"/>
      <c r="GT763" s="105"/>
      <c r="GU763" s="105"/>
      <c r="GV763" s="105"/>
      <c r="GW763" s="105"/>
      <c r="GX763" s="105"/>
      <c r="GY763" s="105"/>
      <c r="GZ763" s="105"/>
      <c r="HA763" s="105"/>
      <c r="HB763" s="105"/>
      <c r="HC763" s="105"/>
      <c r="HD763" s="105"/>
      <c r="HE763" s="105"/>
      <c r="HF763" s="105"/>
      <c r="HG763" s="105"/>
      <c r="HH763" s="105"/>
      <c r="HI763" s="105"/>
      <c r="HJ763" s="105"/>
      <c r="HK763" s="105"/>
      <c r="HL763" s="105"/>
      <c r="HM763" s="105"/>
      <c r="HN763" s="105"/>
      <c r="HO763" s="105"/>
      <c r="HP763" s="105"/>
      <c r="HQ763" s="105"/>
      <c r="HR763" s="105"/>
      <c r="HS763" s="105"/>
      <c r="HT763" s="105"/>
      <c r="HU763" s="105"/>
      <c r="HV763" s="105"/>
      <c r="HW763" s="105"/>
      <c r="HX763" s="105"/>
      <c r="HY763" s="105"/>
      <c r="HZ763" s="105"/>
      <c r="IA763" s="105"/>
      <c r="IB763" s="105"/>
      <c r="IC763" s="105"/>
      <c r="ID763" s="105"/>
      <c r="IE763" s="105"/>
      <c r="IF763" s="105"/>
      <c r="IG763" s="105"/>
      <c r="IH763" s="105"/>
      <c r="II763" s="105"/>
      <c r="IJ763" s="105"/>
      <c r="IK763" s="105"/>
      <c r="IL763" s="105"/>
      <c r="IM763" s="105"/>
      <c r="IN763" s="105"/>
      <c r="IO763" s="105"/>
      <c r="IP763" s="105"/>
      <c r="IQ763" s="105"/>
      <c r="IR763" s="105"/>
      <c r="IS763" s="105"/>
      <c r="IT763" s="105"/>
      <c r="IU763" s="105"/>
      <c r="IV763" s="105"/>
    </row>
    <row r="764" spans="1:256" s="407" customFormat="1" x14ac:dyDescent="0.2">
      <c r="A764" s="88">
        <v>45358</v>
      </c>
      <c r="B764" s="89" t="s">
        <v>173</v>
      </c>
      <c r="C764" s="89">
        <v>2024</v>
      </c>
      <c r="D764" s="94" t="s">
        <v>3</v>
      </c>
      <c r="E764" s="93">
        <v>-0.79500000000000004</v>
      </c>
      <c r="F764" s="93" t="s">
        <v>32</v>
      </c>
      <c r="G764" s="546">
        <v>95400</v>
      </c>
      <c r="H764" s="93">
        <v>487</v>
      </c>
      <c r="I764" s="93" t="s">
        <v>81</v>
      </c>
      <c r="J764" s="93" t="s">
        <v>38</v>
      </c>
      <c r="K764" s="93">
        <v>0.53</v>
      </c>
      <c r="L764" s="93" t="s">
        <v>1606</v>
      </c>
      <c r="M764" s="93" t="s">
        <v>103</v>
      </c>
      <c r="N764" s="470" t="s">
        <v>1607</v>
      </c>
      <c r="O764" s="93"/>
      <c r="P764" s="94" t="s">
        <v>270</v>
      </c>
      <c r="Q764" s="792">
        <v>41.662261999999998</v>
      </c>
      <c r="R764" s="689">
        <v>-86.022976999999997</v>
      </c>
      <c r="S764" s="94" t="s">
        <v>61</v>
      </c>
      <c r="T764" s="89"/>
      <c r="U764" s="89" t="s">
        <v>51</v>
      </c>
      <c r="V764" s="88"/>
      <c r="W764" s="95">
        <f>IF(AC764="Intr",0,G764*Definitions!$B$53)</f>
        <v>14310</v>
      </c>
      <c r="X764" s="95">
        <f>IF(AC764="Intr",0,G764*Definitions!$B$54)</f>
        <v>66780</v>
      </c>
      <c r="Y764" s="95">
        <f>IF(AC764="Intr",G764,G764*Definitions!$B$55)</f>
        <v>14310</v>
      </c>
      <c r="Z764" s="94" t="s">
        <v>964</v>
      </c>
      <c r="AA764" s="94" t="s">
        <v>963</v>
      </c>
      <c r="AB764" s="94" t="s">
        <v>1245</v>
      </c>
      <c r="AC764" s="89"/>
      <c r="AD764" s="89"/>
      <c r="AE764" s="89"/>
      <c r="AF764" s="89"/>
      <c r="AG764" s="96"/>
      <c r="AH764" s="89"/>
      <c r="AI764" s="105"/>
      <c r="AJ764" s="105"/>
      <c r="AK764" s="105"/>
      <c r="AL764" s="105"/>
      <c r="AM764" s="105"/>
      <c r="AN764" s="105"/>
      <c r="AO764" s="105"/>
      <c r="AP764" s="105"/>
      <c r="AQ764" s="105"/>
      <c r="AR764" s="105"/>
      <c r="AS764" s="105"/>
      <c r="AT764" s="105"/>
      <c r="AU764" s="105"/>
      <c r="AV764" s="105"/>
      <c r="AW764" s="105"/>
      <c r="AX764" s="105"/>
      <c r="AY764" s="105"/>
      <c r="AZ764" s="105"/>
      <c r="BA764" s="105"/>
      <c r="BB764" s="105"/>
      <c r="BC764" s="105"/>
      <c r="BD764" s="105"/>
      <c r="BE764" s="105"/>
      <c r="BF764" s="105"/>
      <c r="BG764" s="105"/>
      <c r="BH764" s="105"/>
      <c r="BI764" s="105"/>
      <c r="BJ764" s="105"/>
      <c r="BK764" s="105"/>
      <c r="BL764" s="105"/>
      <c r="BM764" s="105"/>
      <c r="BN764" s="105"/>
      <c r="BO764" s="105"/>
      <c r="BP764" s="105"/>
      <c r="BQ764" s="105"/>
      <c r="BR764" s="105"/>
      <c r="BS764" s="105"/>
      <c r="BT764" s="105"/>
      <c r="BU764" s="105"/>
      <c r="BV764" s="105"/>
      <c r="BW764" s="105"/>
      <c r="BX764" s="105"/>
      <c r="BY764" s="105"/>
      <c r="BZ764" s="105"/>
      <c r="CA764" s="105"/>
      <c r="CB764" s="105"/>
      <c r="CC764" s="105"/>
      <c r="CD764" s="105"/>
      <c r="CE764" s="105"/>
      <c r="CF764" s="105"/>
      <c r="CG764" s="105"/>
      <c r="CH764" s="105"/>
      <c r="CI764" s="105"/>
      <c r="CJ764" s="105"/>
      <c r="CK764" s="105"/>
      <c r="CL764" s="105"/>
      <c r="CM764" s="105"/>
      <c r="CN764" s="105"/>
      <c r="CO764" s="105"/>
      <c r="CP764" s="105"/>
      <c r="CQ764" s="105"/>
      <c r="CR764" s="105"/>
      <c r="CS764" s="105"/>
      <c r="CT764" s="105"/>
      <c r="CU764" s="105"/>
      <c r="CV764" s="105"/>
      <c r="CW764" s="105"/>
      <c r="CX764" s="105"/>
      <c r="CY764" s="105"/>
      <c r="CZ764" s="105"/>
      <c r="DA764" s="105"/>
      <c r="DB764" s="105"/>
      <c r="DC764" s="105"/>
      <c r="DD764" s="105"/>
      <c r="DE764" s="105"/>
      <c r="DF764" s="105"/>
      <c r="DG764" s="105"/>
      <c r="DH764" s="105"/>
      <c r="DI764" s="105"/>
      <c r="DJ764" s="105"/>
      <c r="DK764" s="105"/>
      <c r="DL764" s="105"/>
      <c r="DM764" s="105"/>
      <c r="DN764" s="105"/>
      <c r="DO764" s="105"/>
      <c r="DP764" s="105"/>
      <c r="DQ764" s="105"/>
      <c r="DR764" s="105"/>
      <c r="DS764" s="105"/>
      <c r="DT764" s="105"/>
      <c r="DU764" s="105"/>
      <c r="DV764" s="105"/>
      <c r="DW764" s="105"/>
      <c r="DX764" s="105"/>
      <c r="DY764" s="105"/>
      <c r="DZ764" s="105"/>
      <c r="EA764" s="105"/>
      <c r="EB764" s="105"/>
      <c r="EC764" s="105"/>
      <c r="ED764" s="105"/>
      <c r="EE764" s="105"/>
      <c r="EF764" s="105"/>
      <c r="EG764" s="105"/>
      <c r="EH764" s="105"/>
      <c r="EI764" s="105"/>
      <c r="EJ764" s="105"/>
      <c r="EK764" s="105"/>
      <c r="EL764" s="105"/>
      <c r="EM764" s="105"/>
      <c r="EN764" s="105"/>
      <c r="EO764" s="105"/>
      <c r="EP764" s="105"/>
      <c r="EQ764" s="105"/>
      <c r="ER764" s="105"/>
      <c r="ES764" s="105"/>
      <c r="ET764" s="105"/>
      <c r="EU764" s="105"/>
      <c r="EV764" s="105"/>
      <c r="EW764" s="105"/>
      <c r="EX764" s="105"/>
      <c r="EY764" s="105"/>
      <c r="EZ764" s="105"/>
      <c r="FA764" s="105"/>
      <c r="FB764" s="105"/>
      <c r="FC764" s="105"/>
      <c r="FD764" s="105"/>
      <c r="FE764" s="105"/>
      <c r="FF764" s="105"/>
      <c r="FG764" s="105"/>
      <c r="FH764" s="105"/>
      <c r="FI764" s="105"/>
      <c r="FJ764" s="105"/>
      <c r="FK764" s="105"/>
      <c r="FL764" s="105"/>
      <c r="FM764" s="105"/>
      <c r="FN764" s="105"/>
      <c r="FO764" s="105"/>
      <c r="FP764" s="105"/>
      <c r="FQ764" s="105"/>
      <c r="FR764" s="105"/>
      <c r="FS764" s="105"/>
      <c r="FT764" s="105"/>
      <c r="FU764" s="105"/>
      <c r="FV764" s="105"/>
      <c r="FW764" s="105"/>
      <c r="FX764" s="105"/>
      <c r="FY764" s="105"/>
      <c r="FZ764" s="105"/>
      <c r="GA764" s="105"/>
      <c r="GB764" s="105"/>
      <c r="GC764" s="105"/>
      <c r="GD764" s="105"/>
      <c r="GE764" s="105"/>
      <c r="GF764" s="105"/>
      <c r="GG764" s="105"/>
      <c r="GH764" s="105"/>
      <c r="GI764" s="105"/>
      <c r="GJ764" s="105"/>
      <c r="GK764" s="105"/>
      <c r="GL764" s="105"/>
      <c r="GM764" s="105"/>
      <c r="GN764" s="105"/>
      <c r="GO764" s="105"/>
      <c r="GP764" s="105"/>
      <c r="GQ764" s="105"/>
      <c r="GR764" s="105"/>
      <c r="GS764" s="105"/>
      <c r="GT764" s="105"/>
      <c r="GU764" s="105"/>
      <c r="GV764" s="105"/>
      <c r="GW764" s="105"/>
      <c r="GX764" s="105"/>
      <c r="GY764" s="105"/>
      <c r="GZ764" s="105"/>
      <c r="HA764" s="105"/>
      <c r="HB764" s="105"/>
      <c r="HC764" s="105"/>
      <c r="HD764" s="105"/>
      <c r="HE764" s="105"/>
      <c r="HF764" s="105"/>
      <c r="HG764" s="105"/>
      <c r="HH764" s="105"/>
      <c r="HI764" s="105"/>
      <c r="HJ764" s="105"/>
      <c r="HK764" s="105"/>
      <c r="HL764" s="105"/>
      <c r="HM764" s="105"/>
      <c r="HN764" s="105"/>
      <c r="HO764" s="105"/>
      <c r="HP764" s="105"/>
      <c r="HQ764" s="105"/>
      <c r="HR764" s="105"/>
      <c r="HS764" s="105"/>
      <c r="HT764" s="105"/>
      <c r="HU764" s="105"/>
      <c r="HV764" s="105"/>
      <c r="HW764" s="105"/>
      <c r="HX764" s="105"/>
      <c r="HY764" s="105"/>
      <c r="HZ764" s="105"/>
      <c r="IA764" s="105"/>
      <c r="IB764" s="105"/>
      <c r="IC764" s="105"/>
      <c r="ID764" s="105"/>
      <c r="IE764" s="105"/>
      <c r="IF764" s="105"/>
      <c r="IG764" s="105"/>
      <c r="IH764" s="105"/>
      <c r="II764" s="105"/>
      <c r="IJ764" s="105"/>
      <c r="IK764" s="105"/>
      <c r="IL764" s="105"/>
      <c r="IM764" s="105"/>
      <c r="IN764" s="105"/>
      <c r="IO764" s="105"/>
      <c r="IP764" s="105"/>
      <c r="IQ764" s="105"/>
      <c r="IR764" s="105"/>
      <c r="IS764" s="105"/>
      <c r="IT764" s="105"/>
      <c r="IU764" s="105"/>
      <c r="IV764" s="105"/>
    </row>
    <row r="765" spans="1:256" x14ac:dyDescent="0.2">
      <c r="A765" s="551">
        <v>45362</v>
      </c>
      <c r="B765" s="208" t="s">
        <v>173</v>
      </c>
      <c r="C765" s="208">
        <v>2024</v>
      </c>
      <c r="D765" s="304" t="s">
        <v>7</v>
      </c>
      <c r="E765" s="212">
        <v>-89</v>
      </c>
      <c r="F765" s="212" t="s">
        <v>33</v>
      </c>
      <c r="G765" s="426">
        <v>40050</v>
      </c>
      <c r="H765" s="212">
        <v>484</v>
      </c>
      <c r="I765" s="212" t="s">
        <v>80</v>
      </c>
      <c r="J765" s="212" t="s">
        <v>39</v>
      </c>
      <c r="K765" s="212">
        <v>74</v>
      </c>
      <c r="L765" s="212" t="s">
        <v>471</v>
      </c>
      <c r="M765" s="212" t="s">
        <v>1608</v>
      </c>
      <c r="N765" s="212" t="s">
        <v>1609</v>
      </c>
      <c r="O765" s="212"/>
      <c r="P765" s="304" t="s">
        <v>137</v>
      </c>
      <c r="Q765" s="797">
        <v>39.961959999999998</v>
      </c>
      <c r="R765" s="694">
        <v>-86.100110000000001</v>
      </c>
      <c r="S765" s="304" t="s">
        <v>61</v>
      </c>
      <c r="T765" s="208"/>
      <c r="U765" s="208" t="s">
        <v>51</v>
      </c>
      <c r="V765" s="207"/>
      <c r="W765" s="213">
        <f>IF(AC765="Intr",0,G765*Definitions!$B$53)</f>
        <v>6007.5</v>
      </c>
      <c r="X765" s="213">
        <f>IF(AC765="Intr",0,G765*Definitions!$B$54)</f>
        <v>28035</v>
      </c>
      <c r="Y765" s="213">
        <f>IF(AC765="Intr",G765,G765*Definitions!$B$55)</f>
        <v>6007.5</v>
      </c>
      <c r="Z765" s="304" t="s">
        <v>966</v>
      </c>
      <c r="AA765" s="304" t="s">
        <v>965</v>
      </c>
      <c r="AB765" s="304"/>
      <c r="AC765" s="208"/>
      <c r="AD765" s="208"/>
      <c r="AE765" s="208"/>
      <c r="AF765" s="208"/>
      <c r="AG765" s="214"/>
      <c r="AH765" s="304" t="s">
        <v>1628</v>
      </c>
    </row>
    <row r="766" spans="1:256" s="525" customFormat="1" x14ac:dyDescent="0.2">
      <c r="A766" s="544">
        <v>45363</v>
      </c>
      <c r="B766" s="30" t="s">
        <v>173</v>
      </c>
      <c r="C766" s="30">
        <v>2024</v>
      </c>
      <c r="D766" s="69" t="s">
        <v>1</v>
      </c>
      <c r="E766" s="67">
        <v>-39</v>
      </c>
      <c r="F766" s="67" t="s">
        <v>33</v>
      </c>
      <c r="G766" s="68">
        <v>23400</v>
      </c>
      <c r="H766" s="67">
        <v>474</v>
      </c>
      <c r="I766" s="67" t="s">
        <v>80</v>
      </c>
      <c r="J766" s="67" t="s">
        <v>40</v>
      </c>
      <c r="K766" s="67">
        <v>450</v>
      </c>
      <c r="L766" s="67" t="s">
        <v>726</v>
      </c>
      <c r="M766" s="67" t="s">
        <v>1610</v>
      </c>
      <c r="N766" s="67" t="s">
        <v>1611</v>
      </c>
      <c r="O766" s="67"/>
      <c r="P766" s="69" t="s">
        <v>227</v>
      </c>
      <c r="Q766" s="803">
        <v>41.583077000000003</v>
      </c>
      <c r="R766" s="700">
        <v>-87.240280999999996</v>
      </c>
      <c r="S766" s="69" t="s">
        <v>1612</v>
      </c>
      <c r="T766" s="30"/>
      <c r="U766" s="30" t="s">
        <v>51</v>
      </c>
      <c r="V766" s="29"/>
      <c r="W766" s="31">
        <f>IF(AC766="Intr",0,G766*Definitions!$B$53)</f>
        <v>3510</v>
      </c>
      <c r="X766" s="31">
        <f>IF(AC766="Intr",0,G766*Definitions!$B$54)</f>
        <v>16379.999999999998</v>
      </c>
      <c r="Y766" s="31">
        <f>IF(AC766="Intr",G766,G766*Definitions!$B$55)</f>
        <v>3510</v>
      </c>
      <c r="Z766" s="69" t="s">
        <v>967</v>
      </c>
      <c r="AA766" s="69" t="s">
        <v>965</v>
      </c>
      <c r="AB766" s="69"/>
      <c r="AC766" s="30"/>
      <c r="AD766" s="30"/>
      <c r="AE766" s="30"/>
      <c r="AF766" s="30"/>
      <c r="AG766" s="32"/>
      <c r="AH766" s="69" t="s">
        <v>1629</v>
      </c>
      <c r="AI766" s="105"/>
      <c r="AJ766" s="105"/>
      <c r="AK766" s="105"/>
      <c r="AL766" s="105"/>
      <c r="AM766" s="105"/>
      <c r="AN766" s="105"/>
      <c r="AO766" s="105"/>
      <c r="AP766" s="105"/>
      <c r="AQ766" s="105"/>
      <c r="AR766" s="105"/>
      <c r="AS766" s="105"/>
      <c r="AT766" s="105"/>
      <c r="AU766" s="105"/>
      <c r="AV766" s="105"/>
      <c r="AW766" s="105"/>
      <c r="AX766" s="105"/>
      <c r="AY766" s="105"/>
      <c r="AZ766" s="105"/>
      <c r="BA766" s="105"/>
      <c r="BB766" s="105"/>
      <c r="BC766" s="105"/>
      <c r="BD766" s="105"/>
      <c r="BE766" s="105"/>
      <c r="BF766" s="105"/>
      <c r="BG766" s="105"/>
      <c r="BH766" s="105"/>
      <c r="BI766" s="105"/>
      <c r="BJ766" s="105"/>
      <c r="BK766" s="105"/>
      <c r="BL766" s="105"/>
      <c r="BM766" s="105"/>
      <c r="BN766" s="105"/>
      <c r="BO766" s="105"/>
      <c r="BP766" s="105"/>
      <c r="BQ766" s="105"/>
      <c r="BR766" s="105"/>
      <c r="BS766" s="105"/>
      <c r="BT766" s="105"/>
      <c r="BU766" s="105"/>
      <c r="BV766" s="105"/>
      <c r="BW766" s="105"/>
      <c r="BX766" s="105"/>
      <c r="BY766" s="105"/>
      <c r="BZ766" s="105"/>
      <c r="CA766" s="105"/>
      <c r="CB766" s="105"/>
      <c r="CC766" s="105"/>
      <c r="CD766" s="105"/>
      <c r="CE766" s="105"/>
      <c r="CF766" s="105"/>
      <c r="CG766" s="105"/>
      <c r="CH766" s="105"/>
      <c r="CI766" s="105"/>
      <c r="CJ766" s="105"/>
      <c r="CK766" s="105"/>
      <c r="CL766" s="105"/>
      <c r="CM766" s="105"/>
      <c r="CN766" s="105"/>
      <c r="CO766" s="105"/>
      <c r="CP766" s="105"/>
      <c r="CQ766" s="105"/>
      <c r="CR766" s="105"/>
      <c r="CS766" s="105"/>
      <c r="CT766" s="105"/>
      <c r="CU766" s="105"/>
      <c r="CV766" s="105"/>
      <c r="CW766" s="105"/>
      <c r="CX766" s="105"/>
      <c r="CY766" s="105"/>
      <c r="CZ766" s="105"/>
      <c r="DA766" s="105"/>
      <c r="DB766" s="105"/>
      <c r="DC766" s="105"/>
      <c r="DD766" s="105"/>
      <c r="DE766" s="105"/>
      <c r="DF766" s="105"/>
      <c r="DG766" s="105"/>
      <c r="DH766" s="105"/>
      <c r="DI766" s="105"/>
      <c r="DJ766" s="105"/>
      <c r="DK766" s="105"/>
      <c r="DL766" s="105"/>
      <c r="DM766" s="105"/>
      <c r="DN766" s="105"/>
      <c r="DO766" s="105"/>
      <c r="DP766" s="105"/>
      <c r="DQ766" s="105"/>
      <c r="DR766" s="105"/>
      <c r="DS766" s="105"/>
      <c r="DT766" s="105"/>
      <c r="DU766" s="105"/>
      <c r="DV766" s="105"/>
      <c r="DW766" s="105"/>
      <c r="DX766" s="105"/>
      <c r="DY766" s="105"/>
      <c r="DZ766" s="105"/>
      <c r="EA766" s="105"/>
      <c r="EB766" s="105"/>
      <c r="EC766" s="105"/>
      <c r="ED766" s="105"/>
      <c r="EE766" s="105"/>
      <c r="EF766" s="105"/>
      <c r="EG766" s="105"/>
      <c r="EH766" s="105"/>
      <c r="EI766" s="105"/>
      <c r="EJ766" s="105"/>
      <c r="EK766" s="105"/>
      <c r="EL766" s="105"/>
      <c r="EM766" s="105"/>
      <c r="EN766" s="105"/>
      <c r="EO766" s="105"/>
      <c r="EP766" s="105"/>
      <c r="EQ766" s="105"/>
      <c r="ER766" s="105"/>
      <c r="ES766" s="105"/>
      <c r="ET766" s="105"/>
      <c r="EU766" s="105"/>
      <c r="EV766" s="105"/>
      <c r="EW766" s="105"/>
      <c r="EX766" s="105"/>
      <c r="EY766" s="105"/>
      <c r="EZ766" s="105"/>
      <c r="FA766" s="105"/>
      <c r="FB766" s="105"/>
      <c r="FC766" s="105"/>
      <c r="FD766" s="105"/>
      <c r="FE766" s="105"/>
      <c r="FF766" s="105"/>
      <c r="FG766" s="105"/>
      <c r="FH766" s="105"/>
      <c r="FI766" s="105"/>
      <c r="FJ766" s="105"/>
      <c r="FK766" s="105"/>
      <c r="FL766" s="105"/>
      <c r="FM766" s="105"/>
      <c r="FN766" s="105"/>
      <c r="FO766" s="105"/>
      <c r="FP766" s="105"/>
      <c r="FQ766" s="105"/>
      <c r="FR766" s="105"/>
      <c r="FS766" s="105"/>
      <c r="FT766" s="105"/>
      <c r="FU766" s="105"/>
      <c r="FV766" s="105"/>
      <c r="FW766" s="105"/>
      <c r="FX766" s="105"/>
      <c r="FY766" s="105"/>
      <c r="FZ766" s="105"/>
      <c r="GA766" s="105"/>
      <c r="GB766" s="105"/>
      <c r="GC766" s="105"/>
      <c r="GD766" s="105"/>
      <c r="GE766" s="105"/>
      <c r="GF766" s="105"/>
      <c r="GG766" s="105"/>
      <c r="GH766" s="105"/>
      <c r="GI766" s="105"/>
      <c r="GJ766" s="105"/>
      <c r="GK766" s="105"/>
      <c r="GL766" s="105"/>
      <c r="GM766" s="105"/>
      <c r="GN766" s="105"/>
      <c r="GO766" s="105"/>
      <c r="GP766" s="105"/>
      <c r="GQ766" s="105"/>
      <c r="GR766" s="105"/>
      <c r="GS766" s="105"/>
      <c r="GT766" s="105"/>
      <c r="GU766" s="105"/>
      <c r="GV766" s="105"/>
      <c r="GW766" s="105"/>
      <c r="GX766" s="105"/>
      <c r="GY766" s="105"/>
      <c r="GZ766" s="105"/>
      <c r="HA766" s="105"/>
      <c r="HB766" s="105"/>
      <c r="HC766" s="105"/>
      <c r="HD766" s="105"/>
      <c r="HE766" s="105"/>
      <c r="HF766" s="105"/>
      <c r="HG766" s="105"/>
      <c r="HH766" s="105"/>
      <c r="HI766" s="105"/>
      <c r="HJ766" s="105"/>
      <c r="HK766" s="105"/>
      <c r="HL766" s="105"/>
      <c r="HM766" s="105"/>
      <c r="HN766" s="105"/>
      <c r="HO766" s="105"/>
      <c r="HP766" s="105"/>
      <c r="HQ766" s="105"/>
      <c r="HR766" s="105"/>
      <c r="HS766" s="105"/>
      <c r="HT766" s="105"/>
      <c r="HU766" s="105"/>
      <c r="HV766" s="105"/>
      <c r="HW766" s="105"/>
      <c r="HX766" s="105"/>
      <c r="HY766" s="105"/>
      <c r="HZ766" s="105"/>
      <c r="IA766" s="105"/>
      <c r="IB766" s="105"/>
      <c r="IC766" s="105"/>
      <c r="ID766" s="105"/>
      <c r="IE766" s="105"/>
      <c r="IF766" s="105"/>
      <c r="IG766" s="105"/>
      <c r="IH766" s="105"/>
      <c r="II766" s="105"/>
      <c r="IJ766" s="105"/>
      <c r="IK766" s="105"/>
      <c r="IL766" s="105"/>
      <c r="IM766" s="105"/>
      <c r="IN766" s="105"/>
      <c r="IO766" s="105"/>
      <c r="IP766" s="105"/>
      <c r="IQ766" s="105"/>
      <c r="IR766" s="105"/>
      <c r="IS766" s="105"/>
      <c r="IT766" s="105"/>
      <c r="IU766" s="105"/>
      <c r="IV766" s="105"/>
    </row>
    <row r="767" spans="1:256" s="525" customFormat="1" x14ac:dyDescent="0.2">
      <c r="A767" s="544">
        <v>45363</v>
      </c>
      <c r="B767" s="30" t="s">
        <v>173</v>
      </c>
      <c r="C767" s="30">
        <v>2024</v>
      </c>
      <c r="D767" s="69" t="s">
        <v>1</v>
      </c>
      <c r="E767" s="67">
        <v>-0.27960000000000002</v>
      </c>
      <c r="F767" s="67" t="s">
        <v>32</v>
      </c>
      <c r="G767" s="68">
        <v>26562</v>
      </c>
      <c r="H767" s="67">
        <v>474</v>
      </c>
      <c r="I767" s="67" t="s">
        <v>80</v>
      </c>
      <c r="J767" s="67" t="s">
        <v>36</v>
      </c>
      <c r="K767" s="67">
        <v>0.11650000000000001</v>
      </c>
      <c r="L767" s="67" t="s">
        <v>726</v>
      </c>
      <c r="M767" s="67" t="s">
        <v>1610</v>
      </c>
      <c r="N767" s="67" t="s">
        <v>1611</v>
      </c>
      <c r="O767" s="67"/>
      <c r="P767" s="69" t="s">
        <v>227</v>
      </c>
      <c r="Q767" s="803">
        <v>41.583077000000003</v>
      </c>
      <c r="R767" s="700">
        <v>-87.240280999999996</v>
      </c>
      <c r="S767" s="69" t="s">
        <v>63</v>
      </c>
      <c r="T767" s="30"/>
      <c r="U767" s="30" t="s">
        <v>51</v>
      </c>
      <c r="V767" s="29"/>
      <c r="W767" s="31">
        <f>IF(AC767="Intr",0,G767*Definitions!$B$53)</f>
        <v>3984.2999999999997</v>
      </c>
      <c r="X767" s="31">
        <f>IF(AC767="Intr",0,G767*Definitions!$B$54)</f>
        <v>18593.399999999998</v>
      </c>
      <c r="Y767" s="31">
        <f>IF(AC767="Intr",G767,G767*Definitions!$B$55)</f>
        <v>3984.2999999999997</v>
      </c>
      <c r="Z767" s="69" t="s">
        <v>967</v>
      </c>
      <c r="AA767" s="69" t="s">
        <v>965</v>
      </c>
      <c r="AB767" s="69"/>
      <c r="AC767" s="30"/>
      <c r="AD767" s="30"/>
      <c r="AE767" s="30"/>
      <c r="AF767" s="30"/>
      <c r="AG767" s="32"/>
      <c r="AH767" s="69" t="s">
        <v>1629</v>
      </c>
      <c r="AI767" s="105"/>
      <c r="AJ767" s="105"/>
      <c r="AK767" s="105"/>
      <c r="AL767" s="105"/>
      <c r="AM767" s="105"/>
      <c r="AN767" s="105"/>
      <c r="AO767" s="105"/>
      <c r="AP767" s="105"/>
      <c r="AQ767" s="105"/>
      <c r="AR767" s="105"/>
      <c r="AS767" s="105"/>
      <c r="AT767" s="105"/>
      <c r="AU767" s="105"/>
      <c r="AV767" s="105"/>
      <c r="AW767" s="105"/>
      <c r="AX767" s="105"/>
      <c r="AY767" s="105"/>
      <c r="AZ767" s="105"/>
      <c r="BA767" s="105"/>
      <c r="BB767" s="105"/>
      <c r="BC767" s="105"/>
      <c r="BD767" s="105"/>
      <c r="BE767" s="105"/>
      <c r="BF767" s="105"/>
      <c r="BG767" s="105"/>
      <c r="BH767" s="105"/>
      <c r="BI767" s="105"/>
      <c r="BJ767" s="105"/>
      <c r="BK767" s="105"/>
      <c r="BL767" s="105"/>
      <c r="BM767" s="105"/>
      <c r="BN767" s="105"/>
      <c r="BO767" s="105"/>
      <c r="BP767" s="105"/>
      <c r="BQ767" s="105"/>
      <c r="BR767" s="105"/>
      <c r="BS767" s="105"/>
      <c r="BT767" s="105"/>
      <c r="BU767" s="105"/>
      <c r="BV767" s="105"/>
      <c r="BW767" s="105"/>
      <c r="BX767" s="105"/>
      <c r="BY767" s="105"/>
      <c r="BZ767" s="105"/>
      <c r="CA767" s="105"/>
      <c r="CB767" s="105"/>
      <c r="CC767" s="105"/>
      <c r="CD767" s="105"/>
      <c r="CE767" s="105"/>
      <c r="CF767" s="105"/>
      <c r="CG767" s="105"/>
      <c r="CH767" s="105"/>
      <c r="CI767" s="105"/>
      <c r="CJ767" s="105"/>
      <c r="CK767" s="105"/>
      <c r="CL767" s="105"/>
      <c r="CM767" s="105"/>
      <c r="CN767" s="105"/>
      <c r="CO767" s="105"/>
      <c r="CP767" s="105"/>
      <c r="CQ767" s="105"/>
      <c r="CR767" s="105"/>
      <c r="CS767" s="105"/>
      <c r="CT767" s="105"/>
      <c r="CU767" s="105"/>
      <c r="CV767" s="105"/>
      <c r="CW767" s="105"/>
      <c r="CX767" s="105"/>
      <c r="CY767" s="105"/>
      <c r="CZ767" s="105"/>
      <c r="DA767" s="105"/>
      <c r="DB767" s="105"/>
      <c r="DC767" s="105"/>
      <c r="DD767" s="105"/>
      <c r="DE767" s="105"/>
      <c r="DF767" s="105"/>
      <c r="DG767" s="105"/>
      <c r="DH767" s="105"/>
      <c r="DI767" s="105"/>
      <c r="DJ767" s="105"/>
      <c r="DK767" s="105"/>
      <c r="DL767" s="105"/>
      <c r="DM767" s="105"/>
      <c r="DN767" s="105"/>
      <c r="DO767" s="105"/>
      <c r="DP767" s="105"/>
      <c r="DQ767" s="105"/>
      <c r="DR767" s="105"/>
      <c r="DS767" s="105"/>
      <c r="DT767" s="105"/>
      <c r="DU767" s="105"/>
      <c r="DV767" s="105"/>
      <c r="DW767" s="105"/>
      <c r="DX767" s="105"/>
      <c r="DY767" s="105"/>
      <c r="DZ767" s="105"/>
      <c r="EA767" s="105"/>
      <c r="EB767" s="105"/>
      <c r="EC767" s="105"/>
      <c r="ED767" s="105"/>
      <c r="EE767" s="105"/>
      <c r="EF767" s="105"/>
      <c r="EG767" s="105"/>
      <c r="EH767" s="105"/>
      <c r="EI767" s="105"/>
      <c r="EJ767" s="105"/>
      <c r="EK767" s="105"/>
      <c r="EL767" s="105"/>
      <c r="EM767" s="105"/>
      <c r="EN767" s="105"/>
      <c r="EO767" s="105"/>
      <c r="EP767" s="105"/>
      <c r="EQ767" s="105"/>
      <c r="ER767" s="105"/>
      <c r="ES767" s="105"/>
      <c r="ET767" s="105"/>
      <c r="EU767" s="105"/>
      <c r="EV767" s="105"/>
      <c r="EW767" s="105"/>
      <c r="EX767" s="105"/>
      <c r="EY767" s="105"/>
      <c r="EZ767" s="105"/>
      <c r="FA767" s="105"/>
      <c r="FB767" s="105"/>
      <c r="FC767" s="105"/>
      <c r="FD767" s="105"/>
      <c r="FE767" s="105"/>
      <c r="FF767" s="105"/>
      <c r="FG767" s="105"/>
      <c r="FH767" s="105"/>
      <c r="FI767" s="105"/>
      <c r="FJ767" s="105"/>
      <c r="FK767" s="105"/>
      <c r="FL767" s="105"/>
      <c r="FM767" s="105"/>
      <c r="FN767" s="105"/>
      <c r="FO767" s="105"/>
      <c r="FP767" s="105"/>
      <c r="FQ767" s="105"/>
      <c r="FR767" s="105"/>
      <c r="FS767" s="105"/>
      <c r="FT767" s="105"/>
      <c r="FU767" s="105"/>
      <c r="FV767" s="105"/>
      <c r="FW767" s="105"/>
      <c r="FX767" s="105"/>
      <c r="FY767" s="105"/>
      <c r="FZ767" s="105"/>
      <c r="GA767" s="105"/>
      <c r="GB767" s="105"/>
      <c r="GC767" s="105"/>
      <c r="GD767" s="105"/>
      <c r="GE767" s="105"/>
      <c r="GF767" s="105"/>
      <c r="GG767" s="105"/>
      <c r="GH767" s="105"/>
      <c r="GI767" s="105"/>
      <c r="GJ767" s="105"/>
      <c r="GK767" s="105"/>
      <c r="GL767" s="105"/>
      <c r="GM767" s="105"/>
      <c r="GN767" s="105"/>
      <c r="GO767" s="105"/>
      <c r="GP767" s="105"/>
      <c r="GQ767" s="105"/>
      <c r="GR767" s="105"/>
      <c r="GS767" s="105"/>
      <c r="GT767" s="105"/>
      <c r="GU767" s="105"/>
      <c r="GV767" s="105"/>
      <c r="GW767" s="105"/>
      <c r="GX767" s="105"/>
      <c r="GY767" s="105"/>
      <c r="GZ767" s="105"/>
      <c r="HA767" s="105"/>
      <c r="HB767" s="105"/>
      <c r="HC767" s="105"/>
      <c r="HD767" s="105"/>
      <c r="HE767" s="105"/>
      <c r="HF767" s="105"/>
      <c r="HG767" s="105"/>
      <c r="HH767" s="105"/>
      <c r="HI767" s="105"/>
      <c r="HJ767" s="105"/>
      <c r="HK767" s="105"/>
      <c r="HL767" s="105"/>
      <c r="HM767" s="105"/>
      <c r="HN767" s="105"/>
      <c r="HO767" s="105"/>
      <c r="HP767" s="105"/>
      <c r="HQ767" s="105"/>
      <c r="HR767" s="105"/>
      <c r="HS767" s="105"/>
      <c r="HT767" s="105"/>
      <c r="HU767" s="105"/>
      <c r="HV767" s="105"/>
      <c r="HW767" s="105"/>
      <c r="HX767" s="105"/>
      <c r="HY767" s="105"/>
      <c r="HZ767" s="105"/>
      <c r="IA767" s="105"/>
      <c r="IB767" s="105"/>
      <c r="IC767" s="105"/>
      <c r="ID767" s="105"/>
      <c r="IE767" s="105"/>
      <c r="IF767" s="105"/>
      <c r="IG767" s="105"/>
      <c r="IH767" s="105"/>
      <c r="II767" s="105"/>
      <c r="IJ767" s="105"/>
      <c r="IK767" s="105"/>
      <c r="IL767" s="105"/>
      <c r="IM767" s="105"/>
      <c r="IN767" s="105"/>
      <c r="IO767" s="105"/>
      <c r="IP767" s="105"/>
      <c r="IQ767" s="105"/>
      <c r="IR767" s="105"/>
      <c r="IS767" s="105"/>
      <c r="IT767" s="105"/>
      <c r="IU767" s="105"/>
      <c r="IV767" s="105"/>
    </row>
    <row r="768" spans="1:256" s="414" customFormat="1" x14ac:dyDescent="0.2">
      <c r="A768" s="550">
        <v>45363</v>
      </c>
      <c r="B768" s="42" t="s">
        <v>173</v>
      </c>
      <c r="C768" s="42">
        <v>2024</v>
      </c>
      <c r="D768" s="75" t="s">
        <v>5</v>
      </c>
      <c r="E768" s="73">
        <v>-44</v>
      </c>
      <c r="F768" s="73" t="s">
        <v>33</v>
      </c>
      <c r="G768" s="74">
        <v>4800</v>
      </c>
      <c r="H768" s="73">
        <v>483</v>
      </c>
      <c r="I768" s="73" t="s">
        <v>80</v>
      </c>
      <c r="J768" s="73" t="s">
        <v>39</v>
      </c>
      <c r="K768" s="73">
        <v>10</v>
      </c>
      <c r="L768" s="73" t="s">
        <v>726</v>
      </c>
      <c r="M768" s="73" t="s">
        <v>1613</v>
      </c>
      <c r="N768" s="73" t="s">
        <v>1614</v>
      </c>
      <c r="O768" s="73"/>
      <c r="P768" s="75" t="s">
        <v>151</v>
      </c>
      <c r="Q768" s="804">
        <v>40.821666999999998</v>
      </c>
      <c r="R768" s="701">
        <v>-85.309443999999999</v>
      </c>
      <c r="S768" s="75" t="s">
        <v>63</v>
      </c>
      <c r="T768" s="42"/>
      <c r="U768" s="42" t="s">
        <v>51</v>
      </c>
      <c r="V768" s="41"/>
      <c r="W768" s="43">
        <f>IF(AC768="Intr",0,G768*Definitions!$B$53)</f>
        <v>720</v>
      </c>
      <c r="X768" s="43">
        <f>IF(AC768="Intr",0,G768*Definitions!$B$54)</f>
        <v>3360</v>
      </c>
      <c r="Y768" s="43">
        <f>IF(AC768="Intr",G768,G768*Definitions!$B$55)</f>
        <v>720</v>
      </c>
      <c r="Z768" s="75" t="s">
        <v>966</v>
      </c>
      <c r="AA768" s="75" t="s">
        <v>965</v>
      </c>
      <c r="AB768" s="75"/>
      <c r="AC768" s="42"/>
      <c r="AD768" s="42"/>
      <c r="AE768" s="42"/>
      <c r="AF768" s="42"/>
      <c r="AG768" s="44"/>
      <c r="AH768" s="75" t="s">
        <v>1630</v>
      </c>
      <c r="AI768" s="105"/>
      <c r="AJ768" s="105"/>
      <c r="AK768" s="105"/>
      <c r="AL768" s="105"/>
      <c r="AM768" s="105"/>
      <c r="AN768" s="105"/>
      <c r="AO768" s="105"/>
      <c r="AP768" s="105"/>
      <c r="AQ768" s="105"/>
      <c r="AR768" s="105"/>
      <c r="AS768" s="105"/>
      <c r="AT768" s="105"/>
      <c r="AU768" s="105"/>
      <c r="AV768" s="105"/>
      <c r="AW768" s="105"/>
      <c r="AX768" s="105"/>
      <c r="AY768" s="105"/>
      <c r="AZ768" s="105"/>
      <c r="BA768" s="105"/>
      <c r="BB768" s="105"/>
      <c r="BC768" s="105"/>
      <c r="BD768" s="105"/>
      <c r="BE768" s="105"/>
      <c r="BF768" s="105"/>
      <c r="BG768" s="105"/>
      <c r="BH768" s="105"/>
      <c r="BI768" s="105"/>
      <c r="BJ768" s="105"/>
      <c r="BK768" s="105"/>
      <c r="BL768" s="105"/>
      <c r="BM768" s="105"/>
      <c r="BN768" s="105"/>
      <c r="BO768" s="105"/>
      <c r="BP768" s="105"/>
      <c r="BQ768" s="105"/>
      <c r="BR768" s="105"/>
      <c r="BS768" s="105"/>
      <c r="BT768" s="105"/>
      <c r="BU768" s="105"/>
      <c r="BV768" s="105"/>
      <c r="BW768" s="105"/>
      <c r="BX768" s="105"/>
      <c r="BY768" s="105"/>
      <c r="BZ768" s="105"/>
      <c r="CA768" s="105"/>
      <c r="CB768" s="105"/>
      <c r="CC768" s="105"/>
      <c r="CD768" s="105"/>
      <c r="CE768" s="105"/>
      <c r="CF768" s="105"/>
      <c r="CG768" s="105"/>
      <c r="CH768" s="105"/>
      <c r="CI768" s="105"/>
      <c r="CJ768" s="105"/>
      <c r="CK768" s="105"/>
      <c r="CL768" s="105"/>
      <c r="CM768" s="105"/>
      <c r="CN768" s="105"/>
      <c r="CO768" s="105"/>
      <c r="CP768" s="105"/>
      <c r="CQ768" s="105"/>
      <c r="CR768" s="105"/>
      <c r="CS768" s="105"/>
      <c r="CT768" s="105"/>
      <c r="CU768" s="105"/>
      <c r="CV768" s="105"/>
      <c r="CW768" s="105"/>
      <c r="CX768" s="105"/>
      <c r="CY768" s="105"/>
      <c r="CZ768" s="105"/>
      <c r="DA768" s="105"/>
      <c r="DB768" s="105"/>
      <c r="DC768" s="105"/>
      <c r="DD768" s="105"/>
      <c r="DE768" s="105"/>
      <c r="DF768" s="105"/>
      <c r="DG768" s="105"/>
      <c r="DH768" s="105"/>
      <c r="DI768" s="105"/>
      <c r="DJ768" s="105"/>
      <c r="DK768" s="105"/>
      <c r="DL768" s="105"/>
      <c r="DM768" s="105"/>
      <c r="DN768" s="105"/>
      <c r="DO768" s="105"/>
      <c r="DP768" s="105"/>
      <c r="DQ768" s="105"/>
      <c r="DR768" s="105"/>
      <c r="DS768" s="105"/>
      <c r="DT768" s="105"/>
      <c r="DU768" s="105"/>
      <c r="DV768" s="105"/>
      <c r="DW768" s="105"/>
      <c r="DX768" s="105"/>
      <c r="DY768" s="105"/>
      <c r="DZ768" s="105"/>
      <c r="EA768" s="105"/>
      <c r="EB768" s="105"/>
      <c r="EC768" s="105"/>
      <c r="ED768" s="105"/>
      <c r="EE768" s="105"/>
      <c r="EF768" s="105"/>
      <c r="EG768" s="105"/>
      <c r="EH768" s="105"/>
      <c r="EI768" s="105"/>
      <c r="EJ768" s="105"/>
      <c r="EK768" s="105"/>
      <c r="EL768" s="105"/>
      <c r="EM768" s="105"/>
      <c r="EN768" s="105"/>
      <c r="EO768" s="105"/>
      <c r="EP768" s="105"/>
      <c r="EQ768" s="105"/>
      <c r="ER768" s="105"/>
      <c r="ES768" s="105"/>
      <c r="ET768" s="105"/>
      <c r="EU768" s="105"/>
      <c r="EV768" s="105"/>
      <c r="EW768" s="105"/>
      <c r="EX768" s="105"/>
      <c r="EY768" s="105"/>
      <c r="EZ768" s="105"/>
      <c r="FA768" s="105"/>
      <c r="FB768" s="105"/>
      <c r="FC768" s="105"/>
      <c r="FD768" s="105"/>
      <c r="FE768" s="105"/>
      <c r="FF768" s="105"/>
      <c r="FG768" s="105"/>
      <c r="FH768" s="105"/>
      <c r="FI768" s="105"/>
      <c r="FJ768" s="105"/>
      <c r="FK768" s="105"/>
      <c r="FL768" s="105"/>
      <c r="FM768" s="105"/>
      <c r="FN768" s="105"/>
      <c r="FO768" s="105"/>
      <c r="FP768" s="105"/>
      <c r="FQ768" s="105"/>
      <c r="FR768" s="105"/>
      <c r="FS768" s="105"/>
      <c r="FT768" s="105"/>
      <c r="FU768" s="105"/>
      <c r="FV768" s="105"/>
      <c r="FW768" s="105"/>
      <c r="FX768" s="105"/>
      <c r="FY768" s="105"/>
      <c r="FZ768" s="105"/>
      <c r="GA768" s="105"/>
      <c r="GB768" s="105"/>
      <c r="GC768" s="105"/>
      <c r="GD768" s="105"/>
      <c r="GE768" s="105"/>
      <c r="GF768" s="105"/>
      <c r="GG768" s="105"/>
      <c r="GH768" s="105"/>
      <c r="GI768" s="105"/>
      <c r="GJ768" s="105"/>
      <c r="GK768" s="105"/>
      <c r="GL768" s="105"/>
      <c r="GM768" s="105"/>
      <c r="GN768" s="105"/>
      <c r="GO768" s="105"/>
      <c r="GP768" s="105"/>
      <c r="GQ768" s="105"/>
      <c r="GR768" s="105"/>
      <c r="GS768" s="105"/>
      <c r="GT768" s="105"/>
      <c r="GU768" s="105"/>
      <c r="GV768" s="105"/>
      <c r="GW768" s="105"/>
      <c r="GX768" s="105"/>
      <c r="GY768" s="105"/>
      <c r="GZ768" s="105"/>
      <c r="HA768" s="105"/>
      <c r="HB768" s="105"/>
      <c r="HC768" s="105"/>
      <c r="HD768" s="105"/>
      <c r="HE768" s="105"/>
      <c r="HF768" s="105"/>
      <c r="HG768" s="105"/>
      <c r="HH768" s="105"/>
      <c r="HI768" s="105"/>
      <c r="HJ768" s="105"/>
      <c r="HK768" s="105"/>
      <c r="HL768" s="105"/>
      <c r="HM768" s="105"/>
      <c r="HN768" s="105"/>
      <c r="HO768" s="105"/>
      <c r="HP768" s="105"/>
      <c r="HQ768" s="105"/>
      <c r="HR768" s="105"/>
      <c r="HS768" s="105"/>
      <c r="HT768" s="105"/>
      <c r="HU768" s="105"/>
      <c r="HV768" s="105"/>
      <c r="HW768" s="105"/>
      <c r="HX768" s="105"/>
      <c r="HY768" s="105"/>
      <c r="HZ768" s="105"/>
      <c r="IA768" s="105"/>
      <c r="IB768" s="105"/>
      <c r="IC768" s="105"/>
      <c r="ID768" s="105"/>
      <c r="IE768" s="105"/>
      <c r="IF768" s="105"/>
      <c r="IG768" s="105"/>
      <c r="IH768" s="105"/>
      <c r="II768" s="105"/>
      <c r="IJ768" s="105"/>
      <c r="IK768" s="105"/>
      <c r="IL768" s="105"/>
      <c r="IM768" s="105"/>
      <c r="IN768" s="105"/>
      <c r="IO768" s="105"/>
      <c r="IP768" s="105"/>
      <c r="IQ768" s="105"/>
      <c r="IR768" s="105"/>
      <c r="IS768" s="105"/>
      <c r="IT768" s="105"/>
      <c r="IU768" s="105"/>
      <c r="IV768" s="105"/>
    </row>
    <row r="769" spans="1:34" x14ac:dyDescent="0.2">
      <c r="A769" s="550">
        <v>45363</v>
      </c>
      <c r="B769" s="42" t="s">
        <v>173</v>
      </c>
      <c r="C769" s="42">
        <v>2024</v>
      </c>
      <c r="D769" s="75" t="s">
        <v>5</v>
      </c>
      <c r="E769" s="73">
        <v>-0.11</v>
      </c>
      <c r="F769" s="73" t="s">
        <v>32</v>
      </c>
      <c r="G769" s="74">
        <v>7200</v>
      </c>
      <c r="H769" s="73">
        <v>483</v>
      </c>
      <c r="I769" s="73" t="s">
        <v>80</v>
      </c>
      <c r="J769" s="73" t="s">
        <v>36</v>
      </c>
      <c r="K769" s="73">
        <v>3.7999999999999999E-2</v>
      </c>
      <c r="L769" s="73" t="s">
        <v>726</v>
      </c>
      <c r="M769" s="73" t="s">
        <v>1613</v>
      </c>
      <c r="N769" s="73" t="s">
        <v>1614</v>
      </c>
      <c r="O769" s="73"/>
      <c r="P769" s="75" t="s">
        <v>151</v>
      </c>
      <c r="Q769" s="804">
        <v>40.821666999999998</v>
      </c>
      <c r="R769" s="701">
        <v>-85.309443999999999</v>
      </c>
      <c r="S769" s="75" t="s">
        <v>63</v>
      </c>
      <c r="T769" s="42"/>
      <c r="U769" s="42" t="s">
        <v>51</v>
      </c>
      <c r="V769" s="41"/>
      <c r="W769" s="43">
        <f>IF(AC769="Intr",0,G769*Definitions!$B$53)</f>
        <v>1080</v>
      </c>
      <c r="X769" s="43">
        <f>IF(AC769="Intr",0,G769*Definitions!$B$54)</f>
        <v>5040</v>
      </c>
      <c r="Y769" s="43">
        <f>IF(AC769="Intr",G769,G769*Definitions!$B$55)</f>
        <v>1080</v>
      </c>
      <c r="Z769" s="75" t="s">
        <v>966</v>
      </c>
      <c r="AA769" s="75" t="s">
        <v>965</v>
      </c>
      <c r="AB769" s="75"/>
      <c r="AC769" s="42"/>
      <c r="AD769" s="42"/>
      <c r="AE769" s="42"/>
      <c r="AF769" s="42"/>
      <c r="AG769" s="44"/>
      <c r="AH769" s="75" t="s">
        <v>1630</v>
      </c>
    </row>
    <row r="770" spans="1:34" x14ac:dyDescent="0.2">
      <c r="A770" s="550">
        <v>45363</v>
      </c>
      <c r="B770" s="42" t="s">
        <v>173</v>
      </c>
      <c r="C770" s="42">
        <v>2024</v>
      </c>
      <c r="D770" s="75" t="s">
        <v>5</v>
      </c>
      <c r="E770" s="73">
        <v>-0.32</v>
      </c>
      <c r="F770" s="73" t="s">
        <v>32</v>
      </c>
      <c r="G770" s="74">
        <v>25600</v>
      </c>
      <c r="H770" s="73">
        <v>483</v>
      </c>
      <c r="I770" s="73" t="s">
        <v>80</v>
      </c>
      <c r="J770" s="73" t="s">
        <v>38</v>
      </c>
      <c r="K770" s="73">
        <v>8.8999999999999996E-2</v>
      </c>
      <c r="L770" s="73" t="s">
        <v>726</v>
      </c>
      <c r="M770" s="73" t="s">
        <v>1613</v>
      </c>
      <c r="N770" s="73" t="s">
        <v>1614</v>
      </c>
      <c r="O770" s="73"/>
      <c r="P770" s="75" t="s">
        <v>151</v>
      </c>
      <c r="Q770" s="804">
        <v>40.821666999999998</v>
      </c>
      <c r="R770" s="701">
        <v>-85.309443999999999</v>
      </c>
      <c r="S770" s="75" t="s">
        <v>63</v>
      </c>
      <c r="T770" s="42"/>
      <c r="U770" s="42" t="s">
        <v>51</v>
      </c>
      <c r="V770" s="41"/>
      <c r="W770" s="43">
        <f>IF(AC770="Intr",0,G770*Definitions!$B$53)</f>
        <v>3840</v>
      </c>
      <c r="X770" s="43">
        <f>IF(AC770="Intr",0,G770*Definitions!$B$54)</f>
        <v>17920</v>
      </c>
      <c r="Y770" s="43">
        <f>IF(AC770="Intr",G770,G770*Definitions!$B$55)</f>
        <v>3840</v>
      </c>
      <c r="Z770" s="75" t="s">
        <v>966</v>
      </c>
      <c r="AA770" s="75" t="s">
        <v>965</v>
      </c>
      <c r="AB770" s="75"/>
      <c r="AC770" s="42"/>
      <c r="AD770" s="42"/>
      <c r="AE770" s="42"/>
      <c r="AF770" s="42"/>
      <c r="AG770" s="44"/>
      <c r="AH770" s="75" t="s">
        <v>1630</v>
      </c>
    </row>
    <row r="771" spans="1:34" x14ac:dyDescent="0.2">
      <c r="A771" s="883">
        <v>45365</v>
      </c>
      <c r="B771" s="34" t="s">
        <v>173</v>
      </c>
      <c r="C771" s="34">
        <v>2024</v>
      </c>
      <c r="D771" s="120" t="s">
        <v>3</v>
      </c>
      <c r="E771" s="116">
        <v>-107</v>
      </c>
      <c r="F771" s="116" t="s">
        <v>33</v>
      </c>
      <c r="G771" s="117">
        <v>64200</v>
      </c>
      <c r="H771" s="116">
        <v>486</v>
      </c>
      <c r="I771" s="116" t="s">
        <v>80</v>
      </c>
      <c r="J771" s="116" t="s">
        <v>39</v>
      </c>
      <c r="K771" s="116">
        <v>107</v>
      </c>
      <c r="L771" s="116" t="s">
        <v>726</v>
      </c>
      <c r="M771" s="116" t="s">
        <v>1720</v>
      </c>
      <c r="N771" s="116" t="s">
        <v>1721</v>
      </c>
      <c r="O771" s="116"/>
      <c r="P771" s="120" t="s">
        <v>468</v>
      </c>
      <c r="Q771" s="795">
        <v>41.554699999999997</v>
      </c>
      <c r="R771" s="692">
        <v>-85.366699999999994</v>
      </c>
      <c r="S771" s="120" t="s">
        <v>63</v>
      </c>
      <c r="T771" s="34"/>
      <c r="U771" s="34" t="s">
        <v>51</v>
      </c>
      <c r="V771" s="33"/>
      <c r="W771" s="35">
        <f>IF(AC771="Intr",0,G771*Definitions!$B$53)</f>
        <v>9630</v>
      </c>
      <c r="X771" s="35">
        <f>IF(AC771="Intr",0,G771*Definitions!$B$54)</f>
        <v>44940</v>
      </c>
      <c r="Y771" s="35">
        <f>IF(AC771="Intr",G771,G771*Definitions!$B$55)</f>
        <v>9630</v>
      </c>
      <c r="Z771" s="120" t="s">
        <v>964</v>
      </c>
      <c r="AA771" s="120" t="s">
        <v>965</v>
      </c>
      <c r="AB771" s="120"/>
      <c r="AC771" s="34"/>
      <c r="AD771" s="34"/>
      <c r="AE771" s="34"/>
      <c r="AF771" s="34"/>
      <c r="AG771" s="36"/>
      <c r="AH771" s="120" t="s">
        <v>1722</v>
      </c>
    </row>
    <row r="772" spans="1:34" x14ac:dyDescent="0.2">
      <c r="A772" s="883">
        <v>45365</v>
      </c>
      <c r="B772" s="34" t="s">
        <v>173</v>
      </c>
      <c r="C772" s="34">
        <v>2024</v>
      </c>
      <c r="D772" s="120" t="s">
        <v>3</v>
      </c>
      <c r="E772" s="116">
        <v>-0.184</v>
      </c>
      <c r="F772" s="116" t="s">
        <v>32</v>
      </c>
      <c r="G772" s="117">
        <v>22080</v>
      </c>
      <c r="H772" s="116">
        <v>486</v>
      </c>
      <c r="I772" s="116" t="s">
        <v>80</v>
      </c>
      <c r="J772" s="116" t="s">
        <v>36</v>
      </c>
      <c r="K772" s="116">
        <v>9.1999999999999998E-2</v>
      </c>
      <c r="L772" s="116" t="s">
        <v>726</v>
      </c>
      <c r="M772" s="116" t="s">
        <v>1720</v>
      </c>
      <c r="N772" s="116" t="s">
        <v>1721</v>
      </c>
      <c r="O772" s="116"/>
      <c r="P772" s="120" t="s">
        <v>468</v>
      </c>
      <c r="Q772" s="795">
        <v>41.554699999999997</v>
      </c>
      <c r="R772" s="692">
        <v>-85.366699999999994</v>
      </c>
      <c r="S772" s="120" t="s">
        <v>63</v>
      </c>
      <c r="T772" s="34"/>
      <c r="U772" s="34" t="s">
        <v>51</v>
      </c>
      <c r="V772" s="33"/>
      <c r="W772" s="35">
        <f>IF(AC772="Intr",0,G772*Definitions!$B$53)</f>
        <v>3312</v>
      </c>
      <c r="X772" s="35">
        <f>IF(AC772="Intr",0,G772*Definitions!$B$54)</f>
        <v>15455.999999999998</v>
      </c>
      <c r="Y772" s="35">
        <f>IF(AC772="Intr",G772,G772*Definitions!$B$55)</f>
        <v>3312</v>
      </c>
      <c r="Z772" s="120" t="s">
        <v>964</v>
      </c>
      <c r="AA772" s="120" t="s">
        <v>965</v>
      </c>
      <c r="AB772" s="120"/>
      <c r="AC772" s="34"/>
      <c r="AD772" s="34"/>
      <c r="AE772" s="34"/>
      <c r="AF772" s="34"/>
      <c r="AG772" s="36"/>
      <c r="AH772" s="120" t="s">
        <v>1722</v>
      </c>
    </row>
    <row r="773" spans="1:34" x14ac:dyDescent="0.2">
      <c r="A773" s="883">
        <v>45365</v>
      </c>
      <c r="B773" s="34" t="s">
        <v>173</v>
      </c>
      <c r="C773" s="34">
        <v>2024</v>
      </c>
      <c r="D773" s="120" t="s">
        <v>3</v>
      </c>
      <c r="E773" s="116">
        <v>-0.16200000000000001</v>
      </c>
      <c r="F773" s="116" t="s">
        <v>32</v>
      </c>
      <c r="G773" s="117">
        <v>19440</v>
      </c>
      <c r="H773" s="116">
        <v>486</v>
      </c>
      <c r="I773" s="116" t="s">
        <v>80</v>
      </c>
      <c r="J773" s="116" t="s">
        <v>37</v>
      </c>
      <c r="K773" s="116">
        <v>5.3999999999999999E-2</v>
      </c>
      <c r="L773" s="116" t="s">
        <v>726</v>
      </c>
      <c r="M773" s="116" t="s">
        <v>1720</v>
      </c>
      <c r="N773" s="116" t="s">
        <v>1721</v>
      </c>
      <c r="O773" s="116"/>
      <c r="P773" s="120" t="s">
        <v>468</v>
      </c>
      <c r="Q773" s="795">
        <v>41.554699999999997</v>
      </c>
      <c r="R773" s="692">
        <v>-85.366699999999994</v>
      </c>
      <c r="S773" s="120" t="s">
        <v>63</v>
      </c>
      <c r="T773" s="34"/>
      <c r="U773" s="34" t="s">
        <v>51</v>
      </c>
      <c r="V773" s="33"/>
      <c r="W773" s="35">
        <f>IF(AC773="Intr",0,G773*Definitions!$B$53)</f>
        <v>2916</v>
      </c>
      <c r="X773" s="35">
        <f>IF(AC773="Intr",0,G773*Definitions!$B$54)</f>
        <v>13608</v>
      </c>
      <c r="Y773" s="35">
        <f>IF(AC773="Intr",G773,G773*Definitions!$B$55)</f>
        <v>2916</v>
      </c>
      <c r="Z773" s="120" t="s">
        <v>964</v>
      </c>
      <c r="AA773" s="120" t="s">
        <v>965</v>
      </c>
      <c r="AB773" s="120"/>
      <c r="AC773" s="34"/>
      <c r="AD773" s="34"/>
      <c r="AE773" s="34"/>
      <c r="AF773" s="34"/>
      <c r="AG773" s="36"/>
      <c r="AH773" s="120" t="s">
        <v>1722</v>
      </c>
    </row>
    <row r="774" spans="1:34" x14ac:dyDescent="0.2">
      <c r="A774" s="883">
        <v>45365</v>
      </c>
      <c r="B774" s="34" t="s">
        <v>173</v>
      </c>
      <c r="C774" s="34">
        <v>2024</v>
      </c>
      <c r="D774" s="120" t="s">
        <v>3</v>
      </c>
      <c r="E774" s="116">
        <v>-0.14799999999999999</v>
      </c>
      <c r="F774" s="116" t="s">
        <v>32</v>
      </c>
      <c r="G774" s="117">
        <v>17760</v>
      </c>
      <c r="H774" s="116">
        <v>486</v>
      </c>
      <c r="I774" s="116" t="s">
        <v>80</v>
      </c>
      <c r="J774" s="116" t="s">
        <v>38</v>
      </c>
      <c r="K774" s="116">
        <v>3.6999999999999998E-2</v>
      </c>
      <c r="L774" s="116" t="s">
        <v>726</v>
      </c>
      <c r="M774" s="116" t="s">
        <v>1720</v>
      </c>
      <c r="N774" s="116" t="s">
        <v>1721</v>
      </c>
      <c r="O774" s="116"/>
      <c r="P774" s="120" t="s">
        <v>468</v>
      </c>
      <c r="Q774" s="795">
        <v>41.554699999999997</v>
      </c>
      <c r="R774" s="692">
        <v>-85.366699999999994</v>
      </c>
      <c r="S774" s="120" t="s">
        <v>63</v>
      </c>
      <c r="T774" s="34"/>
      <c r="U774" s="34" t="s">
        <v>51</v>
      </c>
      <c r="V774" s="33"/>
      <c r="W774" s="35">
        <f>IF(AC774="Intr",0,G774*Definitions!$B$53)</f>
        <v>2664</v>
      </c>
      <c r="X774" s="35">
        <f>IF(AC774="Intr",0,G774*Definitions!$B$54)</f>
        <v>12432</v>
      </c>
      <c r="Y774" s="35">
        <f>IF(AC774="Intr",G774,G774*Definitions!$B$55)</f>
        <v>2664</v>
      </c>
      <c r="Z774" s="120" t="s">
        <v>964</v>
      </c>
      <c r="AA774" s="120" t="s">
        <v>965</v>
      </c>
      <c r="AB774" s="120"/>
      <c r="AC774" s="34"/>
      <c r="AD774" s="34"/>
      <c r="AE774" s="34"/>
      <c r="AF774" s="34"/>
      <c r="AG774" s="36"/>
      <c r="AH774" s="120" t="s">
        <v>1722</v>
      </c>
    </row>
    <row r="775" spans="1:34" x14ac:dyDescent="0.2">
      <c r="A775" s="552">
        <v>45369</v>
      </c>
      <c r="B775" s="112" t="s">
        <v>173</v>
      </c>
      <c r="C775" s="112">
        <v>2024</v>
      </c>
      <c r="D775" s="342" t="s">
        <v>7</v>
      </c>
      <c r="E775" s="149">
        <v>-85</v>
      </c>
      <c r="F775" s="149" t="s">
        <v>33</v>
      </c>
      <c r="G775" s="448">
        <v>38250</v>
      </c>
      <c r="H775" s="149">
        <v>492</v>
      </c>
      <c r="I775" s="149" t="s">
        <v>80</v>
      </c>
      <c r="J775" s="149" t="s">
        <v>39</v>
      </c>
      <c r="K775" s="149">
        <v>71</v>
      </c>
      <c r="L775" s="149" t="s">
        <v>1615</v>
      </c>
      <c r="M775" s="149" t="s">
        <v>1616</v>
      </c>
      <c r="N775" s="149" t="s">
        <v>1617</v>
      </c>
      <c r="O775" s="149"/>
      <c r="P775" s="342" t="s">
        <v>162</v>
      </c>
      <c r="Q775" s="802">
        <v>39.822271000000001</v>
      </c>
      <c r="R775" s="699">
        <v>-86.352035000000001</v>
      </c>
      <c r="S775" s="342" t="s">
        <v>63</v>
      </c>
      <c r="T775" s="112"/>
      <c r="U775" s="112" t="s">
        <v>51</v>
      </c>
      <c r="V775" s="145"/>
      <c r="W775" s="150">
        <f>IF(AC775="Intr",0,G775*Definitions!$B$53)</f>
        <v>5737.5</v>
      </c>
      <c r="X775" s="150">
        <f>IF(AC775="Intr",0,G775*Definitions!$B$54)</f>
        <v>26775</v>
      </c>
      <c r="Y775" s="150">
        <f>IF(AC775="Intr",G775,G775*Definitions!$B$55)</f>
        <v>5737.5</v>
      </c>
      <c r="Z775" s="342" t="s">
        <v>966</v>
      </c>
      <c r="AA775" s="342" t="s">
        <v>965</v>
      </c>
      <c r="AB775" s="342"/>
      <c r="AC775" s="112"/>
      <c r="AD775" s="112"/>
      <c r="AE775" s="112"/>
      <c r="AF775" s="112"/>
      <c r="AG775" s="151"/>
      <c r="AH775" s="342"/>
    </row>
    <row r="776" spans="1:34" x14ac:dyDescent="0.2">
      <c r="A776" s="547">
        <v>45371</v>
      </c>
      <c r="B776" s="153" t="s">
        <v>173</v>
      </c>
      <c r="C776" s="153">
        <v>2024</v>
      </c>
      <c r="D776" s="413" t="s">
        <v>3</v>
      </c>
      <c r="E776" s="157">
        <v>-0.42</v>
      </c>
      <c r="F776" s="157" t="s">
        <v>32</v>
      </c>
      <c r="G776" s="411">
        <v>50400</v>
      </c>
      <c r="H776" s="157">
        <v>480</v>
      </c>
      <c r="I776" s="157" t="s">
        <v>80</v>
      </c>
      <c r="J776" s="157" t="s">
        <v>36</v>
      </c>
      <c r="K776" s="157">
        <v>0.21</v>
      </c>
      <c r="L776" s="157" t="s">
        <v>1618</v>
      </c>
      <c r="M776" s="157" t="s">
        <v>1619</v>
      </c>
      <c r="N776" s="157" t="s">
        <v>1620</v>
      </c>
      <c r="O776" s="157"/>
      <c r="P776" s="413" t="s">
        <v>468</v>
      </c>
      <c r="Q776" s="793">
        <v>41.695641000000002</v>
      </c>
      <c r="R776" s="690">
        <v>-85.322911000000005</v>
      </c>
      <c r="S776" s="413" t="s">
        <v>61</v>
      </c>
      <c r="T776" s="153"/>
      <c r="U776" s="153" t="s">
        <v>51</v>
      </c>
      <c r="V776" s="152"/>
      <c r="W776" s="158">
        <f>IF(AC776="Intr",0,G776*Definitions!$B$53)</f>
        <v>7560</v>
      </c>
      <c r="X776" s="158">
        <f>IF(AC776="Intr",0,G776*Definitions!$B$54)</f>
        <v>35280</v>
      </c>
      <c r="Y776" s="158">
        <f>IF(AC776="Intr",G776,G776*Definitions!$B$55)</f>
        <v>7560</v>
      </c>
      <c r="Z776" s="413" t="s">
        <v>964</v>
      </c>
      <c r="AA776" s="413" t="s">
        <v>965</v>
      </c>
      <c r="AB776" s="413"/>
      <c r="AC776" s="153"/>
      <c r="AD776" s="153"/>
      <c r="AE776" s="153"/>
      <c r="AF776" s="153"/>
      <c r="AG776" s="159"/>
      <c r="AH776" s="413"/>
    </row>
    <row r="777" spans="1:34" x14ac:dyDescent="0.2">
      <c r="A777" s="547">
        <v>45371</v>
      </c>
      <c r="B777" s="153" t="s">
        <v>173</v>
      </c>
      <c r="C777" s="153">
        <v>2024</v>
      </c>
      <c r="D777" s="413" t="s">
        <v>3</v>
      </c>
      <c r="E777" s="157">
        <v>-0.16</v>
      </c>
      <c r="F777" s="157" t="s">
        <v>32</v>
      </c>
      <c r="G777" s="411">
        <v>19200</v>
      </c>
      <c r="H777" s="157">
        <v>480</v>
      </c>
      <c r="I777" s="157" t="s">
        <v>80</v>
      </c>
      <c r="J777" s="157" t="s">
        <v>38</v>
      </c>
      <c r="K777" s="157">
        <v>0.04</v>
      </c>
      <c r="L777" s="157" t="s">
        <v>1618</v>
      </c>
      <c r="M777" s="157" t="s">
        <v>1619</v>
      </c>
      <c r="N777" s="157" t="s">
        <v>1620</v>
      </c>
      <c r="O777" s="157"/>
      <c r="P777" s="413" t="s">
        <v>468</v>
      </c>
      <c r="Q777" s="793">
        <v>41.695641000000002</v>
      </c>
      <c r="R777" s="690">
        <v>-85.322911000000005</v>
      </c>
      <c r="S777" s="413" t="s">
        <v>61</v>
      </c>
      <c r="T777" s="153"/>
      <c r="U777" s="153" t="s">
        <v>51</v>
      </c>
      <c r="V777" s="152"/>
      <c r="W777" s="158">
        <f>IF(AC777="Intr",0,G777*Definitions!$B$53)</f>
        <v>2880</v>
      </c>
      <c r="X777" s="158">
        <f>IF(AC777="Intr",0,G777*Definitions!$B$54)</f>
        <v>13440</v>
      </c>
      <c r="Y777" s="158">
        <f>IF(AC777="Intr",G777,G777*Definitions!$B$55)</f>
        <v>2880</v>
      </c>
      <c r="Z777" s="413" t="s">
        <v>964</v>
      </c>
      <c r="AA777" s="413" t="s">
        <v>965</v>
      </c>
      <c r="AB777" s="413"/>
      <c r="AC777" s="153"/>
      <c r="AD777" s="153"/>
      <c r="AE777" s="153"/>
      <c r="AF777" s="153"/>
      <c r="AG777" s="159"/>
      <c r="AH777" s="413"/>
    </row>
    <row r="778" spans="1:34" x14ac:dyDescent="0.2">
      <c r="A778" s="553">
        <v>45372</v>
      </c>
      <c r="B778" s="59" t="s">
        <v>173</v>
      </c>
      <c r="C778" s="59">
        <v>2024</v>
      </c>
      <c r="D778" s="64" t="s">
        <v>8</v>
      </c>
      <c r="E778" s="63">
        <v>-1.425</v>
      </c>
      <c r="F778" s="63" t="s">
        <v>32</v>
      </c>
      <c r="G778" s="492">
        <f>-E778*80000</f>
        <v>114000</v>
      </c>
      <c r="H778" s="63">
        <v>481</v>
      </c>
      <c r="I778" s="63" t="s">
        <v>81</v>
      </c>
      <c r="J778" s="63" t="s">
        <v>36</v>
      </c>
      <c r="K778" s="63">
        <v>0.95</v>
      </c>
      <c r="L778" s="63" t="s">
        <v>1621</v>
      </c>
      <c r="M778" s="63" t="s">
        <v>103</v>
      </c>
      <c r="N778" s="63" t="s">
        <v>1622</v>
      </c>
      <c r="O778" s="63"/>
      <c r="P778" s="64" t="s">
        <v>101</v>
      </c>
      <c r="Q778" s="813">
        <v>39.155188000000003</v>
      </c>
      <c r="R778" s="707">
        <v>-86.041409999999999</v>
      </c>
      <c r="S778" s="64" t="s">
        <v>61</v>
      </c>
      <c r="T778" s="59"/>
      <c r="U778" s="59" t="s">
        <v>51</v>
      </c>
      <c r="V778" s="58"/>
      <c r="W778" s="65">
        <f>IF(AC778="Intr",0,G778*Definitions!$B$53)</f>
        <v>17100</v>
      </c>
      <c r="X778" s="65">
        <f>IF(AC778="Intr",0,G778*Definitions!$B$54)</f>
        <v>79800</v>
      </c>
      <c r="Y778" s="65">
        <f>IF(AC778="Intr",G778,G778*Definitions!$B$55)</f>
        <v>17100</v>
      </c>
      <c r="Z778" s="64" t="s">
        <v>966</v>
      </c>
      <c r="AA778" s="64" t="s">
        <v>1150</v>
      </c>
      <c r="AB778" s="64" t="s">
        <v>970</v>
      </c>
      <c r="AC778" s="59"/>
      <c r="AD778" s="59"/>
      <c r="AE778" s="59"/>
      <c r="AF778" s="59"/>
      <c r="AG778" s="66"/>
      <c r="AH778" s="64"/>
    </row>
    <row r="779" spans="1:34" x14ac:dyDescent="0.2">
      <c r="A779" s="545">
        <v>45376</v>
      </c>
      <c r="B779" s="46" t="s">
        <v>173</v>
      </c>
      <c r="C779" s="46">
        <v>2024</v>
      </c>
      <c r="D779" s="78" t="s">
        <v>11</v>
      </c>
      <c r="E779" s="76">
        <v>-0.02</v>
      </c>
      <c r="F779" s="76" t="s">
        <v>32</v>
      </c>
      <c r="G779" s="77">
        <v>1600</v>
      </c>
      <c r="H779" s="76">
        <v>494</v>
      </c>
      <c r="I779" s="76" t="s">
        <v>80</v>
      </c>
      <c r="J779" s="76" t="s">
        <v>36</v>
      </c>
      <c r="K779" s="76">
        <v>0.02</v>
      </c>
      <c r="L779" s="76" t="s">
        <v>1623</v>
      </c>
      <c r="M779" s="76" t="s">
        <v>1624</v>
      </c>
      <c r="N779" s="76" t="s">
        <v>1625</v>
      </c>
      <c r="O779" s="76"/>
      <c r="P779" s="78" t="s">
        <v>497</v>
      </c>
      <c r="Q779" s="794">
        <v>37.946016</v>
      </c>
      <c r="R779" s="691">
        <v>-87.925535999999994</v>
      </c>
      <c r="S779" s="78" t="s">
        <v>63</v>
      </c>
      <c r="T779" s="46"/>
      <c r="U779" s="46" t="s">
        <v>51</v>
      </c>
      <c r="V779" s="45"/>
      <c r="W779" s="47">
        <f>IF(AC779="Intr",0,G779*Definitions!$B$53)</f>
        <v>240</v>
      </c>
      <c r="X779" s="47">
        <f>IF(AC779="Intr",0,G779*Definitions!$B$54)</f>
        <v>1120</v>
      </c>
      <c r="Y779" s="47">
        <f>IF(AC779="Intr",G779,G779*Definitions!$B$55)</f>
        <v>240</v>
      </c>
      <c r="Z779" s="78" t="s">
        <v>966</v>
      </c>
      <c r="AA779" s="78" t="s">
        <v>965</v>
      </c>
      <c r="AB779" s="78"/>
      <c r="AC779" s="46"/>
      <c r="AD779" s="46"/>
      <c r="AE779" s="46"/>
      <c r="AF779" s="46"/>
      <c r="AG779" s="48"/>
      <c r="AH779" s="78"/>
    </row>
    <row r="780" spans="1:34" x14ac:dyDescent="0.2">
      <c r="A780" s="545">
        <v>45376</v>
      </c>
      <c r="B780" s="46" t="s">
        <v>173</v>
      </c>
      <c r="C780" s="46">
        <v>2024</v>
      </c>
      <c r="D780" s="78" t="s">
        <v>11</v>
      </c>
      <c r="E780" s="76">
        <v>-68</v>
      </c>
      <c r="F780" s="76" t="s">
        <v>33</v>
      </c>
      <c r="G780" s="77">
        <v>27200</v>
      </c>
      <c r="H780" s="76">
        <v>494</v>
      </c>
      <c r="I780" s="76" t="s">
        <v>80</v>
      </c>
      <c r="J780" s="76" t="s">
        <v>41</v>
      </c>
      <c r="K780" s="76">
        <v>68</v>
      </c>
      <c r="L780" s="76" t="s">
        <v>1623</v>
      </c>
      <c r="M780" s="76" t="s">
        <v>1624</v>
      </c>
      <c r="N780" s="76" t="s">
        <v>1625</v>
      </c>
      <c r="O780" s="76"/>
      <c r="P780" s="78" t="s">
        <v>497</v>
      </c>
      <c r="Q780" s="794">
        <v>37.946016</v>
      </c>
      <c r="R780" s="691">
        <v>-87.925535999999994</v>
      </c>
      <c r="S780" s="78" t="s">
        <v>63</v>
      </c>
      <c r="T780" s="46"/>
      <c r="U780" s="46" t="s">
        <v>51</v>
      </c>
      <c r="V780" s="45"/>
      <c r="W780" s="47">
        <f>IF(AC780="Intr",0,G780*Definitions!$B$53)</f>
        <v>4080</v>
      </c>
      <c r="X780" s="47">
        <f>IF(AC780="Intr",0,G780*Definitions!$B$54)</f>
        <v>19040</v>
      </c>
      <c r="Y780" s="47">
        <f>IF(AC780="Intr",G780,G780*Definitions!$B$55)</f>
        <v>4080</v>
      </c>
      <c r="Z780" s="78" t="s">
        <v>966</v>
      </c>
      <c r="AA780" s="78" t="s">
        <v>965</v>
      </c>
      <c r="AB780" s="78"/>
      <c r="AC780" s="46"/>
      <c r="AD780" s="46"/>
      <c r="AE780" s="46"/>
      <c r="AF780" s="46"/>
      <c r="AG780" s="48"/>
      <c r="AH780" s="78"/>
    </row>
    <row r="781" spans="1:34" x14ac:dyDescent="0.2">
      <c r="A781" s="545">
        <v>45376</v>
      </c>
      <c r="B781" s="46" t="s">
        <v>173</v>
      </c>
      <c r="C781" s="46">
        <v>2024</v>
      </c>
      <c r="D781" s="78" t="s">
        <v>11</v>
      </c>
      <c r="E781" s="76">
        <v>-55</v>
      </c>
      <c r="F781" s="76" t="s">
        <v>33</v>
      </c>
      <c r="G781" s="77">
        <v>22000</v>
      </c>
      <c r="H781" s="76">
        <v>494</v>
      </c>
      <c r="I781" s="76" t="s">
        <v>80</v>
      </c>
      <c r="J781" s="76" t="s">
        <v>40</v>
      </c>
      <c r="K781" s="76">
        <v>122</v>
      </c>
      <c r="L781" s="76" t="s">
        <v>1623</v>
      </c>
      <c r="M781" s="76" t="s">
        <v>1624</v>
      </c>
      <c r="N781" s="76" t="s">
        <v>1625</v>
      </c>
      <c r="O781" s="76"/>
      <c r="P781" s="78" t="s">
        <v>497</v>
      </c>
      <c r="Q781" s="794">
        <v>37.946016</v>
      </c>
      <c r="R781" s="691">
        <v>-87.925535999999994</v>
      </c>
      <c r="S781" s="78" t="s">
        <v>63</v>
      </c>
      <c r="T781" s="46"/>
      <c r="U781" s="46" t="s">
        <v>51</v>
      </c>
      <c r="V781" s="45"/>
      <c r="W781" s="47">
        <f>IF(AC781="Intr",0,G781*Definitions!$B$53)</f>
        <v>3300</v>
      </c>
      <c r="X781" s="47">
        <f>IF(AC781="Intr",0,G781*Definitions!$B$54)</f>
        <v>15399.999999999998</v>
      </c>
      <c r="Y781" s="47">
        <f>IF(AC781="Intr",G781,G781*Definitions!$B$55)</f>
        <v>3300</v>
      </c>
      <c r="Z781" s="78" t="s">
        <v>966</v>
      </c>
      <c r="AA781" s="78" t="s">
        <v>965</v>
      </c>
      <c r="AB781" s="78"/>
      <c r="AC781" s="46"/>
      <c r="AD781" s="46"/>
      <c r="AE781" s="46"/>
      <c r="AF781" s="46"/>
      <c r="AG781" s="48"/>
      <c r="AH781" s="78"/>
    </row>
    <row r="782" spans="1:34" x14ac:dyDescent="0.2">
      <c r="A782" s="548">
        <v>45377</v>
      </c>
      <c r="B782" s="114" t="s">
        <v>173</v>
      </c>
      <c r="C782" s="114">
        <v>2024</v>
      </c>
      <c r="D782" s="356" t="s">
        <v>3</v>
      </c>
      <c r="E782" s="285">
        <v>-99</v>
      </c>
      <c r="F782" s="285" t="s">
        <v>33</v>
      </c>
      <c r="G782" s="493">
        <v>59400</v>
      </c>
      <c r="H782" s="285">
        <v>490</v>
      </c>
      <c r="I782" s="285" t="s">
        <v>80</v>
      </c>
      <c r="J782" s="285" t="s">
        <v>40</v>
      </c>
      <c r="K782" s="285">
        <v>155</v>
      </c>
      <c r="L782" s="285" t="s">
        <v>726</v>
      </c>
      <c r="M782" s="549" t="s">
        <v>1626</v>
      </c>
      <c r="N782" s="285" t="s">
        <v>1627</v>
      </c>
      <c r="O782" s="285"/>
      <c r="P782" s="356" t="s">
        <v>113</v>
      </c>
      <c r="Q782" s="800">
        <v>41.395462000000002</v>
      </c>
      <c r="R782" s="697">
        <v>-85.342841000000007</v>
      </c>
      <c r="S782" s="356" t="s">
        <v>63</v>
      </c>
      <c r="T782" s="114"/>
      <c r="U782" s="114" t="s">
        <v>51</v>
      </c>
      <c r="V782" s="282"/>
      <c r="W782" s="286">
        <f>IF(AC782="Intr",0,G782*Definitions!$B$53)</f>
        <v>8910</v>
      </c>
      <c r="X782" s="286">
        <f>IF(AC782="Intr",0,G782*Definitions!$B$54)</f>
        <v>41580</v>
      </c>
      <c r="Y782" s="286">
        <f>IF(AC782="Intr",G782,G782*Definitions!$B$55)</f>
        <v>8910</v>
      </c>
      <c r="Z782" s="356" t="s">
        <v>964</v>
      </c>
      <c r="AA782" s="356" t="s">
        <v>965</v>
      </c>
      <c r="AB782" s="356"/>
      <c r="AC782" s="114"/>
      <c r="AD782" s="114"/>
      <c r="AE782" s="114"/>
      <c r="AF782" s="114"/>
      <c r="AG782" s="287"/>
      <c r="AH782" s="356" t="s">
        <v>1631</v>
      </c>
    </row>
    <row r="783" spans="1:34" x14ac:dyDescent="0.2">
      <c r="A783" s="548">
        <v>45377</v>
      </c>
      <c r="B783" s="114" t="s">
        <v>173</v>
      </c>
      <c r="C783" s="114">
        <v>2024</v>
      </c>
      <c r="D783" s="356" t="s">
        <v>3</v>
      </c>
      <c r="E783" s="285">
        <v>-0.27</v>
      </c>
      <c r="F783" s="285" t="s">
        <v>32</v>
      </c>
      <c r="G783" s="493">
        <v>32400</v>
      </c>
      <c r="H783" s="285">
        <v>490</v>
      </c>
      <c r="I783" s="285" t="s">
        <v>80</v>
      </c>
      <c r="J783" s="285" t="s">
        <v>36</v>
      </c>
      <c r="K783" s="285">
        <v>0.13400000000000001</v>
      </c>
      <c r="L783" s="285" t="s">
        <v>726</v>
      </c>
      <c r="M783" s="549" t="s">
        <v>1626</v>
      </c>
      <c r="N783" s="285" t="s">
        <v>1627</v>
      </c>
      <c r="O783" s="285"/>
      <c r="P783" s="356" t="s">
        <v>113</v>
      </c>
      <c r="Q783" s="800">
        <v>41.395462000000002</v>
      </c>
      <c r="R783" s="697">
        <v>-85.342841000000007</v>
      </c>
      <c r="S783" s="356" t="s">
        <v>63</v>
      </c>
      <c r="T783" s="114"/>
      <c r="U783" s="114" t="s">
        <v>51</v>
      </c>
      <c r="V783" s="282"/>
      <c r="W783" s="286">
        <f>IF(AC783="Intr",0,G783*Definitions!$B$53)</f>
        <v>4860</v>
      </c>
      <c r="X783" s="286">
        <f>IF(AC783="Intr",0,G783*Definitions!$B$54)</f>
        <v>22680</v>
      </c>
      <c r="Y783" s="286">
        <f>IF(AC783="Intr",G783,G783*Definitions!$B$55)</f>
        <v>4860</v>
      </c>
      <c r="Z783" s="356" t="s">
        <v>964</v>
      </c>
      <c r="AA783" s="356" t="s">
        <v>965</v>
      </c>
      <c r="AB783" s="356"/>
      <c r="AC783" s="114"/>
      <c r="AD783" s="114"/>
      <c r="AE783" s="114"/>
      <c r="AF783" s="114"/>
      <c r="AG783" s="287"/>
      <c r="AH783" s="356"/>
    </row>
    <row r="784" spans="1:34" x14ac:dyDescent="0.2">
      <c r="A784" s="37">
        <v>45387</v>
      </c>
      <c r="B784" s="38" t="s">
        <v>193</v>
      </c>
      <c r="C784" s="38">
        <v>2024</v>
      </c>
      <c r="D784" s="38" t="s">
        <v>10</v>
      </c>
      <c r="E784" s="177">
        <v>-560</v>
      </c>
      <c r="F784" s="177" t="s">
        <v>33</v>
      </c>
      <c r="G784" s="269">
        <v>224000</v>
      </c>
      <c r="H784" s="179">
        <v>470</v>
      </c>
      <c r="I784" s="177" t="s">
        <v>80</v>
      </c>
      <c r="J784" s="177" t="s">
        <v>40</v>
      </c>
      <c r="K784" s="177">
        <v>467</v>
      </c>
      <c r="L784" s="177" t="s">
        <v>1634</v>
      </c>
      <c r="M784" s="177" t="s">
        <v>1636</v>
      </c>
      <c r="N784" s="70" t="s">
        <v>1637</v>
      </c>
      <c r="O784" s="38"/>
      <c r="P784" s="38" t="s">
        <v>129</v>
      </c>
      <c r="Q784" s="760">
        <v>38.315209000000003</v>
      </c>
      <c r="R784" s="590">
        <v>-85.901707999999999</v>
      </c>
      <c r="S784" s="38" t="s">
        <v>61</v>
      </c>
      <c r="T784" s="38"/>
      <c r="U784" s="38" t="s">
        <v>51</v>
      </c>
      <c r="V784" s="37"/>
      <c r="W784" s="39">
        <f>IF(AC784="Intr",0,G784*Definitions!$B$53)</f>
        <v>33600</v>
      </c>
      <c r="X784" s="39">
        <f>IF(AC784="Intr",0,G784*Definitions!$B$54)</f>
        <v>156800</v>
      </c>
      <c r="Y784" s="39">
        <f>IF(AC784="Intr",G784,G784*Definitions!$B$55)</f>
        <v>33600</v>
      </c>
      <c r="Z784" s="39" t="s">
        <v>966</v>
      </c>
      <c r="AA784" s="39" t="s">
        <v>965</v>
      </c>
      <c r="AB784" s="39"/>
      <c r="AC784" s="38"/>
      <c r="AD784" s="38"/>
      <c r="AE784" s="38"/>
      <c r="AF784" s="38"/>
      <c r="AG784" s="40"/>
      <c r="AH784" s="38"/>
    </row>
    <row r="785" spans="1:34" x14ac:dyDescent="0.2">
      <c r="A785" s="145">
        <v>45394</v>
      </c>
      <c r="B785" s="112" t="s">
        <v>193</v>
      </c>
      <c r="C785" s="112">
        <v>2024</v>
      </c>
      <c r="D785" s="112" t="s">
        <v>5</v>
      </c>
      <c r="E785" s="146">
        <v>-0.3</v>
      </c>
      <c r="F785" s="146" t="s">
        <v>32</v>
      </c>
      <c r="G785" s="147">
        <v>24000</v>
      </c>
      <c r="H785" s="148">
        <v>488</v>
      </c>
      <c r="I785" s="146" t="s">
        <v>80</v>
      </c>
      <c r="J785" s="146" t="s">
        <v>36</v>
      </c>
      <c r="K785" s="146">
        <v>0.3</v>
      </c>
      <c r="L785" s="146" t="s">
        <v>726</v>
      </c>
      <c r="M785" s="146" t="s">
        <v>1638</v>
      </c>
      <c r="N785" s="149" t="s">
        <v>1639</v>
      </c>
      <c r="O785" s="112"/>
      <c r="P785" s="112" t="s">
        <v>1644</v>
      </c>
      <c r="Q785" s="729">
        <v>41.171959999999999</v>
      </c>
      <c r="R785" s="591">
        <v>-86.313370000000006</v>
      </c>
      <c r="S785" s="112" t="s">
        <v>63</v>
      </c>
      <c r="T785" s="112"/>
      <c r="U785" s="112" t="s">
        <v>51</v>
      </c>
      <c r="V785" s="145"/>
      <c r="W785" s="150">
        <f>IF(AC785="Intr",0,G785*Definitions!$B$53)</f>
        <v>3600</v>
      </c>
      <c r="X785" s="150">
        <f>IF(AC785="Intr",0,G785*Definitions!$B$54)</f>
        <v>16800</v>
      </c>
      <c r="Y785" s="150">
        <f>IF(AC785="Intr",G785,G785*Definitions!$B$55)</f>
        <v>3600</v>
      </c>
      <c r="Z785" s="150" t="s">
        <v>966</v>
      </c>
      <c r="AA785" s="150" t="s">
        <v>965</v>
      </c>
      <c r="AB785" s="150"/>
      <c r="AC785" s="112"/>
      <c r="AD785" s="112"/>
      <c r="AE785" s="112"/>
      <c r="AF785" s="112"/>
      <c r="AG785" s="151"/>
      <c r="AH785" s="112" t="s">
        <v>1645</v>
      </c>
    </row>
    <row r="786" spans="1:34" x14ac:dyDescent="0.2">
      <c r="A786" s="33">
        <v>45394</v>
      </c>
      <c r="B786" s="34" t="s">
        <v>193</v>
      </c>
      <c r="C786" s="34">
        <v>2024</v>
      </c>
      <c r="D786" s="34" t="s">
        <v>11</v>
      </c>
      <c r="E786" s="271">
        <v>-326</v>
      </c>
      <c r="F786" s="271" t="s">
        <v>33</v>
      </c>
      <c r="G786" s="272">
        <v>130400</v>
      </c>
      <c r="H786" s="273">
        <v>493</v>
      </c>
      <c r="I786" s="271" t="s">
        <v>80</v>
      </c>
      <c r="J786" s="271" t="s">
        <v>39</v>
      </c>
      <c r="K786" s="271">
        <v>496</v>
      </c>
      <c r="L786" s="271" t="s">
        <v>726</v>
      </c>
      <c r="M786" s="271" t="s">
        <v>1640</v>
      </c>
      <c r="N786" s="116" t="s">
        <v>1641</v>
      </c>
      <c r="O786" s="34"/>
      <c r="P786" s="34" t="s">
        <v>325</v>
      </c>
      <c r="Q786" s="773">
        <v>38.198149999999998</v>
      </c>
      <c r="R786" s="592">
        <v>-87.292640000000006</v>
      </c>
      <c r="S786" s="34" t="s">
        <v>63</v>
      </c>
      <c r="T786" s="34"/>
      <c r="U786" s="34" t="s">
        <v>51</v>
      </c>
      <c r="V786" s="33"/>
      <c r="W786" s="35">
        <f>IF(AC786="Intr",0,G786*Definitions!$B$53)</f>
        <v>19560</v>
      </c>
      <c r="X786" s="35">
        <f>IF(AC786="Intr",0,G786*Definitions!$B$54)</f>
        <v>91280</v>
      </c>
      <c r="Y786" s="35">
        <f>IF(AC786="Intr",G786,G786*Definitions!$B$55)</f>
        <v>19560</v>
      </c>
      <c r="Z786" s="35" t="s">
        <v>966</v>
      </c>
      <c r="AA786" s="35" t="s">
        <v>965</v>
      </c>
      <c r="AB786" s="35"/>
      <c r="AC786" s="34"/>
      <c r="AD786" s="34"/>
      <c r="AE786" s="34"/>
      <c r="AF786" s="34"/>
      <c r="AG786" s="36"/>
      <c r="AH786" s="34" t="s">
        <v>1646</v>
      </c>
    </row>
    <row r="787" spans="1:34" x14ac:dyDescent="0.2">
      <c r="A787" s="41">
        <v>45412</v>
      </c>
      <c r="B787" s="42" t="s">
        <v>193</v>
      </c>
      <c r="C787" s="42">
        <v>2024</v>
      </c>
      <c r="D787" s="42" t="s">
        <v>7</v>
      </c>
      <c r="E787" s="320">
        <v>-1.1499999999999999</v>
      </c>
      <c r="F787" s="320" t="s">
        <v>32</v>
      </c>
      <c r="G787" s="343">
        <v>92000</v>
      </c>
      <c r="H787" s="344">
        <v>496</v>
      </c>
      <c r="I787" s="320" t="s">
        <v>80</v>
      </c>
      <c r="J787" s="320" t="s">
        <v>36</v>
      </c>
      <c r="K787" s="320">
        <v>0.48</v>
      </c>
      <c r="L787" s="320" t="s">
        <v>1635</v>
      </c>
      <c r="M787" s="320" t="s">
        <v>1642</v>
      </c>
      <c r="N787" s="73" t="s">
        <v>1643</v>
      </c>
      <c r="O787" s="42"/>
      <c r="P787" s="42" t="s">
        <v>162</v>
      </c>
      <c r="Q787" s="731">
        <v>39.739019999999996</v>
      </c>
      <c r="R787" s="593">
        <v>-86.474185000000006</v>
      </c>
      <c r="S787" s="42" t="s">
        <v>61</v>
      </c>
      <c r="T787" s="42"/>
      <c r="U787" s="42" t="s">
        <v>51</v>
      </c>
      <c r="V787" s="41"/>
      <c r="W787" s="43">
        <f>IF(AC787="Intr",0,G787*Definitions!$B$53)</f>
        <v>13800</v>
      </c>
      <c r="X787" s="43">
        <f>IF(AC787="Intr",0,G787*Definitions!$B$54)</f>
        <v>64399.999999999993</v>
      </c>
      <c r="Y787" s="43">
        <f>IF(AC787="Intr",G787,G787*Definitions!$B$55)</f>
        <v>13800</v>
      </c>
      <c r="Z787" s="43" t="s">
        <v>966</v>
      </c>
      <c r="AA787" s="43" t="s">
        <v>965</v>
      </c>
      <c r="AB787" s="43"/>
      <c r="AC787" s="42"/>
      <c r="AD787" s="42"/>
      <c r="AE787" s="42"/>
      <c r="AF787" s="42"/>
      <c r="AG787" s="44"/>
      <c r="AH787" s="42"/>
    </row>
    <row r="788" spans="1:34" x14ac:dyDescent="0.2">
      <c r="A788" s="45">
        <v>45420</v>
      </c>
      <c r="B788" s="46" t="s">
        <v>95</v>
      </c>
      <c r="C788" s="46">
        <v>2024</v>
      </c>
      <c r="D788" s="46" t="s">
        <v>7</v>
      </c>
      <c r="E788" s="632">
        <v>-0.64</v>
      </c>
      <c r="F788" s="181" t="s">
        <v>32</v>
      </c>
      <c r="G788" s="633">
        <v>51200</v>
      </c>
      <c r="H788" s="183">
        <v>505</v>
      </c>
      <c r="I788" s="181" t="s">
        <v>80</v>
      </c>
      <c r="J788" s="181" t="s">
        <v>38</v>
      </c>
      <c r="K788" s="632">
        <v>0.16</v>
      </c>
      <c r="L788" s="632" t="s">
        <v>1673</v>
      </c>
      <c r="M788" s="632" t="s">
        <v>1672</v>
      </c>
      <c r="N788" s="632" t="s">
        <v>1671</v>
      </c>
      <c r="O788" s="46"/>
      <c r="P788" s="631" t="s">
        <v>162</v>
      </c>
      <c r="Q788" s="828">
        <v>39.722900000000003</v>
      </c>
      <c r="R788" s="716">
        <v>-86.330699999999993</v>
      </c>
      <c r="S788" s="630" t="s">
        <v>61</v>
      </c>
      <c r="T788" s="46"/>
      <c r="U788" s="46" t="s">
        <v>51</v>
      </c>
      <c r="V788" s="45"/>
      <c r="W788" s="47">
        <f>IF(AC788="Intr",0,G788*[2]Data!$B$53)</f>
        <v>7680</v>
      </c>
      <c r="X788" s="47">
        <f>IF(AC788="Intr",0,G788*[2]Data!$B$54)</f>
        <v>35840</v>
      </c>
      <c r="Y788" s="47">
        <f>IF(AC788="Intr",G788,G788*[2]Data!$B$55)</f>
        <v>7680</v>
      </c>
      <c r="Z788" s="78" t="s">
        <v>966</v>
      </c>
      <c r="AA788" s="78" t="s">
        <v>965</v>
      </c>
      <c r="AB788" s="78"/>
      <c r="AC788" s="46"/>
      <c r="AD788" s="46"/>
      <c r="AE788" s="46"/>
      <c r="AF788" s="46"/>
      <c r="AG788" s="48"/>
      <c r="AH788" s="46"/>
    </row>
    <row r="789" spans="1:34" x14ac:dyDescent="0.2">
      <c r="A789" s="45">
        <v>45420</v>
      </c>
      <c r="B789" s="46" t="s">
        <v>95</v>
      </c>
      <c r="C789" s="46">
        <v>2024</v>
      </c>
      <c r="D789" s="46" t="s">
        <v>7</v>
      </c>
      <c r="E789" s="632">
        <v>-74</v>
      </c>
      <c r="F789" s="181" t="s">
        <v>33</v>
      </c>
      <c r="G789" s="633">
        <v>33300</v>
      </c>
      <c r="H789" s="183">
        <v>505</v>
      </c>
      <c r="I789" s="181" t="s">
        <v>80</v>
      </c>
      <c r="J789" s="181" t="s">
        <v>40</v>
      </c>
      <c r="K789" s="632">
        <v>61.6</v>
      </c>
      <c r="L789" s="632" t="s">
        <v>1673</v>
      </c>
      <c r="M789" s="632" t="s">
        <v>1672</v>
      </c>
      <c r="N789" s="632" t="s">
        <v>1671</v>
      </c>
      <c r="O789" s="46"/>
      <c r="P789" s="631" t="s">
        <v>162</v>
      </c>
      <c r="Q789" s="828">
        <v>39.722900000000003</v>
      </c>
      <c r="R789" s="716">
        <v>-86.330699999999993</v>
      </c>
      <c r="S789" s="630" t="s">
        <v>61</v>
      </c>
      <c r="T789" s="46"/>
      <c r="U789" s="46" t="s">
        <v>51</v>
      </c>
      <c r="V789" s="45"/>
      <c r="W789" s="47">
        <f>IF(AC789="Intr",0,G789*[2]Data!$B$53)</f>
        <v>4995</v>
      </c>
      <c r="X789" s="47">
        <f>IF(AC789="Intr",0,G789*[2]Data!$B$54)</f>
        <v>23310</v>
      </c>
      <c r="Y789" s="47">
        <f>IF(AC789="Intr",G789,G789*[2]Data!$B$55)</f>
        <v>4995</v>
      </c>
      <c r="Z789" s="78" t="s">
        <v>966</v>
      </c>
      <c r="AA789" s="78" t="s">
        <v>965</v>
      </c>
      <c r="AB789" s="78"/>
      <c r="AC789" s="46"/>
      <c r="AD789" s="46"/>
      <c r="AE789" s="46"/>
      <c r="AF789" s="46"/>
      <c r="AG789" s="48"/>
      <c r="AH789" s="46"/>
    </row>
    <row r="790" spans="1:34" x14ac:dyDescent="0.2">
      <c r="A790" s="29">
        <v>45433</v>
      </c>
      <c r="B790" s="30" t="s">
        <v>95</v>
      </c>
      <c r="C790" s="30">
        <v>2024</v>
      </c>
      <c r="D790" s="30" t="s">
        <v>6</v>
      </c>
      <c r="E790" s="628">
        <v>-1.6</v>
      </c>
      <c r="F790" s="217" t="s">
        <v>32</v>
      </c>
      <c r="G790" s="629">
        <f>-E790*80000</f>
        <v>128000</v>
      </c>
      <c r="H790" s="219">
        <v>479</v>
      </c>
      <c r="I790" s="217" t="s">
        <v>80</v>
      </c>
      <c r="J790" s="217" t="s">
        <v>38</v>
      </c>
      <c r="K790" s="628">
        <v>0.4</v>
      </c>
      <c r="L790" s="628" t="s">
        <v>1670</v>
      </c>
      <c r="M790" s="628" t="s">
        <v>1669</v>
      </c>
      <c r="N790" s="628" t="s">
        <v>1668</v>
      </c>
      <c r="O790" s="30"/>
      <c r="P790" s="627" t="s">
        <v>1667</v>
      </c>
      <c r="Q790" s="829">
        <v>40.146002000000003</v>
      </c>
      <c r="R790" s="717">
        <v>-87.402583000000007</v>
      </c>
      <c r="S790" s="626" t="s">
        <v>63</v>
      </c>
      <c r="T790" s="30"/>
      <c r="U790" s="30" t="s">
        <v>51</v>
      </c>
      <c r="V790" s="29"/>
      <c r="W790" s="31">
        <f>IF(AC790="Intr",0,G790*[2]Data!$B$53)</f>
        <v>19200</v>
      </c>
      <c r="X790" s="31">
        <f>IF(AC790="Intr",0,G790*[2]Data!$B$54)</f>
        <v>89600</v>
      </c>
      <c r="Y790" s="31">
        <f>IF(AC790="Intr",G790,G790*[2]Data!$B$55)</f>
        <v>19200</v>
      </c>
      <c r="Z790" s="69" t="s">
        <v>966</v>
      </c>
      <c r="AA790" s="69" t="s">
        <v>965</v>
      </c>
      <c r="AB790" s="69"/>
      <c r="AC790" s="30"/>
      <c r="AD790" s="30"/>
      <c r="AE790" s="30"/>
      <c r="AF790" s="30"/>
      <c r="AG790" s="32"/>
      <c r="AH790" s="30"/>
    </row>
    <row r="791" spans="1:34" x14ac:dyDescent="0.2">
      <c r="A791" s="207">
        <v>45433</v>
      </c>
      <c r="B791" s="208" t="s">
        <v>95</v>
      </c>
      <c r="C791" s="208">
        <v>2024</v>
      </c>
      <c r="D791" s="208" t="s">
        <v>5</v>
      </c>
      <c r="E791" s="600">
        <v>-322</v>
      </c>
      <c r="F791" s="209" t="s">
        <v>33</v>
      </c>
      <c r="G791" s="601">
        <v>128800</v>
      </c>
      <c r="H791" s="211">
        <v>476</v>
      </c>
      <c r="I791" s="209" t="s">
        <v>80</v>
      </c>
      <c r="J791" s="209" t="s">
        <v>40</v>
      </c>
      <c r="K791" s="600">
        <v>1475</v>
      </c>
      <c r="L791" s="600" t="s">
        <v>1666</v>
      </c>
      <c r="M791" s="600" t="s">
        <v>1665</v>
      </c>
      <c r="N791" s="600" t="s">
        <v>1664</v>
      </c>
      <c r="O791" s="208"/>
      <c r="P791" s="599" t="s">
        <v>255</v>
      </c>
      <c r="Q791" s="830">
        <v>40.995683999999997</v>
      </c>
      <c r="R791" s="718">
        <v>-85.271597999999997</v>
      </c>
      <c r="S791" s="598" t="s">
        <v>63</v>
      </c>
      <c r="T791" s="208"/>
      <c r="U791" s="208" t="s">
        <v>51</v>
      </c>
      <c r="V791" s="207"/>
      <c r="W791" s="213">
        <f>IF(AC791="Intr",0,G791*[2]Data!$B$53)</f>
        <v>19320</v>
      </c>
      <c r="X791" s="213">
        <f>IF(AC791="Intr",0,G791*[2]Data!$B$54)</f>
        <v>90160</v>
      </c>
      <c r="Y791" s="213">
        <f>IF(AC791="Intr",G791,G791*[2]Data!$B$55)</f>
        <v>19320</v>
      </c>
      <c r="Z791" s="304" t="s">
        <v>966</v>
      </c>
      <c r="AA791" s="304" t="s">
        <v>965</v>
      </c>
      <c r="AB791" s="304"/>
      <c r="AC791" s="208"/>
      <c r="AD791" s="208"/>
      <c r="AE791" s="208"/>
      <c r="AF791" s="208"/>
      <c r="AG791" s="214"/>
      <c r="AH791" s="208"/>
    </row>
    <row r="792" spans="1:34" x14ac:dyDescent="0.2">
      <c r="A792" s="274">
        <v>45433</v>
      </c>
      <c r="B792" s="275" t="s">
        <v>95</v>
      </c>
      <c r="C792" s="275">
        <v>2024</v>
      </c>
      <c r="D792" s="275" t="s">
        <v>8</v>
      </c>
      <c r="E792" s="624">
        <v>-1.4999999999999999E-2</v>
      </c>
      <c r="F792" s="276" t="s">
        <v>32</v>
      </c>
      <c r="G792" s="625">
        <v>1200</v>
      </c>
      <c r="H792" s="278">
        <v>499</v>
      </c>
      <c r="I792" s="276" t="s">
        <v>81</v>
      </c>
      <c r="J792" s="276" t="s">
        <v>36</v>
      </c>
      <c r="K792" s="624">
        <v>0.01</v>
      </c>
      <c r="L792" s="624" t="s">
        <v>987</v>
      </c>
      <c r="M792" s="624" t="s">
        <v>103</v>
      </c>
      <c r="N792" s="624" t="s">
        <v>1663</v>
      </c>
      <c r="O792" s="275"/>
      <c r="P792" s="623" t="s">
        <v>121</v>
      </c>
      <c r="Q792" s="831">
        <v>39.825046999999998</v>
      </c>
      <c r="R792" s="719">
        <v>-85.712712999999994</v>
      </c>
      <c r="S792" s="622" t="s">
        <v>63</v>
      </c>
      <c r="T792" s="275"/>
      <c r="U792" s="275" t="s">
        <v>51</v>
      </c>
      <c r="V792" s="274"/>
      <c r="W792" s="280">
        <f>IF(AC792="Intr",0,G792*[2]Data!$B$53)</f>
        <v>180</v>
      </c>
      <c r="X792" s="280">
        <f>IF(AC792="Intr",0,G792*[2]Data!$B$54)</f>
        <v>840</v>
      </c>
      <c r="Y792" s="280">
        <f>IF(AC792="Intr",G792,G792*[2]Data!$B$55)</f>
        <v>180</v>
      </c>
      <c r="Z792" s="346" t="s">
        <v>966</v>
      </c>
      <c r="AA792" s="346" t="s">
        <v>963</v>
      </c>
      <c r="AB792" s="346" t="s">
        <v>970</v>
      </c>
      <c r="AC792" s="275"/>
      <c r="AD792" s="275"/>
      <c r="AE792" s="275"/>
      <c r="AF792" s="275"/>
      <c r="AG792" s="281"/>
      <c r="AH792" s="275"/>
    </row>
    <row r="793" spans="1:34" x14ac:dyDescent="0.2">
      <c r="A793" s="37">
        <v>45433</v>
      </c>
      <c r="B793" s="38" t="s">
        <v>95</v>
      </c>
      <c r="C793" s="38">
        <v>2024</v>
      </c>
      <c r="D793" s="38" t="s">
        <v>5</v>
      </c>
      <c r="E793" s="620">
        <v>-33</v>
      </c>
      <c r="F793" s="177" t="s">
        <v>33</v>
      </c>
      <c r="G793" s="621">
        <v>13200</v>
      </c>
      <c r="H793" s="179">
        <v>500</v>
      </c>
      <c r="I793" s="177" t="s">
        <v>80</v>
      </c>
      <c r="J793" s="177" t="s">
        <v>40</v>
      </c>
      <c r="K793" s="620">
        <v>33</v>
      </c>
      <c r="L793" s="620" t="s">
        <v>726</v>
      </c>
      <c r="M793" s="620" t="s">
        <v>103</v>
      </c>
      <c r="N793" s="620" t="s">
        <v>1662</v>
      </c>
      <c r="O793" s="38"/>
      <c r="P793" s="619" t="s">
        <v>151</v>
      </c>
      <c r="Q793" s="832">
        <v>40.713340000000002</v>
      </c>
      <c r="R793" s="720">
        <v>-85.115110000000001</v>
      </c>
      <c r="S793" s="618" t="s">
        <v>63</v>
      </c>
      <c r="T793" s="38"/>
      <c r="U793" s="38" t="s">
        <v>51</v>
      </c>
      <c r="V793" s="37"/>
      <c r="W793" s="39">
        <f>IF(AC793="Intr",0,G793*[2]Data!$B$53)</f>
        <v>1980</v>
      </c>
      <c r="X793" s="39">
        <f>IF(AC793="Intr",0,G793*[2]Data!$B$54)</f>
        <v>9240</v>
      </c>
      <c r="Y793" s="39">
        <f>IF(AC793="Intr",G793,G793*[2]Data!$B$55)</f>
        <v>1980</v>
      </c>
      <c r="Z793" s="72" t="s">
        <v>966</v>
      </c>
      <c r="AA793" s="72" t="s">
        <v>965</v>
      </c>
      <c r="AB793" s="72"/>
      <c r="AC793" s="38"/>
      <c r="AD793" s="38"/>
      <c r="AE793" s="38"/>
      <c r="AF793" s="38"/>
      <c r="AG793" s="40"/>
      <c r="AH793" s="38"/>
    </row>
    <row r="794" spans="1:34" x14ac:dyDescent="0.2">
      <c r="A794" s="145">
        <v>45434</v>
      </c>
      <c r="B794" s="112" t="s">
        <v>95</v>
      </c>
      <c r="C794" s="112">
        <v>2024</v>
      </c>
      <c r="D794" s="112" t="s">
        <v>4</v>
      </c>
      <c r="E794" s="616">
        <v>-3.51</v>
      </c>
      <c r="F794" s="146" t="s">
        <v>32</v>
      </c>
      <c r="G794" s="617">
        <v>280800</v>
      </c>
      <c r="H794" s="148">
        <v>506</v>
      </c>
      <c r="I794" s="146" t="s">
        <v>81</v>
      </c>
      <c r="J794" s="146" t="s">
        <v>38</v>
      </c>
      <c r="K794" s="616">
        <v>1.7549999999999999</v>
      </c>
      <c r="L794" s="616" t="s">
        <v>1661</v>
      </c>
      <c r="M794" s="616" t="s">
        <v>103</v>
      </c>
      <c r="N794" s="616" t="s">
        <v>1660</v>
      </c>
      <c r="O794" s="112"/>
      <c r="P794" s="615" t="s">
        <v>310</v>
      </c>
      <c r="Q794" s="833">
        <v>41.370596999999997</v>
      </c>
      <c r="R794" s="721">
        <v>-85.078412999999998</v>
      </c>
      <c r="S794" s="614" t="s">
        <v>61</v>
      </c>
      <c r="T794" s="112"/>
      <c r="U794" s="112" t="s">
        <v>51</v>
      </c>
      <c r="V794" s="145"/>
      <c r="W794" s="150">
        <f>IF(AC794="Intr",0,G794*[2]Data!$B$53)</f>
        <v>42120</v>
      </c>
      <c r="X794" s="150">
        <f>IF(AC794="Intr",0,G794*[2]Data!$B$54)</f>
        <v>196560</v>
      </c>
      <c r="Y794" s="150">
        <f>IF(AC794="Intr",G794,G794*[2]Data!$B$55)</f>
        <v>42120</v>
      </c>
      <c r="Z794" s="342" t="s">
        <v>966</v>
      </c>
      <c r="AA794" s="342" t="s">
        <v>963</v>
      </c>
      <c r="AB794" s="342" t="s">
        <v>1245</v>
      </c>
      <c r="AC794" s="112"/>
      <c r="AD794" s="112"/>
      <c r="AE794" s="112"/>
      <c r="AF794" s="112"/>
      <c r="AG794" s="151"/>
      <c r="AH794" s="112"/>
    </row>
    <row r="795" spans="1:34" x14ac:dyDescent="0.2">
      <c r="A795" s="58">
        <v>45440</v>
      </c>
      <c r="B795" s="59" t="s">
        <v>95</v>
      </c>
      <c r="C795" s="59">
        <v>2024</v>
      </c>
      <c r="D795" s="59" t="s">
        <v>7</v>
      </c>
      <c r="E795" s="612">
        <v>-3.55</v>
      </c>
      <c r="F795" s="60" t="s">
        <v>32</v>
      </c>
      <c r="G795" s="613">
        <v>284000</v>
      </c>
      <c r="H795" s="62">
        <v>491</v>
      </c>
      <c r="I795" s="60" t="s">
        <v>81</v>
      </c>
      <c r="J795" s="60" t="s">
        <v>38</v>
      </c>
      <c r="K795" s="612">
        <v>1.42</v>
      </c>
      <c r="L795" s="612" t="s">
        <v>1659</v>
      </c>
      <c r="M795" s="612"/>
      <c r="N795" s="612" t="s">
        <v>1658</v>
      </c>
      <c r="O795" s="59"/>
      <c r="P795" s="611" t="s">
        <v>143</v>
      </c>
      <c r="Q795" s="834">
        <v>39.911498000000002</v>
      </c>
      <c r="R795" s="722">
        <v>-86.258311000000006</v>
      </c>
      <c r="S795" s="610" t="s">
        <v>61</v>
      </c>
      <c r="T795" s="59"/>
      <c r="U795" s="59" t="s">
        <v>51</v>
      </c>
      <c r="V795" s="58"/>
      <c r="W795" s="65">
        <f>IF(AC795="Intr",0,G795*[2]Data!$B$53)</f>
        <v>42600</v>
      </c>
      <c r="X795" s="65">
        <f>IF(AC795="Intr",0,G795*[2]Data!$B$54)</f>
        <v>198800</v>
      </c>
      <c r="Y795" s="65">
        <f>IF(AC795="Intr",G795,G795*[2]Data!$B$55)</f>
        <v>42600</v>
      </c>
      <c r="Z795" s="64" t="s">
        <v>966</v>
      </c>
      <c r="AA795" s="64" t="s">
        <v>963</v>
      </c>
      <c r="AB795" s="64" t="s">
        <v>1268</v>
      </c>
      <c r="AC795" s="59"/>
      <c r="AD795" s="59"/>
      <c r="AE795" s="59"/>
      <c r="AF795" s="59"/>
      <c r="AG795" s="66"/>
      <c r="AH795" s="59"/>
    </row>
    <row r="796" spans="1:34" x14ac:dyDescent="0.2">
      <c r="A796" s="41">
        <v>45441</v>
      </c>
      <c r="B796" s="42" t="s">
        <v>95</v>
      </c>
      <c r="C796" s="42">
        <v>2024</v>
      </c>
      <c r="D796" s="42" t="s">
        <v>3</v>
      </c>
      <c r="E796" s="608">
        <v>-1.1499999999999999</v>
      </c>
      <c r="F796" s="320" t="s">
        <v>32</v>
      </c>
      <c r="G796" s="609">
        <v>138000</v>
      </c>
      <c r="H796" s="344">
        <v>502</v>
      </c>
      <c r="I796" s="320" t="s">
        <v>80</v>
      </c>
      <c r="J796" s="320" t="s">
        <v>38</v>
      </c>
      <c r="K796" s="608">
        <v>0.47</v>
      </c>
      <c r="L796" s="608" t="s">
        <v>1657</v>
      </c>
      <c r="M796" s="608" t="s">
        <v>1656</v>
      </c>
      <c r="N796" s="608" t="s">
        <v>1655</v>
      </c>
      <c r="O796" s="42"/>
      <c r="P796" s="607" t="s">
        <v>270</v>
      </c>
      <c r="Q796" s="835">
        <v>41.514781999999997</v>
      </c>
      <c r="R796" s="723">
        <v>-85.847611000000001</v>
      </c>
      <c r="S796" s="606" t="s">
        <v>63</v>
      </c>
      <c r="T796" s="42"/>
      <c r="U796" s="42" t="s">
        <v>51</v>
      </c>
      <c r="V796" s="41"/>
      <c r="W796" s="43">
        <f>IF(AC796="Intr",0,G796*[2]Data!$B$53)</f>
        <v>20700</v>
      </c>
      <c r="X796" s="43">
        <f>IF(AC796="Intr",0,G796*[2]Data!$B$54)</f>
        <v>96600</v>
      </c>
      <c r="Y796" s="43">
        <f>IF(AC796="Intr",G796,G796*[2]Data!$B$55)</f>
        <v>20700</v>
      </c>
      <c r="Z796" s="75" t="s">
        <v>964</v>
      </c>
      <c r="AA796" s="75" t="s">
        <v>965</v>
      </c>
      <c r="AB796" s="75"/>
      <c r="AC796" s="42"/>
      <c r="AD796" s="42"/>
      <c r="AE796" s="42"/>
      <c r="AF796" s="42"/>
      <c r="AG796" s="44"/>
      <c r="AH796" s="42" t="s">
        <v>1682</v>
      </c>
    </row>
    <row r="797" spans="1:34" x14ac:dyDescent="0.2">
      <c r="A797" s="41">
        <v>45441</v>
      </c>
      <c r="B797" s="42" t="s">
        <v>95</v>
      </c>
      <c r="C797" s="42">
        <v>2024</v>
      </c>
      <c r="D797" s="42" t="s">
        <v>3</v>
      </c>
      <c r="E797" s="608">
        <v>-89</v>
      </c>
      <c r="F797" s="320" t="s">
        <v>33</v>
      </c>
      <c r="G797" s="609">
        <v>53400</v>
      </c>
      <c r="H797" s="344">
        <v>502</v>
      </c>
      <c r="I797" s="320" t="s">
        <v>80</v>
      </c>
      <c r="J797" s="320" t="s">
        <v>39</v>
      </c>
      <c r="K797" s="608">
        <v>184</v>
      </c>
      <c r="L797" s="608" t="s">
        <v>1657</v>
      </c>
      <c r="M797" s="608" t="s">
        <v>1656</v>
      </c>
      <c r="N797" s="608" t="s">
        <v>1655</v>
      </c>
      <c r="O797" s="42"/>
      <c r="P797" s="607" t="s">
        <v>270</v>
      </c>
      <c r="Q797" s="835">
        <v>41.514781999999997</v>
      </c>
      <c r="R797" s="723">
        <v>-85.847611000000001</v>
      </c>
      <c r="S797" s="606" t="s">
        <v>63</v>
      </c>
      <c r="T797" s="42"/>
      <c r="U797" s="42" t="s">
        <v>51</v>
      </c>
      <c r="V797" s="41"/>
      <c r="W797" s="43">
        <f>IF(AC797="Intr",0,G797*[2]Data!$B$53)</f>
        <v>8010</v>
      </c>
      <c r="X797" s="43">
        <f>IF(AC797="Intr",0,G797*[2]Data!$B$54)</f>
        <v>37380</v>
      </c>
      <c r="Y797" s="43">
        <f>IF(AC797="Intr",G797,G797*[2]Data!$B$55)</f>
        <v>8010</v>
      </c>
      <c r="Z797" s="75" t="s">
        <v>964</v>
      </c>
      <c r="AA797" s="75" t="s">
        <v>965</v>
      </c>
      <c r="AB797" s="75"/>
      <c r="AC797" s="42"/>
      <c r="AD797" s="42"/>
      <c r="AE797" s="42"/>
      <c r="AF797" s="42"/>
      <c r="AG797" s="44"/>
      <c r="AH797" s="42" t="s">
        <v>1682</v>
      </c>
    </row>
    <row r="798" spans="1:34" x14ac:dyDescent="0.2">
      <c r="A798" s="160">
        <v>45441</v>
      </c>
      <c r="B798" s="161" t="s">
        <v>95</v>
      </c>
      <c r="C798" s="161">
        <v>2024</v>
      </c>
      <c r="D798" s="161" t="s">
        <v>5</v>
      </c>
      <c r="E798" s="604">
        <v>-153</v>
      </c>
      <c r="F798" s="162" t="s">
        <v>33</v>
      </c>
      <c r="G798" s="605">
        <v>61200</v>
      </c>
      <c r="H798" s="164">
        <v>504</v>
      </c>
      <c r="I798" s="162" t="s">
        <v>80</v>
      </c>
      <c r="J798" s="162" t="s">
        <v>39</v>
      </c>
      <c r="K798" s="604">
        <v>196</v>
      </c>
      <c r="L798" s="604" t="s">
        <v>726</v>
      </c>
      <c r="M798" s="604" t="s">
        <v>1654</v>
      </c>
      <c r="N798" s="604" t="s">
        <v>1653</v>
      </c>
      <c r="O798" s="161"/>
      <c r="P798" s="603" t="s">
        <v>151</v>
      </c>
      <c r="Q798" s="836">
        <v>40.805700000000002</v>
      </c>
      <c r="R798" s="724">
        <v>-85.227630000000005</v>
      </c>
      <c r="S798" s="602" t="s">
        <v>63</v>
      </c>
      <c r="T798" s="161"/>
      <c r="U798" s="161" t="s">
        <v>51</v>
      </c>
      <c r="V798" s="160"/>
      <c r="W798" s="166">
        <f>IF(AC798="Intr",0,G798*[2]Data!$B$53)</f>
        <v>9180</v>
      </c>
      <c r="X798" s="166">
        <f>IF(AC798="Intr",0,G798*[2]Data!$B$54)</f>
        <v>42840</v>
      </c>
      <c r="Y798" s="166">
        <f>IF(AC798="Intr",G798,G798*[2]Data!$B$55)</f>
        <v>9180</v>
      </c>
      <c r="Z798" s="380" t="s">
        <v>966</v>
      </c>
      <c r="AA798" s="380" t="s">
        <v>965</v>
      </c>
      <c r="AB798" s="380"/>
      <c r="AC798" s="161"/>
      <c r="AD798" s="161"/>
      <c r="AE798" s="161"/>
      <c r="AF798" s="161"/>
      <c r="AG798" s="167"/>
      <c r="AH798" s="161" t="s">
        <v>1683</v>
      </c>
    </row>
    <row r="799" spans="1:34" x14ac:dyDescent="0.2">
      <c r="A799" s="160">
        <v>45441</v>
      </c>
      <c r="B799" s="161" t="s">
        <v>95</v>
      </c>
      <c r="C799" s="161">
        <v>2024</v>
      </c>
      <c r="D799" s="161" t="s">
        <v>5</v>
      </c>
      <c r="E799" s="604">
        <v>-0.02</v>
      </c>
      <c r="F799" s="162" t="s">
        <v>32</v>
      </c>
      <c r="G799" s="605">
        <v>1600</v>
      </c>
      <c r="H799" s="164">
        <v>504</v>
      </c>
      <c r="I799" s="162" t="s">
        <v>80</v>
      </c>
      <c r="J799" s="162" t="s">
        <v>36</v>
      </c>
      <c r="K799" s="604">
        <v>0.01</v>
      </c>
      <c r="L799" s="604" t="s">
        <v>726</v>
      </c>
      <c r="M799" s="604" t="s">
        <v>1654</v>
      </c>
      <c r="N799" s="604" t="s">
        <v>1653</v>
      </c>
      <c r="O799" s="161"/>
      <c r="P799" s="603" t="s">
        <v>151</v>
      </c>
      <c r="Q799" s="836">
        <v>40.805700000000002</v>
      </c>
      <c r="R799" s="724">
        <v>-85.227630000000005</v>
      </c>
      <c r="S799" s="602" t="s">
        <v>63</v>
      </c>
      <c r="T799" s="161"/>
      <c r="U799" s="161" t="s">
        <v>51</v>
      </c>
      <c r="V799" s="160"/>
      <c r="W799" s="166">
        <f>IF(AC799="Intr",0,G799*[2]Data!$B$53)</f>
        <v>240</v>
      </c>
      <c r="X799" s="166">
        <f>IF(AC799="Intr",0,G799*[2]Data!$B$54)</f>
        <v>1120</v>
      </c>
      <c r="Y799" s="166">
        <f>IF(AC799="Intr",G799,G799*[2]Data!$B$55)</f>
        <v>240</v>
      </c>
      <c r="Z799" s="380" t="s">
        <v>966</v>
      </c>
      <c r="AA799" s="380" t="s">
        <v>965</v>
      </c>
      <c r="AB799" s="380"/>
      <c r="AC799" s="161"/>
      <c r="AD799" s="161"/>
      <c r="AE799" s="161"/>
      <c r="AF799" s="161"/>
      <c r="AG799" s="167"/>
      <c r="AH799" s="161" t="s">
        <v>1683</v>
      </c>
    </row>
    <row r="800" spans="1:34" x14ac:dyDescent="0.2">
      <c r="A800" s="207">
        <v>45441</v>
      </c>
      <c r="B800" s="208" t="s">
        <v>95</v>
      </c>
      <c r="C800" s="208">
        <v>2024</v>
      </c>
      <c r="D800" s="208" t="s">
        <v>5</v>
      </c>
      <c r="E800" s="600">
        <v>-0.15</v>
      </c>
      <c r="F800" s="209" t="s">
        <v>32</v>
      </c>
      <c r="G800" s="601">
        <v>12000</v>
      </c>
      <c r="H800" s="211">
        <v>507</v>
      </c>
      <c r="I800" s="209" t="s">
        <v>81</v>
      </c>
      <c r="J800" s="209" t="s">
        <v>38</v>
      </c>
      <c r="K800" s="600">
        <v>0.05</v>
      </c>
      <c r="L800" s="600" t="s">
        <v>1652</v>
      </c>
      <c r="M800" s="600" t="s">
        <v>103</v>
      </c>
      <c r="N800" s="600" t="s">
        <v>1651</v>
      </c>
      <c r="O800" s="208"/>
      <c r="P800" s="599" t="s">
        <v>404</v>
      </c>
      <c r="Q800" s="830">
        <v>40.512196000000003</v>
      </c>
      <c r="R800" s="718">
        <v>-86.105057000000002</v>
      </c>
      <c r="S800" s="598" t="s">
        <v>61</v>
      </c>
      <c r="T800" s="208"/>
      <c r="U800" s="208" t="s">
        <v>51</v>
      </c>
      <c r="V800" s="207"/>
      <c r="W800" s="213">
        <f>IF(AC800="Intr",0,G800*[2]Data!$B$53)</f>
        <v>1800</v>
      </c>
      <c r="X800" s="213">
        <f>IF(AC800="Intr",0,G800*[2]Data!$B$54)</f>
        <v>8400</v>
      </c>
      <c r="Y800" s="213">
        <f>IF(AC800="Intr",G800,G800*[2]Data!$B$55)</f>
        <v>1800</v>
      </c>
      <c r="Z800" s="304" t="s">
        <v>966</v>
      </c>
      <c r="AA800" s="304" t="s">
        <v>963</v>
      </c>
      <c r="AB800" s="304" t="s">
        <v>1268</v>
      </c>
      <c r="AC800" s="208"/>
      <c r="AD800" s="208"/>
      <c r="AE800" s="208"/>
      <c r="AF800" s="208"/>
      <c r="AG800" s="214"/>
      <c r="AH800" s="208"/>
    </row>
    <row r="801" spans="1:34" x14ac:dyDescent="0.2">
      <c r="A801" s="237">
        <v>45441</v>
      </c>
      <c r="B801" s="238" t="s">
        <v>95</v>
      </c>
      <c r="C801" s="238">
        <v>2024</v>
      </c>
      <c r="D801" s="238" t="s">
        <v>2</v>
      </c>
      <c r="E801" s="596">
        <v>-496</v>
      </c>
      <c r="F801" s="240" t="s">
        <v>33</v>
      </c>
      <c r="G801" s="597">
        <v>248000</v>
      </c>
      <c r="H801" s="318">
        <v>508</v>
      </c>
      <c r="I801" s="240" t="s">
        <v>80</v>
      </c>
      <c r="J801" s="240" t="s">
        <v>39</v>
      </c>
      <c r="K801" s="596">
        <v>496</v>
      </c>
      <c r="L801" s="596" t="s">
        <v>1650</v>
      </c>
      <c r="M801" s="596" t="s">
        <v>1649</v>
      </c>
      <c r="N801" s="596" t="s">
        <v>1648</v>
      </c>
      <c r="O801" s="240" t="s">
        <v>1647</v>
      </c>
      <c r="P801" s="595" t="s">
        <v>515</v>
      </c>
      <c r="Q801" s="837">
        <v>41.544612000000001</v>
      </c>
      <c r="R801" s="725">
        <v>-86.371112999999994</v>
      </c>
      <c r="S801" s="594" t="s">
        <v>61</v>
      </c>
      <c r="T801" s="238"/>
      <c r="U801" s="238" t="s">
        <v>51</v>
      </c>
      <c r="V801" s="237"/>
      <c r="W801" s="244">
        <f>IF(AC801="Intr",0,G801*[2]Data!$B$53)</f>
        <v>37200</v>
      </c>
      <c r="X801" s="244">
        <f>IF(AC801="Intr",0,G801*[2]Data!$B$54)</f>
        <v>173600</v>
      </c>
      <c r="Y801" s="244">
        <f>IF(AC801="Intr",G801,G801*[2]Data!$B$55)</f>
        <v>37200</v>
      </c>
      <c r="Z801" s="634" t="s">
        <v>964</v>
      </c>
      <c r="AA801" s="634" t="s">
        <v>965</v>
      </c>
      <c r="AB801" s="634"/>
      <c r="AC801" s="238"/>
      <c r="AD801" s="238"/>
      <c r="AE801" s="238"/>
      <c r="AF801" s="238"/>
      <c r="AG801" s="245"/>
      <c r="AH801" s="238" t="s">
        <v>1684</v>
      </c>
    </row>
    <row r="802" spans="1:34" x14ac:dyDescent="0.2">
      <c r="A802" s="282">
        <v>45448</v>
      </c>
      <c r="B802" s="114" t="s">
        <v>433</v>
      </c>
      <c r="C802" s="114">
        <v>2024</v>
      </c>
      <c r="D802" s="114" t="s">
        <v>9</v>
      </c>
      <c r="E802" s="270">
        <v>-724</v>
      </c>
      <c r="F802" s="270" t="s">
        <v>33</v>
      </c>
      <c r="G802" s="283">
        <v>289600</v>
      </c>
      <c r="H802" s="284">
        <v>503</v>
      </c>
      <c r="I802" s="270" t="s">
        <v>80</v>
      </c>
      <c r="J802" s="270" t="s">
        <v>41</v>
      </c>
      <c r="K802" s="270">
        <v>2267</v>
      </c>
      <c r="L802" s="270" t="s">
        <v>1674</v>
      </c>
      <c r="M802" s="270" t="s">
        <v>1676</v>
      </c>
      <c r="N802" s="285" t="s">
        <v>1677</v>
      </c>
      <c r="O802" s="114"/>
      <c r="P802" s="114" t="s">
        <v>200</v>
      </c>
      <c r="Q802" s="750">
        <v>38.701824999999999</v>
      </c>
      <c r="R802" s="635">
        <v>-87.294898000000003</v>
      </c>
      <c r="S802" s="114" t="s">
        <v>62</v>
      </c>
      <c r="T802" s="114"/>
      <c r="U802" s="114" t="s">
        <v>51</v>
      </c>
      <c r="V802" s="282"/>
      <c r="W802" s="286">
        <f>IF(AC802="Intr",0,G802*Definitions!$B$53)</f>
        <v>43440</v>
      </c>
      <c r="X802" s="286">
        <f>IF(AC802="Intr",0,G802*Definitions!$B$54)</f>
        <v>202720</v>
      </c>
      <c r="Y802" s="286">
        <f>IF(AC802="Intr",G802,G802*Definitions!$B$55)</f>
        <v>43440</v>
      </c>
      <c r="Z802" s="286" t="s">
        <v>966</v>
      </c>
      <c r="AA802" s="286" t="s">
        <v>965</v>
      </c>
      <c r="AB802" s="286"/>
      <c r="AC802" s="114"/>
      <c r="AD802" s="114"/>
      <c r="AE802" s="114"/>
      <c r="AF802" s="114"/>
      <c r="AG802" s="287"/>
      <c r="AH802" s="114"/>
    </row>
    <row r="803" spans="1:34" x14ac:dyDescent="0.2">
      <c r="A803" s="29">
        <v>45448</v>
      </c>
      <c r="B803" s="30" t="s">
        <v>433</v>
      </c>
      <c r="C803" s="30">
        <v>2024</v>
      </c>
      <c r="D803" s="30" t="s">
        <v>2</v>
      </c>
      <c r="E803" s="217">
        <v>-4.3999999999999997E-2</v>
      </c>
      <c r="F803" s="217" t="s">
        <v>32</v>
      </c>
      <c r="G803" s="218">
        <v>4180</v>
      </c>
      <c r="H803" s="219">
        <v>501</v>
      </c>
      <c r="I803" s="217" t="s">
        <v>81</v>
      </c>
      <c r="J803" s="217" t="s">
        <v>36</v>
      </c>
      <c r="K803" s="217">
        <v>2.9000000000000001E-2</v>
      </c>
      <c r="L803" s="217" t="s">
        <v>726</v>
      </c>
      <c r="M803" s="217" t="s">
        <v>103</v>
      </c>
      <c r="N803" s="67" t="s">
        <v>1678</v>
      </c>
      <c r="O803" s="30"/>
      <c r="P803" s="30" t="s">
        <v>227</v>
      </c>
      <c r="Q803" s="747">
        <v>41.344695999999999</v>
      </c>
      <c r="R803" s="636">
        <v>-87.469825</v>
      </c>
      <c r="S803" s="30" t="s">
        <v>63</v>
      </c>
      <c r="T803" s="30"/>
      <c r="U803" s="30" t="s">
        <v>51</v>
      </c>
      <c r="V803" s="29"/>
      <c r="W803" s="31">
        <f>IF(AC803="Intr",0,G803*Definitions!$B$53)</f>
        <v>627</v>
      </c>
      <c r="X803" s="31">
        <f>IF(AC803="Intr",0,G803*Definitions!$B$54)</f>
        <v>2926</v>
      </c>
      <c r="Y803" s="31">
        <f>IF(AC803="Intr",G803,G803*Definitions!$B$55)</f>
        <v>627</v>
      </c>
      <c r="Z803" s="31" t="s">
        <v>967</v>
      </c>
      <c r="AA803" s="31" t="s">
        <v>963</v>
      </c>
      <c r="AB803" s="31" t="s">
        <v>970</v>
      </c>
      <c r="AC803" s="30"/>
      <c r="AD803" s="30"/>
      <c r="AE803" s="30"/>
      <c r="AF803" s="30"/>
      <c r="AG803" s="32"/>
      <c r="AH803" s="30" t="s">
        <v>1685</v>
      </c>
    </row>
    <row r="804" spans="1:34" x14ac:dyDescent="0.2">
      <c r="A804" s="58">
        <v>45467</v>
      </c>
      <c r="B804" s="59" t="s">
        <v>433</v>
      </c>
      <c r="C804" s="59">
        <v>2024</v>
      </c>
      <c r="D804" s="59" t="s">
        <v>7</v>
      </c>
      <c r="E804" s="60">
        <v>-0.73</v>
      </c>
      <c r="F804" s="60" t="s">
        <v>32</v>
      </c>
      <c r="G804" s="61">
        <v>58400</v>
      </c>
      <c r="H804" s="62">
        <v>512</v>
      </c>
      <c r="I804" s="60" t="s">
        <v>81</v>
      </c>
      <c r="J804" s="60" t="s">
        <v>38</v>
      </c>
      <c r="K804" s="60">
        <v>0.28999999999999998</v>
      </c>
      <c r="L804" s="60" t="s">
        <v>1675</v>
      </c>
      <c r="M804" s="60" t="s">
        <v>103</v>
      </c>
      <c r="N804" s="63" t="s">
        <v>1679</v>
      </c>
      <c r="O804" s="59"/>
      <c r="P804" s="59" t="s">
        <v>137</v>
      </c>
      <c r="Q804" s="745">
        <v>39.939</v>
      </c>
      <c r="R804" s="637">
        <v>-86.022199999999998</v>
      </c>
      <c r="S804" s="59" t="s">
        <v>61</v>
      </c>
      <c r="T804" s="59"/>
      <c r="U804" s="59" t="s">
        <v>51</v>
      </c>
      <c r="V804" s="58"/>
      <c r="W804" s="65">
        <f>IF(AC804="Intr",0,G804*Definitions!$B$53)</f>
        <v>8760</v>
      </c>
      <c r="X804" s="65">
        <f>IF(AC804="Intr",0,G804*Definitions!$B$54)</f>
        <v>40880</v>
      </c>
      <c r="Y804" s="65">
        <f>IF(AC804="Intr",G804,G804*Definitions!$B$55)</f>
        <v>8760</v>
      </c>
      <c r="Z804" s="65" t="s">
        <v>966</v>
      </c>
      <c r="AA804" s="65" t="s">
        <v>963</v>
      </c>
      <c r="AB804" s="65" t="s">
        <v>1268</v>
      </c>
      <c r="AC804" s="59"/>
      <c r="AD804" s="59"/>
      <c r="AE804" s="59"/>
      <c r="AF804" s="59"/>
      <c r="AG804" s="66"/>
      <c r="AH804" s="59"/>
    </row>
    <row r="805" spans="1:34" x14ac:dyDescent="0.2">
      <c r="A805" s="37">
        <v>45467</v>
      </c>
      <c r="B805" s="38" t="s">
        <v>433</v>
      </c>
      <c r="C805" s="38">
        <v>2024</v>
      </c>
      <c r="D805" s="38" t="s">
        <v>8</v>
      </c>
      <c r="E805" s="177">
        <v>-0.67</v>
      </c>
      <c r="F805" s="177" t="s">
        <v>32</v>
      </c>
      <c r="G805" s="269">
        <v>53600</v>
      </c>
      <c r="H805" s="179">
        <v>509</v>
      </c>
      <c r="I805" s="177" t="s">
        <v>80</v>
      </c>
      <c r="J805" s="177" t="s">
        <v>37</v>
      </c>
      <c r="K805" s="177">
        <v>0.222</v>
      </c>
      <c r="L805" s="177" t="s">
        <v>376</v>
      </c>
      <c r="M805" s="177" t="s">
        <v>1680</v>
      </c>
      <c r="N805" s="70" t="s">
        <v>1681</v>
      </c>
      <c r="O805" s="38"/>
      <c r="P805" s="38" t="s">
        <v>125</v>
      </c>
      <c r="Q805" s="760">
        <v>39.232697999999999</v>
      </c>
      <c r="R805" s="590">
        <v>-85.947812999999996</v>
      </c>
      <c r="S805" s="38" t="s">
        <v>61</v>
      </c>
      <c r="T805" s="38"/>
      <c r="U805" s="38" t="s">
        <v>51</v>
      </c>
      <c r="V805" s="37"/>
      <c r="W805" s="39">
        <f>IF(AC805="Intr",0,G805*Definitions!$B$53)</f>
        <v>8040</v>
      </c>
      <c r="X805" s="39">
        <f>IF(AC805="Intr",0,G805*Definitions!$B$54)</f>
        <v>37520</v>
      </c>
      <c r="Y805" s="39">
        <f>IF(AC805="Intr",G805,G805*Definitions!$B$55)</f>
        <v>8040</v>
      </c>
      <c r="Z805" s="39" t="s">
        <v>966</v>
      </c>
      <c r="AA805" s="39" t="s">
        <v>965</v>
      </c>
      <c r="AB805" s="39"/>
      <c r="AC805" s="38"/>
      <c r="AD805" s="38"/>
      <c r="AE805" s="38"/>
      <c r="AF805" s="38"/>
      <c r="AG805" s="40"/>
      <c r="AH805" s="38"/>
    </row>
    <row r="806" spans="1:34" x14ac:dyDescent="0.2">
      <c r="A806" s="367">
        <v>45490</v>
      </c>
      <c r="B806" s="368" t="s">
        <v>238</v>
      </c>
      <c r="C806" s="368">
        <v>2024</v>
      </c>
      <c r="D806" s="368" t="s">
        <v>1</v>
      </c>
      <c r="E806" s="389">
        <v>-0.62</v>
      </c>
      <c r="F806" s="389" t="s">
        <v>32</v>
      </c>
      <c r="G806" s="638">
        <v>58900</v>
      </c>
      <c r="H806" s="639">
        <v>513</v>
      </c>
      <c r="I806" s="389" t="s">
        <v>80</v>
      </c>
      <c r="J806" s="389" t="s">
        <v>36</v>
      </c>
      <c r="K806" s="389">
        <v>0.34</v>
      </c>
      <c r="L806" s="389" t="s">
        <v>408</v>
      </c>
      <c r="M806" s="389" t="s">
        <v>1687</v>
      </c>
      <c r="N806" s="526" t="s">
        <v>1688</v>
      </c>
      <c r="O806" s="368"/>
      <c r="P806" s="368" t="s">
        <v>227</v>
      </c>
      <c r="Q806" s="838">
        <v>41.384211999999998</v>
      </c>
      <c r="R806" s="640">
        <v>-87.317547000000005</v>
      </c>
      <c r="S806" s="368" t="s">
        <v>62</v>
      </c>
      <c r="T806" s="368"/>
      <c r="U806" s="368" t="s">
        <v>51</v>
      </c>
      <c r="V806" s="367"/>
      <c r="W806" s="374">
        <f>IF(AC806="Intr",0,G806*Definitions!$B$53)</f>
        <v>8835</v>
      </c>
      <c r="X806" s="374">
        <f>IF(AC806="Intr",0,G806*Definitions!$B$54)</f>
        <v>41230</v>
      </c>
      <c r="Y806" s="374">
        <f>IF(AC806="Intr",G806,G806*Definitions!$B$55)</f>
        <v>8835</v>
      </c>
      <c r="Z806" s="374" t="s">
        <v>967</v>
      </c>
      <c r="AA806" s="374" t="s">
        <v>965</v>
      </c>
      <c r="AB806" s="374"/>
      <c r="AC806" s="368"/>
      <c r="AD806" s="368"/>
      <c r="AE806" s="368"/>
      <c r="AF806" s="368"/>
      <c r="AG806" s="375"/>
      <c r="AH806" s="368"/>
    </row>
    <row r="807" spans="1:34" x14ac:dyDescent="0.2">
      <c r="A807" s="207">
        <v>45490</v>
      </c>
      <c r="B807" s="208" t="s">
        <v>238</v>
      </c>
      <c r="C807" s="208">
        <v>2024</v>
      </c>
      <c r="D807" s="208" t="s">
        <v>1</v>
      </c>
      <c r="E807" s="209">
        <v>-1.08</v>
      </c>
      <c r="F807" s="209" t="s">
        <v>32</v>
      </c>
      <c r="G807" s="210">
        <v>102600</v>
      </c>
      <c r="H807" s="211">
        <v>515</v>
      </c>
      <c r="I807" s="209" t="s">
        <v>81</v>
      </c>
      <c r="J807" s="209" t="s">
        <v>38</v>
      </c>
      <c r="K807" s="209">
        <v>0.36</v>
      </c>
      <c r="L807" s="209" t="s">
        <v>1686</v>
      </c>
      <c r="M807" s="209" t="s">
        <v>103</v>
      </c>
      <c r="N807" s="212" t="s">
        <v>1689</v>
      </c>
      <c r="O807" s="208"/>
      <c r="P807" s="208" t="s">
        <v>166</v>
      </c>
      <c r="Q807" s="749">
        <v>41.655430000000003</v>
      </c>
      <c r="R807" s="641">
        <v>-86.898989999999998</v>
      </c>
      <c r="S807" s="208" t="s">
        <v>61</v>
      </c>
      <c r="T807" s="208"/>
      <c r="U807" s="208" t="s">
        <v>51</v>
      </c>
      <c r="V807" s="207"/>
      <c r="W807" s="213">
        <f>IF(AC807="Intr",0,G807*Definitions!$B$53)</f>
        <v>15390</v>
      </c>
      <c r="X807" s="213">
        <f>IF(AC807="Intr",0,G807*Definitions!$B$54)</f>
        <v>71820</v>
      </c>
      <c r="Y807" s="213">
        <f>IF(AC807="Intr",G807,G807*Definitions!$B$55)</f>
        <v>15390</v>
      </c>
      <c r="Z807" s="213" t="s">
        <v>967</v>
      </c>
      <c r="AA807" s="213" t="s">
        <v>963</v>
      </c>
      <c r="AB807" s="213" t="s">
        <v>1268</v>
      </c>
      <c r="AC807" s="208"/>
      <c r="AD807" s="208"/>
      <c r="AE807" s="208"/>
      <c r="AF807" s="208"/>
      <c r="AG807" s="214"/>
      <c r="AH807" s="208"/>
    </row>
    <row r="808" spans="1:34" x14ac:dyDescent="0.2">
      <c r="A808" s="58">
        <v>45511</v>
      </c>
      <c r="B808" s="59" t="s">
        <v>249</v>
      </c>
      <c r="C808" s="59">
        <v>2024</v>
      </c>
      <c r="D808" s="59" t="s">
        <v>6</v>
      </c>
      <c r="E808" s="60">
        <v>-163</v>
      </c>
      <c r="F808" s="60" t="s">
        <v>33</v>
      </c>
      <c r="G808" s="61">
        <v>65200</v>
      </c>
      <c r="H808" s="62">
        <v>511</v>
      </c>
      <c r="I808" s="60" t="s">
        <v>80</v>
      </c>
      <c r="J808" s="60" t="s">
        <v>41</v>
      </c>
      <c r="K808" s="60">
        <v>800</v>
      </c>
      <c r="L808" s="60" t="s">
        <v>1690</v>
      </c>
      <c r="M808" s="60" t="s">
        <v>1691</v>
      </c>
      <c r="N808" s="63" t="s">
        <v>1692</v>
      </c>
      <c r="O808" s="59"/>
      <c r="P808" s="59" t="s">
        <v>274</v>
      </c>
      <c r="Q808" s="745">
        <v>40.487935</v>
      </c>
      <c r="R808" s="637">
        <v>-86.874933999999996</v>
      </c>
      <c r="S808" s="59" t="s">
        <v>63</v>
      </c>
      <c r="T808" s="59"/>
      <c r="U808" s="59" t="s">
        <v>51</v>
      </c>
      <c r="V808" s="58"/>
      <c r="W808" s="65">
        <f>IF(AC808="Intr",0,G808*Definitions!$B$53)</f>
        <v>9780</v>
      </c>
      <c r="X808" s="65">
        <f>IF(AC808="Intr",0,G808*Definitions!$B$54)</f>
        <v>45640</v>
      </c>
      <c r="Y808" s="65">
        <f>IF(AC808="Intr",G808,G808*Definitions!$B$55)</f>
        <v>9780</v>
      </c>
      <c r="Z808" s="65" t="s">
        <v>966</v>
      </c>
      <c r="AA808" s="65" t="s">
        <v>965</v>
      </c>
      <c r="AB808" s="65"/>
      <c r="AC808" s="59"/>
      <c r="AD808" s="59"/>
      <c r="AE808" s="59"/>
      <c r="AF808" s="59"/>
      <c r="AG808" s="66"/>
      <c r="AH808" s="59" t="s">
        <v>1693</v>
      </c>
    </row>
    <row r="809" spans="1:34" x14ac:dyDescent="0.2">
      <c r="A809" s="88">
        <v>45511</v>
      </c>
      <c r="B809" s="89" t="s">
        <v>249</v>
      </c>
      <c r="C809" s="89">
        <v>2024</v>
      </c>
      <c r="D809" s="89" t="s">
        <v>8</v>
      </c>
      <c r="E809" s="90">
        <v>-605</v>
      </c>
      <c r="F809" s="90" t="s">
        <v>33</v>
      </c>
      <c r="G809" s="91">
        <v>2600</v>
      </c>
      <c r="H809" s="92">
        <v>514</v>
      </c>
      <c r="I809" s="90" t="s">
        <v>80</v>
      </c>
      <c r="J809" s="90" t="s">
        <v>41</v>
      </c>
      <c r="K809" s="90">
        <v>1270</v>
      </c>
      <c r="L809" s="90" t="s">
        <v>726</v>
      </c>
      <c r="M809" s="90" t="s">
        <v>1694</v>
      </c>
      <c r="N809" s="93" t="s">
        <v>1695</v>
      </c>
      <c r="O809" s="89"/>
      <c r="P809" s="89" t="s">
        <v>600</v>
      </c>
      <c r="Q809" s="735">
        <v>39.853189999999998</v>
      </c>
      <c r="R809" s="649">
        <v>-85.172342999999998</v>
      </c>
      <c r="S809" s="89" t="s">
        <v>63</v>
      </c>
      <c r="T809" s="89"/>
      <c r="U809" s="89" t="s">
        <v>51</v>
      </c>
      <c r="V809" s="88"/>
      <c r="W809" s="95">
        <f>IF(AC809="Intr",0,G809*Definitions!$B$53)</f>
        <v>390</v>
      </c>
      <c r="X809" s="95">
        <f>IF(AC809="Intr",0,G809*Definitions!$B$54)</f>
        <v>1819.9999999999998</v>
      </c>
      <c r="Y809" s="95">
        <f>IF(AC809="Intr",G809,G809*Definitions!$B$55)</f>
        <v>390</v>
      </c>
      <c r="Z809" s="95" t="s">
        <v>966</v>
      </c>
      <c r="AA809" s="95" t="s">
        <v>965</v>
      </c>
      <c r="AB809" s="95"/>
      <c r="AC809" s="89"/>
      <c r="AD809" s="89"/>
      <c r="AE809" s="89"/>
      <c r="AF809" s="89"/>
      <c r="AG809" s="96"/>
      <c r="AH809" s="89" t="s">
        <v>1696</v>
      </c>
    </row>
    <row r="810" spans="1:34" x14ac:dyDescent="0.2">
      <c r="A810" s="88">
        <v>45511</v>
      </c>
      <c r="B810" s="89" t="s">
        <v>249</v>
      </c>
      <c r="C810" s="89">
        <v>2024</v>
      </c>
      <c r="D810" s="89" t="s">
        <v>8</v>
      </c>
      <c r="E810" s="90">
        <v>-1057</v>
      </c>
      <c r="F810" s="90" t="s">
        <v>33</v>
      </c>
      <c r="G810" s="91">
        <v>422800</v>
      </c>
      <c r="H810" s="92">
        <v>514</v>
      </c>
      <c r="I810" s="90" t="s">
        <v>80</v>
      </c>
      <c r="J810" s="90" t="s">
        <v>40</v>
      </c>
      <c r="K810" s="90">
        <v>4027</v>
      </c>
      <c r="L810" s="881" t="s">
        <v>726</v>
      </c>
      <c r="M810" s="90" t="s">
        <v>1694</v>
      </c>
      <c r="N810" s="93" t="s">
        <v>1695</v>
      </c>
      <c r="O810" s="89"/>
      <c r="P810" s="89" t="s">
        <v>600</v>
      </c>
      <c r="Q810" s="735">
        <v>39.853189999999998</v>
      </c>
      <c r="R810" s="649">
        <v>-85.172342999999998</v>
      </c>
      <c r="S810" s="89" t="s">
        <v>63</v>
      </c>
      <c r="T810" s="89"/>
      <c r="U810" s="89" t="s">
        <v>51</v>
      </c>
      <c r="V810" s="88"/>
      <c r="W810" s="95">
        <f>IF(AC810="Intr",0,G810*Definitions!$B$53)</f>
        <v>63420</v>
      </c>
      <c r="X810" s="95">
        <f>IF(AC810="Intr",0,G810*Definitions!$B$54)</f>
        <v>295960</v>
      </c>
      <c r="Y810" s="95">
        <f>IF(AC810="Intr",G810,G810*Definitions!$B$55)</f>
        <v>63420</v>
      </c>
      <c r="Z810" s="95" t="s">
        <v>966</v>
      </c>
      <c r="AA810" s="95" t="s">
        <v>965</v>
      </c>
      <c r="AB810" s="95"/>
      <c r="AC810" s="89"/>
      <c r="AD810" s="89"/>
      <c r="AE810" s="89"/>
      <c r="AF810" s="89"/>
      <c r="AG810" s="96"/>
      <c r="AH810" s="89" t="s">
        <v>1710</v>
      </c>
    </row>
    <row r="811" spans="1:34" x14ac:dyDescent="0.2">
      <c r="A811" s="88">
        <v>45511</v>
      </c>
      <c r="B811" s="89" t="s">
        <v>249</v>
      </c>
      <c r="C811" s="89">
        <v>2024</v>
      </c>
      <c r="D811" s="89" t="s">
        <v>8</v>
      </c>
      <c r="E811" s="90">
        <v>-1654</v>
      </c>
      <c r="F811" s="90" t="s">
        <v>33</v>
      </c>
      <c r="G811" s="91">
        <v>661600</v>
      </c>
      <c r="H811" s="92">
        <v>514</v>
      </c>
      <c r="I811" s="90" t="s">
        <v>80</v>
      </c>
      <c r="J811" s="90" t="s">
        <v>39</v>
      </c>
      <c r="K811" s="90">
        <v>1654</v>
      </c>
      <c r="L811" s="881" t="s">
        <v>726</v>
      </c>
      <c r="M811" s="90" t="s">
        <v>1694</v>
      </c>
      <c r="N811" s="93" t="s">
        <v>1695</v>
      </c>
      <c r="O811" s="89"/>
      <c r="P811" s="89" t="s">
        <v>600</v>
      </c>
      <c r="Q811" s="735">
        <v>39.853189999999998</v>
      </c>
      <c r="R811" s="649">
        <v>-85.172342999999998</v>
      </c>
      <c r="S811" s="89" t="s">
        <v>63</v>
      </c>
      <c r="T811" s="89"/>
      <c r="U811" s="89" t="s">
        <v>51</v>
      </c>
      <c r="V811" s="88"/>
      <c r="W811" s="95">
        <f>IF(AC811="Intr",0,G811*Definitions!$B$53)</f>
        <v>99240</v>
      </c>
      <c r="X811" s="95">
        <f>IF(AC811="Intr",0,G811*Definitions!$B$54)</f>
        <v>463119.99999999994</v>
      </c>
      <c r="Y811" s="95">
        <f>IF(AC811="Intr",G811,G811*Definitions!$B$55)</f>
        <v>99240</v>
      </c>
      <c r="Z811" s="95" t="s">
        <v>966</v>
      </c>
      <c r="AA811" s="95" t="s">
        <v>965</v>
      </c>
      <c r="AB811" s="95"/>
      <c r="AC811" s="89"/>
      <c r="AD811" s="89"/>
      <c r="AE811" s="89"/>
      <c r="AF811" s="89"/>
      <c r="AG811" s="96"/>
      <c r="AH811" s="89" t="s">
        <v>1710</v>
      </c>
    </row>
    <row r="812" spans="1:34" x14ac:dyDescent="0.2">
      <c r="A812" s="88">
        <v>45511</v>
      </c>
      <c r="B812" s="89" t="s">
        <v>249</v>
      </c>
      <c r="C812" s="89">
        <v>2024</v>
      </c>
      <c r="D812" s="89" t="s">
        <v>8</v>
      </c>
      <c r="E812" s="90">
        <v>-3.4</v>
      </c>
      <c r="F812" s="90" t="s">
        <v>32</v>
      </c>
      <c r="G812" s="91">
        <v>272000</v>
      </c>
      <c r="H812" s="92">
        <v>514</v>
      </c>
      <c r="I812" s="90" t="s">
        <v>80</v>
      </c>
      <c r="J812" s="90" t="s">
        <v>36</v>
      </c>
      <c r="K812" s="90">
        <v>1.698</v>
      </c>
      <c r="L812" s="881" t="s">
        <v>726</v>
      </c>
      <c r="M812" s="90" t="s">
        <v>1694</v>
      </c>
      <c r="N812" s="93" t="s">
        <v>1695</v>
      </c>
      <c r="O812" s="89"/>
      <c r="P812" s="89" t="s">
        <v>600</v>
      </c>
      <c r="Q812" s="735">
        <v>39.853189999999998</v>
      </c>
      <c r="R812" s="649">
        <v>-85.172342999999998</v>
      </c>
      <c r="S812" s="89" t="s">
        <v>63</v>
      </c>
      <c r="T812" s="89"/>
      <c r="U812" s="89" t="s">
        <v>51</v>
      </c>
      <c r="V812" s="88"/>
      <c r="W812" s="95">
        <f>IF(AC812="Intr",0,G812*Definitions!$B$53)</f>
        <v>40800</v>
      </c>
      <c r="X812" s="95">
        <f>IF(AC812="Intr",0,G812*Definitions!$B$54)</f>
        <v>190400</v>
      </c>
      <c r="Y812" s="95">
        <f>IF(AC812="Intr",G812,G812*Definitions!$B$55)</f>
        <v>40800</v>
      </c>
      <c r="Z812" s="95" t="s">
        <v>966</v>
      </c>
      <c r="AA812" s="95" t="s">
        <v>965</v>
      </c>
      <c r="AB812" s="95"/>
      <c r="AC812" s="89"/>
      <c r="AD812" s="89"/>
      <c r="AE812" s="89"/>
      <c r="AF812" s="89"/>
      <c r="AG812" s="96"/>
      <c r="AH812" s="89" t="s">
        <v>1710</v>
      </c>
    </row>
    <row r="813" spans="1:34" x14ac:dyDescent="0.2">
      <c r="A813" s="88">
        <v>45511</v>
      </c>
      <c r="B813" s="89" t="s">
        <v>249</v>
      </c>
      <c r="C813" s="89">
        <v>2024</v>
      </c>
      <c r="D813" s="89" t="s">
        <v>8</v>
      </c>
      <c r="E813" s="90">
        <v>-0.76</v>
      </c>
      <c r="F813" s="90" t="s">
        <v>32</v>
      </c>
      <c r="G813" s="91">
        <v>60800</v>
      </c>
      <c r="H813" s="92">
        <v>514</v>
      </c>
      <c r="I813" s="90" t="s">
        <v>80</v>
      </c>
      <c r="J813" s="90" t="s">
        <v>37</v>
      </c>
      <c r="K813" s="90">
        <v>0.253</v>
      </c>
      <c r="L813" s="881" t="s">
        <v>726</v>
      </c>
      <c r="M813" s="90" t="s">
        <v>1694</v>
      </c>
      <c r="N813" s="93" t="s">
        <v>1695</v>
      </c>
      <c r="O813" s="89"/>
      <c r="P813" s="89" t="s">
        <v>600</v>
      </c>
      <c r="Q813" s="735">
        <v>39.853189999999998</v>
      </c>
      <c r="R813" s="649">
        <v>-85.172342999999998</v>
      </c>
      <c r="S813" s="89" t="s">
        <v>63</v>
      </c>
      <c r="T813" s="89"/>
      <c r="U813" s="89" t="s">
        <v>51</v>
      </c>
      <c r="V813" s="88"/>
      <c r="W813" s="95">
        <f>IF(AC813="Intr",0,G813*Definitions!$B$53)</f>
        <v>9120</v>
      </c>
      <c r="X813" s="95">
        <f>IF(AC813="Intr",0,G813*Definitions!$B$54)</f>
        <v>42560</v>
      </c>
      <c r="Y813" s="95">
        <f>IF(AC813="Intr",G813,G813*Definitions!$B$55)</f>
        <v>9120</v>
      </c>
      <c r="Z813" s="95" t="s">
        <v>966</v>
      </c>
      <c r="AA813" s="95" t="s">
        <v>965</v>
      </c>
      <c r="AB813" s="95"/>
      <c r="AC813" s="89"/>
      <c r="AD813" s="89"/>
      <c r="AE813" s="89"/>
      <c r="AF813" s="89"/>
      <c r="AG813" s="96"/>
      <c r="AH813" s="89" t="s">
        <v>1710</v>
      </c>
    </row>
    <row r="814" spans="1:34" x14ac:dyDescent="0.2">
      <c r="A814" s="88">
        <v>45511</v>
      </c>
      <c r="B814" s="89" t="s">
        <v>249</v>
      </c>
      <c r="C814" s="89">
        <v>2024</v>
      </c>
      <c r="D814" s="89" t="s">
        <v>8</v>
      </c>
      <c r="E814" s="90">
        <v>-4.42</v>
      </c>
      <c r="F814" s="90" t="s">
        <v>32</v>
      </c>
      <c r="G814" s="91">
        <v>353600</v>
      </c>
      <c r="H814" s="92">
        <v>514</v>
      </c>
      <c r="I814" s="90" t="s">
        <v>80</v>
      </c>
      <c r="J814" s="90" t="s">
        <v>38</v>
      </c>
      <c r="K814" s="90">
        <v>1.1040000000000001</v>
      </c>
      <c r="L814" s="881" t="s">
        <v>726</v>
      </c>
      <c r="M814" s="90" t="s">
        <v>1694</v>
      </c>
      <c r="N814" s="93" t="s">
        <v>1695</v>
      </c>
      <c r="O814" s="89"/>
      <c r="P814" s="89" t="s">
        <v>600</v>
      </c>
      <c r="Q814" s="735">
        <v>39.853189999999998</v>
      </c>
      <c r="R814" s="649">
        <v>-85.172342999999998</v>
      </c>
      <c r="S814" s="89" t="s">
        <v>63</v>
      </c>
      <c r="T814" s="89"/>
      <c r="U814" s="89" t="s">
        <v>51</v>
      </c>
      <c r="V814" s="88"/>
      <c r="W814" s="95">
        <f>IF(AC814="Intr",0,G814*Definitions!$B$53)</f>
        <v>53040</v>
      </c>
      <c r="X814" s="95">
        <f>IF(AC814="Intr",0,G814*Definitions!$B$54)</f>
        <v>247519.99999999997</v>
      </c>
      <c r="Y814" s="95">
        <f>IF(AC814="Intr",G814,G814*Definitions!$B$55)</f>
        <v>53040</v>
      </c>
      <c r="Z814" s="95" t="s">
        <v>966</v>
      </c>
      <c r="AA814" s="95" t="s">
        <v>965</v>
      </c>
      <c r="AB814" s="95"/>
      <c r="AC814" s="89"/>
      <c r="AD814" s="89"/>
      <c r="AE814" s="89"/>
      <c r="AF814" s="89"/>
      <c r="AG814" s="96"/>
      <c r="AH814" s="89" t="s">
        <v>1710</v>
      </c>
    </row>
    <row r="815" spans="1:34" x14ac:dyDescent="0.2">
      <c r="A815" s="88">
        <v>45511</v>
      </c>
      <c r="B815" s="89" t="s">
        <v>249</v>
      </c>
      <c r="C815" s="89">
        <v>2024</v>
      </c>
      <c r="D815" s="89" t="s">
        <v>8</v>
      </c>
      <c r="E815" s="90">
        <v>-0.97</v>
      </c>
      <c r="F815" s="90" t="s">
        <v>32</v>
      </c>
      <c r="G815" s="91">
        <v>77600</v>
      </c>
      <c r="H815" s="92">
        <v>514</v>
      </c>
      <c r="I815" s="90" t="s">
        <v>81</v>
      </c>
      <c r="J815" s="90" t="s">
        <v>36</v>
      </c>
      <c r="K815" s="90">
        <v>0.64800000000000002</v>
      </c>
      <c r="L815" s="881" t="s">
        <v>726</v>
      </c>
      <c r="M815" s="90" t="s">
        <v>103</v>
      </c>
      <c r="N815" s="93" t="s">
        <v>1702</v>
      </c>
      <c r="O815" s="89"/>
      <c r="P815" s="89" t="s">
        <v>600</v>
      </c>
      <c r="Q815" s="735">
        <v>39.853189999999998</v>
      </c>
      <c r="R815" s="649">
        <v>-85.172342999999998</v>
      </c>
      <c r="S815" s="89" t="s">
        <v>63</v>
      </c>
      <c r="T815" s="89"/>
      <c r="U815" s="89" t="s">
        <v>51</v>
      </c>
      <c r="V815" s="88"/>
      <c r="W815" s="95">
        <f>IF(AC815="Intr",0,G815*Definitions!$B$53)</f>
        <v>11640</v>
      </c>
      <c r="X815" s="95">
        <f>IF(AC815="Intr",0,G815*Definitions!$B$54)</f>
        <v>54320</v>
      </c>
      <c r="Y815" s="95">
        <f>IF(AC815="Intr",G815,G815*Definitions!$B$55)</f>
        <v>11640</v>
      </c>
      <c r="Z815" s="95" t="s">
        <v>966</v>
      </c>
      <c r="AA815" s="95" t="s">
        <v>963</v>
      </c>
      <c r="AB815" s="95" t="s">
        <v>970</v>
      </c>
      <c r="AC815" s="89"/>
      <c r="AD815" s="89"/>
      <c r="AE815" s="89"/>
      <c r="AF815" s="89"/>
      <c r="AG815" s="96"/>
      <c r="AH815" s="89" t="s">
        <v>1711</v>
      </c>
    </row>
    <row r="816" spans="1:34" x14ac:dyDescent="0.2">
      <c r="A816" s="29">
        <v>45511</v>
      </c>
      <c r="B816" s="30" t="s">
        <v>249</v>
      </c>
      <c r="C816" s="30">
        <v>2024</v>
      </c>
      <c r="D816" s="30" t="s">
        <v>4</v>
      </c>
      <c r="E816" s="217">
        <v>-37.5</v>
      </c>
      <c r="F816" s="217" t="s">
        <v>33</v>
      </c>
      <c r="G816" s="218">
        <v>16875</v>
      </c>
      <c r="H816" s="219">
        <v>521</v>
      </c>
      <c r="I816" s="217" t="s">
        <v>80</v>
      </c>
      <c r="J816" s="217" t="s">
        <v>40</v>
      </c>
      <c r="K816" s="217">
        <v>37.5</v>
      </c>
      <c r="L816" s="882" t="s">
        <v>726</v>
      </c>
      <c r="M816" s="217" t="s">
        <v>103</v>
      </c>
      <c r="N816" s="67" t="s">
        <v>1703</v>
      </c>
      <c r="O816" s="30"/>
      <c r="P816" s="30" t="s">
        <v>255</v>
      </c>
      <c r="Q816" s="747">
        <v>41.12491</v>
      </c>
      <c r="R816" s="636">
        <v>-85.154899999999998</v>
      </c>
      <c r="S816" s="30" t="s">
        <v>62</v>
      </c>
      <c r="T816" s="30"/>
      <c r="U816" s="30" t="s">
        <v>51</v>
      </c>
      <c r="V816" s="29"/>
      <c r="W816" s="31">
        <f>IF(AC816="Intr",0,G816*Definitions!$B$53)</f>
        <v>2531.25</v>
      </c>
      <c r="X816" s="31">
        <f>IF(AC816="Intr",0,G816*Definitions!$B$54)</f>
        <v>11812.5</v>
      </c>
      <c r="Y816" s="31">
        <f>IF(AC816="Intr",G816,G816*Definitions!$B$55)</f>
        <v>2531.25</v>
      </c>
      <c r="Z816" s="31" t="s">
        <v>964</v>
      </c>
      <c r="AA816" s="31" t="s">
        <v>965</v>
      </c>
      <c r="AB816" s="31"/>
      <c r="AC816" s="30"/>
      <c r="AD816" s="30"/>
      <c r="AE816" s="30"/>
      <c r="AF816" s="30"/>
      <c r="AG816" s="32"/>
      <c r="AH816" s="30"/>
    </row>
    <row r="817" spans="1:34" x14ac:dyDescent="0.2">
      <c r="A817" s="29">
        <v>45511</v>
      </c>
      <c r="B817" s="30" t="s">
        <v>249</v>
      </c>
      <c r="C817" s="30">
        <v>2024</v>
      </c>
      <c r="D817" s="30" t="s">
        <v>4</v>
      </c>
      <c r="E817" s="217">
        <v>-43</v>
      </c>
      <c r="F817" s="217" t="s">
        <v>33</v>
      </c>
      <c r="G817" s="218">
        <v>19350</v>
      </c>
      <c r="H817" s="219">
        <v>521</v>
      </c>
      <c r="I817" s="217" t="s">
        <v>80</v>
      </c>
      <c r="J817" s="217" t="s">
        <v>41</v>
      </c>
      <c r="K817" s="217">
        <v>43</v>
      </c>
      <c r="L817" s="882" t="s">
        <v>726</v>
      </c>
      <c r="M817" s="217" t="s">
        <v>103</v>
      </c>
      <c r="N817" s="67" t="s">
        <v>1703</v>
      </c>
      <c r="O817" s="30"/>
      <c r="P817" s="30" t="s">
        <v>255</v>
      </c>
      <c r="Q817" s="747">
        <v>41.12491</v>
      </c>
      <c r="R817" s="636">
        <v>-85.154899999999998</v>
      </c>
      <c r="S817" s="30" t="s">
        <v>62</v>
      </c>
      <c r="T817" s="30"/>
      <c r="U817" s="30" t="s">
        <v>51</v>
      </c>
      <c r="V817" s="29"/>
      <c r="W817" s="31">
        <f>IF(AC817="Intr",0,G817*Definitions!$B$53)</f>
        <v>2902.5</v>
      </c>
      <c r="X817" s="31">
        <f>IF(AC817="Intr",0,G817*Definitions!$B$54)</f>
        <v>13545</v>
      </c>
      <c r="Y817" s="31">
        <f>IF(AC817="Intr",G817,G817*Definitions!$B$55)</f>
        <v>2902.5</v>
      </c>
      <c r="Z817" s="31" t="s">
        <v>964</v>
      </c>
      <c r="AA817" s="31" t="s">
        <v>965</v>
      </c>
      <c r="AB817" s="31"/>
      <c r="AC817" s="30"/>
      <c r="AD817" s="30"/>
      <c r="AE817" s="30"/>
      <c r="AF817" s="30"/>
      <c r="AG817" s="32"/>
      <c r="AH817" s="30"/>
    </row>
    <row r="818" spans="1:34" x14ac:dyDescent="0.2">
      <c r="A818" s="45">
        <v>45511</v>
      </c>
      <c r="B818" s="46" t="s">
        <v>249</v>
      </c>
      <c r="C818" s="46">
        <v>2024</v>
      </c>
      <c r="D818" s="46" t="s">
        <v>2</v>
      </c>
      <c r="E818" s="181">
        <v>-0.41</v>
      </c>
      <c r="F818" s="181" t="s">
        <v>32</v>
      </c>
      <c r="G818" s="182">
        <v>38950</v>
      </c>
      <c r="H818" s="183">
        <v>524</v>
      </c>
      <c r="I818" s="181" t="s">
        <v>80</v>
      </c>
      <c r="J818" s="181" t="s">
        <v>36</v>
      </c>
      <c r="K818" s="181">
        <v>0.27</v>
      </c>
      <c r="L818" s="181" t="s">
        <v>1288</v>
      </c>
      <c r="M818" s="181" t="s">
        <v>103</v>
      </c>
      <c r="N818" s="76" t="s">
        <v>1704</v>
      </c>
      <c r="O818" s="46"/>
      <c r="P818" s="46" t="s">
        <v>227</v>
      </c>
      <c r="Q818" s="761">
        <v>41.433889999999998</v>
      </c>
      <c r="R818" s="660">
        <v>-87.490600000000001</v>
      </c>
      <c r="S818" s="46" t="s">
        <v>62</v>
      </c>
      <c r="T818" s="46"/>
      <c r="U818" s="46" t="s">
        <v>51</v>
      </c>
      <c r="V818" s="45"/>
      <c r="W818" s="47">
        <f>IF(AC818="Intr",0,G818*Definitions!$B$53)</f>
        <v>5842.5</v>
      </c>
      <c r="X818" s="47">
        <f>IF(AC818="Intr",0,G818*Definitions!$B$54)</f>
        <v>27265</v>
      </c>
      <c r="Y818" s="47">
        <f>IF(AC818="Intr",G818,G818*Definitions!$B$55)</f>
        <v>5842.5</v>
      </c>
      <c r="Z818" s="47" t="s">
        <v>967</v>
      </c>
      <c r="AA818" s="47" t="s">
        <v>965</v>
      </c>
      <c r="AB818" s="47"/>
      <c r="AC818" s="46"/>
      <c r="AD818" s="46"/>
      <c r="AE818" s="46"/>
      <c r="AF818" s="46"/>
      <c r="AG818" s="48"/>
      <c r="AH818" s="46" t="s">
        <v>1712</v>
      </c>
    </row>
    <row r="819" spans="1:34" x14ac:dyDescent="0.2">
      <c r="A819" s="282">
        <v>45517</v>
      </c>
      <c r="B819" s="114" t="s">
        <v>249</v>
      </c>
      <c r="C819" s="114">
        <v>2024</v>
      </c>
      <c r="D819" s="114" t="s">
        <v>7</v>
      </c>
      <c r="E819" s="270">
        <v>-7.875</v>
      </c>
      <c r="F819" s="270" t="s">
        <v>32</v>
      </c>
      <c r="G819" s="283">
        <v>630000</v>
      </c>
      <c r="H819" s="284">
        <v>525</v>
      </c>
      <c r="I819" s="270" t="s">
        <v>81</v>
      </c>
      <c r="J819" s="270" t="s">
        <v>38</v>
      </c>
      <c r="K819" s="270">
        <v>3.15</v>
      </c>
      <c r="L819" s="270" t="s">
        <v>1697</v>
      </c>
      <c r="M819" s="270" t="s">
        <v>103</v>
      </c>
      <c r="N819" s="285" t="s">
        <v>1705</v>
      </c>
      <c r="O819" s="114"/>
      <c r="P819" s="114" t="s">
        <v>162</v>
      </c>
      <c r="Q819" s="750">
        <v>39.844289000000003</v>
      </c>
      <c r="R819" s="635">
        <v>-86.359190999999996</v>
      </c>
      <c r="S819" s="114" t="s">
        <v>61</v>
      </c>
      <c r="T819" s="114"/>
      <c r="U819" s="114" t="s">
        <v>51</v>
      </c>
      <c r="V819" s="282"/>
      <c r="W819" s="286">
        <f>IF(AC819="Intr",0,G819*Definitions!$B$53)</f>
        <v>94500</v>
      </c>
      <c r="X819" s="286">
        <f>IF(AC819="Intr",0,G819*Definitions!$B$54)</f>
        <v>441000</v>
      </c>
      <c r="Y819" s="286">
        <f>IF(AC819="Intr",G819,G819*Definitions!$B$55)</f>
        <v>94500</v>
      </c>
      <c r="Z819" s="286" t="s">
        <v>966</v>
      </c>
      <c r="AA819" s="286" t="s">
        <v>963</v>
      </c>
      <c r="AB819" s="286" t="s">
        <v>1709</v>
      </c>
      <c r="AC819" s="114"/>
      <c r="AD819" s="114"/>
      <c r="AE819" s="114"/>
      <c r="AF819" s="114"/>
      <c r="AG819" s="287"/>
      <c r="AH819" s="114"/>
    </row>
    <row r="820" spans="1:34" x14ac:dyDescent="0.2">
      <c r="A820" s="207">
        <v>45517</v>
      </c>
      <c r="B820" s="208" t="s">
        <v>249</v>
      </c>
      <c r="C820" s="208">
        <v>2024</v>
      </c>
      <c r="D820" s="208" t="s">
        <v>5</v>
      </c>
      <c r="E820" s="209">
        <v>-0.65</v>
      </c>
      <c r="F820" s="209" t="s">
        <v>32</v>
      </c>
      <c r="G820" s="210">
        <v>52000</v>
      </c>
      <c r="H820" s="211">
        <v>516</v>
      </c>
      <c r="I820" s="209" t="s">
        <v>80</v>
      </c>
      <c r="J820" s="209" t="s">
        <v>36</v>
      </c>
      <c r="K820" s="209">
        <v>0.29699999999999999</v>
      </c>
      <c r="L820" s="209" t="s">
        <v>1698</v>
      </c>
      <c r="M820" s="209" t="s">
        <v>1700</v>
      </c>
      <c r="N820" s="212" t="s">
        <v>1706</v>
      </c>
      <c r="O820" s="208"/>
      <c r="P820" s="208" t="s">
        <v>1708</v>
      </c>
      <c r="Q820" s="749">
        <v>40.557099999999998</v>
      </c>
      <c r="R820" s="641">
        <v>-85.375500000000002</v>
      </c>
      <c r="S820" s="208" t="s">
        <v>62</v>
      </c>
      <c r="T820" s="208"/>
      <c r="U820" s="208" t="s">
        <v>51</v>
      </c>
      <c r="V820" s="207"/>
      <c r="W820" s="213">
        <f>IF(AC820="Intr",0,G820*Definitions!$B$53)</f>
        <v>7800</v>
      </c>
      <c r="X820" s="213">
        <f>IF(AC820="Intr",0,G820*Definitions!$B$54)</f>
        <v>36400</v>
      </c>
      <c r="Y820" s="213">
        <f>IF(AC820="Intr",G820,G820*Definitions!$B$55)</f>
        <v>7800</v>
      </c>
      <c r="Z820" s="213" t="s">
        <v>966</v>
      </c>
      <c r="AA820" s="213" t="s">
        <v>965</v>
      </c>
      <c r="AB820" s="213"/>
      <c r="AC820" s="208"/>
      <c r="AD820" s="208"/>
      <c r="AE820" s="208"/>
      <c r="AF820" s="208"/>
      <c r="AG820" s="214"/>
      <c r="AH820" s="208"/>
    </row>
    <row r="821" spans="1:34" x14ac:dyDescent="0.2">
      <c r="A821" s="207">
        <v>45517</v>
      </c>
      <c r="B821" s="208" t="s">
        <v>249</v>
      </c>
      <c r="C821" s="208">
        <v>2024</v>
      </c>
      <c r="D821" s="208" t="s">
        <v>5</v>
      </c>
      <c r="E821" s="209">
        <v>-60.77</v>
      </c>
      <c r="F821" s="209" t="s">
        <v>33</v>
      </c>
      <c r="G821" s="210">
        <v>24308</v>
      </c>
      <c r="H821" s="211">
        <v>516</v>
      </c>
      <c r="I821" s="209" t="s">
        <v>80</v>
      </c>
      <c r="J821" s="209" t="s">
        <v>39</v>
      </c>
      <c r="K821" s="209">
        <v>0.29699999999999999</v>
      </c>
      <c r="L821" s="209" t="s">
        <v>1698</v>
      </c>
      <c r="M821" s="209" t="s">
        <v>1700</v>
      </c>
      <c r="N821" s="212" t="s">
        <v>1706</v>
      </c>
      <c r="O821" s="208"/>
      <c r="P821" s="208" t="s">
        <v>1708</v>
      </c>
      <c r="Q821" s="749">
        <v>40.557099999999998</v>
      </c>
      <c r="R821" s="641">
        <v>-85.375500000000002</v>
      </c>
      <c r="S821" s="208" t="s">
        <v>62</v>
      </c>
      <c r="T821" s="208"/>
      <c r="U821" s="208" t="s">
        <v>51</v>
      </c>
      <c r="V821" s="207"/>
      <c r="W821" s="213">
        <f>IF(AC821="Intr",0,G821*Definitions!$B$53)</f>
        <v>3646.2</v>
      </c>
      <c r="X821" s="213">
        <f>IF(AC821="Intr",0,G821*Definitions!$B$54)</f>
        <v>17015.599999999999</v>
      </c>
      <c r="Y821" s="213">
        <f>IF(AC821="Intr",G821,G821*Definitions!$B$55)</f>
        <v>3646.2</v>
      </c>
      <c r="Z821" s="213" t="s">
        <v>966</v>
      </c>
      <c r="AA821" s="213" t="s">
        <v>965</v>
      </c>
      <c r="AB821" s="213"/>
      <c r="AC821" s="208"/>
      <c r="AD821" s="208"/>
      <c r="AE821" s="208"/>
      <c r="AF821" s="208"/>
      <c r="AG821" s="214"/>
      <c r="AH821" s="208"/>
    </row>
    <row r="822" spans="1:34" x14ac:dyDescent="0.2">
      <c r="A822" s="58">
        <v>45518</v>
      </c>
      <c r="B822" s="59" t="s">
        <v>249</v>
      </c>
      <c r="C822" s="59">
        <v>2024</v>
      </c>
      <c r="D822" s="59" t="s">
        <v>1</v>
      </c>
      <c r="E822" s="60">
        <v>-0.51749999999999996</v>
      </c>
      <c r="F822" s="60" t="s">
        <v>32</v>
      </c>
      <c r="G822" s="61">
        <v>49163</v>
      </c>
      <c r="H822" s="62">
        <v>485</v>
      </c>
      <c r="I822" s="60" t="s">
        <v>80</v>
      </c>
      <c r="J822" s="60" t="s">
        <v>36</v>
      </c>
      <c r="K822" s="60">
        <v>0.34499999999999997</v>
      </c>
      <c r="L822" s="60" t="s">
        <v>1699</v>
      </c>
      <c r="M822" s="60" t="s">
        <v>1701</v>
      </c>
      <c r="N822" s="63" t="s">
        <v>1707</v>
      </c>
      <c r="O822" s="59"/>
      <c r="P822" s="59" t="s">
        <v>385</v>
      </c>
      <c r="Q822" s="745">
        <v>41.688896999999997</v>
      </c>
      <c r="R822" s="637">
        <v>-86.950789</v>
      </c>
      <c r="S822" s="59" t="s">
        <v>63</v>
      </c>
      <c r="T822" s="59"/>
      <c r="U822" s="59" t="s">
        <v>51</v>
      </c>
      <c r="V822" s="58"/>
      <c r="W822" s="65">
        <f>IF(AC822="Intr",0,G822*Definitions!$B$53)</f>
        <v>7374.45</v>
      </c>
      <c r="X822" s="65">
        <f>IF(AC822="Intr",0,G822*Definitions!$B$54)</f>
        <v>34414.1</v>
      </c>
      <c r="Y822" s="65">
        <f>IF(AC822="Intr",G822,G822*Definitions!$B$55)</f>
        <v>7374.45</v>
      </c>
      <c r="Z822" s="65" t="s">
        <v>967</v>
      </c>
      <c r="AA822" s="65" t="s">
        <v>965</v>
      </c>
      <c r="AB822" s="65"/>
      <c r="AC822" s="59"/>
      <c r="AD822" s="59"/>
      <c r="AE822" s="59"/>
      <c r="AF822" s="59"/>
      <c r="AG822" s="66"/>
      <c r="AH822" s="59" t="s">
        <v>1713</v>
      </c>
    </row>
    <row r="823" spans="1:34" x14ac:dyDescent="0.2">
      <c r="A823" s="152">
        <v>45527</v>
      </c>
      <c r="B823" s="153" t="s">
        <v>249</v>
      </c>
      <c r="C823" s="153">
        <v>2024</v>
      </c>
      <c r="D823" s="153" t="s">
        <v>5</v>
      </c>
      <c r="E823" s="154">
        <v>-0.5</v>
      </c>
      <c r="F823" s="154" t="s">
        <v>32</v>
      </c>
      <c r="G823" s="155">
        <v>40000</v>
      </c>
      <c r="H823" s="156">
        <v>520</v>
      </c>
      <c r="I823" s="154" t="s">
        <v>80</v>
      </c>
      <c r="J823" s="154" t="s">
        <v>36</v>
      </c>
      <c r="K823" s="154">
        <v>0.21</v>
      </c>
      <c r="L823" s="154" t="s">
        <v>927</v>
      </c>
      <c r="M823" s="154" t="s">
        <v>1714</v>
      </c>
      <c r="N823" s="157" t="s">
        <v>1715</v>
      </c>
      <c r="O823" s="153"/>
      <c r="P823" s="153" t="s">
        <v>1165</v>
      </c>
      <c r="Q823" s="751">
        <v>40.186599999999999</v>
      </c>
      <c r="R823" s="656">
        <v>-84.863169999999997</v>
      </c>
      <c r="S823" s="153" t="s">
        <v>62</v>
      </c>
      <c r="T823" s="153"/>
      <c r="U823" s="153" t="s">
        <v>51</v>
      </c>
      <c r="V823" s="152"/>
      <c r="W823" s="158">
        <f>IF(AC823="Intr",0,G823*Definitions!$B$53)</f>
        <v>6000</v>
      </c>
      <c r="X823" s="158">
        <f>IF(AC823="Intr",0,G823*Definitions!$B$54)</f>
        <v>28000</v>
      </c>
      <c r="Y823" s="158">
        <f>IF(AC823="Intr",G823,G823*Definitions!$B$55)</f>
        <v>6000</v>
      </c>
      <c r="Z823" s="158" t="s">
        <v>966</v>
      </c>
      <c r="AA823" s="158" t="s">
        <v>965</v>
      </c>
      <c r="AB823" s="158"/>
      <c r="AC823" s="153"/>
      <c r="AD823" s="153"/>
      <c r="AE823" s="153"/>
      <c r="AF823" s="153"/>
      <c r="AG823" s="159"/>
      <c r="AH823" s="153"/>
    </row>
    <row r="824" spans="1:34" x14ac:dyDescent="0.2">
      <c r="A824" s="41">
        <v>45527</v>
      </c>
      <c r="B824" s="42" t="s">
        <v>249</v>
      </c>
      <c r="C824" s="42">
        <v>2024</v>
      </c>
      <c r="D824" s="42" t="s">
        <v>3</v>
      </c>
      <c r="E824" s="320">
        <v>-80</v>
      </c>
      <c r="F824" s="320" t="s">
        <v>33</v>
      </c>
      <c r="G824" s="343">
        <v>48000</v>
      </c>
      <c r="H824" s="344">
        <v>522</v>
      </c>
      <c r="I824" s="320" t="s">
        <v>80</v>
      </c>
      <c r="J824" s="320" t="s">
        <v>40</v>
      </c>
      <c r="K824" s="320">
        <v>80</v>
      </c>
      <c r="L824" s="320" t="s">
        <v>726</v>
      </c>
      <c r="M824" s="320" t="s">
        <v>103</v>
      </c>
      <c r="N824" s="73" t="s">
        <v>1717</v>
      </c>
      <c r="O824" s="42"/>
      <c r="P824" s="42" t="s">
        <v>515</v>
      </c>
      <c r="Q824" s="731">
        <v>41.624862999999998</v>
      </c>
      <c r="R824" s="593">
        <v>-86.174055999999993</v>
      </c>
      <c r="S824" s="42" t="s">
        <v>63</v>
      </c>
      <c r="T824" s="42"/>
      <c r="U824" s="42" t="s">
        <v>51</v>
      </c>
      <c r="V824" s="41"/>
      <c r="W824" s="43">
        <f>IF(AC824="Intr",0,G824*Definitions!$B$53)</f>
        <v>7200</v>
      </c>
      <c r="X824" s="43">
        <f>IF(AC824="Intr",0,G824*Definitions!$B$54)</f>
        <v>33600</v>
      </c>
      <c r="Y824" s="43">
        <f>IF(AC824="Intr",G824,G824*Definitions!$B$55)</f>
        <v>7200</v>
      </c>
      <c r="Z824" s="43" t="s">
        <v>964</v>
      </c>
      <c r="AA824" s="43" t="s">
        <v>965</v>
      </c>
      <c r="AB824" s="43"/>
      <c r="AC824" s="42"/>
      <c r="AD824" s="42"/>
      <c r="AE824" s="42"/>
      <c r="AF824" s="42"/>
      <c r="AG824" s="44"/>
      <c r="AH824" s="42" t="s">
        <v>1719</v>
      </c>
    </row>
    <row r="825" spans="1:34" x14ac:dyDescent="0.2">
      <c r="A825" s="29">
        <v>45527</v>
      </c>
      <c r="B825" s="30" t="s">
        <v>249</v>
      </c>
      <c r="C825" s="30">
        <v>2024</v>
      </c>
      <c r="D825" s="30" t="s">
        <v>7</v>
      </c>
      <c r="E825" s="217">
        <v>-5.47</v>
      </c>
      <c r="F825" s="217" t="s">
        <v>32</v>
      </c>
      <c r="G825" s="218">
        <v>437600</v>
      </c>
      <c r="H825" s="219">
        <v>392</v>
      </c>
      <c r="I825" s="217" t="s">
        <v>81</v>
      </c>
      <c r="J825" s="217" t="s">
        <v>38</v>
      </c>
      <c r="K825" s="217">
        <v>2.1880000000000002</v>
      </c>
      <c r="L825" s="217" t="s">
        <v>1716</v>
      </c>
      <c r="M825" s="217" t="s">
        <v>103</v>
      </c>
      <c r="N825" s="67" t="s">
        <v>1718</v>
      </c>
      <c r="O825" s="30"/>
      <c r="P825" s="30" t="s">
        <v>121</v>
      </c>
      <c r="Q825" s="747">
        <v>39.934790999999997</v>
      </c>
      <c r="R825" s="636">
        <v>-85.833048000000005</v>
      </c>
      <c r="S825" s="30" t="s">
        <v>61</v>
      </c>
      <c r="T825" s="30"/>
      <c r="U825" s="30" t="s">
        <v>51</v>
      </c>
      <c r="V825" s="29"/>
      <c r="W825" s="31">
        <f>IF(AC825="Intr",0,G825*Definitions!$B$53)</f>
        <v>65640</v>
      </c>
      <c r="X825" s="31">
        <f>IF(AC825="Intr",0,G825*Definitions!$B$54)</f>
        <v>306320</v>
      </c>
      <c r="Y825" s="31">
        <f>IF(AC825="Intr",G825,G825*Definitions!$B$55)</f>
        <v>65640</v>
      </c>
      <c r="Z825" s="31" t="s">
        <v>966</v>
      </c>
      <c r="AA825" s="31" t="s">
        <v>963</v>
      </c>
      <c r="AB825" s="31" t="s">
        <v>1268</v>
      </c>
      <c r="AC825" s="30"/>
      <c r="AD825" s="30"/>
      <c r="AE825" s="30"/>
      <c r="AF825" s="30"/>
      <c r="AG825" s="32"/>
      <c r="AH825" s="30"/>
    </row>
    <row r="826" spans="1:34" x14ac:dyDescent="0.2">
      <c r="A826" s="160">
        <v>45538</v>
      </c>
      <c r="B826" s="161" t="s">
        <v>96</v>
      </c>
      <c r="C826" s="161">
        <v>2024</v>
      </c>
      <c r="D826" s="161" t="s">
        <v>7</v>
      </c>
      <c r="E826" s="162">
        <v>-3</v>
      </c>
      <c r="F826" s="162" t="s">
        <v>32</v>
      </c>
      <c r="G826" s="163">
        <v>240000</v>
      </c>
      <c r="H826" s="164">
        <v>390</v>
      </c>
      <c r="I826" s="162" t="s">
        <v>81</v>
      </c>
      <c r="J826" s="162" t="s">
        <v>38</v>
      </c>
      <c r="K826" s="162">
        <v>1.2</v>
      </c>
      <c r="L826" s="162" t="s">
        <v>1723</v>
      </c>
      <c r="M826" s="162" t="s">
        <v>103</v>
      </c>
      <c r="N826" s="165" t="s">
        <v>1728</v>
      </c>
      <c r="O826" s="161"/>
      <c r="P826" s="161" t="s">
        <v>137</v>
      </c>
      <c r="Q826" s="741">
        <v>39.947699999999998</v>
      </c>
      <c r="R826" s="654">
        <v>-86.003900000000002</v>
      </c>
      <c r="S826" s="161" t="s">
        <v>61</v>
      </c>
      <c r="T826" s="161"/>
      <c r="U826" s="161" t="s">
        <v>51</v>
      </c>
      <c r="V826" s="160"/>
      <c r="W826" s="166">
        <f>IF(AC826="Intr",0,G826*Definitions!$B$53)</f>
        <v>36000</v>
      </c>
      <c r="X826" s="166">
        <f>IF(AC826="Intr",0,G826*Definitions!$B$54)</f>
        <v>168000</v>
      </c>
      <c r="Y826" s="166">
        <f>IF(AC826="Intr",G826,G826*Definitions!$B$55)</f>
        <v>36000</v>
      </c>
      <c r="Z826" s="166" t="s">
        <v>966</v>
      </c>
      <c r="AA826" s="166" t="s">
        <v>962</v>
      </c>
      <c r="AB826" s="166" t="s">
        <v>1268</v>
      </c>
      <c r="AC826" s="161"/>
      <c r="AD826" s="161"/>
      <c r="AE826" s="161"/>
      <c r="AF826" s="161"/>
      <c r="AG826" s="167"/>
      <c r="AH826" s="161"/>
    </row>
    <row r="827" spans="1:34" x14ac:dyDescent="0.2">
      <c r="A827" s="160">
        <v>45538</v>
      </c>
      <c r="B827" s="161" t="s">
        <v>96</v>
      </c>
      <c r="C827" s="161">
        <v>2024</v>
      </c>
      <c r="D827" s="161" t="s">
        <v>7</v>
      </c>
      <c r="E827" s="162">
        <v>-2</v>
      </c>
      <c r="F827" s="162" t="s">
        <v>32</v>
      </c>
      <c r="G827" s="163">
        <v>160000</v>
      </c>
      <c r="H827" s="164">
        <v>390</v>
      </c>
      <c r="I827" s="162" t="s">
        <v>81</v>
      </c>
      <c r="J827" s="162" t="s">
        <v>38</v>
      </c>
      <c r="K827" s="162">
        <v>1</v>
      </c>
      <c r="L827" s="162" t="s">
        <v>1723</v>
      </c>
      <c r="M827" s="162" t="s">
        <v>103</v>
      </c>
      <c r="N827" s="165" t="s">
        <v>1728</v>
      </c>
      <c r="O827" s="161"/>
      <c r="P827" s="161" t="s">
        <v>137</v>
      </c>
      <c r="Q827" s="741">
        <v>39.947699999999998</v>
      </c>
      <c r="R827" s="654">
        <v>-86.003900000000002</v>
      </c>
      <c r="S827" s="161" t="s">
        <v>61</v>
      </c>
      <c r="T827" s="161"/>
      <c r="U827" s="161" t="s">
        <v>51</v>
      </c>
      <c r="V827" s="160"/>
      <c r="W827" s="166">
        <f>IF(AC827="Intr",0,G827*Definitions!$B$53)</f>
        <v>24000</v>
      </c>
      <c r="X827" s="166">
        <f>IF(AC827="Intr",0,G827*Definitions!$B$54)</f>
        <v>112000</v>
      </c>
      <c r="Y827" s="166">
        <f>IF(AC827="Intr",G827,G827*Definitions!$B$55)</f>
        <v>24000</v>
      </c>
      <c r="Z827" s="166" t="s">
        <v>966</v>
      </c>
      <c r="AA827" s="166" t="s">
        <v>962</v>
      </c>
      <c r="AB827" s="166" t="s">
        <v>1245</v>
      </c>
      <c r="AC827" s="161"/>
      <c r="AD827" s="161"/>
      <c r="AE827" s="161"/>
      <c r="AF827" s="161"/>
      <c r="AG827" s="167"/>
      <c r="AH827" s="161"/>
    </row>
    <row r="828" spans="1:34" x14ac:dyDescent="0.2">
      <c r="A828" s="160">
        <v>45538</v>
      </c>
      <c r="B828" s="161" t="s">
        <v>96</v>
      </c>
      <c r="C828" s="161">
        <v>2024</v>
      </c>
      <c r="D828" s="161" t="s">
        <v>7</v>
      </c>
      <c r="E828" s="162">
        <v>-1.2</v>
      </c>
      <c r="F828" s="162" t="s">
        <v>32</v>
      </c>
      <c r="G828" s="163">
        <v>96000</v>
      </c>
      <c r="H828" s="164">
        <v>390</v>
      </c>
      <c r="I828" s="162" t="s">
        <v>81</v>
      </c>
      <c r="J828" s="162" t="s">
        <v>36</v>
      </c>
      <c r="K828" s="162">
        <v>0.8</v>
      </c>
      <c r="L828" s="162" t="s">
        <v>1723</v>
      </c>
      <c r="M828" s="162" t="s">
        <v>103</v>
      </c>
      <c r="N828" s="165" t="s">
        <v>1728</v>
      </c>
      <c r="O828" s="161"/>
      <c r="P828" s="161" t="s">
        <v>137</v>
      </c>
      <c r="Q828" s="741">
        <v>39.947699999999998</v>
      </c>
      <c r="R828" s="654">
        <v>-86.003900000000002</v>
      </c>
      <c r="S828" s="161" t="s">
        <v>61</v>
      </c>
      <c r="T828" s="161"/>
      <c r="U828" s="161" t="s">
        <v>51</v>
      </c>
      <c r="V828" s="160"/>
      <c r="W828" s="166">
        <f>IF(AC828="Intr",0,G828*Definitions!$B$53)</f>
        <v>14400</v>
      </c>
      <c r="X828" s="166">
        <f>IF(AC828="Intr",0,G828*Definitions!$B$54)</f>
        <v>67200</v>
      </c>
      <c r="Y828" s="166">
        <f>IF(AC828="Intr",G828,G828*Definitions!$B$55)</f>
        <v>14400</v>
      </c>
      <c r="Z828" s="166" t="s">
        <v>966</v>
      </c>
      <c r="AA828" s="166" t="s">
        <v>962</v>
      </c>
      <c r="AB828" s="166" t="s">
        <v>970</v>
      </c>
      <c r="AC828" s="161"/>
      <c r="AD828" s="161"/>
      <c r="AE828" s="161"/>
      <c r="AF828" s="161"/>
      <c r="AG828" s="167"/>
      <c r="AH828" s="161"/>
    </row>
    <row r="829" spans="1:34" x14ac:dyDescent="0.2">
      <c r="A829" s="88">
        <v>45539</v>
      </c>
      <c r="B829" s="89" t="s">
        <v>96</v>
      </c>
      <c r="C829" s="89">
        <v>2024</v>
      </c>
      <c r="D829" s="89" t="s">
        <v>7</v>
      </c>
      <c r="E829" s="90">
        <v>-252</v>
      </c>
      <c r="F829" s="90" t="s">
        <v>33</v>
      </c>
      <c r="G829" s="91">
        <v>113400</v>
      </c>
      <c r="H829" s="92">
        <v>523</v>
      </c>
      <c r="I829" s="90" t="s">
        <v>80</v>
      </c>
      <c r="J829" s="90" t="s">
        <v>39</v>
      </c>
      <c r="K829" s="90">
        <v>204</v>
      </c>
      <c r="L829" s="90" t="s">
        <v>1724</v>
      </c>
      <c r="M829" s="90" t="s">
        <v>1729</v>
      </c>
      <c r="N829" s="93" t="s">
        <v>1730</v>
      </c>
      <c r="O829" s="89"/>
      <c r="P829" s="89" t="s">
        <v>137</v>
      </c>
      <c r="Q829" s="735">
        <v>40.073878999999998</v>
      </c>
      <c r="R829" s="649">
        <v>-86.064888999999994</v>
      </c>
      <c r="S829" s="89" t="s">
        <v>61</v>
      </c>
      <c r="T829" s="89"/>
      <c r="U829" s="89" t="s">
        <v>51</v>
      </c>
      <c r="V829" s="88"/>
      <c r="W829" s="95">
        <f>IF(AC829="Intr",0,G829*Definitions!$B$53)</f>
        <v>17010</v>
      </c>
      <c r="X829" s="95">
        <f>IF(AC829="Intr",0,G829*Definitions!$B$54)</f>
        <v>79380</v>
      </c>
      <c r="Y829" s="95">
        <f>IF(AC829="Intr",G829,G829*Definitions!$B$55)</f>
        <v>17010</v>
      </c>
      <c r="Z829" s="95" t="s">
        <v>966</v>
      </c>
      <c r="AA829" s="95" t="s">
        <v>965</v>
      </c>
      <c r="AB829" s="95"/>
      <c r="AC829" s="89"/>
      <c r="AD829" s="89"/>
      <c r="AE829" s="89"/>
      <c r="AF829" s="89"/>
      <c r="AG829" s="96"/>
      <c r="AH829" s="89"/>
    </row>
    <row r="830" spans="1:34" x14ac:dyDescent="0.2">
      <c r="A830" s="88">
        <v>45539</v>
      </c>
      <c r="B830" s="89" t="s">
        <v>96</v>
      </c>
      <c r="C830" s="89">
        <v>2024</v>
      </c>
      <c r="D830" s="89" t="s">
        <v>7</v>
      </c>
      <c r="E830" s="90">
        <v>-713</v>
      </c>
      <c r="F830" s="90" t="s">
        <v>33</v>
      </c>
      <c r="G830" s="91">
        <v>320850</v>
      </c>
      <c r="H830" s="92">
        <v>523</v>
      </c>
      <c r="I830" s="90" t="s">
        <v>80</v>
      </c>
      <c r="J830" s="90" t="s">
        <v>40</v>
      </c>
      <c r="K830" s="90">
        <v>594</v>
      </c>
      <c r="L830" s="90" t="s">
        <v>1724</v>
      </c>
      <c r="M830" s="90" t="s">
        <v>1729</v>
      </c>
      <c r="N830" s="93" t="s">
        <v>1730</v>
      </c>
      <c r="O830" s="89"/>
      <c r="P830" s="89" t="s">
        <v>137</v>
      </c>
      <c r="Q830" s="735">
        <v>40.073878999999998</v>
      </c>
      <c r="R830" s="649">
        <v>-86.064888999999994</v>
      </c>
      <c r="S830" s="89" t="s">
        <v>61</v>
      </c>
      <c r="T830" s="89"/>
      <c r="U830" s="89" t="s">
        <v>51</v>
      </c>
      <c r="V830" s="88"/>
      <c r="W830" s="95">
        <f>IF(AC830="Intr",0,G830*Definitions!$B$53)</f>
        <v>48127.5</v>
      </c>
      <c r="X830" s="95">
        <f>IF(AC830="Intr",0,G830*Definitions!$B$54)</f>
        <v>224595</v>
      </c>
      <c r="Y830" s="95">
        <f>IF(AC830="Intr",G830,G830*Definitions!$B$55)</f>
        <v>48127.5</v>
      </c>
      <c r="Z830" s="95" t="s">
        <v>966</v>
      </c>
      <c r="AA830" s="95" t="s">
        <v>965</v>
      </c>
      <c r="AB830" s="95"/>
      <c r="AC830" s="89"/>
      <c r="AD830" s="89"/>
      <c r="AE830" s="89"/>
      <c r="AF830" s="89"/>
      <c r="AG830" s="96"/>
      <c r="AH830" s="89"/>
    </row>
    <row r="831" spans="1:34" x14ac:dyDescent="0.2">
      <c r="A831" s="88">
        <v>45539</v>
      </c>
      <c r="B831" s="89" t="s">
        <v>96</v>
      </c>
      <c r="C831" s="89">
        <v>2024</v>
      </c>
      <c r="D831" s="89" t="s">
        <v>7</v>
      </c>
      <c r="E831" s="90">
        <v>-0.44400000000000001</v>
      </c>
      <c r="F831" s="90" t="s">
        <v>32</v>
      </c>
      <c r="G831" s="91">
        <v>35520</v>
      </c>
      <c r="H831" s="92">
        <v>523</v>
      </c>
      <c r="I831" s="90" t="s">
        <v>80</v>
      </c>
      <c r="J831" s="90" t="s">
        <v>38</v>
      </c>
      <c r="K831" s="90">
        <v>0.111</v>
      </c>
      <c r="L831" s="90" t="s">
        <v>1724</v>
      </c>
      <c r="M831" s="90" t="s">
        <v>1729</v>
      </c>
      <c r="N831" s="93" t="s">
        <v>1730</v>
      </c>
      <c r="O831" s="89"/>
      <c r="P831" s="89" t="s">
        <v>137</v>
      </c>
      <c r="Q831" s="735">
        <v>40.073878999999998</v>
      </c>
      <c r="R831" s="649">
        <v>-86.064888999999994</v>
      </c>
      <c r="S831" s="89" t="s">
        <v>61</v>
      </c>
      <c r="T831" s="89"/>
      <c r="U831" s="89" t="s">
        <v>51</v>
      </c>
      <c r="V831" s="88"/>
      <c r="W831" s="95">
        <f>IF(AC831="Intr",0,G831*Definitions!$B$53)</f>
        <v>5328</v>
      </c>
      <c r="X831" s="95">
        <f>IF(AC831="Intr",0,G831*Definitions!$B$54)</f>
        <v>24864</v>
      </c>
      <c r="Y831" s="95">
        <f>IF(AC831="Intr",G831,G831*Definitions!$B$55)</f>
        <v>5328</v>
      </c>
      <c r="Z831" s="95" t="s">
        <v>966</v>
      </c>
      <c r="AA831" s="95" t="s">
        <v>965</v>
      </c>
      <c r="AB831" s="95"/>
      <c r="AC831" s="89"/>
      <c r="AD831" s="89"/>
      <c r="AE831" s="89"/>
      <c r="AF831" s="89"/>
      <c r="AG831" s="96"/>
      <c r="AH831" s="89"/>
    </row>
    <row r="832" spans="1:34" x14ac:dyDescent="0.2">
      <c r="A832" s="88">
        <v>45539</v>
      </c>
      <c r="B832" s="89" t="s">
        <v>96</v>
      </c>
      <c r="C832" s="89">
        <v>2024</v>
      </c>
      <c r="D832" s="89" t="s">
        <v>7</v>
      </c>
      <c r="E832" s="90">
        <v>-0.02</v>
      </c>
      <c r="F832" s="90" t="s">
        <v>32</v>
      </c>
      <c r="G832" s="91">
        <v>1600</v>
      </c>
      <c r="H832" s="92">
        <v>523</v>
      </c>
      <c r="I832" s="90" t="s">
        <v>81</v>
      </c>
      <c r="J832" s="90" t="s">
        <v>38</v>
      </c>
      <c r="K832" s="90">
        <v>6.0000000000000001E-3</v>
      </c>
      <c r="L832" s="90" t="s">
        <v>1724</v>
      </c>
      <c r="M832" s="90" t="s">
        <v>1729</v>
      </c>
      <c r="N832" s="93" t="s">
        <v>1731</v>
      </c>
      <c r="O832" s="89"/>
      <c r="P832" s="89" t="s">
        <v>137</v>
      </c>
      <c r="Q832" s="735">
        <v>40.073878999999998</v>
      </c>
      <c r="R832" s="649">
        <v>-86.064888999999994</v>
      </c>
      <c r="S832" s="89" t="s">
        <v>61</v>
      </c>
      <c r="T832" s="89"/>
      <c r="U832" s="89" t="s">
        <v>51</v>
      </c>
      <c r="V832" s="88"/>
      <c r="W832" s="95">
        <f>IF(AC832="Intr",0,G832*Definitions!$B$53)</f>
        <v>240</v>
      </c>
      <c r="X832" s="95">
        <f>IF(AC832="Intr",0,G832*Definitions!$B$54)</f>
        <v>1120</v>
      </c>
      <c r="Y832" s="95">
        <f>IF(AC832="Intr",G832,G832*Definitions!$B$55)</f>
        <v>240</v>
      </c>
      <c r="Z832" s="95" t="s">
        <v>966</v>
      </c>
      <c r="AA832" s="95" t="s">
        <v>963</v>
      </c>
      <c r="AB832" s="95"/>
      <c r="AC832" s="89"/>
      <c r="AD832" s="89"/>
      <c r="AE832" s="89"/>
      <c r="AF832" s="89"/>
      <c r="AG832" s="96"/>
      <c r="AH832" s="89"/>
    </row>
    <row r="833" spans="1:34" x14ac:dyDescent="0.2">
      <c r="A833" s="274">
        <v>45539</v>
      </c>
      <c r="B833" s="275" t="s">
        <v>96</v>
      </c>
      <c r="C833" s="275">
        <v>2024</v>
      </c>
      <c r="D833" s="275" t="s">
        <v>7</v>
      </c>
      <c r="E833" s="276">
        <v>-0.5</v>
      </c>
      <c r="F833" s="276" t="s">
        <v>32</v>
      </c>
      <c r="G833" s="277">
        <v>40000</v>
      </c>
      <c r="H833" s="278">
        <v>528</v>
      </c>
      <c r="I833" s="276" t="s">
        <v>81</v>
      </c>
      <c r="J833" s="276" t="s">
        <v>38</v>
      </c>
      <c r="K833" s="276">
        <v>0.2</v>
      </c>
      <c r="L833" s="276" t="s">
        <v>216</v>
      </c>
      <c r="M833" s="276" t="s">
        <v>103</v>
      </c>
      <c r="N833" s="279" t="s">
        <v>1732</v>
      </c>
      <c r="O833" s="275"/>
      <c r="P833" s="275" t="s">
        <v>162</v>
      </c>
      <c r="Q833" s="755">
        <v>39.790702000000003</v>
      </c>
      <c r="R833" s="657">
        <v>-86.394506000000007</v>
      </c>
      <c r="S833" s="275" t="s">
        <v>61</v>
      </c>
      <c r="T833" s="275"/>
      <c r="U833" s="275" t="s">
        <v>51</v>
      </c>
      <c r="V833" s="274"/>
      <c r="W833" s="280">
        <f>IF(AC833="Intr",0,G833*Definitions!$B$53)</f>
        <v>6000</v>
      </c>
      <c r="X833" s="280">
        <f>IF(AC833="Intr",0,G833*Definitions!$B$54)</f>
        <v>28000</v>
      </c>
      <c r="Y833" s="280">
        <f>IF(AC833="Intr",G833,G833*Definitions!$B$55)</f>
        <v>6000</v>
      </c>
      <c r="Z833" s="280" t="s">
        <v>966</v>
      </c>
      <c r="AA833" s="280" t="s">
        <v>963</v>
      </c>
      <c r="AB833" s="280" t="s">
        <v>1268</v>
      </c>
      <c r="AC833" s="275"/>
      <c r="AD833" s="275"/>
      <c r="AE833" s="275"/>
      <c r="AF833" s="275"/>
      <c r="AG833" s="281"/>
      <c r="AH833" s="275"/>
    </row>
    <row r="834" spans="1:34" x14ac:dyDescent="0.2">
      <c r="A834" s="207">
        <v>45539</v>
      </c>
      <c r="B834" s="208" t="s">
        <v>96</v>
      </c>
      <c r="C834" s="208">
        <v>2024</v>
      </c>
      <c r="D834" s="208" t="s">
        <v>5</v>
      </c>
      <c r="E834" s="209">
        <v>-3.39</v>
      </c>
      <c r="F834" s="209" t="s">
        <v>32</v>
      </c>
      <c r="G834" s="210">
        <v>271200</v>
      </c>
      <c r="H834" s="211">
        <v>531</v>
      </c>
      <c r="I834" s="209" t="s">
        <v>80</v>
      </c>
      <c r="J834" s="209" t="s">
        <v>37</v>
      </c>
      <c r="K834" s="209">
        <v>1.1299999999999999</v>
      </c>
      <c r="L834" s="209" t="s">
        <v>1725</v>
      </c>
      <c r="M834" s="209" t="s">
        <v>1733</v>
      </c>
      <c r="N834" s="212" t="s">
        <v>1734</v>
      </c>
      <c r="O834" s="208"/>
      <c r="P834" s="208" t="s">
        <v>1708</v>
      </c>
      <c r="Q834" s="749">
        <v>40.453695000000003</v>
      </c>
      <c r="R834" s="641">
        <v>-85.391816000000006</v>
      </c>
      <c r="S834" s="208" t="s">
        <v>61</v>
      </c>
      <c r="T834" s="208"/>
      <c r="U834" s="208" t="s">
        <v>51</v>
      </c>
      <c r="V834" s="207"/>
      <c r="W834" s="213">
        <f>IF(AC834="Intr",0,G834*Definitions!$B$53)</f>
        <v>40680</v>
      </c>
      <c r="X834" s="213">
        <f>IF(AC834="Intr",0,G834*Definitions!$B$54)</f>
        <v>189840</v>
      </c>
      <c r="Y834" s="213">
        <f>IF(AC834="Intr",G834,G834*Definitions!$B$55)</f>
        <v>40680</v>
      </c>
      <c r="Z834" s="213" t="s">
        <v>966</v>
      </c>
      <c r="AA834" s="213" t="s">
        <v>965</v>
      </c>
      <c r="AB834" s="213"/>
      <c r="AC834" s="208"/>
      <c r="AD834" s="208"/>
      <c r="AE834" s="208"/>
      <c r="AF834" s="208"/>
      <c r="AG834" s="214"/>
      <c r="AH834" s="208"/>
    </row>
    <row r="835" spans="1:34" x14ac:dyDescent="0.2">
      <c r="A835" s="58">
        <v>45547</v>
      </c>
      <c r="B835" s="59" t="s">
        <v>96</v>
      </c>
      <c r="C835" s="59">
        <v>2024</v>
      </c>
      <c r="D835" s="59" t="s">
        <v>2</v>
      </c>
      <c r="E835" s="60">
        <v>-260.39999999999998</v>
      </c>
      <c r="F835" s="60" t="s">
        <v>33</v>
      </c>
      <c r="G835" s="61">
        <v>130200</v>
      </c>
      <c r="H835" s="62">
        <v>529</v>
      </c>
      <c r="I835" s="60" t="s">
        <v>80</v>
      </c>
      <c r="J835" s="60" t="s">
        <v>41</v>
      </c>
      <c r="K835" s="60">
        <v>217</v>
      </c>
      <c r="L835" s="60" t="s">
        <v>1726</v>
      </c>
      <c r="M835" s="60" t="s">
        <v>1735</v>
      </c>
      <c r="N835" s="63" t="s">
        <v>1736</v>
      </c>
      <c r="O835" s="59"/>
      <c r="P835" s="59" t="s">
        <v>227</v>
      </c>
      <c r="Q835" s="745">
        <v>41.285615</v>
      </c>
      <c r="R835" s="637">
        <v>-87.308537999999999</v>
      </c>
      <c r="S835" s="59" t="s">
        <v>61</v>
      </c>
      <c r="T835" s="59"/>
      <c r="U835" s="59" t="s">
        <v>51</v>
      </c>
      <c r="V835" s="58"/>
      <c r="W835" s="65">
        <f>IF(AC835="Intr",0,G835*Definitions!$B$53)</f>
        <v>19530</v>
      </c>
      <c r="X835" s="65">
        <f>IF(AC835="Intr",0,G835*Definitions!$B$54)</f>
        <v>91140</v>
      </c>
      <c r="Y835" s="65">
        <f>IF(AC835="Intr",G835,G835*Definitions!$B$55)</f>
        <v>19530</v>
      </c>
      <c r="Z835" s="65" t="s">
        <v>967</v>
      </c>
      <c r="AA835" s="65" t="s">
        <v>965</v>
      </c>
      <c r="AB835" s="65"/>
      <c r="AC835" s="59"/>
      <c r="AD835" s="59"/>
      <c r="AE835" s="59"/>
      <c r="AF835" s="59"/>
      <c r="AG835" s="66"/>
      <c r="AH835" s="59"/>
    </row>
    <row r="836" spans="1:34" x14ac:dyDescent="0.2">
      <c r="A836" s="45">
        <v>45553</v>
      </c>
      <c r="B836" s="46" t="s">
        <v>96</v>
      </c>
      <c r="C836" s="46">
        <v>2024</v>
      </c>
      <c r="D836" s="46" t="s">
        <v>7</v>
      </c>
      <c r="E836" s="181">
        <v>-1.53</v>
      </c>
      <c r="F836" s="181" t="s">
        <v>32</v>
      </c>
      <c r="G836" s="182">
        <v>122400</v>
      </c>
      <c r="H836" s="183">
        <v>517</v>
      </c>
      <c r="I836" s="181" t="s">
        <v>81</v>
      </c>
      <c r="J836" s="181" t="s">
        <v>38</v>
      </c>
      <c r="K836" s="181">
        <v>0.61</v>
      </c>
      <c r="L836" s="181" t="s">
        <v>1727</v>
      </c>
      <c r="M836" s="181" t="s">
        <v>103</v>
      </c>
      <c r="N836" s="76" t="s">
        <v>1737</v>
      </c>
      <c r="O836" s="46"/>
      <c r="P836" s="46" t="s">
        <v>121</v>
      </c>
      <c r="Q836" s="761">
        <v>39.868284000000003</v>
      </c>
      <c r="R836" s="660">
        <v>-85.919186999999994</v>
      </c>
      <c r="S836" s="46" t="s">
        <v>61</v>
      </c>
      <c r="T836" s="46"/>
      <c r="U836" s="46" t="s">
        <v>51</v>
      </c>
      <c r="V836" s="45"/>
      <c r="W836" s="47">
        <f>IF(AC836="Intr",0,G836*Definitions!$B$53)</f>
        <v>18360</v>
      </c>
      <c r="X836" s="47">
        <f>IF(AC836="Intr",0,G836*Definitions!$B$54)</f>
        <v>85680</v>
      </c>
      <c r="Y836" s="47">
        <f>IF(AC836="Intr",G836,G836*Definitions!$B$55)</f>
        <v>18360</v>
      </c>
      <c r="Z836" s="47" t="s">
        <v>966</v>
      </c>
      <c r="AA836" s="47" t="s">
        <v>963</v>
      </c>
      <c r="AB836" s="47" t="s">
        <v>1245</v>
      </c>
      <c r="AC836" s="46"/>
      <c r="AD836" s="46"/>
      <c r="AE836" s="46"/>
      <c r="AF836" s="46"/>
      <c r="AG836" s="48"/>
      <c r="AH836" s="46"/>
    </row>
    <row r="837" spans="1:34" x14ac:dyDescent="0.2">
      <c r="A837" s="29">
        <v>45561</v>
      </c>
      <c r="B837" s="30" t="s">
        <v>96</v>
      </c>
      <c r="C837" s="30">
        <v>2024</v>
      </c>
      <c r="D837" s="30" t="s">
        <v>5</v>
      </c>
      <c r="E837" s="217">
        <v>-0.5</v>
      </c>
      <c r="F837" s="217" t="s">
        <v>32</v>
      </c>
      <c r="G837" s="218">
        <v>40000</v>
      </c>
      <c r="H837" s="219">
        <v>532</v>
      </c>
      <c r="I837" s="217" t="s">
        <v>80</v>
      </c>
      <c r="J837" s="217" t="s">
        <v>38</v>
      </c>
      <c r="K837" s="217">
        <v>0.5</v>
      </c>
      <c r="L837" s="217" t="s">
        <v>1742</v>
      </c>
      <c r="M837" s="217" t="s">
        <v>1743</v>
      </c>
      <c r="N837" s="67" t="s">
        <v>1744</v>
      </c>
      <c r="O837" s="30"/>
      <c r="P837" s="30" t="s">
        <v>734</v>
      </c>
      <c r="Q837" s="747">
        <v>41.295074</v>
      </c>
      <c r="R837" s="636">
        <v>-85.741298</v>
      </c>
      <c r="S837" s="30" t="s">
        <v>61</v>
      </c>
      <c r="T837" s="30"/>
      <c r="U837" s="30" t="s">
        <v>51</v>
      </c>
      <c r="V837" s="29"/>
      <c r="W837" s="31">
        <f>IF(AC837="Intr",0,G837*Definitions!$B$53)</f>
        <v>6000</v>
      </c>
      <c r="X837" s="31">
        <f>IF(AC837="Intr",0,G837*Definitions!$B$54)</f>
        <v>28000</v>
      </c>
      <c r="Y837" s="31">
        <f>IF(AC837="Intr",G837,G837*Definitions!$B$55)</f>
        <v>6000</v>
      </c>
      <c r="Z837" s="31" t="s">
        <v>964</v>
      </c>
      <c r="AA837" s="31" t="s">
        <v>965</v>
      </c>
      <c r="AB837" s="31"/>
      <c r="AC837" s="30"/>
      <c r="AD837" s="30"/>
      <c r="AE837" s="30"/>
      <c r="AF837" s="30"/>
      <c r="AG837" s="32"/>
      <c r="AH837" s="30"/>
    </row>
    <row r="838" spans="1:34" x14ac:dyDescent="0.2">
      <c r="A838" s="29">
        <v>45569</v>
      </c>
      <c r="B838" s="30" t="s">
        <v>98</v>
      </c>
      <c r="C838" s="30">
        <v>2024</v>
      </c>
      <c r="D838" s="30" t="s">
        <v>5</v>
      </c>
      <c r="E838" s="217">
        <v>-13.5</v>
      </c>
      <c r="F838" s="217" t="s">
        <v>33</v>
      </c>
      <c r="G838" s="218">
        <v>5400</v>
      </c>
      <c r="H838" s="219">
        <v>373</v>
      </c>
      <c r="I838" s="217" t="s">
        <v>80</v>
      </c>
      <c r="J838" s="217" t="s">
        <v>39</v>
      </c>
      <c r="K838" s="217">
        <v>13.5</v>
      </c>
      <c r="L838" s="217" t="s">
        <v>726</v>
      </c>
      <c r="M838" s="217" t="s">
        <v>103</v>
      </c>
      <c r="N838" s="67" t="s">
        <v>1749</v>
      </c>
      <c r="O838" s="30"/>
      <c r="P838" s="30" t="s">
        <v>255</v>
      </c>
      <c r="Q838" s="747">
        <v>41.013989000000002</v>
      </c>
      <c r="R838" s="636">
        <v>-85.322722999999996</v>
      </c>
      <c r="S838" s="30" t="s">
        <v>59</v>
      </c>
      <c r="T838" s="30"/>
      <c r="U838" s="30" t="s">
        <v>51</v>
      </c>
      <c r="V838" s="29"/>
      <c r="W838" s="31">
        <f>IF(AC838="Intr",0,G838*Definitions!$B$53)</f>
        <v>810</v>
      </c>
      <c r="X838" s="31">
        <f>IF(AC838="Intr",0,G838*Definitions!$B$54)</f>
        <v>3779.9999999999995</v>
      </c>
      <c r="Y838" s="31">
        <f>IF(AC838="Intr",G838,G838*Definitions!$B$55)</f>
        <v>810</v>
      </c>
      <c r="Z838" s="31" t="s">
        <v>964</v>
      </c>
      <c r="AA838" s="31" t="s">
        <v>965</v>
      </c>
      <c r="AB838" s="31"/>
      <c r="AC838" s="30"/>
      <c r="AD838" s="30"/>
      <c r="AE838" s="30"/>
      <c r="AF838" s="30"/>
      <c r="AG838" s="32"/>
      <c r="AH838" s="30" t="s">
        <v>1762</v>
      </c>
    </row>
    <row r="839" spans="1:34" x14ac:dyDescent="0.2">
      <c r="A839" s="29">
        <v>45569</v>
      </c>
      <c r="B839" s="30" t="s">
        <v>98</v>
      </c>
      <c r="C839" s="30">
        <v>2024</v>
      </c>
      <c r="D839" s="30" t="s">
        <v>5</v>
      </c>
      <c r="E839" s="217">
        <v>-86</v>
      </c>
      <c r="F839" s="217" t="s">
        <v>33</v>
      </c>
      <c r="G839" s="218">
        <v>34400</v>
      </c>
      <c r="H839" s="219">
        <v>373</v>
      </c>
      <c r="I839" s="217" t="s">
        <v>80</v>
      </c>
      <c r="J839" s="217" t="s">
        <v>40</v>
      </c>
      <c r="K839" s="217">
        <v>86</v>
      </c>
      <c r="L839" s="217" t="s">
        <v>726</v>
      </c>
      <c r="M839" s="217" t="s">
        <v>103</v>
      </c>
      <c r="N839" s="67" t="s">
        <v>1749</v>
      </c>
      <c r="O839" s="30"/>
      <c r="P839" s="30" t="s">
        <v>255</v>
      </c>
      <c r="Q839" s="747">
        <v>41.013989000000002</v>
      </c>
      <c r="R839" s="636">
        <v>-85.322722999999996</v>
      </c>
      <c r="S839" s="30" t="s">
        <v>63</v>
      </c>
      <c r="T839" s="30"/>
      <c r="U839" s="30" t="s">
        <v>51</v>
      </c>
      <c r="V839" s="29"/>
      <c r="W839" s="31">
        <f>IF(AC839="Intr",0,G839*Definitions!$B$53)</f>
        <v>5160</v>
      </c>
      <c r="X839" s="31">
        <f>IF(AC839="Intr",0,G839*Definitions!$B$54)</f>
        <v>24080</v>
      </c>
      <c r="Y839" s="31">
        <f>IF(AC839="Intr",G839,G839*Definitions!$B$55)</f>
        <v>5160</v>
      </c>
      <c r="Z839" s="31" t="s">
        <v>964</v>
      </c>
      <c r="AA839" s="31" t="s">
        <v>965</v>
      </c>
      <c r="AB839" s="31"/>
      <c r="AC839" s="30"/>
      <c r="AD839" s="30"/>
      <c r="AE839" s="30"/>
      <c r="AF839" s="30"/>
      <c r="AG839" s="32"/>
      <c r="AH839" s="30" t="s">
        <v>1762</v>
      </c>
    </row>
    <row r="840" spans="1:34" x14ac:dyDescent="0.2">
      <c r="A840" s="41">
        <v>45575</v>
      </c>
      <c r="B840" s="42" t="s">
        <v>98</v>
      </c>
      <c r="C840" s="42">
        <v>2024</v>
      </c>
      <c r="D840" s="42" t="s">
        <v>7</v>
      </c>
      <c r="E840" s="320">
        <v>-3.8</v>
      </c>
      <c r="F840" s="320" t="s">
        <v>32</v>
      </c>
      <c r="G840" s="343">
        <v>304000</v>
      </c>
      <c r="H840" s="344">
        <v>527</v>
      </c>
      <c r="I840" s="320" t="s">
        <v>81</v>
      </c>
      <c r="J840" s="320" t="s">
        <v>38</v>
      </c>
      <c r="K840" s="320">
        <v>1.52</v>
      </c>
      <c r="L840" s="320" t="s">
        <v>1748</v>
      </c>
      <c r="M840" s="320" t="s">
        <v>103</v>
      </c>
      <c r="N840" s="73" t="s">
        <v>1750</v>
      </c>
      <c r="O840" s="42"/>
      <c r="P840" s="42" t="s">
        <v>143</v>
      </c>
      <c r="Q840" s="731">
        <v>39.894140999999998</v>
      </c>
      <c r="R840" s="593">
        <v>-86.210183000000001</v>
      </c>
      <c r="S840" s="42" t="s">
        <v>61</v>
      </c>
      <c r="T840" s="42"/>
      <c r="U840" s="42" t="s">
        <v>51</v>
      </c>
      <c r="V840" s="41"/>
      <c r="W840" s="43">
        <f>IF(AC840="Intr",0,G840*Definitions!$B$53)</f>
        <v>45600</v>
      </c>
      <c r="X840" s="43">
        <f>IF(AC840="Intr",0,G840*Definitions!$B$54)</f>
        <v>212800</v>
      </c>
      <c r="Y840" s="43">
        <f>IF(AC840="Intr",G840,G840*Definitions!$B$55)</f>
        <v>45600</v>
      </c>
      <c r="Z840" s="43" t="s">
        <v>966</v>
      </c>
      <c r="AA840" s="43" t="s">
        <v>965</v>
      </c>
      <c r="AB840" s="43" t="s">
        <v>1268</v>
      </c>
      <c r="AC840" s="42"/>
      <c r="AD840" s="42"/>
      <c r="AE840" s="42"/>
      <c r="AF840" s="42"/>
      <c r="AG840" s="44"/>
      <c r="AH840" s="42"/>
    </row>
    <row r="841" spans="1:34" x14ac:dyDescent="0.2">
      <c r="A841" s="33">
        <v>45575</v>
      </c>
      <c r="B841" s="34" t="s">
        <v>98</v>
      </c>
      <c r="C841" s="34">
        <v>2024</v>
      </c>
      <c r="D841" s="34" t="s">
        <v>5</v>
      </c>
      <c r="E841" s="271">
        <v>-26</v>
      </c>
      <c r="F841" s="271" t="s">
        <v>33</v>
      </c>
      <c r="G841" s="272">
        <v>10400</v>
      </c>
      <c r="H841" s="273">
        <v>534</v>
      </c>
      <c r="I841" s="271" t="s">
        <v>80</v>
      </c>
      <c r="J841" s="271" t="s">
        <v>40</v>
      </c>
      <c r="K841" s="271">
        <v>26</v>
      </c>
      <c r="L841" s="271" t="s">
        <v>726</v>
      </c>
      <c r="M841" s="271" t="s">
        <v>1751</v>
      </c>
      <c r="N841" s="116" t="s">
        <v>1752</v>
      </c>
      <c r="O841" s="34"/>
      <c r="P841" s="34" t="s">
        <v>255</v>
      </c>
      <c r="Q841" s="773">
        <v>40.952199999999998</v>
      </c>
      <c r="R841" s="592">
        <v>-85.258099999999999</v>
      </c>
      <c r="S841" s="34" t="s">
        <v>63</v>
      </c>
      <c r="T841" s="34"/>
      <c r="U841" s="34" t="s">
        <v>51</v>
      </c>
      <c r="V841" s="33"/>
      <c r="W841" s="35">
        <f>IF(AC841="Intr",0,G841*Definitions!$B$53)</f>
        <v>1560</v>
      </c>
      <c r="X841" s="35">
        <f>IF(AC841="Intr",0,G841*Definitions!$B$54)</f>
        <v>7279.9999999999991</v>
      </c>
      <c r="Y841" s="35">
        <f>IF(AC841="Intr",G841,G841*Definitions!$B$55)</f>
        <v>1560</v>
      </c>
      <c r="Z841" s="35" t="s">
        <v>964</v>
      </c>
      <c r="AA841" s="35" t="s">
        <v>965</v>
      </c>
      <c r="AB841" s="35"/>
      <c r="AC841" s="34"/>
      <c r="AD841" s="34"/>
      <c r="AE841" s="34"/>
      <c r="AF841" s="34"/>
      <c r="AG841" s="36"/>
      <c r="AH841" s="34" t="s">
        <v>1763</v>
      </c>
    </row>
    <row r="842" spans="1:34" x14ac:dyDescent="0.2">
      <c r="A842" s="33">
        <v>45575</v>
      </c>
      <c r="B842" s="34" t="s">
        <v>98</v>
      </c>
      <c r="C842" s="34">
        <v>2024</v>
      </c>
      <c r="D842" s="34" t="s">
        <v>5</v>
      </c>
      <c r="E842" s="271">
        <v>-2.4E-2</v>
      </c>
      <c r="F842" s="271" t="s">
        <v>32</v>
      </c>
      <c r="G842" s="272">
        <v>1920</v>
      </c>
      <c r="H842" s="273">
        <v>534</v>
      </c>
      <c r="I842" s="271" t="s">
        <v>80</v>
      </c>
      <c r="J842" s="271" t="s">
        <v>36</v>
      </c>
      <c r="K842" s="271">
        <v>1.2E-2</v>
      </c>
      <c r="L842" s="271" t="s">
        <v>726</v>
      </c>
      <c r="M842" s="271" t="s">
        <v>1753</v>
      </c>
      <c r="N842" s="116" t="s">
        <v>1752</v>
      </c>
      <c r="O842" s="34"/>
      <c r="P842" s="34" t="s">
        <v>255</v>
      </c>
      <c r="Q842" s="773">
        <v>40.952199999999998</v>
      </c>
      <c r="R842" s="592">
        <v>-85.258099999999999</v>
      </c>
      <c r="S842" s="34" t="s">
        <v>63</v>
      </c>
      <c r="T842" s="34"/>
      <c r="U842" s="34" t="s">
        <v>51</v>
      </c>
      <c r="V842" s="33"/>
      <c r="W842" s="35">
        <f>IF(AC842="Intr",0,G842*Definitions!$B$53)</f>
        <v>288</v>
      </c>
      <c r="X842" s="35">
        <f>IF(AC842="Intr",0,G842*Definitions!$B$54)</f>
        <v>1344</v>
      </c>
      <c r="Y842" s="35">
        <f>IF(AC842="Intr",G842,G842*Definitions!$B$55)</f>
        <v>288</v>
      </c>
      <c r="Z842" s="35" t="s">
        <v>964</v>
      </c>
      <c r="AA842" s="35" t="s">
        <v>965</v>
      </c>
      <c r="AB842" s="35"/>
      <c r="AC842" s="34"/>
      <c r="AD842" s="34"/>
      <c r="AE842" s="34"/>
      <c r="AF842" s="34"/>
      <c r="AG842" s="36"/>
      <c r="AH842" s="34" t="s">
        <v>1763</v>
      </c>
    </row>
    <row r="843" spans="1:34" x14ac:dyDescent="0.2">
      <c r="A843" s="282">
        <v>45575</v>
      </c>
      <c r="B843" s="114" t="s">
        <v>98</v>
      </c>
      <c r="C843" s="114">
        <v>2024</v>
      </c>
      <c r="D843" s="114" t="s">
        <v>1</v>
      </c>
      <c r="E843" s="270">
        <v>-102</v>
      </c>
      <c r="F843" s="270" t="s">
        <v>33</v>
      </c>
      <c r="G843" s="283">
        <v>61200</v>
      </c>
      <c r="H843" s="284">
        <v>535</v>
      </c>
      <c r="I843" s="270" t="s">
        <v>80</v>
      </c>
      <c r="J843" s="270" t="s">
        <v>39</v>
      </c>
      <c r="K843" s="270">
        <v>102</v>
      </c>
      <c r="L843" s="270" t="s">
        <v>726</v>
      </c>
      <c r="M843" s="270" t="s">
        <v>1754</v>
      </c>
      <c r="N843" s="285" t="s">
        <v>1755</v>
      </c>
      <c r="O843" s="114"/>
      <c r="P843" s="114" t="s">
        <v>227</v>
      </c>
      <c r="Q843" s="750">
        <v>41.571116000000004</v>
      </c>
      <c r="R843" s="635">
        <v>-87.239908999999997</v>
      </c>
      <c r="S843" s="114" t="s">
        <v>63</v>
      </c>
      <c r="T843" s="114"/>
      <c r="U843" s="114" t="s">
        <v>51</v>
      </c>
      <c r="V843" s="282"/>
      <c r="W843" s="286">
        <f>IF(AC843="Intr",0,G843*Definitions!$B$53)</f>
        <v>9180</v>
      </c>
      <c r="X843" s="286">
        <f>IF(AC843="Intr",0,G843*Definitions!$B$54)</f>
        <v>42840</v>
      </c>
      <c r="Y843" s="286">
        <f>IF(AC843="Intr",G843,G843*Definitions!$B$55)</f>
        <v>9180</v>
      </c>
      <c r="Z843" s="286" t="s">
        <v>967</v>
      </c>
      <c r="AA843" s="286" t="s">
        <v>965</v>
      </c>
      <c r="AB843" s="286"/>
      <c r="AC843" s="114"/>
      <c r="AD843" s="114"/>
      <c r="AE843" s="114"/>
      <c r="AF843" s="114"/>
      <c r="AG843" s="287"/>
      <c r="AH843" s="114" t="s">
        <v>1764</v>
      </c>
    </row>
    <row r="844" spans="1:34" x14ac:dyDescent="0.2">
      <c r="A844" s="282">
        <v>45575</v>
      </c>
      <c r="B844" s="114" t="s">
        <v>98</v>
      </c>
      <c r="C844" s="114">
        <v>2024</v>
      </c>
      <c r="D844" s="114" t="s">
        <v>1</v>
      </c>
      <c r="E844" s="270">
        <v>-0.51</v>
      </c>
      <c r="F844" s="270" t="s">
        <v>32</v>
      </c>
      <c r="G844" s="283">
        <v>48450</v>
      </c>
      <c r="H844" s="284">
        <v>535</v>
      </c>
      <c r="I844" s="270" t="s">
        <v>80</v>
      </c>
      <c r="J844" s="270" t="s">
        <v>36</v>
      </c>
      <c r="K844" s="270">
        <v>0.2</v>
      </c>
      <c r="L844" s="270" t="s">
        <v>726</v>
      </c>
      <c r="M844" s="270" t="s">
        <v>1754</v>
      </c>
      <c r="N844" s="285" t="s">
        <v>1755</v>
      </c>
      <c r="O844" s="114"/>
      <c r="P844" s="114" t="s">
        <v>227</v>
      </c>
      <c r="Q844" s="750">
        <v>41.571116000000004</v>
      </c>
      <c r="R844" s="635">
        <v>-87.239908999999997</v>
      </c>
      <c r="S844" s="114" t="s">
        <v>63</v>
      </c>
      <c r="T844" s="114"/>
      <c r="U844" s="114" t="s">
        <v>51</v>
      </c>
      <c r="V844" s="282"/>
      <c r="W844" s="286">
        <f>IF(AC844="Intr",0,G844*Definitions!$B$53)</f>
        <v>7267.5</v>
      </c>
      <c r="X844" s="286">
        <f>IF(AC844="Intr",0,G844*Definitions!$B$54)</f>
        <v>33915</v>
      </c>
      <c r="Y844" s="286">
        <f>IF(AC844="Intr",G844,G844*Definitions!$B$55)</f>
        <v>7267.5</v>
      </c>
      <c r="Z844" s="286" t="s">
        <v>967</v>
      </c>
      <c r="AA844" s="286" t="s">
        <v>965</v>
      </c>
      <c r="AB844" s="286"/>
      <c r="AC844" s="114"/>
      <c r="AD844" s="114"/>
      <c r="AE844" s="114"/>
      <c r="AF844" s="114"/>
      <c r="AG844" s="287"/>
      <c r="AH844" s="114" t="s">
        <v>1764</v>
      </c>
    </row>
    <row r="845" spans="1:34" x14ac:dyDescent="0.2">
      <c r="A845" s="282">
        <v>45575</v>
      </c>
      <c r="B845" s="114" t="s">
        <v>98</v>
      </c>
      <c r="C845" s="114">
        <v>2024</v>
      </c>
      <c r="D845" s="114" t="s">
        <v>1</v>
      </c>
      <c r="E845" s="270">
        <v>-0.43</v>
      </c>
      <c r="F845" s="270" t="s">
        <v>32</v>
      </c>
      <c r="G845" s="283">
        <v>40850</v>
      </c>
      <c r="H845" s="284">
        <v>535</v>
      </c>
      <c r="I845" s="270" t="s">
        <v>80</v>
      </c>
      <c r="J845" s="270" t="s">
        <v>37</v>
      </c>
      <c r="K845" s="270">
        <v>0.14399999999999999</v>
      </c>
      <c r="L845" s="270" t="s">
        <v>726</v>
      </c>
      <c r="M845" s="270" t="s">
        <v>1754</v>
      </c>
      <c r="N845" s="285" t="s">
        <v>1755</v>
      </c>
      <c r="O845" s="114"/>
      <c r="P845" s="114" t="s">
        <v>227</v>
      </c>
      <c r="Q845" s="750">
        <v>41.571116000000004</v>
      </c>
      <c r="R845" s="635">
        <v>-87.239908999999997</v>
      </c>
      <c r="S845" s="114" t="s">
        <v>63</v>
      </c>
      <c r="T845" s="114"/>
      <c r="U845" s="114" t="s">
        <v>51</v>
      </c>
      <c r="V845" s="282"/>
      <c r="W845" s="286">
        <f>IF(AC845="Intr",0,G845*Definitions!$B$53)</f>
        <v>6127.5</v>
      </c>
      <c r="X845" s="286">
        <f>IF(AC845="Intr",0,G845*Definitions!$B$54)</f>
        <v>28595</v>
      </c>
      <c r="Y845" s="286">
        <f>IF(AC845="Intr",G845,G845*Definitions!$B$55)</f>
        <v>6127.5</v>
      </c>
      <c r="Z845" s="286" t="s">
        <v>967</v>
      </c>
      <c r="AA845" s="286" t="s">
        <v>965</v>
      </c>
      <c r="AB845" s="286"/>
      <c r="AC845" s="114"/>
      <c r="AD845" s="114"/>
      <c r="AE845" s="114"/>
      <c r="AF845" s="114"/>
      <c r="AG845" s="287"/>
      <c r="AH845" s="114" t="s">
        <v>1764</v>
      </c>
    </row>
    <row r="846" spans="1:34" x14ac:dyDescent="0.2">
      <c r="A846" s="58">
        <v>45575</v>
      </c>
      <c r="B846" s="59" t="s">
        <v>98</v>
      </c>
      <c r="C846" s="59">
        <v>2024</v>
      </c>
      <c r="D846" s="59" t="s">
        <v>9</v>
      </c>
      <c r="E846" s="60">
        <v>-37.799999999999997</v>
      </c>
      <c r="F846" s="60" t="s">
        <v>33</v>
      </c>
      <c r="G846" s="61">
        <v>15120</v>
      </c>
      <c r="H846" s="62">
        <v>536</v>
      </c>
      <c r="I846" s="60" t="s">
        <v>80</v>
      </c>
      <c r="J846" s="60" t="s">
        <v>41</v>
      </c>
      <c r="K846" s="60">
        <v>96</v>
      </c>
      <c r="L846" s="60" t="s">
        <v>726</v>
      </c>
      <c r="M846" s="60" t="s">
        <v>1756</v>
      </c>
      <c r="N846" s="63" t="s">
        <v>1757</v>
      </c>
      <c r="O846" s="59"/>
      <c r="P846" s="59" t="s">
        <v>1023</v>
      </c>
      <c r="Q846" s="745">
        <v>38.903703700000001</v>
      </c>
      <c r="R846" s="637">
        <v>-86.398320999999996</v>
      </c>
      <c r="S846" s="59" t="s">
        <v>63</v>
      </c>
      <c r="T846" s="59"/>
      <c r="U846" s="59" t="s">
        <v>51</v>
      </c>
      <c r="V846" s="58"/>
      <c r="W846" s="65">
        <f>IF(AC846="Intr",0,G846*Definitions!$B$53)</f>
        <v>2268</v>
      </c>
      <c r="X846" s="65">
        <f>IF(AC846="Intr",0,G846*Definitions!$B$54)</f>
        <v>10584</v>
      </c>
      <c r="Y846" s="65">
        <f>IF(AC846="Intr",G846,G846*Definitions!$B$55)</f>
        <v>2268</v>
      </c>
      <c r="Z846" s="65" t="s">
        <v>966</v>
      </c>
      <c r="AA846" s="65" t="s">
        <v>965</v>
      </c>
      <c r="AB846" s="65"/>
      <c r="AC846" s="59"/>
      <c r="AD846" s="59"/>
      <c r="AE846" s="59"/>
      <c r="AF846" s="59"/>
      <c r="AG846" s="66"/>
      <c r="AH846" s="59" t="s">
        <v>1765</v>
      </c>
    </row>
    <row r="847" spans="1:34" x14ac:dyDescent="0.2">
      <c r="A847" s="58">
        <v>45575</v>
      </c>
      <c r="B847" s="59" t="s">
        <v>98</v>
      </c>
      <c r="C847" s="59">
        <v>2024</v>
      </c>
      <c r="D847" s="59" t="s">
        <v>9</v>
      </c>
      <c r="E847" s="60">
        <v>-744.1</v>
      </c>
      <c r="F847" s="60" t="s">
        <v>33</v>
      </c>
      <c r="G847" s="61">
        <v>297640</v>
      </c>
      <c r="H847" s="62">
        <v>536</v>
      </c>
      <c r="I847" s="60" t="s">
        <v>80</v>
      </c>
      <c r="J847" s="60" t="s">
        <v>40</v>
      </c>
      <c r="K847" s="60">
        <v>744.1</v>
      </c>
      <c r="L847" s="60" t="s">
        <v>726</v>
      </c>
      <c r="M847" s="60" t="s">
        <v>1756</v>
      </c>
      <c r="N847" s="63" t="s">
        <v>1757</v>
      </c>
      <c r="O847" s="59"/>
      <c r="P847" s="59" t="s">
        <v>1023</v>
      </c>
      <c r="Q847" s="745">
        <v>38.903703700000001</v>
      </c>
      <c r="R847" s="637">
        <v>-86.398320999999996</v>
      </c>
      <c r="S847" s="59" t="s">
        <v>63</v>
      </c>
      <c r="T847" s="59"/>
      <c r="U847" s="59" t="s">
        <v>51</v>
      </c>
      <c r="V847" s="58"/>
      <c r="W847" s="65">
        <f>IF(AC847="Intr",0,G847*Definitions!$B$53)</f>
        <v>44646</v>
      </c>
      <c r="X847" s="65">
        <f>IF(AC847="Intr",0,G847*Definitions!$B$54)</f>
        <v>208348</v>
      </c>
      <c r="Y847" s="65">
        <f>IF(AC847="Intr",G847,G847*Definitions!$B$55)</f>
        <v>44646</v>
      </c>
      <c r="Z847" s="65" t="s">
        <v>966</v>
      </c>
      <c r="AA847" s="65" t="s">
        <v>965</v>
      </c>
      <c r="AB847" s="65"/>
      <c r="AC847" s="59"/>
      <c r="AD847" s="59"/>
      <c r="AE847" s="59"/>
      <c r="AF847" s="59"/>
      <c r="AG847" s="66"/>
      <c r="AH847" s="59" t="s">
        <v>1765</v>
      </c>
    </row>
    <row r="848" spans="1:34" x14ac:dyDescent="0.2">
      <c r="A848" s="207">
        <v>45596</v>
      </c>
      <c r="B848" s="208" t="s">
        <v>98</v>
      </c>
      <c r="C848" s="208">
        <v>2024</v>
      </c>
      <c r="D848" s="208" t="s">
        <v>1</v>
      </c>
      <c r="E848" s="209">
        <v>-0.23</v>
      </c>
      <c r="F848" s="209" t="s">
        <v>32</v>
      </c>
      <c r="G848" s="210">
        <v>21850</v>
      </c>
      <c r="H848" s="211">
        <v>464</v>
      </c>
      <c r="I848" s="209" t="s">
        <v>80</v>
      </c>
      <c r="J848" s="209" t="s">
        <v>36</v>
      </c>
      <c r="K848" s="209">
        <v>0.23</v>
      </c>
      <c r="L848" s="209" t="s">
        <v>345</v>
      </c>
      <c r="M848" s="209" t="s">
        <v>1758</v>
      </c>
      <c r="N848" s="212" t="s">
        <v>1759</v>
      </c>
      <c r="O848" s="208"/>
      <c r="P848" s="208" t="s">
        <v>227</v>
      </c>
      <c r="Q848" s="749">
        <v>41.410240999999999</v>
      </c>
      <c r="R848" s="641">
        <v>-87.349329999999995</v>
      </c>
      <c r="S848" s="208" t="s">
        <v>61</v>
      </c>
      <c r="T848" s="208"/>
      <c r="U848" s="208" t="s">
        <v>51</v>
      </c>
      <c r="V848" s="207"/>
      <c r="W848" s="213">
        <f>IF(AC848="Intr",0,G848*Definitions!$B$53)</f>
        <v>3277.5</v>
      </c>
      <c r="X848" s="213">
        <f>IF(AC848="Intr",0,G848*Definitions!$B$54)</f>
        <v>15294.999999999998</v>
      </c>
      <c r="Y848" s="213">
        <f>IF(AC848="Intr",G848,G848*Definitions!$B$55)</f>
        <v>3277.5</v>
      </c>
      <c r="Z848" s="213" t="s">
        <v>967</v>
      </c>
      <c r="AA848" s="213" t="s">
        <v>965</v>
      </c>
      <c r="AB848" s="213"/>
      <c r="AC848" s="208"/>
      <c r="AD848" s="208"/>
      <c r="AE848" s="208"/>
      <c r="AF848" s="208"/>
      <c r="AG848" s="214"/>
      <c r="AH848" s="208"/>
    </row>
    <row r="849" spans="1:34" x14ac:dyDescent="0.2">
      <c r="A849" s="88">
        <v>45596</v>
      </c>
      <c r="B849" s="89" t="s">
        <v>98</v>
      </c>
      <c r="C849" s="89">
        <v>2024</v>
      </c>
      <c r="D849" s="89" t="s">
        <v>7</v>
      </c>
      <c r="E849" s="90">
        <v>-3.5999999999999997E-2</v>
      </c>
      <c r="F849" s="90" t="s">
        <v>32</v>
      </c>
      <c r="G849" s="91">
        <v>2880</v>
      </c>
      <c r="H849" s="92">
        <v>537</v>
      </c>
      <c r="I849" s="90" t="s">
        <v>80</v>
      </c>
      <c r="J849" s="90" t="s">
        <v>36</v>
      </c>
      <c r="K849" s="90">
        <v>1.7000000000000001E-2</v>
      </c>
      <c r="L849" s="90" t="s">
        <v>726</v>
      </c>
      <c r="M849" s="90" t="s">
        <v>1760</v>
      </c>
      <c r="N849" s="93" t="s">
        <v>1761</v>
      </c>
      <c r="O849" s="89"/>
      <c r="P849" s="89" t="s">
        <v>600</v>
      </c>
      <c r="Q849" s="735">
        <v>39.726388999999998</v>
      </c>
      <c r="R849" s="649">
        <v>-86.134444000000002</v>
      </c>
      <c r="S849" s="89" t="s">
        <v>63</v>
      </c>
      <c r="T849" s="89"/>
      <c r="U849" s="89" t="s">
        <v>51</v>
      </c>
      <c r="V849" s="88"/>
      <c r="W849" s="95">
        <f>IF(AC849="Intr",0,G849*Definitions!$B$53)</f>
        <v>432</v>
      </c>
      <c r="X849" s="95">
        <f>IF(AC849="Intr",0,G849*Definitions!$B$54)</f>
        <v>2015.9999999999998</v>
      </c>
      <c r="Y849" s="95">
        <f>IF(AC849="Intr",G849,G849*Definitions!$B$55)</f>
        <v>432</v>
      </c>
      <c r="Z849" s="95" t="s">
        <v>966</v>
      </c>
      <c r="AA849" s="95" t="s">
        <v>965</v>
      </c>
      <c r="AB849" s="95"/>
      <c r="AC849" s="89"/>
      <c r="AD849" s="89"/>
      <c r="AE849" s="89"/>
      <c r="AF849" s="89"/>
      <c r="AG849" s="96"/>
      <c r="AH849" s="89" t="s">
        <v>1766</v>
      </c>
    </row>
    <row r="850" spans="1:34" x14ac:dyDescent="0.2">
      <c r="A850" s="88">
        <v>45596</v>
      </c>
      <c r="B850" s="89" t="s">
        <v>98</v>
      </c>
      <c r="C850" s="89">
        <v>2024</v>
      </c>
      <c r="D850" s="89" t="s">
        <v>7</v>
      </c>
      <c r="E850" s="90">
        <v>-4.2000000000000003E-2</v>
      </c>
      <c r="F850" s="90" t="s">
        <v>32</v>
      </c>
      <c r="G850" s="91">
        <v>3360</v>
      </c>
      <c r="H850" s="92">
        <v>537</v>
      </c>
      <c r="I850" s="90" t="s">
        <v>80</v>
      </c>
      <c r="J850" s="90" t="s">
        <v>36</v>
      </c>
      <c r="K850" s="90">
        <v>1.4E-2</v>
      </c>
      <c r="L850" s="90" t="s">
        <v>726</v>
      </c>
      <c r="M850" s="90" t="s">
        <v>1760</v>
      </c>
      <c r="N850" s="93" t="s">
        <v>1761</v>
      </c>
      <c r="O850" s="89"/>
      <c r="P850" s="89" t="s">
        <v>600</v>
      </c>
      <c r="Q850" s="735">
        <v>39.726388999999998</v>
      </c>
      <c r="R850" s="649">
        <v>-86.134444000000002</v>
      </c>
      <c r="S850" s="89" t="s">
        <v>63</v>
      </c>
      <c r="T850" s="89"/>
      <c r="U850" s="89" t="s">
        <v>51</v>
      </c>
      <c r="V850" s="88"/>
      <c r="W850" s="95">
        <f>IF(AC850="Intr",0,G850*Definitions!$B$53)</f>
        <v>504</v>
      </c>
      <c r="X850" s="95">
        <f>IF(AC850="Intr",0,G850*Definitions!$B$54)</f>
        <v>2352</v>
      </c>
      <c r="Y850" s="95">
        <f>IF(AC850="Intr",G850,G850*Definitions!$B$55)</f>
        <v>504</v>
      </c>
      <c r="Z850" s="95" t="s">
        <v>966</v>
      </c>
      <c r="AA850" s="95" t="s">
        <v>965</v>
      </c>
      <c r="AB850" s="95"/>
      <c r="AC850" s="89"/>
      <c r="AD850" s="89"/>
      <c r="AE850" s="89"/>
      <c r="AF850" s="89"/>
      <c r="AG850" s="96"/>
      <c r="AH850" s="89" t="s">
        <v>1766</v>
      </c>
    </row>
    <row r="851" spans="1:34" x14ac:dyDescent="0.2">
      <c r="A851" s="88">
        <v>45596</v>
      </c>
      <c r="B851" s="89" t="s">
        <v>98</v>
      </c>
      <c r="C851" s="89">
        <v>2024</v>
      </c>
      <c r="D851" s="89" t="s">
        <v>7</v>
      </c>
      <c r="E851" s="90">
        <v>-786</v>
      </c>
      <c r="F851" s="90" t="s">
        <v>33</v>
      </c>
      <c r="G851" s="91">
        <v>353700</v>
      </c>
      <c r="H851" s="92">
        <v>537</v>
      </c>
      <c r="I851" s="90" t="s">
        <v>80</v>
      </c>
      <c r="J851" s="90" t="s">
        <v>39</v>
      </c>
      <c r="K851" s="90">
        <v>1113.9000000000001</v>
      </c>
      <c r="L851" s="90" t="s">
        <v>726</v>
      </c>
      <c r="M851" s="90" t="s">
        <v>1760</v>
      </c>
      <c r="N851" s="93" t="s">
        <v>1761</v>
      </c>
      <c r="O851" s="89"/>
      <c r="P851" s="89" t="s">
        <v>600</v>
      </c>
      <c r="Q851" s="735">
        <v>39.726388999999998</v>
      </c>
      <c r="R851" s="649">
        <v>-86.134444000000002</v>
      </c>
      <c r="S851" s="89" t="s">
        <v>63</v>
      </c>
      <c r="T851" s="89"/>
      <c r="U851" s="89" t="s">
        <v>51</v>
      </c>
      <c r="V851" s="88"/>
      <c r="W851" s="95">
        <f>IF(AC851="Intr",0,G851*Definitions!$B$53)</f>
        <v>53055</v>
      </c>
      <c r="X851" s="95">
        <f>IF(AC851="Intr",0,G851*Definitions!$B$54)</f>
        <v>247589.99999999997</v>
      </c>
      <c r="Y851" s="95">
        <f>IF(AC851="Intr",G851,G851*Definitions!$B$55)</f>
        <v>53055</v>
      </c>
      <c r="Z851" s="95" t="s">
        <v>966</v>
      </c>
      <c r="AA851" s="95" t="s">
        <v>965</v>
      </c>
      <c r="AB851" s="95"/>
      <c r="AC851" s="89"/>
      <c r="AD851" s="89"/>
      <c r="AE851" s="89"/>
      <c r="AF851" s="89"/>
      <c r="AG851" s="96"/>
      <c r="AH851" s="89" t="s">
        <v>1766</v>
      </c>
    </row>
    <row r="852" spans="1:34" x14ac:dyDescent="0.2">
      <c r="A852" s="45">
        <v>45603</v>
      </c>
      <c r="B852" s="46" t="s">
        <v>118</v>
      </c>
      <c r="C852" s="46">
        <v>2024</v>
      </c>
      <c r="D852" s="46" t="s">
        <v>7</v>
      </c>
      <c r="E852" s="181">
        <v>-211</v>
      </c>
      <c r="F852" s="181" t="s">
        <v>33</v>
      </c>
      <c r="G852" s="182">
        <v>94950</v>
      </c>
      <c r="H852" s="183">
        <v>489</v>
      </c>
      <c r="I852" s="181" t="s">
        <v>80</v>
      </c>
      <c r="J852" s="181" t="s">
        <v>41</v>
      </c>
      <c r="K852" s="181">
        <v>408</v>
      </c>
      <c r="L852" s="181" t="s">
        <v>626</v>
      </c>
      <c r="M852" s="181" t="s">
        <v>1767</v>
      </c>
      <c r="N852" s="76" t="s">
        <v>1768</v>
      </c>
      <c r="O852" s="46"/>
      <c r="P852" s="46" t="s">
        <v>143</v>
      </c>
      <c r="Q852" s="761">
        <v>39.764231000000002</v>
      </c>
      <c r="R852" s="660">
        <v>-86.289077000000006</v>
      </c>
      <c r="S852" s="46" t="s">
        <v>63</v>
      </c>
      <c r="T852" s="46"/>
      <c r="U852" s="46" t="s">
        <v>51</v>
      </c>
      <c r="V852" s="45"/>
      <c r="W852" s="47">
        <f>IF(AC852="Intr",0,G852*Definitions!$B$53)</f>
        <v>14242.5</v>
      </c>
      <c r="X852" s="47">
        <f>IF(AC852="Intr",0,G852*Definitions!$B$54)</f>
        <v>66465</v>
      </c>
      <c r="Y852" s="47">
        <f>IF(AC852="Intr",G852,G852*Definitions!$B$55)</f>
        <v>14242.5</v>
      </c>
      <c r="Z852" s="47" t="s">
        <v>966</v>
      </c>
      <c r="AA852" s="47" t="s">
        <v>965</v>
      </c>
      <c r="AB852" s="47"/>
      <c r="AC852" s="46"/>
      <c r="AD852" s="46"/>
      <c r="AE852" s="46"/>
      <c r="AF852" s="46"/>
      <c r="AG852" s="48"/>
      <c r="AH852" s="46"/>
    </row>
    <row r="853" spans="1:34" x14ac:dyDescent="0.2">
      <c r="A853" s="29">
        <v>45610</v>
      </c>
      <c r="B853" s="30" t="s">
        <v>118</v>
      </c>
      <c r="C853" s="30">
        <v>2024</v>
      </c>
      <c r="D853" s="30" t="s">
        <v>8</v>
      </c>
      <c r="E853" s="217">
        <v>-0.26</v>
      </c>
      <c r="F853" s="217" t="s">
        <v>32</v>
      </c>
      <c r="G853" s="218">
        <v>20800</v>
      </c>
      <c r="H853" s="219">
        <v>519</v>
      </c>
      <c r="I853" s="217" t="s">
        <v>81</v>
      </c>
      <c r="J853" s="217" t="s">
        <v>36</v>
      </c>
      <c r="K853" s="217">
        <v>0.26</v>
      </c>
      <c r="L853" s="217" t="s">
        <v>284</v>
      </c>
      <c r="M853" s="217" t="s">
        <v>103</v>
      </c>
      <c r="N853" s="67" t="s">
        <v>1775</v>
      </c>
      <c r="O853" s="30"/>
      <c r="P853" s="30" t="s">
        <v>125</v>
      </c>
      <c r="Q853" s="747">
        <v>39.134900000000002</v>
      </c>
      <c r="R853" s="636">
        <v>-85.949100000000001</v>
      </c>
      <c r="S853" s="30" t="s">
        <v>62</v>
      </c>
      <c r="T853" s="30"/>
      <c r="U853" s="30" t="s">
        <v>51</v>
      </c>
      <c r="V853" s="29"/>
      <c r="W853" s="31">
        <f>IF(AC853="Intr",0,G853*Definitions!$B$53)</f>
        <v>3120</v>
      </c>
      <c r="X853" s="31">
        <f>IF(AC853="Intr",0,G853*Definitions!$B$54)</f>
        <v>14559.999999999998</v>
      </c>
      <c r="Y853" s="31">
        <f>IF(AC853="Intr",G853,G853*Definitions!$B$55)</f>
        <v>3120</v>
      </c>
      <c r="Z853" s="31" t="s">
        <v>966</v>
      </c>
      <c r="AA853" s="31" t="s">
        <v>963</v>
      </c>
      <c r="AB853" s="31" t="s">
        <v>1776</v>
      </c>
      <c r="AC853" s="30"/>
      <c r="AD853" s="30"/>
      <c r="AE853" s="30"/>
      <c r="AF853" s="30"/>
      <c r="AG853" s="32"/>
      <c r="AH853" s="30"/>
    </row>
    <row r="854" spans="1:34" x14ac:dyDescent="0.2">
      <c r="A854" s="29">
        <v>45610</v>
      </c>
      <c r="B854" s="30" t="s">
        <v>118</v>
      </c>
      <c r="C854" s="30">
        <v>2024</v>
      </c>
      <c r="D854" s="30" t="s">
        <v>8</v>
      </c>
      <c r="E854" s="217">
        <v>-2.84</v>
      </c>
      <c r="F854" s="217" t="s">
        <v>32</v>
      </c>
      <c r="G854" s="218">
        <v>227200</v>
      </c>
      <c r="H854" s="219">
        <v>519</v>
      </c>
      <c r="I854" s="217" t="s">
        <v>81</v>
      </c>
      <c r="J854" s="217" t="s">
        <v>38</v>
      </c>
      <c r="K854" s="217">
        <v>2.84</v>
      </c>
      <c r="L854" s="217" t="s">
        <v>284</v>
      </c>
      <c r="M854" s="217" t="s">
        <v>103</v>
      </c>
      <c r="N854" s="67" t="s">
        <v>1775</v>
      </c>
      <c r="O854" s="30"/>
      <c r="P854" s="30" t="s">
        <v>125</v>
      </c>
      <c r="Q854" s="747">
        <v>39.134900000000002</v>
      </c>
      <c r="R854" s="636">
        <v>-85.949100000000001</v>
      </c>
      <c r="S854" s="30" t="s">
        <v>62</v>
      </c>
      <c r="T854" s="30"/>
      <c r="U854" s="30" t="s">
        <v>51</v>
      </c>
      <c r="V854" s="29"/>
      <c r="W854" s="31">
        <f>IF(AC854="Intr",0,G854*Definitions!$B$53)</f>
        <v>34080</v>
      </c>
      <c r="X854" s="31">
        <f>IF(AC854="Intr",0,G854*Definitions!$B$54)</f>
        <v>159040</v>
      </c>
      <c r="Y854" s="31">
        <f>IF(AC854="Intr",G854,G854*Definitions!$B$55)</f>
        <v>34080</v>
      </c>
      <c r="Z854" s="31" t="s">
        <v>966</v>
      </c>
      <c r="AA854" s="31" t="s">
        <v>963</v>
      </c>
      <c r="AB854" s="31" t="s">
        <v>1776</v>
      </c>
      <c r="AC854" s="30"/>
      <c r="AD854" s="30"/>
      <c r="AE854" s="30"/>
      <c r="AF854" s="30"/>
      <c r="AG854" s="32"/>
      <c r="AH854" s="30"/>
    </row>
    <row r="855" spans="1:34" x14ac:dyDescent="0.2">
      <c r="A855" s="307">
        <v>45611</v>
      </c>
      <c r="B855" s="308" t="s">
        <v>118</v>
      </c>
      <c r="C855" s="308">
        <v>2024</v>
      </c>
      <c r="D855" s="308" t="s">
        <v>10</v>
      </c>
      <c r="E855" s="309">
        <v>-31</v>
      </c>
      <c r="F855" s="309" t="s">
        <v>33</v>
      </c>
      <c r="G855" s="310">
        <v>12400</v>
      </c>
      <c r="H855" s="311">
        <v>539</v>
      </c>
      <c r="I855" s="309" t="s">
        <v>80</v>
      </c>
      <c r="J855" s="309" t="s">
        <v>41</v>
      </c>
      <c r="K855" s="309">
        <v>118</v>
      </c>
      <c r="L855" s="309" t="s">
        <v>726</v>
      </c>
      <c r="M855" s="309" t="s">
        <v>1769</v>
      </c>
      <c r="N855" s="312" t="s">
        <v>1770</v>
      </c>
      <c r="O855" s="308"/>
      <c r="P855" s="308" t="s">
        <v>1772</v>
      </c>
      <c r="Q855" s="737">
        <v>38.71</v>
      </c>
      <c r="R855" s="651">
        <v>-85.796199999999999</v>
      </c>
      <c r="S855" s="308" t="s">
        <v>63</v>
      </c>
      <c r="T855" s="308"/>
      <c r="U855" s="308" t="s">
        <v>51</v>
      </c>
      <c r="V855" s="307"/>
      <c r="W855" s="313">
        <f>IF(AC855="Intr",0,G855*Definitions!$B$53)</f>
        <v>1860</v>
      </c>
      <c r="X855" s="313">
        <f>IF(AC855="Intr",0,G855*Definitions!$B$54)</f>
        <v>8680</v>
      </c>
      <c r="Y855" s="313">
        <f>IF(AC855="Intr",G855,G855*Definitions!$B$55)</f>
        <v>1860</v>
      </c>
      <c r="Z855" s="313" t="s">
        <v>966</v>
      </c>
      <c r="AA855" s="313" t="s">
        <v>965</v>
      </c>
      <c r="AB855" s="313"/>
      <c r="AC855" s="308"/>
      <c r="AD855" s="308"/>
      <c r="AE855" s="308"/>
      <c r="AF855" s="308"/>
      <c r="AG855" s="314"/>
      <c r="AH855" s="308" t="s">
        <v>1774</v>
      </c>
    </row>
    <row r="856" spans="1:34" x14ac:dyDescent="0.2">
      <c r="A856" s="307">
        <v>45611</v>
      </c>
      <c r="B856" s="308" t="s">
        <v>118</v>
      </c>
      <c r="C856" s="308">
        <v>2024</v>
      </c>
      <c r="D856" s="308" t="s">
        <v>10</v>
      </c>
      <c r="E856" s="309">
        <v>-30</v>
      </c>
      <c r="F856" s="309" t="s">
        <v>33</v>
      </c>
      <c r="G856" s="310">
        <v>12000</v>
      </c>
      <c r="H856" s="311">
        <v>539</v>
      </c>
      <c r="I856" s="309" t="s">
        <v>80</v>
      </c>
      <c r="J856" s="309" t="s">
        <v>40</v>
      </c>
      <c r="K856" s="309">
        <v>710</v>
      </c>
      <c r="L856" s="309" t="s">
        <v>726</v>
      </c>
      <c r="M856" s="309" t="s">
        <v>1769</v>
      </c>
      <c r="N856" s="312" t="s">
        <v>1770</v>
      </c>
      <c r="O856" s="308"/>
      <c r="P856" s="308" t="s">
        <v>1772</v>
      </c>
      <c r="Q856" s="737">
        <v>38.71</v>
      </c>
      <c r="R856" s="651">
        <v>-85.796199999999999</v>
      </c>
      <c r="S856" s="308" t="s">
        <v>63</v>
      </c>
      <c r="T856" s="308"/>
      <c r="U856" s="308" t="s">
        <v>51</v>
      </c>
      <c r="V856" s="307"/>
      <c r="W856" s="313">
        <f>IF(AC856="Intr",0,G856*Definitions!$B$53)</f>
        <v>1800</v>
      </c>
      <c r="X856" s="313">
        <f>IF(AC856="Intr",0,G856*Definitions!$B$54)</f>
        <v>8400</v>
      </c>
      <c r="Y856" s="313">
        <f>IF(AC856="Intr",G856,G856*Definitions!$B$55)</f>
        <v>1800</v>
      </c>
      <c r="Z856" s="313" t="s">
        <v>966</v>
      </c>
      <c r="AA856" s="313" t="s">
        <v>965</v>
      </c>
      <c r="AB856" s="313"/>
      <c r="AC856" s="308"/>
      <c r="AD856" s="308"/>
      <c r="AE856" s="308"/>
      <c r="AF856" s="308"/>
      <c r="AG856" s="314"/>
      <c r="AH856" s="308" t="s">
        <v>1774</v>
      </c>
    </row>
    <row r="857" spans="1:34" x14ac:dyDescent="0.2">
      <c r="A857" s="307">
        <v>45611</v>
      </c>
      <c r="B857" s="308" t="s">
        <v>118</v>
      </c>
      <c r="C857" s="308">
        <v>2024</v>
      </c>
      <c r="D857" s="308" t="s">
        <v>10</v>
      </c>
      <c r="E857" s="309">
        <v>-171.9</v>
      </c>
      <c r="F857" s="309" t="s">
        <v>33</v>
      </c>
      <c r="G857" s="310">
        <v>68760</v>
      </c>
      <c r="H857" s="311">
        <v>539</v>
      </c>
      <c r="I857" s="309" t="s">
        <v>80</v>
      </c>
      <c r="J857" s="309" t="s">
        <v>39</v>
      </c>
      <c r="K857" s="309">
        <v>625.9</v>
      </c>
      <c r="L857" s="309" t="s">
        <v>726</v>
      </c>
      <c r="M857" s="309" t="s">
        <v>1769</v>
      </c>
      <c r="N857" s="312" t="s">
        <v>1770</v>
      </c>
      <c r="O857" s="308"/>
      <c r="P857" s="308" t="s">
        <v>1772</v>
      </c>
      <c r="Q857" s="737">
        <v>38.71</v>
      </c>
      <c r="R857" s="651">
        <v>-85.796199999999999</v>
      </c>
      <c r="S857" s="308" t="s">
        <v>63</v>
      </c>
      <c r="T857" s="308"/>
      <c r="U857" s="308" t="s">
        <v>51</v>
      </c>
      <c r="V857" s="307"/>
      <c r="W857" s="313">
        <f>IF(AC857="Intr",0,G857*Definitions!$B$53)</f>
        <v>10314</v>
      </c>
      <c r="X857" s="313">
        <f>IF(AC857="Intr",0,G857*Definitions!$B$54)</f>
        <v>48132</v>
      </c>
      <c r="Y857" s="313">
        <f>IF(AC857="Intr",G857,G857*Definitions!$B$55)</f>
        <v>10314</v>
      </c>
      <c r="Z857" s="313" t="s">
        <v>966</v>
      </c>
      <c r="AA857" s="313" t="s">
        <v>965</v>
      </c>
      <c r="AB857" s="313"/>
      <c r="AC857" s="308"/>
      <c r="AD857" s="308"/>
      <c r="AE857" s="308"/>
      <c r="AF857" s="308"/>
      <c r="AG857" s="314"/>
      <c r="AH857" s="308" t="s">
        <v>1774</v>
      </c>
    </row>
    <row r="858" spans="1:34" x14ac:dyDescent="0.2">
      <c r="A858" s="307">
        <v>45611</v>
      </c>
      <c r="B858" s="308" t="s">
        <v>118</v>
      </c>
      <c r="C858" s="308">
        <v>2024</v>
      </c>
      <c r="D858" s="308" t="s">
        <v>10</v>
      </c>
      <c r="E858" s="309">
        <v>-6.0000000000000001E-3</v>
      </c>
      <c r="F858" s="309" t="s">
        <v>32</v>
      </c>
      <c r="G858" s="310">
        <v>480</v>
      </c>
      <c r="H858" s="311">
        <v>539</v>
      </c>
      <c r="I858" s="309" t="s">
        <v>80</v>
      </c>
      <c r="J858" s="309" t="s">
        <v>36</v>
      </c>
      <c r="K858" s="309">
        <v>3.0000000000000001E-3</v>
      </c>
      <c r="L858" s="309" t="s">
        <v>726</v>
      </c>
      <c r="M858" s="309" t="s">
        <v>1769</v>
      </c>
      <c r="N858" s="312" t="s">
        <v>1770</v>
      </c>
      <c r="O858" s="308"/>
      <c r="P858" s="308" t="s">
        <v>1772</v>
      </c>
      <c r="Q858" s="737">
        <v>38.71</v>
      </c>
      <c r="R858" s="651">
        <v>-85.796199999999999</v>
      </c>
      <c r="S858" s="308" t="s">
        <v>63</v>
      </c>
      <c r="T858" s="308"/>
      <c r="U858" s="308" t="s">
        <v>51</v>
      </c>
      <c r="V858" s="307"/>
      <c r="W858" s="313">
        <f>IF(AC858="Intr",0,G858*Definitions!$B$53)</f>
        <v>72</v>
      </c>
      <c r="X858" s="313">
        <f>IF(AC858="Intr",0,G858*Definitions!$B$54)</f>
        <v>336</v>
      </c>
      <c r="Y858" s="313">
        <f>IF(AC858="Intr",G858,G858*Definitions!$B$55)</f>
        <v>72</v>
      </c>
      <c r="Z858" s="313" t="s">
        <v>966</v>
      </c>
      <c r="AA858" s="313" t="s">
        <v>965</v>
      </c>
      <c r="AB858" s="313"/>
      <c r="AC858" s="308"/>
      <c r="AD858" s="308"/>
      <c r="AE858" s="308"/>
      <c r="AF858" s="308"/>
      <c r="AG858" s="314"/>
      <c r="AH858" s="308" t="s">
        <v>1774</v>
      </c>
    </row>
    <row r="859" spans="1:34" x14ac:dyDescent="0.2">
      <c r="A859" s="307">
        <v>45611</v>
      </c>
      <c r="B859" s="308" t="s">
        <v>118</v>
      </c>
      <c r="C859" s="308">
        <v>2024</v>
      </c>
      <c r="D859" s="308" t="s">
        <v>10</v>
      </c>
      <c r="E859" s="309">
        <v>-6.7599999999999993E-2</v>
      </c>
      <c r="F859" s="309" t="s">
        <v>32</v>
      </c>
      <c r="G859" s="310">
        <v>5408</v>
      </c>
      <c r="H859" s="311">
        <v>539</v>
      </c>
      <c r="I859" s="309" t="s">
        <v>80</v>
      </c>
      <c r="J859" s="309" t="s">
        <v>38</v>
      </c>
      <c r="K859" s="309">
        <v>1.6E-2</v>
      </c>
      <c r="L859" s="309" t="s">
        <v>726</v>
      </c>
      <c r="M859" s="309" t="s">
        <v>1769</v>
      </c>
      <c r="N859" s="312" t="s">
        <v>1770</v>
      </c>
      <c r="O859" s="308"/>
      <c r="P859" s="308" t="s">
        <v>1772</v>
      </c>
      <c r="Q859" s="737">
        <v>38.71</v>
      </c>
      <c r="R859" s="651">
        <v>-85.796199999999999</v>
      </c>
      <c r="S859" s="308" t="s">
        <v>63</v>
      </c>
      <c r="T859" s="308"/>
      <c r="U859" s="308" t="s">
        <v>51</v>
      </c>
      <c r="V859" s="307"/>
      <c r="W859" s="313">
        <f>IF(AC859="Intr",0,G859*Definitions!$B$53)</f>
        <v>811.19999999999993</v>
      </c>
      <c r="X859" s="313">
        <f>IF(AC859="Intr",0,G859*Definitions!$B$54)</f>
        <v>3785.6</v>
      </c>
      <c r="Y859" s="313">
        <f>IF(AC859="Intr",G859,G859*Definitions!$B$55)</f>
        <v>811.19999999999993</v>
      </c>
      <c r="Z859" s="313" t="s">
        <v>966</v>
      </c>
      <c r="AA859" s="313" t="s">
        <v>965</v>
      </c>
      <c r="AB859" s="313"/>
      <c r="AC859" s="308"/>
      <c r="AD859" s="308"/>
      <c r="AE859" s="308"/>
      <c r="AF859" s="308"/>
      <c r="AG859" s="314"/>
      <c r="AH859" s="308" t="s">
        <v>1774</v>
      </c>
    </row>
    <row r="860" spans="1:34" x14ac:dyDescent="0.2">
      <c r="A860" s="307">
        <v>45611</v>
      </c>
      <c r="B860" s="308" t="s">
        <v>118</v>
      </c>
      <c r="C860" s="308">
        <v>2024</v>
      </c>
      <c r="D860" s="308" t="s">
        <v>8</v>
      </c>
      <c r="E860" s="309">
        <v>-125</v>
      </c>
      <c r="F860" s="309" t="s">
        <v>33</v>
      </c>
      <c r="G860" s="310">
        <v>50000</v>
      </c>
      <c r="H860" s="311">
        <v>539</v>
      </c>
      <c r="I860" s="309" t="s">
        <v>80</v>
      </c>
      <c r="J860" s="309" t="s">
        <v>41</v>
      </c>
      <c r="K860" s="309">
        <v>895</v>
      </c>
      <c r="L860" s="309" t="s">
        <v>726</v>
      </c>
      <c r="M860" s="309" t="s">
        <v>1769</v>
      </c>
      <c r="N860" s="312" t="s">
        <v>1770</v>
      </c>
      <c r="O860" s="308"/>
      <c r="P860" s="308" t="s">
        <v>1772</v>
      </c>
      <c r="Q860" s="737">
        <v>38.71</v>
      </c>
      <c r="R860" s="651">
        <v>-85.796199999999999</v>
      </c>
      <c r="S860" s="308" t="s">
        <v>63</v>
      </c>
      <c r="T860" s="308"/>
      <c r="U860" s="308" t="s">
        <v>51</v>
      </c>
      <c r="V860" s="307"/>
      <c r="W860" s="313">
        <f>IF(AC860="Intr",0,G860*Definitions!$B$53)</f>
        <v>7500</v>
      </c>
      <c r="X860" s="313">
        <f>IF(AC860="Intr",0,G860*Definitions!$B$54)</f>
        <v>35000</v>
      </c>
      <c r="Y860" s="313">
        <f>IF(AC860="Intr",G860,G860*Definitions!$B$55)</f>
        <v>7500</v>
      </c>
      <c r="Z860" s="313" t="s">
        <v>966</v>
      </c>
      <c r="AA860" s="313" t="s">
        <v>965</v>
      </c>
      <c r="AB860" s="313"/>
      <c r="AC860" s="308"/>
      <c r="AD860" s="308"/>
      <c r="AE860" s="308"/>
      <c r="AF860" s="308"/>
      <c r="AG860" s="314"/>
      <c r="AH860" s="308" t="s">
        <v>1774</v>
      </c>
    </row>
    <row r="861" spans="1:34" x14ac:dyDescent="0.2">
      <c r="A861" s="307">
        <v>45611</v>
      </c>
      <c r="B861" s="308" t="s">
        <v>118</v>
      </c>
      <c r="C861" s="308">
        <v>2024</v>
      </c>
      <c r="D861" s="308" t="s">
        <v>8</v>
      </c>
      <c r="E861" s="309">
        <v>-52</v>
      </c>
      <c r="F861" s="309" t="s">
        <v>33</v>
      </c>
      <c r="G861" s="310">
        <v>20800</v>
      </c>
      <c r="H861" s="311">
        <v>539</v>
      </c>
      <c r="I861" s="309" t="s">
        <v>80</v>
      </c>
      <c r="J861" s="309" t="s">
        <v>40</v>
      </c>
      <c r="K861" s="309">
        <v>847</v>
      </c>
      <c r="L861" s="309" t="s">
        <v>726</v>
      </c>
      <c r="M861" s="309" t="s">
        <v>1769</v>
      </c>
      <c r="N861" s="312" t="s">
        <v>1770</v>
      </c>
      <c r="O861" s="308"/>
      <c r="P861" s="308" t="s">
        <v>1772</v>
      </c>
      <c r="Q861" s="737">
        <v>38.71</v>
      </c>
      <c r="R861" s="651">
        <v>-85.796199999999999</v>
      </c>
      <c r="S861" s="308" t="s">
        <v>63</v>
      </c>
      <c r="T861" s="308"/>
      <c r="U861" s="308" t="s">
        <v>51</v>
      </c>
      <c r="V861" s="307"/>
      <c r="W861" s="313">
        <f>IF(AC861="Intr",0,G861*Definitions!$B$53)</f>
        <v>3120</v>
      </c>
      <c r="X861" s="313">
        <f>IF(AC861="Intr",0,G861*Definitions!$B$54)</f>
        <v>14559.999999999998</v>
      </c>
      <c r="Y861" s="313">
        <f>IF(AC861="Intr",G861,G861*Definitions!$B$55)</f>
        <v>3120</v>
      </c>
      <c r="Z861" s="313" t="s">
        <v>966</v>
      </c>
      <c r="AA861" s="313" t="s">
        <v>965</v>
      </c>
      <c r="AB861" s="313"/>
      <c r="AC861" s="308"/>
      <c r="AD861" s="308"/>
      <c r="AE861" s="308"/>
      <c r="AF861" s="308"/>
      <c r="AG861" s="314"/>
      <c r="AH861" s="308" t="s">
        <v>1774</v>
      </c>
    </row>
    <row r="862" spans="1:34" x14ac:dyDescent="0.2">
      <c r="A862" s="307">
        <v>45611</v>
      </c>
      <c r="B862" s="308" t="s">
        <v>118</v>
      </c>
      <c r="C862" s="308">
        <v>2024</v>
      </c>
      <c r="D862" s="308" t="s">
        <v>8</v>
      </c>
      <c r="E862" s="309">
        <v>-80</v>
      </c>
      <c r="F862" s="309" t="s">
        <v>33</v>
      </c>
      <c r="G862" s="310">
        <v>32000</v>
      </c>
      <c r="H862" s="311">
        <v>539</v>
      </c>
      <c r="I862" s="309" t="s">
        <v>80</v>
      </c>
      <c r="J862" s="309" t="s">
        <v>39</v>
      </c>
      <c r="K862" s="309">
        <v>278.89999999999998</v>
      </c>
      <c r="L862" s="309" t="s">
        <v>726</v>
      </c>
      <c r="M862" s="309" t="s">
        <v>1769</v>
      </c>
      <c r="N862" s="312" t="s">
        <v>1770</v>
      </c>
      <c r="O862" s="308"/>
      <c r="P862" s="308" t="s">
        <v>1772</v>
      </c>
      <c r="Q862" s="737">
        <v>38.71</v>
      </c>
      <c r="R862" s="651">
        <v>-85.796199999999999</v>
      </c>
      <c r="S862" s="308" t="s">
        <v>63</v>
      </c>
      <c r="T862" s="308"/>
      <c r="U862" s="308" t="s">
        <v>51</v>
      </c>
      <c r="V862" s="307"/>
      <c r="W862" s="313">
        <f>IF(AC862="Intr",0,G862*Definitions!$B$53)</f>
        <v>4800</v>
      </c>
      <c r="X862" s="313">
        <f>IF(AC862="Intr",0,G862*Definitions!$B$54)</f>
        <v>22400</v>
      </c>
      <c r="Y862" s="313">
        <f>IF(AC862="Intr",G862,G862*Definitions!$B$55)</f>
        <v>4800</v>
      </c>
      <c r="Z862" s="313" t="s">
        <v>966</v>
      </c>
      <c r="AA862" s="313" t="s">
        <v>965</v>
      </c>
      <c r="AB862" s="313"/>
      <c r="AC862" s="308"/>
      <c r="AD862" s="308"/>
      <c r="AE862" s="308"/>
      <c r="AF862" s="308"/>
      <c r="AG862" s="314"/>
      <c r="AH862" s="308" t="s">
        <v>1774</v>
      </c>
    </row>
    <row r="863" spans="1:34" x14ac:dyDescent="0.2">
      <c r="A863" s="307">
        <v>45611</v>
      </c>
      <c r="B863" s="308" t="s">
        <v>118</v>
      </c>
      <c r="C863" s="308">
        <v>2024</v>
      </c>
      <c r="D863" s="308" t="s">
        <v>8</v>
      </c>
      <c r="E863" s="309">
        <v>-0.17460000000000001</v>
      </c>
      <c r="F863" s="309" t="s">
        <v>32</v>
      </c>
      <c r="G863" s="310">
        <v>13968</v>
      </c>
      <c r="H863" s="311">
        <v>539</v>
      </c>
      <c r="I863" s="309" t="s">
        <v>80</v>
      </c>
      <c r="J863" s="309" t="s">
        <v>36</v>
      </c>
      <c r="K863" s="309">
        <v>8.7300000000000003E-2</v>
      </c>
      <c r="L863" s="309" t="s">
        <v>726</v>
      </c>
      <c r="M863" s="309" t="s">
        <v>1769</v>
      </c>
      <c r="N863" s="312" t="s">
        <v>1770</v>
      </c>
      <c r="O863" s="308"/>
      <c r="P863" s="308" t="s">
        <v>1772</v>
      </c>
      <c r="Q863" s="737">
        <v>38.71</v>
      </c>
      <c r="R863" s="651">
        <v>-85.796199999999999</v>
      </c>
      <c r="S863" s="308" t="s">
        <v>63</v>
      </c>
      <c r="T863" s="308"/>
      <c r="U863" s="308" t="s">
        <v>51</v>
      </c>
      <c r="V863" s="307"/>
      <c r="W863" s="313">
        <f>IF(AC863="Intr",0,G863*Definitions!$B$53)</f>
        <v>2095.1999999999998</v>
      </c>
      <c r="X863" s="313">
        <f>IF(AC863="Intr",0,G863*Definitions!$B$54)</f>
        <v>9777.5999999999985</v>
      </c>
      <c r="Y863" s="313">
        <f>IF(AC863="Intr",G863,G863*Definitions!$B$55)</f>
        <v>2095.1999999999998</v>
      </c>
      <c r="Z863" s="313" t="s">
        <v>966</v>
      </c>
      <c r="AA863" s="313" t="s">
        <v>965</v>
      </c>
      <c r="AB863" s="313"/>
      <c r="AC863" s="308"/>
      <c r="AD863" s="308"/>
      <c r="AE863" s="308"/>
      <c r="AF863" s="308"/>
      <c r="AG863" s="314"/>
      <c r="AH863" s="308" t="s">
        <v>1774</v>
      </c>
    </row>
    <row r="864" spans="1:34" x14ac:dyDescent="0.2">
      <c r="A864" s="307">
        <v>45611</v>
      </c>
      <c r="B864" s="308" t="s">
        <v>118</v>
      </c>
      <c r="C864" s="308">
        <v>2024</v>
      </c>
      <c r="D864" s="308" t="s">
        <v>8</v>
      </c>
      <c r="E864" s="309">
        <v>-8.6999999999999994E-3</v>
      </c>
      <c r="F864" s="309" t="s">
        <v>32</v>
      </c>
      <c r="G864" s="310">
        <v>696</v>
      </c>
      <c r="H864" s="311">
        <v>539</v>
      </c>
      <c r="I864" s="309" t="s">
        <v>80</v>
      </c>
      <c r="J864" s="309" t="s">
        <v>37</v>
      </c>
      <c r="K864" s="309">
        <v>2.8999999999999998E-3</v>
      </c>
      <c r="L864" s="309" t="s">
        <v>726</v>
      </c>
      <c r="M864" s="309" t="s">
        <v>1769</v>
      </c>
      <c r="N864" s="312" t="s">
        <v>1770</v>
      </c>
      <c r="O864" s="308"/>
      <c r="P864" s="308" t="s">
        <v>1772</v>
      </c>
      <c r="Q864" s="737">
        <v>38.71</v>
      </c>
      <c r="R864" s="651">
        <v>-85.796199999999999</v>
      </c>
      <c r="S864" s="308" t="s">
        <v>63</v>
      </c>
      <c r="T864" s="308"/>
      <c r="U864" s="308" t="s">
        <v>51</v>
      </c>
      <c r="V864" s="307"/>
      <c r="W864" s="313">
        <f>IF(AC864="Intr",0,G864*Definitions!$B$53)</f>
        <v>104.39999999999999</v>
      </c>
      <c r="X864" s="313">
        <f>IF(AC864="Intr",0,G864*Definitions!$B$54)</f>
        <v>487.2</v>
      </c>
      <c r="Y864" s="313">
        <f>IF(AC864="Intr",G864,G864*Definitions!$B$55)</f>
        <v>104.39999999999999</v>
      </c>
      <c r="Z864" s="313" t="s">
        <v>966</v>
      </c>
      <c r="AA864" s="313" t="s">
        <v>965</v>
      </c>
      <c r="AB864" s="313"/>
      <c r="AC864" s="308"/>
      <c r="AD864" s="308"/>
      <c r="AE864" s="308"/>
      <c r="AF864" s="308"/>
      <c r="AG864" s="314"/>
      <c r="AH864" s="308" t="s">
        <v>1774</v>
      </c>
    </row>
    <row r="865" spans="1:34" x14ac:dyDescent="0.2">
      <c r="A865" s="307">
        <v>45611</v>
      </c>
      <c r="B865" s="308" t="s">
        <v>118</v>
      </c>
      <c r="C865" s="308">
        <v>2024</v>
      </c>
      <c r="D865" s="308" t="s">
        <v>8</v>
      </c>
      <c r="E865" s="309">
        <v>-1.7000000000000001E-2</v>
      </c>
      <c r="F865" s="309" t="s">
        <v>32</v>
      </c>
      <c r="G865" s="310">
        <v>1360</v>
      </c>
      <c r="H865" s="311">
        <v>539</v>
      </c>
      <c r="I865" s="309" t="s">
        <v>81</v>
      </c>
      <c r="J865" s="309" t="s">
        <v>36</v>
      </c>
      <c r="K865" s="309">
        <v>1.15E-2</v>
      </c>
      <c r="L865" s="309" t="s">
        <v>726</v>
      </c>
      <c r="M865" s="309" t="s">
        <v>103</v>
      </c>
      <c r="N865" s="312" t="s">
        <v>1771</v>
      </c>
      <c r="O865" s="308"/>
      <c r="P865" s="308" t="s">
        <v>1772</v>
      </c>
      <c r="Q865" s="737">
        <v>38.71</v>
      </c>
      <c r="R865" s="651">
        <v>-85.796199999999999</v>
      </c>
      <c r="S865" s="308" t="s">
        <v>63</v>
      </c>
      <c r="T865" s="308"/>
      <c r="U865" s="308" t="s">
        <v>51</v>
      </c>
      <c r="V865" s="307"/>
      <c r="W865" s="313">
        <f>IF(AC865="Intr",0,G865*Definitions!$B$53)</f>
        <v>204</v>
      </c>
      <c r="X865" s="313">
        <f>IF(AC865="Intr",0,G865*Definitions!$B$54)</f>
        <v>951.99999999999989</v>
      </c>
      <c r="Y865" s="313">
        <f>IF(AC865="Intr",G865,G865*Definitions!$B$55)</f>
        <v>204</v>
      </c>
      <c r="Z865" s="313" t="s">
        <v>966</v>
      </c>
      <c r="AA865" s="313" t="s">
        <v>963</v>
      </c>
      <c r="AB865" s="313" t="s">
        <v>1773</v>
      </c>
      <c r="AC865" s="308"/>
      <c r="AD865" s="308"/>
      <c r="AE865" s="308"/>
      <c r="AF865" s="308"/>
      <c r="AG865" s="314"/>
      <c r="AH865" s="308" t="s">
        <v>1774</v>
      </c>
    </row>
    <row r="866" spans="1:34" x14ac:dyDescent="0.2">
      <c r="A866" s="45">
        <v>45615</v>
      </c>
      <c r="B866" s="884" t="s">
        <v>118</v>
      </c>
      <c r="C866" s="46">
        <v>2024</v>
      </c>
      <c r="D866" s="46" t="s">
        <v>5</v>
      </c>
      <c r="E866" s="181">
        <v>-0.16</v>
      </c>
      <c r="F866" s="181" t="s">
        <v>32</v>
      </c>
      <c r="G866" s="182">
        <v>12800</v>
      </c>
      <c r="H866" s="183">
        <v>541</v>
      </c>
      <c r="I866" s="181" t="s">
        <v>81</v>
      </c>
      <c r="J866" s="181" t="s">
        <v>38</v>
      </c>
      <c r="K866" s="181">
        <v>0.08</v>
      </c>
      <c r="L866" s="181" t="s">
        <v>1777</v>
      </c>
      <c r="M866" s="181" t="s">
        <v>103</v>
      </c>
      <c r="N866" s="76" t="s">
        <v>1778</v>
      </c>
      <c r="O866" s="46"/>
      <c r="P866" s="46" t="s">
        <v>404</v>
      </c>
      <c r="Q866" s="631">
        <v>40.499622000000002</v>
      </c>
      <c r="R866" s="631">
        <v>-86.099383000000003</v>
      </c>
      <c r="S866" s="46" t="s">
        <v>61</v>
      </c>
      <c r="T866" s="46"/>
      <c r="U866" s="46" t="s">
        <v>51</v>
      </c>
      <c r="V866" s="45"/>
      <c r="W866" s="47">
        <f>IF(AC866="Intr",0,G866*Definitions!$B$53)</f>
        <v>1920</v>
      </c>
      <c r="X866" s="47">
        <f>IF(AC866="Intr",0,G866*Definitions!$B$54)</f>
        <v>8960</v>
      </c>
      <c r="Y866" s="47">
        <f>IF(AC866="Intr",G866,G866*Definitions!$B$55)</f>
        <v>1920</v>
      </c>
      <c r="Z866" s="47" t="s">
        <v>966</v>
      </c>
      <c r="AA866" s="47" t="s">
        <v>963</v>
      </c>
      <c r="AB866" s="47" t="s">
        <v>1245</v>
      </c>
      <c r="AC866" s="46"/>
      <c r="AD866" s="46"/>
      <c r="AE866" s="46"/>
      <c r="AF866" s="46"/>
      <c r="AG866" s="48"/>
      <c r="AH866" s="46"/>
    </row>
    <row r="867" spans="1:34" x14ac:dyDescent="0.2">
      <c r="A867" s="58">
        <v>45618</v>
      </c>
      <c r="B867" s="59" t="s">
        <v>118</v>
      </c>
      <c r="C867" s="59">
        <v>2024</v>
      </c>
      <c r="D867" s="59" t="s">
        <v>7</v>
      </c>
      <c r="E867" s="60">
        <v>-0.45</v>
      </c>
      <c r="F867" s="60" t="s">
        <v>32</v>
      </c>
      <c r="G867" s="61">
        <v>36000</v>
      </c>
      <c r="H867" s="62">
        <v>542</v>
      </c>
      <c r="I867" s="60" t="s">
        <v>80</v>
      </c>
      <c r="J867" s="60" t="s">
        <v>36</v>
      </c>
      <c r="K867" s="60">
        <v>0.3</v>
      </c>
      <c r="L867" s="60" t="s">
        <v>1779</v>
      </c>
      <c r="M867" s="60" t="s">
        <v>1780</v>
      </c>
      <c r="N867" s="63" t="s">
        <v>1781</v>
      </c>
      <c r="O867" s="59"/>
      <c r="P867" s="59" t="s">
        <v>162</v>
      </c>
      <c r="Q867" s="611">
        <v>39.698504999999997</v>
      </c>
      <c r="R867" s="611">
        <v>-86.434465000000003</v>
      </c>
      <c r="S867" s="59" t="s">
        <v>61</v>
      </c>
      <c r="T867" s="59"/>
      <c r="U867" s="59" t="s">
        <v>51</v>
      </c>
      <c r="V867" s="58"/>
      <c r="W867" s="65">
        <f>IF(AC867="Intr",0,G867*Definitions!$B$53)</f>
        <v>5400</v>
      </c>
      <c r="X867" s="65">
        <f>IF(AC867="Intr",0,G867*Definitions!$B$54)</f>
        <v>25200</v>
      </c>
      <c r="Y867" s="65">
        <f>IF(AC867="Intr",G867,G867*Definitions!$B$55)</f>
        <v>5400</v>
      </c>
      <c r="Z867" s="65" t="s">
        <v>966</v>
      </c>
      <c r="AA867" s="65" t="s">
        <v>965</v>
      </c>
      <c r="AB867" s="65"/>
      <c r="AC867" s="59"/>
      <c r="AD867" s="59"/>
      <c r="AE867" s="59"/>
      <c r="AF867" s="59"/>
      <c r="AG867" s="66"/>
      <c r="AH867" s="59" t="s">
        <v>1782</v>
      </c>
    </row>
    <row r="868" spans="1:34" x14ac:dyDescent="0.2">
      <c r="A868" s="207">
        <v>45635</v>
      </c>
      <c r="B868" s="208" t="s">
        <v>134</v>
      </c>
      <c r="C868" s="208">
        <v>2024</v>
      </c>
      <c r="D868" s="208" t="s">
        <v>8</v>
      </c>
      <c r="E868" s="209">
        <v>-218.5</v>
      </c>
      <c r="F868" s="209" t="s">
        <v>33</v>
      </c>
      <c r="G868" s="210">
        <v>87400</v>
      </c>
      <c r="H868" s="211">
        <v>533</v>
      </c>
      <c r="I868" s="209" t="s">
        <v>80</v>
      </c>
      <c r="J868" s="209" t="s">
        <v>39</v>
      </c>
      <c r="K868" s="209">
        <v>374</v>
      </c>
      <c r="L868" s="209" t="s">
        <v>726</v>
      </c>
      <c r="M868" s="209" t="s">
        <v>1784</v>
      </c>
      <c r="N868" s="212" t="s">
        <v>1785</v>
      </c>
      <c r="O868" s="208"/>
      <c r="P868" s="208" t="s">
        <v>741</v>
      </c>
      <c r="Q868" s="749">
        <v>39.786160000000002</v>
      </c>
      <c r="R868" s="641">
        <v>-85.524439999999998</v>
      </c>
      <c r="S868" s="208" t="s">
        <v>63</v>
      </c>
      <c r="T868" s="208"/>
      <c r="U868" s="208" t="s">
        <v>51</v>
      </c>
      <c r="V868" s="207"/>
      <c r="W868" s="213">
        <f>IF(AC868="Intr",0,G868*Definitions!$B$53)</f>
        <v>13110</v>
      </c>
      <c r="X868" s="213">
        <f>IF(AC868="Intr",0,G868*Definitions!$B$54)</f>
        <v>61179.999999999993</v>
      </c>
      <c r="Y868" s="213">
        <f>IF(AC868="Intr",G868,G868*Definitions!$B$55)</f>
        <v>13110</v>
      </c>
      <c r="Z868" s="213" t="s">
        <v>966</v>
      </c>
      <c r="AA868" s="213" t="s">
        <v>965</v>
      </c>
      <c r="AB868" s="213"/>
      <c r="AC868" s="208"/>
      <c r="AD868" s="208"/>
      <c r="AE868" s="208"/>
      <c r="AF868" s="208"/>
      <c r="AG868" s="214"/>
      <c r="AH868" s="208" t="s">
        <v>1789</v>
      </c>
    </row>
    <row r="869" spans="1:34" x14ac:dyDescent="0.2">
      <c r="A869" s="29">
        <v>45635</v>
      </c>
      <c r="B869" s="30" t="s">
        <v>134</v>
      </c>
      <c r="C869" s="30">
        <v>2024</v>
      </c>
      <c r="D869" s="30" t="s">
        <v>1</v>
      </c>
      <c r="E869" s="217">
        <v>-268</v>
      </c>
      <c r="F869" s="217" t="s">
        <v>33</v>
      </c>
      <c r="G869" s="218">
        <v>160800</v>
      </c>
      <c r="H869" s="219">
        <v>538</v>
      </c>
      <c r="I869" s="217" t="s">
        <v>80</v>
      </c>
      <c r="J869" s="217" t="s">
        <v>39</v>
      </c>
      <c r="K869" s="217">
        <v>268</v>
      </c>
      <c r="L869" s="217" t="s">
        <v>726</v>
      </c>
      <c r="M869" s="217" t="s">
        <v>1786</v>
      </c>
      <c r="N869" s="67" t="s">
        <v>1787</v>
      </c>
      <c r="O869" s="30"/>
      <c r="P869" s="30" t="s">
        <v>385</v>
      </c>
      <c r="Q869" s="747">
        <v>41.612318999999999</v>
      </c>
      <c r="R869" s="636">
        <v>-87.173468999999997</v>
      </c>
      <c r="S869" s="30" t="s">
        <v>63</v>
      </c>
      <c r="T869" s="30"/>
      <c r="U869" s="30" t="s">
        <v>51</v>
      </c>
      <c r="V869" s="29"/>
      <c r="W869" s="31">
        <f>IF(AC869="Intr",0,G869*Definitions!$B$53)</f>
        <v>24120</v>
      </c>
      <c r="X869" s="31">
        <f>IF(AC869="Intr",0,G869*Definitions!$B$54)</f>
        <v>112560</v>
      </c>
      <c r="Y869" s="31">
        <f>IF(AC869="Intr",G869,G869*Definitions!$B$55)</f>
        <v>24120</v>
      </c>
      <c r="Z869" s="31" t="s">
        <v>967</v>
      </c>
      <c r="AA869" s="31" t="s">
        <v>965</v>
      </c>
      <c r="AB869" s="31"/>
      <c r="AC869" s="30"/>
      <c r="AD869" s="30"/>
      <c r="AE869" s="30"/>
      <c r="AF869" s="30"/>
      <c r="AG869" s="32"/>
      <c r="AH869" s="30" t="s">
        <v>1790</v>
      </c>
    </row>
    <row r="870" spans="1:34" x14ac:dyDescent="0.2">
      <c r="A870" s="33">
        <v>45644</v>
      </c>
      <c r="B870" s="34" t="s">
        <v>134</v>
      </c>
      <c r="C870" s="34">
        <v>2024</v>
      </c>
      <c r="D870" s="34" t="s">
        <v>1</v>
      </c>
      <c r="E870" s="271">
        <v>-1.3</v>
      </c>
      <c r="F870" s="271" t="s">
        <v>32</v>
      </c>
      <c r="G870" s="272">
        <v>123500</v>
      </c>
      <c r="H870" s="273">
        <v>540</v>
      </c>
      <c r="I870" s="271" t="s">
        <v>81</v>
      </c>
      <c r="J870" s="271" t="s">
        <v>38</v>
      </c>
      <c r="K870" s="271">
        <v>0.65</v>
      </c>
      <c r="L870" s="271" t="s">
        <v>1783</v>
      </c>
      <c r="M870" s="271" t="s">
        <v>103</v>
      </c>
      <c r="N870" s="116" t="s">
        <v>1788</v>
      </c>
      <c r="O870" s="34"/>
      <c r="P870" s="34" t="s">
        <v>227</v>
      </c>
      <c r="Q870" s="773">
        <v>41.606717000000003</v>
      </c>
      <c r="R870" s="592">
        <v>-87.490061100000005</v>
      </c>
      <c r="S870" s="34" t="s">
        <v>61</v>
      </c>
      <c r="T870" s="34"/>
      <c r="U870" s="34" t="s">
        <v>51</v>
      </c>
      <c r="V870" s="33"/>
      <c r="W870" s="35">
        <f>IF(AC870="Intr",0,G870*Definitions!$B$53)</f>
        <v>18525</v>
      </c>
      <c r="X870" s="35">
        <f>IF(AC870="Intr",0,G870*Definitions!$B$54)</f>
        <v>86450</v>
      </c>
      <c r="Y870" s="35">
        <f>IF(AC870="Intr",G870,G870*Definitions!$B$55)</f>
        <v>18525</v>
      </c>
      <c r="Z870" s="35" t="s">
        <v>967</v>
      </c>
      <c r="AA870" s="35" t="s">
        <v>963</v>
      </c>
      <c r="AB870" s="35" t="s">
        <v>1245</v>
      </c>
      <c r="AC870" s="34"/>
      <c r="AD870" s="34"/>
      <c r="AE870" s="34"/>
      <c r="AF870" s="34"/>
      <c r="AG870" s="36"/>
      <c r="AH870" s="34"/>
    </row>
    <row r="871" spans="1:34" x14ac:dyDescent="0.2">
      <c r="A871" s="33">
        <v>45644</v>
      </c>
      <c r="B871" s="34" t="s">
        <v>134</v>
      </c>
      <c r="C871" s="34">
        <v>2024</v>
      </c>
      <c r="D871" s="34" t="s">
        <v>1</v>
      </c>
      <c r="E871" s="271">
        <v>-0.7</v>
      </c>
      <c r="F871" s="271" t="s">
        <v>32</v>
      </c>
      <c r="G871" s="272">
        <v>66500</v>
      </c>
      <c r="H871" s="273">
        <v>540</v>
      </c>
      <c r="I871" s="271" t="s">
        <v>81</v>
      </c>
      <c r="J871" s="271" t="s">
        <v>37</v>
      </c>
      <c r="K871" s="271">
        <v>0.7</v>
      </c>
      <c r="L871" s="271" t="s">
        <v>1783</v>
      </c>
      <c r="M871" s="271" t="s">
        <v>103</v>
      </c>
      <c r="N871" s="116" t="s">
        <v>1788</v>
      </c>
      <c r="O871" s="34"/>
      <c r="P871" s="34" t="s">
        <v>227</v>
      </c>
      <c r="Q871" s="773">
        <v>41.606717000000003</v>
      </c>
      <c r="R871" s="592">
        <v>-87.490061100000005</v>
      </c>
      <c r="S871" s="34" t="s">
        <v>61</v>
      </c>
      <c r="T871" s="34"/>
      <c r="U871" s="34" t="s">
        <v>51</v>
      </c>
      <c r="V871" s="33"/>
      <c r="W871" s="35">
        <f>IF(AC871="Intr",0,G871*Definitions!$B$53)</f>
        <v>9975</v>
      </c>
      <c r="X871" s="35">
        <f>IF(AC871="Intr",0,G871*Definitions!$B$54)</f>
        <v>46550</v>
      </c>
      <c r="Y871" s="35">
        <f>IF(AC871="Intr",G871,G871*Definitions!$B$55)</f>
        <v>9975</v>
      </c>
      <c r="Z871" s="35" t="s">
        <v>967</v>
      </c>
      <c r="AA871" s="35" t="s">
        <v>963</v>
      </c>
      <c r="AB871" s="35" t="s">
        <v>969</v>
      </c>
      <c r="AC871" s="34"/>
      <c r="AD871" s="34"/>
      <c r="AE871" s="34"/>
      <c r="AF871" s="34"/>
      <c r="AG871" s="36"/>
      <c r="AH871" s="34"/>
    </row>
    <row r="872" spans="1:34" x14ac:dyDescent="0.2">
      <c r="A872" s="529"/>
      <c r="B872" s="530"/>
      <c r="C872" s="530"/>
      <c r="D872" s="530"/>
      <c r="E872" s="531"/>
      <c r="F872" s="531"/>
      <c r="G872" s="532"/>
      <c r="H872" s="533"/>
      <c r="I872" s="531"/>
      <c r="J872" s="531"/>
      <c r="K872" s="531"/>
      <c r="L872" s="531"/>
      <c r="M872" s="531"/>
      <c r="N872" s="534"/>
      <c r="O872" s="530"/>
      <c r="P872" s="530"/>
      <c r="Q872" s="758"/>
      <c r="R872" s="659"/>
      <c r="S872" s="530"/>
      <c r="T872" s="530"/>
      <c r="U872" s="530"/>
      <c r="V872" s="529"/>
      <c r="W872" s="535">
        <f>IF(AC872="Intr",0,G872*Definitions!$B$53)</f>
        <v>0</v>
      </c>
      <c r="X872" s="535">
        <f>IF(AC872="Intr",0,G872*Definitions!$B$54)</f>
        <v>0</v>
      </c>
      <c r="Y872" s="535">
        <f>IF(AC872="Intr",G872,G872*Definitions!$B$55)</f>
        <v>0</v>
      </c>
      <c r="Z872" s="535"/>
      <c r="AA872" s="535"/>
      <c r="AB872" s="535"/>
      <c r="AC872" s="530"/>
      <c r="AD872" s="530"/>
      <c r="AE872" s="530"/>
      <c r="AF872" s="530"/>
      <c r="AG872" s="536"/>
      <c r="AH872" s="530"/>
    </row>
    <row r="873" spans="1:34" x14ac:dyDescent="0.2">
      <c r="A873" s="145">
        <v>45659</v>
      </c>
      <c r="B873" s="112" t="s">
        <v>635</v>
      </c>
      <c r="C873" s="112">
        <v>2025</v>
      </c>
      <c r="D873" s="112" t="s">
        <v>4</v>
      </c>
      <c r="E873" s="146">
        <v>-1.4</v>
      </c>
      <c r="F873" s="146" t="s">
        <v>32</v>
      </c>
      <c r="G873" s="617">
        <v>112000</v>
      </c>
      <c r="H873" s="616">
        <v>526</v>
      </c>
      <c r="I873" s="146" t="s">
        <v>80</v>
      </c>
      <c r="J873" s="146" t="s">
        <v>38</v>
      </c>
      <c r="K873" s="146">
        <v>0.48</v>
      </c>
      <c r="L873" s="146" t="s">
        <v>1795</v>
      </c>
      <c r="M873" s="146" t="s">
        <v>1796</v>
      </c>
      <c r="N873" s="149" t="s">
        <v>1797</v>
      </c>
      <c r="O873" s="112"/>
      <c r="P873" s="112" t="s">
        <v>255</v>
      </c>
      <c r="Q873" s="729">
        <v>41.083458</v>
      </c>
      <c r="R873" s="591">
        <v>-85.143118000000001</v>
      </c>
      <c r="S873" s="112" t="s">
        <v>61</v>
      </c>
      <c r="T873" s="112"/>
      <c r="U873" s="112" t="s">
        <v>51</v>
      </c>
      <c r="V873" s="145"/>
      <c r="W873" s="150">
        <f>IF(AC873="Intr",0,G873*Definitions!$B$53)</f>
        <v>16800</v>
      </c>
      <c r="X873" s="150">
        <f>IF(AC873="Intr",0,G873*Definitions!$B$54)</f>
        <v>78400</v>
      </c>
      <c r="Y873" s="150">
        <f>IF(AC873="Intr",G873,G873*Definitions!$B$55)</f>
        <v>16800</v>
      </c>
      <c r="Z873" s="150" t="s">
        <v>964</v>
      </c>
      <c r="AA873" s="150" t="s">
        <v>965</v>
      </c>
      <c r="AB873" s="150"/>
      <c r="AC873" s="112"/>
      <c r="AD873" s="112"/>
      <c r="AE873" s="112"/>
      <c r="AF873" s="112"/>
      <c r="AG873" s="151"/>
      <c r="AH873" s="112" t="s">
        <v>1798</v>
      </c>
    </row>
    <row r="874" spans="1:34" x14ac:dyDescent="0.2">
      <c r="A874" s="145">
        <v>45659</v>
      </c>
      <c r="B874" s="112" t="s">
        <v>635</v>
      </c>
      <c r="C874" s="112">
        <v>2025</v>
      </c>
      <c r="D874" s="112" t="s">
        <v>4</v>
      </c>
      <c r="E874" s="146">
        <v>-1000</v>
      </c>
      <c r="F874" s="146" t="s">
        <v>33</v>
      </c>
      <c r="G874" s="617">
        <v>450000</v>
      </c>
      <c r="H874" s="616">
        <v>526</v>
      </c>
      <c r="I874" s="146" t="s">
        <v>80</v>
      </c>
      <c r="J874" s="146" t="s">
        <v>39</v>
      </c>
      <c r="K874" s="146">
        <v>1000</v>
      </c>
      <c r="L874" s="146" t="s">
        <v>1795</v>
      </c>
      <c r="M874" s="146" t="s">
        <v>1796</v>
      </c>
      <c r="N874" s="149" t="s">
        <v>1797</v>
      </c>
      <c r="O874" s="112"/>
      <c r="P874" s="112" t="s">
        <v>255</v>
      </c>
      <c r="Q874" s="729">
        <v>41.083458</v>
      </c>
      <c r="R874" s="591">
        <v>-85.143118000000001</v>
      </c>
      <c r="S874" s="112" t="s">
        <v>61</v>
      </c>
      <c r="T874" s="112"/>
      <c r="U874" s="112" t="s">
        <v>51</v>
      </c>
      <c r="V874" s="145"/>
      <c r="W874" s="150">
        <f>IF(AC874="Intr",0,G874*Definitions!$B$53)</f>
        <v>67500</v>
      </c>
      <c r="X874" s="150">
        <f>IF(AC874="Intr",0,G874*Definitions!$B$54)</f>
        <v>315000</v>
      </c>
      <c r="Y874" s="150">
        <f>IF(AC874="Intr",G874,G874*Definitions!$B$55)</f>
        <v>67500</v>
      </c>
      <c r="Z874" s="150" t="s">
        <v>964</v>
      </c>
      <c r="AA874" s="150" t="s">
        <v>965</v>
      </c>
      <c r="AB874" s="150"/>
      <c r="AC874" s="112"/>
      <c r="AD874" s="112"/>
      <c r="AE874" s="112"/>
      <c r="AF874" s="112"/>
      <c r="AG874" s="151"/>
      <c r="AH874" s="112" t="s">
        <v>1798</v>
      </c>
    </row>
    <row r="875" spans="1:34" x14ac:dyDescent="0.2">
      <c r="A875" s="274">
        <v>45659</v>
      </c>
      <c r="B875" s="275" t="s">
        <v>635</v>
      </c>
      <c r="C875" s="275">
        <v>2025</v>
      </c>
      <c r="D875" s="275" t="s">
        <v>10</v>
      </c>
      <c r="E875" s="276">
        <v>-65</v>
      </c>
      <c r="F875" s="276" t="s">
        <v>33</v>
      </c>
      <c r="G875" s="625">
        <v>26000</v>
      </c>
      <c r="H875" s="624">
        <v>546</v>
      </c>
      <c r="I875" s="276" t="s">
        <v>80</v>
      </c>
      <c r="J875" s="276" t="s">
        <v>40</v>
      </c>
      <c r="K875" s="276">
        <v>65</v>
      </c>
      <c r="L875" s="276" t="s">
        <v>284</v>
      </c>
      <c r="M875" s="276" t="s">
        <v>1799</v>
      </c>
      <c r="N875" s="279" t="s">
        <v>1800</v>
      </c>
      <c r="O875" s="275"/>
      <c r="P875" s="275" t="s">
        <v>84</v>
      </c>
      <c r="Q875" s="755">
        <v>38.596882999999998</v>
      </c>
      <c r="R875" s="657">
        <v>-85.561622999999997</v>
      </c>
      <c r="S875" s="275" t="s">
        <v>62</v>
      </c>
      <c r="T875" s="275"/>
      <c r="U875" s="275" t="s">
        <v>51</v>
      </c>
      <c r="V875" s="274"/>
      <c r="W875" s="280">
        <f>IF(AC875="Intr",0,G875*Definitions!$B$53)</f>
        <v>3900</v>
      </c>
      <c r="X875" s="280">
        <f>IF(AC875="Intr",0,G875*Definitions!$B$54)</f>
        <v>18200</v>
      </c>
      <c r="Y875" s="280">
        <f>IF(AC875="Intr",G875,G875*Definitions!$B$55)</f>
        <v>3900</v>
      </c>
      <c r="Z875" s="280" t="s">
        <v>966</v>
      </c>
      <c r="AA875" s="280" t="s">
        <v>965</v>
      </c>
      <c r="AB875" s="280"/>
      <c r="AC875" s="275"/>
      <c r="AD875" s="275"/>
      <c r="AE875" s="275"/>
      <c r="AF875" s="275"/>
      <c r="AG875" s="281"/>
      <c r="AH875" s="275" t="s">
        <v>1801</v>
      </c>
    </row>
    <row r="876" spans="1:34" x14ac:dyDescent="0.2">
      <c r="A876" s="45">
        <v>45660</v>
      </c>
      <c r="B876" s="46" t="s">
        <v>635</v>
      </c>
      <c r="C876" s="46">
        <v>2025</v>
      </c>
      <c r="D876" s="46" t="s">
        <v>7</v>
      </c>
      <c r="E876" s="181">
        <v>-0.6</v>
      </c>
      <c r="F876" s="181" t="s">
        <v>32</v>
      </c>
      <c r="G876" s="633">
        <v>48000</v>
      </c>
      <c r="H876" s="632">
        <v>557</v>
      </c>
      <c r="I876" s="181" t="s">
        <v>80</v>
      </c>
      <c r="J876" s="181" t="s">
        <v>37</v>
      </c>
      <c r="K876" s="181">
        <v>0.2</v>
      </c>
      <c r="L876" s="181" t="s">
        <v>1802</v>
      </c>
      <c r="M876" s="181" t="s">
        <v>1803</v>
      </c>
      <c r="N876" s="76" t="s">
        <v>1804</v>
      </c>
      <c r="O876" s="46"/>
      <c r="P876" s="46" t="s">
        <v>162</v>
      </c>
      <c r="Q876" s="761">
        <v>39.769466000000001</v>
      </c>
      <c r="R876" s="660">
        <v>-86.425691999999998</v>
      </c>
      <c r="S876" s="46" t="s">
        <v>61</v>
      </c>
      <c r="T876" s="46"/>
      <c r="U876" s="46" t="s">
        <v>51</v>
      </c>
      <c r="V876" s="45"/>
      <c r="W876" s="47">
        <f>IF(AC876="Intr",0,G876*Definitions!$B$53)</f>
        <v>7200</v>
      </c>
      <c r="X876" s="47">
        <f>IF(AC876="Intr",0,G876*Definitions!$B$54)</f>
        <v>33600</v>
      </c>
      <c r="Y876" s="47">
        <f>IF(AC876="Intr",G876,G876*Definitions!$B$55)</f>
        <v>7200</v>
      </c>
      <c r="Z876" s="47" t="s">
        <v>966</v>
      </c>
      <c r="AA876" s="47" t="s">
        <v>965</v>
      </c>
      <c r="AB876" s="47"/>
      <c r="AC876" s="46"/>
      <c r="AD876" s="46"/>
      <c r="AE876" s="46"/>
      <c r="AF876" s="46"/>
      <c r="AG876" s="48"/>
      <c r="AH876" s="46"/>
    </row>
    <row r="877" spans="1:34" x14ac:dyDescent="0.2">
      <c r="A877" s="45">
        <v>45660</v>
      </c>
      <c r="B877" s="46" t="s">
        <v>635</v>
      </c>
      <c r="C877" s="46">
        <v>2025</v>
      </c>
      <c r="D877" s="46" t="s">
        <v>7</v>
      </c>
      <c r="E877" s="181">
        <v>-917</v>
      </c>
      <c r="F877" s="181" t="s">
        <v>33</v>
      </c>
      <c r="G877" s="633">
        <v>343800</v>
      </c>
      <c r="H877" s="632">
        <v>557</v>
      </c>
      <c r="I877" s="181" t="s">
        <v>80</v>
      </c>
      <c r="J877" s="181" t="s">
        <v>40</v>
      </c>
      <c r="K877" s="181">
        <v>764</v>
      </c>
      <c r="L877" s="181" t="s">
        <v>1802</v>
      </c>
      <c r="M877" s="181" t="s">
        <v>1803</v>
      </c>
      <c r="N877" s="76" t="s">
        <v>1804</v>
      </c>
      <c r="O877" s="46"/>
      <c r="P877" s="46" t="s">
        <v>162</v>
      </c>
      <c r="Q877" s="761">
        <v>39.769466000000001</v>
      </c>
      <c r="R877" s="660">
        <v>-86.425691999999998</v>
      </c>
      <c r="S877" s="46" t="s">
        <v>61</v>
      </c>
      <c r="T877" s="46"/>
      <c r="U877" s="46" t="s">
        <v>51</v>
      </c>
      <c r="V877" s="45"/>
      <c r="W877" s="47">
        <f>IF(AC877="Intr",0,G877*Definitions!$B$53)</f>
        <v>51570</v>
      </c>
      <c r="X877" s="47">
        <f>IF(AC877="Intr",0,G877*Definitions!$B$54)</f>
        <v>240659.99999999997</v>
      </c>
      <c r="Y877" s="47">
        <f>IF(AC877="Intr",G877,G877*Definitions!$B$55)</f>
        <v>51570</v>
      </c>
      <c r="Z877" s="47" t="s">
        <v>966</v>
      </c>
      <c r="AA877" s="47" t="s">
        <v>965</v>
      </c>
      <c r="AB877" s="47"/>
      <c r="AC877" s="46"/>
      <c r="AD877" s="46"/>
      <c r="AE877" s="46"/>
      <c r="AF877" s="46"/>
      <c r="AG877" s="48"/>
      <c r="AH877" s="46"/>
    </row>
    <row r="878" spans="1:34" x14ac:dyDescent="0.2">
      <c r="A878" s="45">
        <v>45660</v>
      </c>
      <c r="B878" s="46" t="s">
        <v>635</v>
      </c>
      <c r="C878" s="46">
        <v>2025</v>
      </c>
      <c r="D878" s="46" t="s">
        <v>7</v>
      </c>
      <c r="E878" s="181">
        <v>-42</v>
      </c>
      <c r="F878" s="181" t="s">
        <v>33</v>
      </c>
      <c r="G878" s="633">
        <v>15750</v>
      </c>
      <c r="H878" s="632">
        <v>557</v>
      </c>
      <c r="I878" s="181" t="s">
        <v>80</v>
      </c>
      <c r="J878" s="181" t="s">
        <v>39</v>
      </c>
      <c r="K878" s="181">
        <v>35</v>
      </c>
      <c r="L878" s="181" t="s">
        <v>1802</v>
      </c>
      <c r="M878" s="181" t="s">
        <v>1803</v>
      </c>
      <c r="N878" s="76" t="s">
        <v>1804</v>
      </c>
      <c r="O878" s="46"/>
      <c r="P878" s="46" t="s">
        <v>162</v>
      </c>
      <c r="Q878" s="761">
        <v>39.769466000000001</v>
      </c>
      <c r="R878" s="660">
        <v>-86.425691999999998</v>
      </c>
      <c r="S878" s="46" t="s">
        <v>61</v>
      </c>
      <c r="T878" s="46"/>
      <c r="U878" s="46" t="s">
        <v>51</v>
      </c>
      <c r="V878" s="45"/>
      <c r="W878" s="47">
        <f>IF(AC878="Intr",0,G878*Definitions!$B$53)</f>
        <v>2362.5</v>
      </c>
      <c r="X878" s="47">
        <f>IF(AC878="Intr",0,G878*Definitions!$B$54)</f>
        <v>11025</v>
      </c>
      <c r="Y878" s="47">
        <f>IF(AC878="Intr",G878,G878*Definitions!$B$55)</f>
        <v>2362.5</v>
      </c>
      <c r="Z878" s="47" t="s">
        <v>966</v>
      </c>
      <c r="AA878" s="47" t="s">
        <v>965</v>
      </c>
      <c r="AB878" s="47"/>
      <c r="AC878" s="46"/>
      <c r="AD878" s="46"/>
      <c r="AE878" s="46"/>
      <c r="AF878" s="46"/>
      <c r="AG878" s="48"/>
      <c r="AH878" s="46"/>
    </row>
    <row r="879" spans="1:34" x14ac:dyDescent="0.2">
      <c r="A879" s="45">
        <v>45660</v>
      </c>
      <c r="B879" s="46" t="s">
        <v>635</v>
      </c>
      <c r="C879" s="46">
        <v>2025</v>
      </c>
      <c r="D879" s="46" t="s">
        <v>7</v>
      </c>
      <c r="E879" s="181">
        <v>-2.4300000000000002</v>
      </c>
      <c r="F879" s="181" t="s">
        <v>32</v>
      </c>
      <c r="G879" s="633">
        <v>194400</v>
      </c>
      <c r="H879" s="632">
        <v>557</v>
      </c>
      <c r="I879" s="181" t="s">
        <v>81</v>
      </c>
      <c r="J879" s="181" t="s">
        <v>38</v>
      </c>
      <c r="K879" s="181">
        <v>1.405</v>
      </c>
      <c r="L879" s="181" t="s">
        <v>1802</v>
      </c>
      <c r="M879" s="181" t="s">
        <v>1803</v>
      </c>
      <c r="N879" s="76" t="s">
        <v>1804</v>
      </c>
      <c r="O879" s="46"/>
      <c r="P879" s="46" t="s">
        <v>162</v>
      </c>
      <c r="Q879" s="761">
        <v>39.769466000000001</v>
      </c>
      <c r="R879" s="660">
        <v>-86.425691999999998</v>
      </c>
      <c r="S879" s="46" t="s">
        <v>61</v>
      </c>
      <c r="T879" s="46"/>
      <c r="U879" s="46" t="s">
        <v>51</v>
      </c>
      <c r="V879" s="45"/>
      <c r="W879" s="47">
        <f>IF(AC879="Intr",0,G879*Definitions!$B$53)</f>
        <v>29160</v>
      </c>
      <c r="X879" s="47">
        <f>IF(AC879="Intr",0,G879*Definitions!$B$54)</f>
        <v>136080</v>
      </c>
      <c r="Y879" s="47">
        <f>IF(AC879="Intr",G879,G879*Definitions!$B$55)</f>
        <v>29160</v>
      </c>
      <c r="Z879" s="47" t="s">
        <v>966</v>
      </c>
      <c r="AA879" s="47" t="s">
        <v>963</v>
      </c>
      <c r="AB879" s="47" t="s">
        <v>970</v>
      </c>
      <c r="AC879" s="46"/>
      <c r="AD879" s="46"/>
      <c r="AE879" s="46"/>
      <c r="AF879" s="46"/>
      <c r="AG879" s="48"/>
      <c r="AH879" s="46"/>
    </row>
    <row r="880" spans="1:34" x14ac:dyDescent="0.2">
      <c r="A880" s="282">
        <v>45665</v>
      </c>
      <c r="B880" s="114" t="s">
        <v>635</v>
      </c>
      <c r="C880" s="114">
        <v>2025</v>
      </c>
      <c r="D880" s="114" t="s">
        <v>10</v>
      </c>
      <c r="E880" s="270">
        <v>-288</v>
      </c>
      <c r="F880" s="270" t="s">
        <v>33</v>
      </c>
      <c r="G880" s="283">
        <v>115200</v>
      </c>
      <c r="H880" s="284">
        <v>545</v>
      </c>
      <c r="I880" s="270" t="s">
        <v>80</v>
      </c>
      <c r="J880" s="270" t="s">
        <v>40</v>
      </c>
      <c r="K880" s="270">
        <v>288</v>
      </c>
      <c r="L880" s="270" t="s">
        <v>1805</v>
      </c>
      <c r="M880" s="270" t="s">
        <v>1208</v>
      </c>
      <c r="N880" s="285" t="s">
        <v>1209</v>
      </c>
      <c r="O880" s="114"/>
      <c r="P880" s="114" t="s">
        <v>84</v>
      </c>
      <c r="Q880" s="750">
        <v>38.457000000000001</v>
      </c>
      <c r="R880" s="635">
        <v>-85.847740000000002</v>
      </c>
      <c r="S880" s="114" t="s">
        <v>61</v>
      </c>
      <c r="T880" s="114"/>
      <c r="U880" s="114" t="s">
        <v>51</v>
      </c>
      <c r="V880" s="282"/>
      <c r="W880" s="286">
        <f>IF(AC880="Intr",0,G880*Definitions!$B$53)</f>
        <v>17280</v>
      </c>
      <c r="X880" s="286">
        <f>IF(AC880="Intr",0,G880*Definitions!$B$54)</f>
        <v>80640</v>
      </c>
      <c r="Y880" s="286">
        <f>IF(AC880="Intr",G880,G880*Definitions!$B$55)</f>
        <v>17280</v>
      </c>
      <c r="Z880" s="286" t="s">
        <v>966</v>
      </c>
      <c r="AA880" s="286" t="s">
        <v>965</v>
      </c>
      <c r="AB880" s="286"/>
      <c r="AC880" s="114"/>
      <c r="AD880" s="114"/>
      <c r="AE880" s="114"/>
      <c r="AF880" s="114"/>
      <c r="AG880" s="287"/>
      <c r="AH880" s="114" t="s">
        <v>1806</v>
      </c>
    </row>
    <row r="881" spans="1:34" x14ac:dyDescent="0.2">
      <c r="A881" s="282">
        <v>45665</v>
      </c>
      <c r="B881" s="114" t="s">
        <v>635</v>
      </c>
      <c r="C881" s="114">
        <v>2025</v>
      </c>
      <c r="D881" s="114" t="s">
        <v>10</v>
      </c>
      <c r="E881" s="270">
        <v>-1.3</v>
      </c>
      <c r="F881" s="270" t="s">
        <v>32</v>
      </c>
      <c r="G881" s="283">
        <v>104000</v>
      </c>
      <c r="H881" s="284">
        <v>545</v>
      </c>
      <c r="I881" s="270" t="s">
        <v>80</v>
      </c>
      <c r="J881" s="270" t="s">
        <v>38</v>
      </c>
      <c r="K881" s="270">
        <v>1.3</v>
      </c>
      <c r="L881" s="270" t="s">
        <v>1805</v>
      </c>
      <c r="M881" s="270" t="s">
        <v>1208</v>
      </c>
      <c r="N881" s="285" t="s">
        <v>1209</v>
      </c>
      <c r="O881" s="114"/>
      <c r="P881" s="114" t="s">
        <v>84</v>
      </c>
      <c r="Q881" s="750">
        <v>38.457000000000001</v>
      </c>
      <c r="R881" s="635">
        <v>-85.847740000000002</v>
      </c>
      <c r="S881" s="114" t="s">
        <v>61</v>
      </c>
      <c r="T881" s="114"/>
      <c r="U881" s="114" t="s">
        <v>51</v>
      </c>
      <c r="V881" s="282"/>
      <c r="W881" s="286">
        <f>IF(AC881="Intr",0,G881*Definitions!$B$53)</f>
        <v>15600</v>
      </c>
      <c r="X881" s="286">
        <f>IF(AC881="Intr",0,G881*Definitions!$B$54)</f>
        <v>72800</v>
      </c>
      <c r="Y881" s="286">
        <f>IF(AC881="Intr",G881,G881*Definitions!$B$55)</f>
        <v>15600</v>
      </c>
      <c r="Z881" s="286" t="s">
        <v>966</v>
      </c>
      <c r="AA881" s="286" t="s">
        <v>965</v>
      </c>
      <c r="AB881" s="286"/>
      <c r="AC881" s="114"/>
      <c r="AD881" s="114"/>
      <c r="AE881" s="114"/>
      <c r="AF881" s="114"/>
      <c r="AG881" s="287"/>
      <c r="AH881" s="114" t="s">
        <v>1806</v>
      </c>
    </row>
    <row r="882" spans="1:34" x14ac:dyDescent="0.2">
      <c r="A882" s="33">
        <v>45666</v>
      </c>
      <c r="B882" s="34" t="s">
        <v>635</v>
      </c>
      <c r="C882" s="34">
        <v>2025</v>
      </c>
      <c r="D882" s="34" t="s">
        <v>7</v>
      </c>
      <c r="E882" s="271">
        <v>-0.22</v>
      </c>
      <c r="F882" s="271" t="s">
        <v>32</v>
      </c>
      <c r="G882" s="272">
        <v>17600</v>
      </c>
      <c r="H882" s="273">
        <v>495</v>
      </c>
      <c r="I882" s="271" t="s">
        <v>80</v>
      </c>
      <c r="J882" s="271" t="s">
        <v>36</v>
      </c>
      <c r="K882" s="271">
        <v>0.4</v>
      </c>
      <c r="L882" s="271" t="s">
        <v>1807</v>
      </c>
      <c r="M882" s="271" t="s">
        <v>1808</v>
      </c>
      <c r="N882" s="116" t="s">
        <v>1809</v>
      </c>
      <c r="O882" s="34"/>
      <c r="P882" s="34" t="s">
        <v>143</v>
      </c>
      <c r="Q882" s="773">
        <v>39.916629999999998</v>
      </c>
      <c r="R882" s="592">
        <v>-86.150426999999993</v>
      </c>
      <c r="S882" s="34" t="s">
        <v>61</v>
      </c>
      <c r="T882" s="34"/>
      <c r="U882" s="34" t="s">
        <v>51</v>
      </c>
      <c r="V882" s="33"/>
      <c r="W882" s="35">
        <f>IF(AC882="Intr",0,G882*Definitions!$B$53)</f>
        <v>2640</v>
      </c>
      <c r="X882" s="35">
        <f>IF(AC882="Intr",0,G882*Definitions!$B$54)</f>
        <v>12320</v>
      </c>
      <c r="Y882" s="35">
        <f>IF(AC882="Intr",G882,G882*Definitions!$B$55)</f>
        <v>2640</v>
      </c>
      <c r="Z882" s="35" t="s">
        <v>966</v>
      </c>
      <c r="AA882" s="35" t="s">
        <v>965</v>
      </c>
      <c r="AB882" s="35"/>
      <c r="AC882" s="34"/>
      <c r="AD882" s="34"/>
      <c r="AE882" s="34"/>
      <c r="AF882" s="34"/>
      <c r="AG882" s="36"/>
      <c r="AH882" s="34"/>
    </row>
    <row r="883" spans="1:34" x14ac:dyDescent="0.2">
      <c r="A883" s="207">
        <v>45671</v>
      </c>
      <c r="B883" s="208" t="s">
        <v>635</v>
      </c>
      <c r="C883" s="208">
        <v>2025</v>
      </c>
      <c r="D883" s="208" t="s">
        <v>7</v>
      </c>
      <c r="E883" s="209">
        <v>-418</v>
      </c>
      <c r="F883" s="209" t="s">
        <v>33</v>
      </c>
      <c r="G883" s="210">
        <v>188100</v>
      </c>
      <c r="H883" s="211">
        <v>549</v>
      </c>
      <c r="I883" s="209" t="s">
        <v>80</v>
      </c>
      <c r="J883" s="209" t="s">
        <v>40</v>
      </c>
      <c r="K883" s="209">
        <v>418</v>
      </c>
      <c r="L883" s="209" t="s">
        <v>135</v>
      </c>
      <c r="M883" s="600" t="s">
        <v>1810</v>
      </c>
      <c r="N883" s="895" t="s">
        <v>1811</v>
      </c>
      <c r="O883" s="208"/>
      <c r="P883" s="208" t="s">
        <v>137</v>
      </c>
      <c r="Q883" s="749">
        <v>39.964627999999998</v>
      </c>
      <c r="R883" s="641">
        <v>-85.965615</v>
      </c>
      <c r="S883" s="208" t="s">
        <v>63</v>
      </c>
      <c r="T883" s="208"/>
      <c r="U883" s="208" t="s">
        <v>51</v>
      </c>
      <c r="V883" s="207"/>
      <c r="W883" s="213">
        <f>IF(AC883="Intr",0,G883*Definitions!$B$53)</f>
        <v>28215</v>
      </c>
      <c r="X883" s="213">
        <f>IF(AC883="Intr",0,G883*Definitions!$B$54)</f>
        <v>131670</v>
      </c>
      <c r="Y883" s="213">
        <f>IF(AC883="Intr",G883,G883*Definitions!$B$55)</f>
        <v>28215</v>
      </c>
      <c r="Z883" s="213" t="s">
        <v>966</v>
      </c>
      <c r="AA883" s="213" t="s">
        <v>965</v>
      </c>
      <c r="AB883" s="213"/>
      <c r="AC883" s="208"/>
      <c r="AD883" s="208"/>
      <c r="AE883" s="208"/>
      <c r="AF883" s="208"/>
      <c r="AG883" s="214"/>
      <c r="AH883" s="208"/>
    </row>
    <row r="884" spans="1:34" x14ac:dyDescent="0.2">
      <c r="A884" s="88">
        <v>45672</v>
      </c>
      <c r="B884" s="89" t="s">
        <v>635</v>
      </c>
      <c r="C884" s="89">
        <v>2025</v>
      </c>
      <c r="D884" s="89" t="s">
        <v>7</v>
      </c>
      <c r="E884" s="90">
        <v>-12</v>
      </c>
      <c r="F884" s="90" t="s">
        <v>33</v>
      </c>
      <c r="G884" s="91">
        <v>5400</v>
      </c>
      <c r="H884" s="92">
        <v>552</v>
      </c>
      <c r="I884" s="90" t="s">
        <v>80</v>
      </c>
      <c r="J884" s="90" t="s">
        <v>40</v>
      </c>
      <c r="K884" s="90">
        <v>10</v>
      </c>
      <c r="L884" s="90" t="s">
        <v>1779</v>
      </c>
      <c r="M884" s="90" t="s">
        <v>1812</v>
      </c>
      <c r="N884" s="93" t="s">
        <v>1813</v>
      </c>
      <c r="O884" s="89"/>
      <c r="P884" s="89" t="s">
        <v>137</v>
      </c>
      <c r="Q884" s="735">
        <v>39.998823000000002</v>
      </c>
      <c r="R884" s="649">
        <v>-86.093216999999996</v>
      </c>
      <c r="S884" s="89" t="s">
        <v>61</v>
      </c>
      <c r="T884" s="89"/>
      <c r="U884" s="89" t="s">
        <v>51</v>
      </c>
      <c r="V884" s="88"/>
      <c r="W884" s="95">
        <f>IF(AC884="Intr",0,G884*Definitions!$B$53)</f>
        <v>810</v>
      </c>
      <c r="X884" s="95">
        <f>IF(AC884="Intr",0,G884*Definitions!$B$54)</f>
        <v>3779.9999999999995</v>
      </c>
      <c r="Y884" s="95">
        <f>IF(AC884="Intr",G884,G884*Definitions!$B$55)</f>
        <v>810</v>
      </c>
      <c r="Z884" s="95" t="s">
        <v>966</v>
      </c>
      <c r="AA884" s="95" t="s">
        <v>965</v>
      </c>
      <c r="AB884" s="95"/>
      <c r="AC884" s="89"/>
      <c r="AD884" s="89"/>
      <c r="AE884" s="89"/>
      <c r="AF884" s="89"/>
      <c r="AG884" s="96"/>
      <c r="AH884" s="89"/>
    </row>
    <row r="885" spans="1:34" x14ac:dyDescent="0.2">
      <c r="A885" s="88">
        <v>45672</v>
      </c>
      <c r="B885" s="89" t="s">
        <v>635</v>
      </c>
      <c r="C885" s="89">
        <v>2025</v>
      </c>
      <c r="D885" s="89" t="s">
        <v>7</v>
      </c>
      <c r="E885" s="90">
        <v>-0.86</v>
      </c>
      <c r="F885" s="90" t="s">
        <v>32</v>
      </c>
      <c r="G885" s="91">
        <v>68800</v>
      </c>
      <c r="H885" s="92">
        <v>552</v>
      </c>
      <c r="I885" s="90" t="s">
        <v>80</v>
      </c>
      <c r="J885" s="90" t="s">
        <v>37</v>
      </c>
      <c r="K885" s="90">
        <v>0.24</v>
      </c>
      <c r="L885" s="90" t="s">
        <v>1779</v>
      </c>
      <c r="M885" s="90" t="s">
        <v>1812</v>
      </c>
      <c r="N885" s="93" t="s">
        <v>1813</v>
      </c>
      <c r="O885" s="89"/>
      <c r="P885" s="89" t="s">
        <v>137</v>
      </c>
      <c r="Q885" s="735">
        <v>39.998823000000002</v>
      </c>
      <c r="R885" s="649">
        <v>-86.093216999999996</v>
      </c>
      <c r="S885" s="89" t="s">
        <v>61</v>
      </c>
      <c r="T885" s="89"/>
      <c r="U885" s="89" t="s">
        <v>51</v>
      </c>
      <c r="V885" s="88"/>
      <c r="W885" s="95">
        <f>IF(AC885="Intr",0,G885*Definitions!$B$53)</f>
        <v>10320</v>
      </c>
      <c r="X885" s="95">
        <f>IF(AC885="Intr",0,G885*Definitions!$B$54)</f>
        <v>48160</v>
      </c>
      <c r="Y885" s="95">
        <f>IF(AC885="Intr",G885,G885*Definitions!$B$55)</f>
        <v>10320</v>
      </c>
      <c r="Z885" s="95" t="s">
        <v>966</v>
      </c>
      <c r="AA885" s="95" t="s">
        <v>965</v>
      </c>
      <c r="AB885" s="95"/>
      <c r="AC885" s="89"/>
      <c r="AD885" s="89"/>
      <c r="AE885" s="89"/>
      <c r="AF885" s="89"/>
      <c r="AG885" s="96"/>
      <c r="AH885" s="89"/>
    </row>
    <row r="886" spans="1:34" x14ac:dyDescent="0.2">
      <c r="A886" s="288">
        <v>45685</v>
      </c>
      <c r="B886" s="289" t="s">
        <v>635</v>
      </c>
      <c r="C886" s="289">
        <v>2025</v>
      </c>
      <c r="D886" s="289" t="s">
        <v>7</v>
      </c>
      <c r="E886" s="331">
        <v>-1037</v>
      </c>
      <c r="F886" s="331" t="s">
        <v>33</v>
      </c>
      <c r="G886" s="332">
        <v>388800</v>
      </c>
      <c r="H886" s="333">
        <v>554</v>
      </c>
      <c r="I886" s="331" t="s">
        <v>80</v>
      </c>
      <c r="J886" s="331" t="s">
        <v>40</v>
      </c>
      <c r="K886" s="331">
        <v>864</v>
      </c>
      <c r="L886" s="331" t="s">
        <v>1814</v>
      </c>
      <c r="M886" s="331" t="s">
        <v>1815</v>
      </c>
      <c r="N886" s="290" t="s">
        <v>1816</v>
      </c>
      <c r="O886" s="289"/>
      <c r="P886" s="289" t="s">
        <v>162</v>
      </c>
      <c r="Q886" s="733">
        <v>39.830840999999999</v>
      </c>
      <c r="R886" s="647">
        <v>-86.354308000000003</v>
      </c>
      <c r="S886" s="289" t="s">
        <v>61</v>
      </c>
      <c r="T886" s="289"/>
      <c r="U886" s="289" t="s">
        <v>51</v>
      </c>
      <c r="V886" s="288"/>
      <c r="W886" s="293">
        <f>IF(AC886="Intr",0,G886*Definitions!$B$53)</f>
        <v>58320</v>
      </c>
      <c r="X886" s="293">
        <f>IF(AC886="Intr",0,G886*Definitions!$B$54)</f>
        <v>272160</v>
      </c>
      <c r="Y886" s="293">
        <f>IF(AC886="Intr",G886,G886*Definitions!$B$55)</f>
        <v>58320</v>
      </c>
      <c r="Z886" s="293" t="s">
        <v>966</v>
      </c>
      <c r="AA886" s="293" t="s">
        <v>965</v>
      </c>
      <c r="AB886" s="293"/>
      <c r="AC886" s="289"/>
      <c r="AD886" s="289"/>
      <c r="AE886" s="289"/>
      <c r="AF886" s="289"/>
      <c r="AG886" s="294"/>
      <c r="AH886" s="289"/>
    </row>
    <row r="887" spans="1:34" x14ac:dyDescent="0.2">
      <c r="A887" s="160">
        <v>45685</v>
      </c>
      <c r="B887" s="161" t="s">
        <v>635</v>
      </c>
      <c r="C887" s="161">
        <v>2025</v>
      </c>
      <c r="D887" s="161" t="s">
        <v>8</v>
      </c>
      <c r="E887" s="162">
        <v>-0.64400000000000002</v>
      </c>
      <c r="F887" s="162" t="s">
        <v>32</v>
      </c>
      <c r="G887" s="163">
        <v>44000</v>
      </c>
      <c r="H887" s="164" t="s">
        <v>1817</v>
      </c>
      <c r="I887" s="162" t="s">
        <v>81</v>
      </c>
      <c r="J887" s="162" t="s">
        <v>38</v>
      </c>
      <c r="K887" s="162">
        <v>0.27500000000000002</v>
      </c>
      <c r="L887" s="162" t="s">
        <v>406</v>
      </c>
      <c r="M887" s="162" t="s">
        <v>103</v>
      </c>
      <c r="N887" s="165" t="s">
        <v>1818</v>
      </c>
      <c r="O887" s="161"/>
      <c r="P887" s="161" t="s">
        <v>143</v>
      </c>
      <c r="Q887" s="741">
        <v>39.692799999999998</v>
      </c>
      <c r="R887" s="654">
        <v>-86.021000000000001</v>
      </c>
      <c r="S887" s="161" t="s">
        <v>61</v>
      </c>
      <c r="T887" s="161"/>
      <c r="U887" s="161" t="s">
        <v>51</v>
      </c>
      <c r="V887" s="160"/>
      <c r="W887" s="166">
        <f>IF(AC887="Intr",0,G887*Definitions!$B$53)</f>
        <v>6600</v>
      </c>
      <c r="X887" s="166">
        <f>IF(AC887="Intr",0,G887*Definitions!$B$54)</f>
        <v>30799.999999999996</v>
      </c>
      <c r="Y887" s="166">
        <f>IF(AC887="Intr",G887,G887*Definitions!$B$55)</f>
        <v>6600</v>
      </c>
      <c r="Z887" s="166" t="s">
        <v>966</v>
      </c>
      <c r="AA887" s="166" t="s">
        <v>963</v>
      </c>
      <c r="AB887" s="166" t="s">
        <v>1245</v>
      </c>
      <c r="AC887" s="161"/>
      <c r="AD887" s="161"/>
      <c r="AE887" s="161"/>
      <c r="AF887" s="161"/>
      <c r="AG887" s="167"/>
      <c r="AH887" s="161"/>
    </row>
    <row r="888" spans="1:34" x14ac:dyDescent="0.2">
      <c r="A888" s="307">
        <v>45687</v>
      </c>
      <c r="B888" s="308" t="s">
        <v>635</v>
      </c>
      <c r="C888" s="308">
        <v>2025</v>
      </c>
      <c r="D888" s="308" t="s">
        <v>7</v>
      </c>
      <c r="E888" s="309">
        <v>-19.2</v>
      </c>
      <c r="F888" s="309" t="s">
        <v>33</v>
      </c>
      <c r="G888" s="310">
        <v>8640</v>
      </c>
      <c r="H888" s="311">
        <v>555</v>
      </c>
      <c r="I888" s="309" t="s">
        <v>80</v>
      </c>
      <c r="J888" s="309" t="s">
        <v>40</v>
      </c>
      <c r="K888" s="309">
        <v>16</v>
      </c>
      <c r="L888" s="309" t="s">
        <v>1819</v>
      </c>
      <c r="M888" s="309" t="s">
        <v>1820</v>
      </c>
      <c r="N888" s="312" t="s">
        <v>1821</v>
      </c>
      <c r="O888" s="308"/>
      <c r="P888" s="308" t="s">
        <v>137</v>
      </c>
      <c r="Q888" s="737">
        <v>40.042164999999997</v>
      </c>
      <c r="R888" s="651">
        <v>-86.201814999999996</v>
      </c>
      <c r="S888" s="308" t="s">
        <v>63</v>
      </c>
      <c r="T888" s="308"/>
      <c r="U888" s="308" t="s">
        <v>51</v>
      </c>
      <c r="V888" s="307"/>
      <c r="W888" s="313">
        <f>IF(AC888="Intr",0,G888*Definitions!$B$53)</f>
        <v>1296</v>
      </c>
      <c r="X888" s="313">
        <f>IF(AC888="Intr",0,G888*Definitions!$B$54)</f>
        <v>6048</v>
      </c>
      <c r="Y888" s="313">
        <f>IF(AC888="Intr",G888,G888*Definitions!$B$55)</f>
        <v>1296</v>
      </c>
      <c r="Z888" s="313" t="s">
        <v>966</v>
      </c>
      <c r="AA888" s="313" t="s">
        <v>965</v>
      </c>
      <c r="AB888" s="313"/>
      <c r="AC888" s="308"/>
      <c r="AD888" s="308"/>
      <c r="AE888" s="308"/>
      <c r="AF888" s="308"/>
      <c r="AG888" s="314"/>
      <c r="AH888" s="308"/>
    </row>
    <row r="889" spans="1:34" x14ac:dyDescent="0.2">
      <c r="A889" s="307">
        <v>45687</v>
      </c>
      <c r="B889" s="308" t="s">
        <v>635</v>
      </c>
      <c r="C889" s="308">
        <v>2025</v>
      </c>
      <c r="D889" s="308" t="s">
        <v>7</v>
      </c>
      <c r="E889" s="309">
        <v>-0.44400000000000001</v>
      </c>
      <c r="F889" s="309" t="s">
        <v>32</v>
      </c>
      <c r="G889" s="310">
        <v>35520</v>
      </c>
      <c r="H889" s="311">
        <v>555</v>
      </c>
      <c r="I889" s="309" t="s">
        <v>80</v>
      </c>
      <c r="J889" s="309" t="s">
        <v>36</v>
      </c>
      <c r="K889" s="309">
        <v>0.185</v>
      </c>
      <c r="L889" s="309" t="s">
        <v>1819</v>
      </c>
      <c r="M889" s="309" t="s">
        <v>1820</v>
      </c>
      <c r="N889" s="312" t="s">
        <v>1821</v>
      </c>
      <c r="O889" s="308"/>
      <c r="P889" s="308" t="s">
        <v>137</v>
      </c>
      <c r="Q889" s="737">
        <v>40.042164999999997</v>
      </c>
      <c r="R889" s="651">
        <v>-86.201814999999996</v>
      </c>
      <c r="S889" s="308" t="s">
        <v>63</v>
      </c>
      <c r="T889" s="308"/>
      <c r="U889" s="308" t="s">
        <v>51</v>
      </c>
      <c r="V889" s="307"/>
      <c r="W889" s="313">
        <f>IF(AC889="Intr",0,G889*Definitions!$B$53)</f>
        <v>5328</v>
      </c>
      <c r="X889" s="313">
        <f>IF(AC889="Intr",0,G889*Definitions!$B$54)</f>
        <v>24864</v>
      </c>
      <c r="Y889" s="313">
        <f>IF(AC889="Intr",G889,G889*Definitions!$B$55)</f>
        <v>5328</v>
      </c>
      <c r="Z889" s="313" t="s">
        <v>966</v>
      </c>
      <c r="AA889" s="313" t="s">
        <v>965</v>
      </c>
      <c r="AB889" s="313"/>
      <c r="AC889" s="308"/>
      <c r="AD889" s="308"/>
      <c r="AE889" s="308"/>
      <c r="AF889" s="308"/>
      <c r="AG889" s="314"/>
      <c r="AH889" s="308"/>
    </row>
    <row r="890" spans="1:34" x14ac:dyDescent="0.2">
      <c r="A890" s="307">
        <v>45687</v>
      </c>
      <c r="B890" s="308" t="s">
        <v>635</v>
      </c>
      <c r="C890" s="308">
        <v>2025</v>
      </c>
      <c r="D890" s="308" t="s">
        <v>7</v>
      </c>
      <c r="E890" s="309">
        <v>-0.191</v>
      </c>
      <c r="F890" s="309" t="s">
        <v>32</v>
      </c>
      <c r="G890" s="310">
        <v>15280</v>
      </c>
      <c r="H890" s="311">
        <v>555</v>
      </c>
      <c r="I890" s="309" t="s">
        <v>80</v>
      </c>
      <c r="J890" s="309" t="s">
        <v>37</v>
      </c>
      <c r="K890" s="309">
        <v>5.2999999999999999E-2</v>
      </c>
      <c r="L890" s="309" t="s">
        <v>1819</v>
      </c>
      <c r="M890" s="309" t="s">
        <v>1820</v>
      </c>
      <c r="N890" s="312" t="s">
        <v>1821</v>
      </c>
      <c r="O890" s="308"/>
      <c r="P890" s="308" t="s">
        <v>137</v>
      </c>
      <c r="Q890" s="737">
        <v>40.042164999999997</v>
      </c>
      <c r="R890" s="651">
        <v>-86.201814999999996</v>
      </c>
      <c r="S890" s="308" t="s">
        <v>63</v>
      </c>
      <c r="T890" s="308"/>
      <c r="U890" s="308" t="s">
        <v>51</v>
      </c>
      <c r="V890" s="307"/>
      <c r="W890" s="313">
        <f>IF(AC890="Intr",0,G890*Definitions!$B$53)</f>
        <v>2292</v>
      </c>
      <c r="X890" s="313">
        <f>IF(AC890="Intr",0,G890*Definitions!$B$54)</f>
        <v>10696</v>
      </c>
      <c r="Y890" s="313">
        <f>IF(AC890="Intr",G890,G890*Definitions!$B$55)</f>
        <v>2292</v>
      </c>
      <c r="Z890" s="313" t="s">
        <v>966</v>
      </c>
      <c r="AA890" s="313" t="s">
        <v>965</v>
      </c>
      <c r="AB890" s="313"/>
      <c r="AC890" s="308"/>
      <c r="AD890" s="308"/>
      <c r="AE890" s="308"/>
      <c r="AF890" s="308"/>
      <c r="AG890" s="314"/>
      <c r="AH890" s="308"/>
    </row>
    <row r="891" spans="1:34" x14ac:dyDescent="0.2">
      <c r="A891" s="29">
        <v>45687</v>
      </c>
      <c r="B891" s="30" t="s">
        <v>635</v>
      </c>
      <c r="C891" s="30">
        <v>2025</v>
      </c>
      <c r="D891" s="30" t="s">
        <v>7</v>
      </c>
      <c r="E891" s="217">
        <v>-35</v>
      </c>
      <c r="F891" s="217" t="s">
        <v>33</v>
      </c>
      <c r="G891" s="218">
        <v>15750</v>
      </c>
      <c r="H891" s="219">
        <v>559</v>
      </c>
      <c r="I891" s="217" t="s">
        <v>80</v>
      </c>
      <c r="J891" s="217" t="s">
        <v>40</v>
      </c>
      <c r="K891" s="217">
        <v>8.0000000000000002E-3</v>
      </c>
      <c r="L891" s="217" t="s">
        <v>726</v>
      </c>
      <c r="M891" s="217" t="s">
        <v>1822</v>
      </c>
      <c r="N891" s="67" t="s">
        <v>1823</v>
      </c>
      <c r="O891" s="30"/>
      <c r="P891" s="30" t="s">
        <v>143</v>
      </c>
      <c r="Q891" s="747">
        <v>39.764301000000003</v>
      </c>
      <c r="R891" s="636">
        <v>-86.302840000000003</v>
      </c>
      <c r="S891" s="30" t="s">
        <v>63</v>
      </c>
      <c r="T891" s="30"/>
      <c r="U891" s="30" t="s">
        <v>51</v>
      </c>
      <c r="V891" s="29"/>
      <c r="W891" s="31">
        <f>IF(AC891="Intr",0,G891*Definitions!$B$53)</f>
        <v>2362.5</v>
      </c>
      <c r="X891" s="31">
        <f>IF(AC891="Intr",0,G891*Definitions!$B$54)</f>
        <v>11025</v>
      </c>
      <c r="Y891" s="31">
        <f>IF(AC891="Intr",G891,G891*Definitions!$B$55)</f>
        <v>2362.5</v>
      </c>
      <c r="Z891" s="31" t="s">
        <v>966</v>
      </c>
      <c r="AA891" s="31" t="s">
        <v>965</v>
      </c>
      <c r="AB891" s="31"/>
      <c r="AC891" s="30"/>
      <c r="AD891" s="30"/>
      <c r="AE891" s="30"/>
      <c r="AF891" s="30"/>
      <c r="AG891" s="32"/>
      <c r="AH891" s="30" t="s">
        <v>1824</v>
      </c>
    </row>
    <row r="892" spans="1:34" x14ac:dyDescent="0.2">
      <c r="A892" s="29">
        <v>45687</v>
      </c>
      <c r="B892" s="30" t="s">
        <v>635</v>
      </c>
      <c r="C892" s="30">
        <v>2025</v>
      </c>
      <c r="D892" s="30" t="s">
        <v>7</v>
      </c>
      <c r="E892" s="217">
        <v>-125</v>
      </c>
      <c r="F892" s="217" t="s">
        <v>33</v>
      </c>
      <c r="G892" s="218">
        <v>56250</v>
      </c>
      <c r="H892" s="219">
        <v>559</v>
      </c>
      <c r="I892" s="217" t="s">
        <v>80</v>
      </c>
      <c r="J892" s="217" t="s">
        <v>39</v>
      </c>
      <c r="K892" s="217">
        <v>8.0000000000000002E-3</v>
      </c>
      <c r="L892" s="217" t="s">
        <v>726</v>
      </c>
      <c r="M892" s="217" t="s">
        <v>1822</v>
      </c>
      <c r="N892" s="67" t="s">
        <v>1823</v>
      </c>
      <c r="O892" s="30"/>
      <c r="P892" s="30" t="s">
        <v>143</v>
      </c>
      <c r="Q892" s="747">
        <v>39.764301000000003</v>
      </c>
      <c r="R892" s="636">
        <v>-86.302840000000003</v>
      </c>
      <c r="S892" s="30" t="s">
        <v>63</v>
      </c>
      <c r="T892" s="30"/>
      <c r="U892" s="30" t="s">
        <v>51</v>
      </c>
      <c r="V892" s="29"/>
      <c r="W892" s="31">
        <f>IF(AC892="Intr",0,G892*Definitions!$B$53)</f>
        <v>8437.5</v>
      </c>
      <c r="X892" s="31">
        <f>IF(AC892="Intr",0,G892*Definitions!$B$54)</f>
        <v>39375</v>
      </c>
      <c r="Y892" s="31">
        <f>IF(AC892="Intr",G892,G892*Definitions!$B$55)</f>
        <v>8437.5</v>
      </c>
      <c r="Z892" s="31" t="s">
        <v>966</v>
      </c>
      <c r="AA892" s="31" t="s">
        <v>965</v>
      </c>
      <c r="AB892" s="31"/>
      <c r="AC892" s="30"/>
      <c r="AD892" s="30"/>
      <c r="AE892" s="30"/>
      <c r="AF892" s="30"/>
      <c r="AG892" s="32"/>
      <c r="AH892" s="30" t="s">
        <v>1824</v>
      </c>
    </row>
    <row r="893" spans="1:34" x14ac:dyDescent="0.2">
      <c r="A893" s="79">
        <v>45687</v>
      </c>
      <c r="B893" s="80" t="s">
        <v>635</v>
      </c>
      <c r="C893" s="80">
        <v>2025</v>
      </c>
      <c r="D893" s="80" t="s">
        <v>1</v>
      </c>
      <c r="E893" s="81">
        <v>-120.7</v>
      </c>
      <c r="F893" s="81" t="s">
        <v>33</v>
      </c>
      <c r="G893" s="82">
        <v>72420</v>
      </c>
      <c r="H893" s="83">
        <v>560</v>
      </c>
      <c r="I893" s="81" t="s">
        <v>80</v>
      </c>
      <c r="J893" s="81" t="s">
        <v>41</v>
      </c>
      <c r="K893" s="81">
        <v>100.6</v>
      </c>
      <c r="L893" s="81" t="s">
        <v>726</v>
      </c>
      <c r="M893" s="81" t="s">
        <v>1825</v>
      </c>
      <c r="N893" s="84" t="s">
        <v>1826</v>
      </c>
      <c r="O893" s="80"/>
      <c r="P893" s="80" t="s">
        <v>385</v>
      </c>
      <c r="Q893" s="770">
        <v>41.535998999999997</v>
      </c>
      <c r="R893" s="668">
        <v>-87.033878000000001</v>
      </c>
      <c r="S893" s="80" t="s">
        <v>63</v>
      </c>
      <c r="T893" s="80"/>
      <c r="U893" s="80" t="s">
        <v>51</v>
      </c>
      <c r="V893" s="79"/>
      <c r="W893" s="86">
        <f>IF(AC893="Intr",0,G893*Definitions!$B$53)</f>
        <v>10863</v>
      </c>
      <c r="X893" s="86">
        <f>IF(AC893="Intr",0,G893*Definitions!$B$54)</f>
        <v>50694</v>
      </c>
      <c r="Y893" s="86">
        <f>IF(AC893="Intr",G893,G893*Definitions!$B$55)</f>
        <v>10863</v>
      </c>
      <c r="Z893" s="86" t="s">
        <v>967</v>
      </c>
      <c r="AA893" s="86" t="s">
        <v>965</v>
      </c>
      <c r="AB893" s="86"/>
      <c r="AC893" s="80"/>
      <c r="AD893" s="80"/>
      <c r="AE893" s="80"/>
      <c r="AF893" s="80"/>
      <c r="AG893" s="87"/>
      <c r="AH893" s="80" t="s">
        <v>1827</v>
      </c>
    </row>
    <row r="894" spans="1:34" x14ac:dyDescent="0.2">
      <c r="A894" s="207">
        <v>45694</v>
      </c>
      <c r="B894" s="208" t="s">
        <v>163</v>
      </c>
      <c r="C894" s="208">
        <v>2025</v>
      </c>
      <c r="D894" s="208" t="s">
        <v>8</v>
      </c>
      <c r="E894" s="209">
        <v>-0.23</v>
      </c>
      <c r="F894" s="209" t="s">
        <v>32</v>
      </c>
      <c r="G894" s="210">
        <v>18400</v>
      </c>
      <c r="H894" s="211">
        <v>544</v>
      </c>
      <c r="I894" s="209" t="s">
        <v>81</v>
      </c>
      <c r="J894" s="209" t="s">
        <v>36</v>
      </c>
      <c r="K894" s="209">
        <v>0.152</v>
      </c>
      <c r="L894" s="209" t="s">
        <v>726</v>
      </c>
      <c r="M894" s="209" t="s">
        <v>103</v>
      </c>
      <c r="N894" s="212" t="s">
        <v>1838</v>
      </c>
      <c r="O894" s="208"/>
      <c r="P894" s="208" t="s">
        <v>600</v>
      </c>
      <c r="Q894" s="749">
        <v>39.860909999999997</v>
      </c>
      <c r="R894" s="641">
        <v>-85.024882000000005</v>
      </c>
      <c r="S894" s="208" t="s">
        <v>61</v>
      </c>
      <c r="T894" s="208"/>
      <c r="U894" s="208" t="s">
        <v>51</v>
      </c>
      <c r="V894" s="207"/>
      <c r="W894" s="213">
        <f>IF(AC894="Intr",0,G894*Definitions!$B$53)</f>
        <v>2760</v>
      </c>
      <c r="X894" s="213">
        <f>IF(AC894="Intr",0,G894*Definitions!$B$54)</f>
        <v>12880</v>
      </c>
      <c r="Y894" s="213">
        <f>IF(AC894="Intr",G894,G894*Definitions!$B$55)</f>
        <v>2760</v>
      </c>
      <c r="Z894" s="213" t="s">
        <v>966</v>
      </c>
      <c r="AA894" s="213" t="s">
        <v>963</v>
      </c>
      <c r="AB894" s="213" t="s">
        <v>970</v>
      </c>
      <c r="AC894" s="208"/>
      <c r="AD894" s="208"/>
      <c r="AE894" s="208"/>
      <c r="AF894" s="208"/>
      <c r="AG894" s="214"/>
      <c r="AH894" s="208" t="s">
        <v>1855</v>
      </c>
    </row>
    <row r="895" spans="1:34" x14ac:dyDescent="0.2">
      <c r="A895" s="207">
        <v>45694</v>
      </c>
      <c r="B895" s="208" t="s">
        <v>163</v>
      </c>
      <c r="C895" s="208">
        <v>2025</v>
      </c>
      <c r="D895" s="208" t="s">
        <v>8</v>
      </c>
      <c r="E895" s="209">
        <v>-2028</v>
      </c>
      <c r="F895" s="209" t="s">
        <v>33</v>
      </c>
      <c r="G895" s="210">
        <v>811200</v>
      </c>
      <c r="H895" s="211">
        <v>544</v>
      </c>
      <c r="I895" s="209" t="s">
        <v>80</v>
      </c>
      <c r="J895" s="209" t="s">
        <v>41</v>
      </c>
      <c r="K895" s="209">
        <v>1950</v>
      </c>
      <c r="L895" s="209" t="s">
        <v>726</v>
      </c>
      <c r="M895" s="209" t="s">
        <v>1839</v>
      </c>
      <c r="N895" s="212" t="s">
        <v>1840</v>
      </c>
      <c r="O895" s="208"/>
      <c r="P895" s="208" t="s">
        <v>600</v>
      </c>
      <c r="Q895" s="749">
        <v>39.860909999999997</v>
      </c>
      <c r="R895" s="641">
        <v>-85.024882000000005</v>
      </c>
      <c r="S895" s="208" t="s">
        <v>61</v>
      </c>
      <c r="T895" s="208"/>
      <c r="U895" s="208" t="s">
        <v>51</v>
      </c>
      <c r="V895" s="207"/>
      <c r="W895" s="213">
        <f>IF(AC895="Intr",0,G895*Definitions!$B$53)</f>
        <v>121680</v>
      </c>
      <c r="X895" s="213">
        <f>IF(AC895="Intr",0,G895*Definitions!$B$54)</f>
        <v>567840</v>
      </c>
      <c r="Y895" s="213">
        <f>IF(AC895="Intr",G895,G895*Definitions!$B$55)</f>
        <v>121680</v>
      </c>
      <c r="Z895" s="213" t="s">
        <v>966</v>
      </c>
      <c r="AA895" s="213" t="s">
        <v>965</v>
      </c>
      <c r="AB895" s="213"/>
      <c r="AC895" s="208"/>
      <c r="AD895" s="208"/>
      <c r="AE895" s="208"/>
      <c r="AF895" s="208"/>
      <c r="AG895" s="214"/>
      <c r="AH895" s="208" t="s">
        <v>1855</v>
      </c>
    </row>
    <row r="896" spans="1:34" x14ac:dyDescent="0.2">
      <c r="A896" s="58">
        <v>45699</v>
      </c>
      <c r="B896" s="59" t="s">
        <v>163</v>
      </c>
      <c r="C896" s="59">
        <v>2025</v>
      </c>
      <c r="D896" s="59" t="s">
        <v>7</v>
      </c>
      <c r="E896" s="60">
        <v>-0.26</v>
      </c>
      <c r="F896" s="60" t="s">
        <v>32</v>
      </c>
      <c r="G896" s="61">
        <v>20800</v>
      </c>
      <c r="H896" s="62">
        <v>563</v>
      </c>
      <c r="I896" s="60" t="s">
        <v>81</v>
      </c>
      <c r="J896" s="60" t="s">
        <v>38</v>
      </c>
      <c r="K896" s="60">
        <v>0.13</v>
      </c>
      <c r="L896" s="60" t="s">
        <v>1841</v>
      </c>
      <c r="M896" s="60" t="s">
        <v>103</v>
      </c>
      <c r="N896" s="63" t="s">
        <v>1842</v>
      </c>
      <c r="O896" s="59"/>
      <c r="P896" s="59" t="s">
        <v>1854</v>
      </c>
      <c r="Q896" s="745">
        <v>40.033898999999998</v>
      </c>
      <c r="R896" s="637">
        <v>-85.737774000000002</v>
      </c>
      <c r="S896" s="59" t="s">
        <v>61</v>
      </c>
      <c r="T896" s="59"/>
      <c r="U896" s="59" t="s">
        <v>51</v>
      </c>
      <c r="V896" s="58"/>
      <c r="W896" s="65">
        <f>IF(AC896="Intr",0,G896*Definitions!$B$53)</f>
        <v>3120</v>
      </c>
      <c r="X896" s="65">
        <f>IF(AC896="Intr",0,G896*Definitions!$B$54)</f>
        <v>14559.999999999998</v>
      </c>
      <c r="Y896" s="65">
        <f>IF(AC896="Intr",G896,G896*Definitions!$B$55)</f>
        <v>3120</v>
      </c>
      <c r="Z896" s="65" t="s">
        <v>966</v>
      </c>
      <c r="AA896" s="65" t="s">
        <v>963</v>
      </c>
      <c r="AB896" s="65" t="s">
        <v>1245</v>
      </c>
      <c r="AC896" s="59"/>
      <c r="AD896" s="59"/>
      <c r="AE896" s="59"/>
      <c r="AF896" s="59"/>
      <c r="AG896" s="66"/>
      <c r="AH896" s="59"/>
    </row>
    <row r="897" spans="1:34" x14ac:dyDescent="0.2">
      <c r="A897" s="145">
        <v>45699</v>
      </c>
      <c r="B897" s="112" t="s">
        <v>163</v>
      </c>
      <c r="C897" s="112">
        <v>2025</v>
      </c>
      <c r="D897" s="112" t="s">
        <v>7</v>
      </c>
      <c r="E897" s="146">
        <v>-0.04</v>
      </c>
      <c r="F897" s="146" t="s">
        <v>32</v>
      </c>
      <c r="G897" s="147">
        <v>3200</v>
      </c>
      <c r="H897" s="148">
        <v>551</v>
      </c>
      <c r="I897" s="146" t="s">
        <v>81</v>
      </c>
      <c r="J897" s="146" t="s">
        <v>38</v>
      </c>
      <c r="K897" s="146">
        <v>0.02</v>
      </c>
      <c r="L897" s="146" t="s">
        <v>1843</v>
      </c>
      <c r="M897" s="146" t="s">
        <v>103</v>
      </c>
      <c r="N897" s="149" t="s">
        <v>1844</v>
      </c>
      <c r="O897" s="112"/>
      <c r="P897" s="112" t="s">
        <v>117</v>
      </c>
      <c r="Q897" s="729">
        <v>39.977179999999997</v>
      </c>
      <c r="R897" s="591">
        <v>-86.258809999999997</v>
      </c>
      <c r="S897" s="112" t="s">
        <v>61</v>
      </c>
      <c r="T897" s="112"/>
      <c r="U897" s="112" t="s">
        <v>51</v>
      </c>
      <c r="V897" s="145"/>
      <c r="W897" s="150">
        <f>IF(AC897="Intr",0,G897*Definitions!$B$53)</f>
        <v>480</v>
      </c>
      <c r="X897" s="150">
        <f>IF(AC897="Intr",0,G897*Definitions!$B$54)</f>
        <v>2240</v>
      </c>
      <c r="Y897" s="150">
        <f>IF(AC897="Intr",G897,G897*Definitions!$B$55)</f>
        <v>480</v>
      </c>
      <c r="Z897" s="150" t="s">
        <v>966</v>
      </c>
      <c r="AA897" s="150" t="s">
        <v>963</v>
      </c>
      <c r="AB897" s="150" t="s">
        <v>1245</v>
      </c>
      <c r="AC897" s="112"/>
      <c r="AD897" s="112"/>
      <c r="AE897" s="112"/>
      <c r="AF897" s="112"/>
      <c r="AG897" s="151"/>
      <c r="AH897" s="112" t="s">
        <v>1856</v>
      </c>
    </row>
    <row r="898" spans="1:34" x14ac:dyDescent="0.2">
      <c r="A898" s="45">
        <v>45709</v>
      </c>
      <c r="B898" s="46" t="s">
        <v>163</v>
      </c>
      <c r="C898" s="46">
        <v>2025</v>
      </c>
      <c r="D898" s="46" t="s">
        <v>7</v>
      </c>
      <c r="E898" s="181">
        <v>-680</v>
      </c>
      <c r="F898" s="181" t="s">
        <v>33</v>
      </c>
      <c r="G898" s="182">
        <v>306000</v>
      </c>
      <c r="H898" s="183">
        <v>550</v>
      </c>
      <c r="I898" s="181" t="s">
        <v>80</v>
      </c>
      <c r="J898" s="181" t="s">
        <v>39</v>
      </c>
      <c r="K898" s="181">
        <v>758</v>
      </c>
      <c r="L898" s="181" t="s">
        <v>726</v>
      </c>
      <c r="M898" s="181" t="s">
        <v>1845</v>
      </c>
      <c r="N898" s="76" t="s">
        <v>1846</v>
      </c>
      <c r="O898" s="46"/>
      <c r="P898" s="46" t="s">
        <v>137</v>
      </c>
      <c r="Q898" s="761">
        <v>40.160269999999997</v>
      </c>
      <c r="R898" s="660">
        <v>-86.127977000000001</v>
      </c>
      <c r="S898" s="46" t="s">
        <v>63</v>
      </c>
      <c r="T898" s="46"/>
      <c r="U898" s="46" t="s">
        <v>51</v>
      </c>
      <c r="V898" s="45"/>
      <c r="W898" s="47">
        <f>IF(AC898="Intr",0,G898*Definitions!$B$53)</f>
        <v>45900</v>
      </c>
      <c r="X898" s="47">
        <f>IF(AC898="Intr",0,G898*Definitions!$B$54)</f>
        <v>214200</v>
      </c>
      <c r="Y898" s="47">
        <f>IF(AC898="Intr",G898,G898*Definitions!$B$55)</f>
        <v>45900</v>
      </c>
      <c r="Z898" s="47" t="s">
        <v>966</v>
      </c>
      <c r="AA898" s="47" t="s">
        <v>965</v>
      </c>
      <c r="AB898" s="47"/>
      <c r="AC898" s="46"/>
      <c r="AD898" s="46"/>
      <c r="AE898" s="46"/>
      <c r="AF898" s="46"/>
      <c r="AG898" s="48"/>
      <c r="AH898" s="46" t="s">
        <v>1857</v>
      </c>
    </row>
    <row r="899" spans="1:34" x14ac:dyDescent="0.2">
      <c r="A899" s="45">
        <v>45709</v>
      </c>
      <c r="B899" s="46" t="s">
        <v>163</v>
      </c>
      <c r="C899" s="46">
        <v>2025</v>
      </c>
      <c r="D899" s="46" t="s">
        <v>7</v>
      </c>
      <c r="E899" s="181">
        <v>-0.1</v>
      </c>
      <c r="F899" s="181" t="s">
        <v>32</v>
      </c>
      <c r="G899" s="182">
        <v>8000</v>
      </c>
      <c r="H899" s="183">
        <v>550</v>
      </c>
      <c r="I899" s="181" t="s">
        <v>81</v>
      </c>
      <c r="J899" s="181" t="s">
        <v>36</v>
      </c>
      <c r="K899" s="181">
        <v>0.06</v>
      </c>
      <c r="L899" s="181" t="s">
        <v>726</v>
      </c>
      <c r="M899" s="181" t="s">
        <v>103</v>
      </c>
      <c r="N899" s="76" t="s">
        <v>1847</v>
      </c>
      <c r="O899" s="46"/>
      <c r="P899" s="46" t="s">
        <v>137</v>
      </c>
      <c r="Q899" s="761">
        <v>40.160269999999997</v>
      </c>
      <c r="R899" s="660">
        <v>-86.127977000000001</v>
      </c>
      <c r="S899" s="46" t="s">
        <v>63</v>
      </c>
      <c r="T899" s="46"/>
      <c r="U899" s="46" t="s">
        <v>51</v>
      </c>
      <c r="V899" s="45"/>
      <c r="W899" s="47">
        <f>IF(AC899="Intr",0,G899*Definitions!$B$53)</f>
        <v>1200</v>
      </c>
      <c r="X899" s="47">
        <f>IF(AC899="Intr",0,G899*Definitions!$B$54)</f>
        <v>5600</v>
      </c>
      <c r="Y899" s="47">
        <f>IF(AC899="Intr",G899,G899*Definitions!$B$55)</f>
        <v>1200</v>
      </c>
      <c r="Z899" s="47" t="s">
        <v>966</v>
      </c>
      <c r="AA899" s="47" t="s">
        <v>963</v>
      </c>
      <c r="AB899" s="47" t="s">
        <v>970</v>
      </c>
      <c r="AC899" s="46"/>
      <c r="AD899" s="46"/>
      <c r="AE899" s="46"/>
      <c r="AF899" s="46"/>
      <c r="AG899" s="48"/>
      <c r="AH899" s="46" t="s">
        <v>1857</v>
      </c>
    </row>
    <row r="900" spans="1:34" x14ac:dyDescent="0.2">
      <c r="A900" s="168">
        <v>45709</v>
      </c>
      <c r="B900" s="169" t="s">
        <v>163</v>
      </c>
      <c r="C900" s="169">
        <v>2025</v>
      </c>
      <c r="D900" s="169" t="s">
        <v>1</v>
      </c>
      <c r="E900" s="170">
        <v>-0.77</v>
      </c>
      <c r="F900" s="170" t="s">
        <v>32</v>
      </c>
      <c r="G900" s="171">
        <v>73150</v>
      </c>
      <c r="H900" s="172">
        <v>442</v>
      </c>
      <c r="I900" s="170" t="s">
        <v>80</v>
      </c>
      <c r="J900" s="170" t="s">
        <v>36</v>
      </c>
      <c r="K900" s="170">
        <v>0.4</v>
      </c>
      <c r="L900" s="170" t="s">
        <v>1848</v>
      </c>
      <c r="M900" s="170" t="s">
        <v>1849</v>
      </c>
      <c r="N900" s="173" t="s">
        <v>1850</v>
      </c>
      <c r="O900" s="169"/>
      <c r="P900" s="169" t="s">
        <v>385</v>
      </c>
      <c r="Q900" s="732">
        <v>41.604331000000002</v>
      </c>
      <c r="R900" s="646">
        <v>-87.117729999999995</v>
      </c>
      <c r="S900" s="169" t="s">
        <v>61</v>
      </c>
      <c r="T900" s="169"/>
      <c r="U900" s="169" t="s">
        <v>51</v>
      </c>
      <c r="V900" s="168"/>
      <c r="W900" s="174">
        <f>IF(AC900="Intr",0,G900*Definitions!$B$53)</f>
        <v>10972.5</v>
      </c>
      <c r="X900" s="174">
        <f>IF(AC900="Intr",0,G900*Definitions!$B$54)</f>
        <v>51205</v>
      </c>
      <c r="Y900" s="174">
        <f>IF(AC900="Intr",G900,G900*Definitions!$B$55)</f>
        <v>10972.5</v>
      </c>
      <c r="Z900" s="174" t="s">
        <v>967</v>
      </c>
      <c r="AA900" s="174" t="s">
        <v>965</v>
      </c>
      <c r="AB900" s="174"/>
      <c r="AC900" s="169"/>
      <c r="AD900" s="169"/>
      <c r="AE900" s="169"/>
      <c r="AF900" s="169"/>
      <c r="AG900" s="175"/>
      <c r="AH900" s="169"/>
    </row>
    <row r="901" spans="1:34" x14ac:dyDescent="0.2">
      <c r="A901" s="237">
        <v>45712</v>
      </c>
      <c r="B901" s="238" t="s">
        <v>163</v>
      </c>
      <c r="C901" s="238">
        <v>2025</v>
      </c>
      <c r="D901" s="238" t="s">
        <v>1</v>
      </c>
      <c r="E901" s="240">
        <v>-2.21</v>
      </c>
      <c r="F901" s="240" t="s">
        <v>32</v>
      </c>
      <c r="G901" s="317">
        <v>209950</v>
      </c>
      <c r="H901" s="318">
        <v>567</v>
      </c>
      <c r="I901" s="240" t="s">
        <v>80</v>
      </c>
      <c r="J901" s="240" t="s">
        <v>36</v>
      </c>
      <c r="K901" s="240">
        <v>1.0029999999999999</v>
      </c>
      <c r="L901" s="240" t="s">
        <v>1851</v>
      </c>
      <c r="M901" s="240" t="s">
        <v>1852</v>
      </c>
      <c r="N901" s="319" t="s">
        <v>1853</v>
      </c>
      <c r="O901" s="238"/>
      <c r="P901" s="238" t="s">
        <v>227</v>
      </c>
      <c r="Q901" s="734">
        <v>41.501389000000003</v>
      </c>
      <c r="R901" s="648">
        <v>-87.461388999999997</v>
      </c>
      <c r="S901" s="238" t="s">
        <v>63</v>
      </c>
      <c r="T901" s="238"/>
      <c r="U901" s="238" t="s">
        <v>51</v>
      </c>
      <c r="V901" s="237"/>
      <c r="W901" s="244">
        <f>IF(AC901="Intr",0,G901*Definitions!$B$53)</f>
        <v>31492.5</v>
      </c>
      <c r="X901" s="244">
        <f>IF(AC901="Intr",0,G901*Definitions!$B$54)</f>
        <v>146965</v>
      </c>
      <c r="Y901" s="244">
        <f>IF(AC901="Intr",G901,G901*Definitions!$B$55)</f>
        <v>31492.5</v>
      </c>
      <c r="Z901" s="244" t="s">
        <v>967</v>
      </c>
      <c r="AA901" s="244" t="s">
        <v>965</v>
      </c>
      <c r="AB901" s="244"/>
      <c r="AC901" s="238"/>
      <c r="AD901" s="238"/>
      <c r="AE901" s="238"/>
      <c r="AF901" s="238"/>
      <c r="AG901" s="245"/>
      <c r="AH901" s="238"/>
    </row>
    <row r="902" spans="1:34" x14ac:dyDescent="0.2">
      <c r="A902" s="237">
        <v>45712</v>
      </c>
      <c r="B902" s="238" t="s">
        <v>163</v>
      </c>
      <c r="C902" s="238">
        <v>2025</v>
      </c>
      <c r="D902" s="238" t="s">
        <v>1</v>
      </c>
      <c r="E902" s="240">
        <v>-0.26</v>
      </c>
      <c r="F902" s="240" t="s">
        <v>32</v>
      </c>
      <c r="G902" s="317">
        <v>24700</v>
      </c>
      <c r="H902" s="318">
        <v>567</v>
      </c>
      <c r="I902" s="240" t="s">
        <v>80</v>
      </c>
      <c r="J902" s="240" t="s">
        <v>37</v>
      </c>
      <c r="K902" s="240">
        <v>7.1999999999999995E-2</v>
      </c>
      <c r="L902" s="240" t="s">
        <v>1851</v>
      </c>
      <c r="M902" s="240" t="s">
        <v>1852</v>
      </c>
      <c r="N902" s="319" t="s">
        <v>1853</v>
      </c>
      <c r="O902" s="238"/>
      <c r="P902" s="238" t="s">
        <v>227</v>
      </c>
      <c r="Q902" s="734">
        <v>41.501389000000003</v>
      </c>
      <c r="R902" s="648">
        <v>-87.461388999999997</v>
      </c>
      <c r="S902" s="238" t="s">
        <v>63</v>
      </c>
      <c r="T902" s="238"/>
      <c r="U902" s="238" t="s">
        <v>51</v>
      </c>
      <c r="V902" s="237"/>
      <c r="W902" s="244">
        <f>IF(AC902="Intr",0,G902*Definitions!$B$53)</f>
        <v>3705</v>
      </c>
      <c r="X902" s="244">
        <f>IF(AC902="Intr",0,G902*Definitions!$B$54)</f>
        <v>17290</v>
      </c>
      <c r="Y902" s="244">
        <f>IF(AC902="Intr",G902,G902*Definitions!$B$55)</f>
        <v>3705</v>
      </c>
      <c r="Z902" s="244" t="s">
        <v>967</v>
      </c>
      <c r="AA902" s="244" t="s">
        <v>965</v>
      </c>
      <c r="AB902" s="244"/>
      <c r="AC902" s="238"/>
      <c r="AD902" s="238"/>
      <c r="AE902" s="238"/>
      <c r="AF902" s="238"/>
      <c r="AG902" s="245"/>
      <c r="AH902" s="238"/>
    </row>
    <row r="903" spans="1:34" x14ac:dyDescent="0.2">
      <c r="A903" s="237">
        <v>45712</v>
      </c>
      <c r="B903" s="238" t="s">
        <v>163</v>
      </c>
      <c r="C903" s="238">
        <v>2025</v>
      </c>
      <c r="D903" s="238" t="s">
        <v>1</v>
      </c>
      <c r="E903" s="240">
        <v>-43.4</v>
      </c>
      <c r="F903" s="240" t="s">
        <v>33</v>
      </c>
      <c r="G903" s="317">
        <v>26040</v>
      </c>
      <c r="H903" s="318">
        <v>567</v>
      </c>
      <c r="I903" s="240" t="s">
        <v>80</v>
      </c>
      <c r="J903" s="240" t="s">
        <v>39</v>
      </c>
      <c r="K903" s="240">
        <v>43.4</v>
      </c>
      <c r="L903" s="240" t="s">
        <v>1851</v>
      </c>
      <c r="M903" s="240" t="s">
        <v>1852</v>
      </c>
      <c r="N903" s="319" t="s">
        <v>1853</v>
      </c>
      <c r="O903" s="238"/>
      <c r="P903" s="238" t="s">
        <v>227</v>
      </c>
      <c r="Q903" s="734">
        <v>41.501389000000003</v>
      </c>
      <c r="R903" s="648">
        <v>-87.461388999999997</v>
      </c>
      <c r="S903" s="238" t="s">
        <v>63</v>
      </c>
      <c r="T903" s="238"/>
      <c r="U903" s="238" t="s">
        <v>51</v>
      </c>
      <c r="V903" s="237"/>
      <c r="W903" s="244">
        <f>IF(AC903="Intr",0,G903*Definitions!$B$53)</f>
        <v>3906</v>
      </c>
      <c r="X903" s="244">
        <f>IF(AC903="Intr",0,G903*Definitions!$B$54)</f>
        <v>18228</v>
      </c>
      <c r="Y903" s="244">
        <f>IF(AC903="Intr",G903,G903*Definitions!$B$55)</f>
        <v>3906</v>
      </c>
      <c r="Z903" s="244" t="s">
        <v>967</v>
      </c>
      <c r="AA903" s="244" t="s">
        <v>965</v>
      </c>
      <c r="AB903" s="244"/>
      <c r="AC903" s="238"/>
      <c r="AD903" s="238"/>
      <c r="AE903" s="238"/>
      <c r="AF903" s="238"/>
      <c r="AG903" s="245"/>
      <c r="AH903" s="238"/>
    </row>
    <row r="904" spans="1:34" x14ac:dyDescent="0.2">
      <c r="A904" s="37">
        <v>45716</v>
      </c>
      <c r="B904" s="38" t="s">
        <v>163</v>
      </c>
      <c r="C904" s="38">
        <v>2025</v>
      </c>
      <c r="D904" s="38" t="s">
        <v>4</v>
      </c>
      <c r="E904" s="177">
        <v>-45</v>
      </c>
      <c r="F904" s="177" t="s">
        <v>33</v>
      </c>
      <c r="G904" s="269">
        <v>20250</v>
      </c>
      <c r="H904" s="179">
        <v>564</v>
      </c>
      <c r="I904" s="177" t="s">
        <v>80</v>
      </c>
      <c r="J904" s="177" t="s">
        <v>40</v>
      </c>
      <c r="K904" s="177">
        <v>45</v>
      </c>
      <c r="L904" s="177" t="s">
        <v>726</v>
      </c>
      <c r="M904" s="177" t="s">
        <v>1861</v>
      </c>
      <c r="N904" s="70" t="s">
        <v>1860</v>
      </c>
      <c r="O904" s="38"/>
      <c r="P904" s="38" t="s">
        <v>255</v>
      </c>
      <c r="Q904" s="760">
        <v>41.091819000000001</v>
      </c>
      <c r="R904" s="590">
        <v>-84.994384999999994</v>
      </c>
      <c r="S904" s="38" t="s">
        <v>63</v>
      </c>
      <c r="T904" s="38"/>
      <c r="U904" s="38" t="s">
        <v>51</v>
      </c>
      <c r="V904" s="37"/>
      <c r="W904" s="39">
        <f>IF(AC904="Intr",0,G904*Definitions!$B$53)</f>
        <v>3037.5</v>
      </c>
      <c r="X904" s="39">
        <f>IF(AC904="Intr",0,G904*Definitions!$B$54)</f>
        <v>14175</v>
      </c>
      <c r="Y904" s="39">
        <f>IF(AC904="Intr",G904,G904*Definitions!$B$55)</f>
        <v>3037.5</v>
      </c>
      <c r="Z904" s="39" t="s">
        <v>964</v>
      </c>
      <c r="AA904" s="39" t="s">
        <v>965</v>
      </c>
      <c r="AB904" s="39"/>
      <c r="AC904" s="38"/>
      <c r="AD904" s="38"/>
      <c r="AE904" s="38"/>
      <c r="AF904" s="38"/>
      <c r="AG904" s="40"/>
      <c r="AH904" s="38" t="s">
        <v>1863</v>
      </c>
    </row>
    <row r="905" spans="1:34" x14ac:dyDescent="0.2">
      <c r="A905" s="307">
        <v>45716</v>
      </c>
      <c r="B905" s="308" t="s">
        <v>163</v>
      </c>
      <c r="C905" s="308">
        <v>2025</v>
      </c>
      <c r="D905" s="308" t="s">
        <v>5</v>
      </c>
      <c r="E905" s="309">
        <v>-194</v>
      </c>
      <c r="F905" s="309" t="s">
        <v>33</v>
      </c>
      <c r="G905" s="310">
        <v>77600</v>
      </c>
      <c r="H905" s="311">
        <v>566</v>
      </c>
      <c r="I905" s="309" t="s">
        <v>80</v>
      </c>
      <c r="J905" s="309" t="s">
        <v>40</v>
      </c>
      <c r="K905" s="309">
        <v>194</v>
      </c>
      <c r="L905" s="309" t="s">
        <v>726</v>
      </c>
      <c r="M905" s="309" t="s">
        <v>1858</v>
      </c>
      <c r="N905" s="312" t="s">
        <v>1859</v>
      </c>
      <c r="O905" s="308"/>
      <c r="P905" s="308" t="s">
        <v>404</v>
      </c>
      <c r="Q905" s="737">
        <v>40.505721999999999</v>
      </c>
      <c r="R905" s="651">
        <v>-86.087444000000005</v>
      </c>
      <c r="S905" s="308" t="s">
        <v>63</v>
      </c>
      <c r="T905" s="308"/>
      <c r="U905" s="308" t="s">
        <v>51</v>
      </c>
      <c r="V905" s="307"/>
      <c r="W905" s="313">
        <f>IF(AC905="Intr",0,G905*Definitions!$B$53)</f>
        <v>11640</v>
      </c>
      <c r="X905" s="313">
        <f>IF(AC905="Intr",0,G905*Definitions!$B$54)</f>
        <v>54320</v>
      </c>
      <c r="Y905" s="313">
        <f>IF(AC905="Intr",G905,G905*Definitions!$B$55)</f>
        <v>11640</v>
      </c>
      <c r="Z905" s="313" t="s">
        <v>966</v>
      </c>
      <c r="AA905" s="313" t="s">
        <v>965</v>
      </c>
      <c r="AB905" s="313"/>
      <c r="AC905" s="308"/>
      <c r="AD905" s="308"/>
      <c r="AE905" s="308"/>
      <c r="AF905" s="308"/>
      <c r="AG905" s="314"/>
      <c r="AH905" s="308" t="s">
        <v>1862</v>
      </c>
    </row>
    <row r="906" spans="1:34" x14ac:dyDescent="0.2">
      <c r="A906" s="45">
        <v>45728</v>
      </c>
      <c r="B906" s="46" t="s">
        <v>173</v>
      </c>
      <c r="C906" s="46">
        <v>2025</v>
      </c>
      <c r="D906" s="46" t="s">
        <v>1</v>
      </c>
      <c r="E906" s="181">
        <v>-1.1000000000000001</v>
      </c>
      <c r="F906" s="181" t="s">
        <v>32</v>
      </c>
      <c r="G906" s="182">
        <v>104500</v>
      </c>
      <c r="H906" s="183">
        <v>569</v>
      </c>
      <c r="I906" s="181" t="s">
        <v>81</v>
      </c>
      <c r="J906" s="181" t="s">
        <v>38</v>
      </c>
      <c r="K906" s="181">
        <v>0.54400000000000004</v>
      </c>
      <c r="L906" s="181" t="s">
        <v>1864</v>
      </c>
      <c r="M906" s="181" t="s">
        <v>103</v>
      </c>
      <c r="N906" s="76" t="s">
        <v>1865</v>
      </c>
      <c r="O906" s="46"/>
      <c r="P906" s="46" t="s">
        <v>166</v>
      </c>
      <c r="Q906" s="761">
        <v>41.691755999999998</v>
      </c>
      <c r="R906" s="660">
        <v>-86.833124999999995</v>
      </c>
      <c r="S906" s="46" t="s">
        <v>59</v>
      </c>
      <c r="T906" s="46"/>
      <c r="U906" s="46" t="s">
        <v>51</v>
      </c>
      <c r="V906" s="45"/>
      <c r="W906" s="47">
        <f>IF(AC906="Intr",0,G906*Definitions!$B$53)</f>
        <v>15675</v>
      </c>
      <c r="X906" s="47">
        <f>IF(AC906="Intr",0,G906*Definitions!$B$54)</f>
        <v>73150</v>
      </c>
      <c r="Y906" s="47">
        <f>IF(AC906="Intr",G906,G906*Definitions!$B$55)</f>
        <v>15675</v>
      </c>
      <c r="Z906" s="47" t="s">
        <v>967</v>
      </c>
      <c r="AA906" s="47" t="s">
        <v>963</v>
      </c>
      <c r="AB906" s="47" t="s">
        <v>1245</v>
      </c>
      <c r="AC906" s="46"/>
      <c r="AD906" s="46"/>
      <c r="AE906" s="46"/>
      <c r="AF906" s="46"/>
      <c r="AG906" s="48"/>
      <c r="AH906" s="46"/>
    </row>
    <row r="907" spans="1:34" x14ac:dyDescent="0.2">
      <c r="A907" s="58">
        <v>45730</v>
      </c>
      <c r="B907" s="59" t="s">
        <v>173</v>
      </c>
      <c r="C907" s="59">
        <v>2025</v>
      </c>
      <c r="D907" s="59" t="s">
        <v>1</v>
      </c>
      <c r="E907" s="60">
        <v>-1.73384</v>
      </c>
      <c r="F907" s="60" t="s">
        <v>32</v>
      </c>
      <c r="G907" s="61">
        <v>164715</v>
      </c>
      <c r="H907" s="62">
        <v>543</v>
      </c>
      <c r="I907" s="60" t="s">
        <v>81</v>
      </c>
      <c r="J907" s="60" t="s">
        <v>38</v>
      </c>
      <c r="K907" s="60">
        <v>1</v>
      </c>
      <c r="L907" s="60" t="s">
        <v>1866</v>
      </c>
      <c r="M907" s="60" t="s">
        <v>103</v>
      </c>
      <c r="N907" s="63" t="s">
        <v>1867</v>
      </c>
      <c r="O907" s="59"/>
      <c r="P907" s="59" t="s">
        <v>227</v>
      </c>
      <c r="Q907" s="745">
        <v>41.431736000000001</v>
      </c>
      <c r="R907" s="637">
        <v>-87.352220000000003</v>
      </c>
      <c r="S907" s="59" t="s">
        <v>61</v>
      </c>
      <c r="T907" s="59"/>
      <c r="U907" s="59" t="s">
        <v>51</v>
      </c>
      <c r="V907" s="58"/>
      <c r="W907" s="65">
        <f>IF(AC907="Intr",0,G907*Definitions!$B$53)</f>
        <v>24707.25</v>
      </c>
      <c r="X907" s="65">
        <f>IF(AC907="Intr",0,G907*Definitions!$B$54)</f>
        <v>115300.49999999999</v>
      </c>
      <c r="Y907" s="65">
        <f>IF(AC907="Intr",G907,G907*Definitions!$B$55)</f>
        <v>24707.25</v>
      </c>
      <c r="Z907" s="65" t="s">
        <v>967</v>
      </c>
      <c r="AA907" s="65" t="s">
        <v>963</v>
      </c>
      <c r="AB907" s="65" t="s">
        <v>1245</v>
      </c>
      <c r="AC907" s="59"/>
      <c r="AD907" s="59"/>
      <c r="AE907" s="59"/>
      <c r="AF907" s="59"/>
      <c r="AG907" s="66"/>
      <c r="AH907" s="59" t="s">
        <v>1880</v>
      </c>
    </row>
    <row r="908" spans="1:34" x14ac:dyDescent="0.2">
      <c r="A908" s="145">
        <v>45734</v>
      </c>
      <c r="B908" s="112" t="s">
        <v>173</v>
      </c>
      <c r="C908" s="112">
        <v>2025</v>
      </c>
      <c r="D908" s="112" t="s">
        <v>11</v>
      </c>
      <c r="E908" s="146">
        <v>-3.17</v>
      </c>
      <c r="F908" s="146" t="s">
        <v>32</v>
      </c>
      <c r="G908" s="147">
        <v>253600</v>
      </c>
      <c r="H908" s="148">
        <v>570</v>
      </c>
      <c r="I908" s="146" t="s">
        <v>81</v>
      </c>
      <c r="J908" s="146" t="s">
        <v>36</v>
      </c>
      <c r="K908" s="146">
        <v>2.11</v>
      </c>
      <c r="L908" s="146" t="s">
        <v>726</v>
      </c>
      <c r="M908" s="146" t="s">
        <v>103</v>
      </c>
      <c r="N908" s="149" t="s">
        <v>1868</v>
      </c>
      <c r="O908" s="112"/>
      <c r="P908" s="112" t="s">
        <v>497</v>
      </c>
      <c r="Q908" s="729">
        <v>37.941989999999997</v>
      </c>
      <c r="R908" s="591">
        <v>-87.791889999999995</v>
      </c>
      <c r="S908" s="112" t="s">
        <v>63</v>
      </c>
      <c r="T908" s="112"/>
      <c r="U908" s="112" t="s">
        <v>51</v>
      </c>
      <c r="V908" s="145"/>
      <c r="W908" s="150">
        <f>IF(AC908="Intr",0,G908*Definitions!$B$53)</f>
        <v>38040</v>
      </c>
      <c r="X908" s="150">
        <f>IF(AC908="Intr",0,G908*Definitions!$B$54)</f>
        <v>177520</v>
      </c>
      <c r="Y908" s="150">
        <f>IF(AC908="Intr",G908,G908*Definitions!$B$55)</f>
        <v>38040</v>
      </c>
      <c r="Z908" s="150" t="s">
        <v>966</v>
      </c>
      <c r="AA908" s="150" t="s">
        <v>963</v>
      </c>
      <c r="AB908" s="150" t="s">
        <v>970</v>
      </c>
      <c r="AC908" s="112"/>
      <c r="AD908" s="112"/>
      <c r="AE908" s="112"/>
      <c r="AF908" s="112"/>
      <c r="AG908" s="151"/>
      <c r="AH908" s="112" t="s">
        <v>1881</v>
      </c>
    </row>
    <row r="909" spans="1:34" x14ac:dyDescent="0.2">
      <c r="A909" s="29">
        <v>45743</v>
      </c>
      <c r="B909" s="30" t="s">
        <v>173</v>
      </c>
      <c r="C909" s="30">
        <v>2025</v>
      </c>
      <c r="D909" s="30" t="s">
        <v>7</v>
      </c>
      <c r="E909" s="217">
        <v>-1.02</v>
      </c>
      <c r="F909" s="217" t="s">
        <v>32</v>
      </c>
      <c r="G909" s="218">
        <v>230400</v>
      </c>
      <c r="H909" s="219">
        <v>579</v>
      </c>
      <c r="I909" s="217" t="s">
        <v>80</v>
      </c>
      <c r="J909" s="217" t="s">
        <v>36</v>
      </c>
      <c r="K909" s="217">
        <v>1.1499999999999999</v>
      </c>
      <c r="L909" s="217" t="s">
        <v>1869</v>
      </c>
      <c r="M909" s="217" t="s">
        <v>1870</v>
      </c>
      <c r="N909" s="67" t="s">
        <v>1871</v>
      </c>
      <c r="O909" s="30"/>
      <c r="P909" s="30" t="s">
        <v>117</v>
      </c>
      <c r="Q909" s="747">
        <v>40.009480000000003</v>
      </c>
      <c r="R909" s="636">
        <v>-86.252889999999994</v>
      </c>
      <c r="S909" s="30" t="s">
        <v>61</v>
      </c>
      <c r="T909" s="30"/>
      <c r="U909" s="30" t="s">
        <v>51</v>
      </c>
      <c r="V909" s="29"/>
      <c r="W909" s="31">
        <f>IF(AC909="Intr",0,G909*Definitions!$B$53)</f>
        <v>34560</v>
      </c>
      <c r="X909" s="31">
        <f>IF(AC909="Intr",0,G909*Definitions!$B$54)</f>
        <v>161280</v>
      </c>
      <c r="Y909" s="31">
        <f>IF(AC909="Intr",G909,G909*Definitions!$B$55)</f>
        <v>34560</v>
      </c>
      <c r="Z909" s="31" t="s">
        <v>966</v>
      </c>
      <c r="AA909" s="31" t="s">
        <v>965</v>
      </c>
      <c r="AB909" s="31"/>
      <c r="AC909" s="30"/>
      <c r="AD909" s="30"/>
      <c r="AE909" s="30"/>
      <c r="AF909" s="30"/>
      <c r="AG909" s="32"/>
      <c r="AH909" s="30"/>
    </row>
    <row r="910" spans="1:34" x14ac:dyDescent="0.2">
      <c r="A910" s="29">
        <v>45743</v>
      </c>
      <c r="B910" s="30" t="s">
        <v>173</v>
      </c>
      <c r="C910" s="30">
        <v>2025</v>
      </c>
      <c r="D910" s="30" t="s">
        <v>7</v>
      </c>
      <c r="E910" s="217">
        <v>-0.57999999999999996</v>
      </c>
      <c r="F910" s="217" t="s">
        <v>32</v>
      </c>
      <c r="G910" s="218">
        <v>230400</v>
      </c>
      <c r="H910" s="219">
        <v>579</v>
      </c>
      <c r="I910" s="217" t="s">
        <v>80</v>
      </c>
      <c r="J910" s="217" t="s">
        <v>38</v>
      </c>
      <c r="K910" s="217">
        <v>1.77</v>
      </c>
      <c r="L910" s="217" t="s">
        <v>1869</v>
      </c>
      <c r="M910" s="217" t="s">
        <v>1870</v>
      </c>
      <c r="N910" s="67" t="s">
        <v>1871</v>
      </c>
      <c r="O910" s="30"/>
      <c r="P910" s="30" t="s">
        <v>117</v>
      </c>
      <c r="Q910" s="747">
        <v>40.009480000000003</v>
      </c>
      <c r="R910" s="636">
        <v>-86.252889999999994</v>
      </c>
      <c r="S910" s="30" t="s">
        <v>61</v>
      </c>
      <c r="T910" s="30"/>
      <c r="U910" s="30" t="s">
        <v>51</v>
      </c>
      <c r="V910" s="29"/>
      <c r="W910" s="31">
        <f>IF(AC910="Intr",0,G910*Definitions!$B$53)</f>
        <v>34560</v>
      </c>
      <c r="X910" s="31">
        <f>IF(AC910="Intr",0,G910*Definitions!$B$54)</f>
        <v>161280</v>
      </c>
      <c r="Y910" s="31">
        <f>IF(AC910="Intr",G910,G910*Definitions!$B$55)</f>
        <v>34560</v>
      </c>
      <c r="Z910" s="31" t="s">
        <v>966</v>
      </c>
      <c r="AA910" s="31" t="s">
        <v>965</v>
      </c>
      <c r="AB910" s="31"/>
      <c r="AC910" s="30"/>
      <c r="AD910" s="30"/>
      <c r="AE910" s="30"/>
      <c r="AF910" s="30"/>
      <c r="AG910" s="32"/>
      <c r="AH910" s="30"/>
    </row>
    <row r="911" spans="1:34" x14ac:dyDescent="0.2">
      <c r="A911" s="29">
        <v>45743</v>
      </c>
      <c r="B911" s="30" t="s">
        <v>173</v>
      </c>
      <c r="C911" s="30">
        <v>2025</v>
      </c>
      <c r="D911" s="30" t="s">
        <v>7</v>
      </c>
      <c r="E911" s="217">
        <v>-1121</v>
      </c>
      <c r="F911" s="217" t="s">
        <v>33</v>
      </c>
      <c r="G911" s="218">
        <v>420300</v>
      </c>
      <c r="H911" s="219">
        <v>579</v>
      </c>
      <c r="I911" s="217" t="s">
        <v>80</v>
      </c>
      <c r="J911" s="217" t="s">
        <v>40</v>
      </c>
      <c r="K911" s="217">
        <v>934</v>
      </c>
      <c r="L911" s="217" t="s">
        <v>1869</v>
      </c>
      <c r="M911" s="217" t="s">
        <v>1870</v>
      </c>
      <c r="N911" s="67" t="s">
        <v>1871</v>
      </c>
      <c r="O911" s="30"/>
      <c r="P911" s="30" t="s">
        <v>117</v>
      </c>
      <c r="Q911" s="747">
        <v>40.009480000000003</v>
      </c>
      <c r="R911" s="636">
        <v>-86.252889999999994</v>
      </c>
      <c r="S911" s="30" t="s">
        <v>61</v>
      </c>
      <c r="T911" s="30"/>
      <c r="U911" s="30" t="s">
        <v>51</v>
      </c>
      <c r="V911" s="29"/>
      <c r="W911" s="31">
        <f>IF(AC911="Intr",0,G911*Definitions!$B$53)</f>
        <v>63045</v>
      </c>
      <c r="X911" s="31">
        <f>IF(AC911="Intr",0,G911*Definitions!$B$54)</f>
        <v>294210</v>
      </c>
      <c r="Y911" s="31">
        <f>IF(AC911="Intr",G911,G911*Definitions!$B$55)</f>
        <v>63045</v>
      </c>
      <c r="Z911" s="31" t="s">
        <v>966</v>
      </c>
      <c r="AA911" s="31" t="s">
        <v>965</v>
      </c>
      <c r="AB911" s="31"/>
      <c r="AC911" s="30"/>
      <c r="AD911" s="30"/>
      <c r="AE911" s="30"/>
      <c r="AF911" s="30"/>
      <c r="AG911" s="32"/>
      <c r="AH911" s="30"/>
    </row>
    <row r="912" spans="1:34" x14ac:dyDescent="0.2">
      <c r="A912" s="29">
        <v>45743</v>
      </c>
      <c r="B912" s="30" t="s">
        <v>173</v>
      </c>
      <c r="C912" s="30">
        <v>2025</v>
      </c>
      <c r="D912" s="30" t="s">
        <v>7</v>
      </c>
      <c r="E912" s="217">
        <v>-0.03</v>
      </c>
      <c r="F912" s="217" t="s">
        <v>32</v>
      </c>
      <c r="G912" s="218">
        <v>2400</v>
      </c>
      <c r="H912" s="219">
        <v>579</v>
      </c>
      <c r="I912" s="217" t="s">
        <v>81</v>
      </c>
      <c r="J912" s="217" t="s">
        <v>38</v>
      </c>
      <c r="K912" s="217">
        <v>0.02</v>
      </c>
      <c r="L912" s="217" t="s">
        <v>1869</v>
      </c>
      <c r="M912" s="217" t="s">
        <v>103</v>
      </c>
      <c r="N912" s="67" t="s">
        <v>1872</v>
      </c>
      <c r="O912" s="30"/>
      <c r="P912" s="30" t="s">
        <v>117</v>
      </c>
      <c r="Q912" s="747">
        <v>40.009480000000003</v>
      </c>
      <c r="R912" s="636">
        <v>-86.252889999999994</v>
      </c>
      <c r="S912" s="30" t="s">
        <v>61</v>
      </c>
      <c r="T912" s="30"/>
      <c r="U912" s="30" t="s">
        <v>51</v>
      </c>
      <c r="V912" s="29"/>
      <c r="W912" s="31">
        <f>IF(AC912="Intr",0,G912*Definitions!$B$53)</f>
        <v>360</v>
      </c>
      <c r="X912" s="31">
        <f>IF(AC912="Intr",0,G912*Definitions!$B$54)</f>
        <v>1680</v>
      </c>
      <c r="Y912" s="31">
        <f>IF(AC912="Intr",G912,G912*Definitions!$B$55)</f>
        <v>360</v>
      </c>
      <c r="Z912" s="31" t="s">
        <v>966</v>
      </c>
      <c r="AA912" s="31" t="s">
        <v>963</v>
      </c>
      <c r="AB912" s="31" t="s">
        <v>1245</v>
      </c>
      <c r="AC912" s="30"/>
      <c r="AD912" s="30"/>
      <c r="AE912" s="30"/>
      <c r="AF912" s="30"/>
      <c r="AG912" s="32"/>
      <c r="AH912" s="30" t="s">
        <v>1882</v>
      </c>
    </row>
    <row r="913" spans="1:34" x14ac:dyDescent="0.2">
      <c r="A913" s="237">
        <v>45744</v>
      </c>
      <c r="B913" s="238" t="s">
        <v>173</v>
      </c>
      <c r="C913" s="238">
        <v>2025</v>
      </c>
      <c r="D913" s="238" t="s">
        <v>9</v>
      </c>
      <c r="E913" s="240">
        <v>-330</v>
      </c>
      <c r="F913" s="240" t="s">
        <v>33</v>
      </c>
      <c r="G913" s="317">
        <v>132000</v>
      </c>
      <c r="H913" s="318">
        <v>577</v>
      </c>
      <c r="I913" s="240" t="s">
        <v>80</v>
      </c>
      <c r="J913" s="240" t="s">
        <v>40</v>
      </c>
      <c r="K913" s="240">
        <v>1607</v>
      </c>
      <c r="L913" s="240" t="s">
        <v>726</v>
      </c>
      <c r="M913" s="240" t="s">
        <v>1873</v>
      </c>
      <c r="N913" s="319" t="s">
        <v>1874</v>
      </c>
      <c r="O913" s="238"/>
      <c r="P913" s="238" t="s">
        <v>393</v>
      </c>
      <c r="Q913" s="734">
        <v>38.330280000000002</v>
      </c>
      <c r="R913" s="648">
        <v>-87.436239999999998</v>
      </c>
      <c r="S913" s="238" t="s">
        <v>63</v>
      </c>
      <c r="T913" s="238"/>
      <c r="U913" s="238" t="s">
        <v>51</v>
      </c>
      <c r="V913" s="237"/>
      <c r="W913" s="244">
        <f>IF(AC913="Intr",0,G913*Definitions!$B$53)</f>
        <v>19800</v>
      </c>
      <c r="X913" s="244">
        <f>IF(AC913="Intr",0,G913*Definitions!$B$54)</f>
        <v>92400</v>
      </c>
      <c r="Y913" s="244">
        <f>IF(AC913="Intr",G913,G913*Definitions!$B$55)</f>
        <v>19800</v>
      </c>
      <c r="Z913" s="244" t="s">
        <v>966</v>
      </c>
      <c r="AA913" s="244" t="s">
        <v>965</v>
      </c>
      <c r="AB913" s="244"/>
      <c r="AC913" s="238"/>
      <c r="AD913" s="238"/>
      <c r="AE913" s="238"/>
      <c r="AF913" s="238"/>
      <c r="AG913" s="245"/>
      <c r="AH913" s="238" t="s">
        <v>1883</v>
      </c>
    </row>
    <row r="914" spans="1:34" x14ac:dyDescent="0.2">
      <c r="A914" s="274">
        <v>45744</v>
      </c>
      <c r="B914" s="275" t="s">
        <v>173</v>
      </c>
      <c r="C914" s="275">
        <v>2025</v>
      </c>
      <c r="D914" s="275" t="s">
        <v>8</v>
      </c>
      <c r="E914" s="276">
        <v>-3.319</v>
      </c>
      <c r="F914" s="276" t="s">
        <v>32</v>
      </c>
      <c r="G914" s="277">
        <v>265520</v>
      </c>
      <c r="H914" s="278">
        <v>547</v>
      </c>
      <c r="I914" s="276" t="s">
        <v>81</v>
      </c>
      <c r="J914" s="276" t="s">
        <v>36</v>
      </c>
      <c r="K914" s="276">
        <v>2.2130000000000001</v>
      </c>
      <c r="L914" s="276" t="s">
        <v>726</v>
      </c>
      <c r="M914" s="276" t="s">
        <v>103</v>
      </c>
      <c r="N914" s="279" t="s">
        <v>1875</v>
      </c>
      <c r="O914" s="275"/>
      <c r="P914" s="275" t="s">
        <v>121</v>
      </c>
      <c r="Q914" s="755">
        <v>39.820002000000002</v>
      </c>
      <c r="R914" s="657">
        <v>-85.846967000000006</v>
      </c>
      <c r="S914" s="275" t="s">
        <v>63</v>
      </c>
      <c r="T914" s="275"/>
      <c r="U914" s="275" t="s">
        <v>51</v>
      </c>
      <c r="V914" s="274"/>
      <c r="W914" s="280">
        <f>IF(AC914="Intr",0,G914*Definitions!$B$53)</f>
        <v>39828</v>
      </c>
      <c r="X914" s="280">
        <f>IF(AC914="Intr",0,G914*Definitions!$B$54)</f>
        <v>185864</v>
      </c>
      <c r="Y914" s="280">
        <f>IF(AC914="Intr",G914,G914*Definitions!$B$55)</f>
        <v>39828</v>
      </c>
      <c r="Z914" s="280" t="s">
        <v>966</v>
      </c>
      <c r="AA914" s="280" t="s">
        <v>963</v>
      </c>
      <c r="AB914" s="280" t="s">
        <v>970</v>
      </c>
      <c r="AC914" s="275"/>
      <c r="AD914" s="275"/>
      <c r="AE914" s="275"/>
      <c r="AF914" s="275"/>
      <c r="AG914" s="281"/>
      <c r="AH914" s="275" t="s">
        <v>1884</v>
      </c>
    </row>
    <row r="915" spans="1:34" x14ac:dyDescent="0.2">
      <c r="A915" s="145">
        <v>45747</v>
      </c>
      <c r="B915" s="112" t="s">
        <v>173</v>
      </c>
      <c r="C915" s="112">
        <v>2025</v>
      </c>
      <c r="D915" s="112" t="s">
        <v>7</v>
      </c>
      <c r="E915" s="146">
        <v>-1.63</v>
      </c>
      <c r="F915" s="146" t="s">
        <v>32</v>
      </c>
      <c r="G915" s="147">
        <v>130399.99999999999</v>
      </c>
      <c r="H915" s="148">
        <v>581</v>
      </c>
      <c r="I915" s="146" t="s">
        <v>80</v>
      </c>
      <c r="J915" s="146" t="s">
        <v>36</v>
      </c>
      <c r="K915" s="146">
        <v>1.81</v>
      </c>
      <c r="L915" s="146" t="s">
        <v>1166</v>
      </c>
      <c r="M915" s="146" t="s">
        <v>1876</v>
      </c>
      <c r="N915" s="149" t="s">
        <v>1877</v>
      </c>
      <c r="O915" s="112"/>
      <c r="P915" s="112" t="s">
        <v>143</v>
      </c>
      <c r="Q915" s="729">
        <v>39.636488999999997</v>
      </c>
      <c r="R915" s="591">
        <v>-86.292974000000001</v>
      </c>
      <c r="S915" s="112" t="s">
        <v>61</v>
      </c>
      <c r="T915" s="112"/>
      <c r="U915" s="112" t="s">
        <v>51</v>
      </c>
      <c r="V915" s="145"/>
      <c r="W915" s="150">
        <f>IF(AC915="Intr",0,G915*Definitions!$B$53)</f>
        <v>19559.999999999996</v>
      </c>
      <c r="X915" s="150">
        <f>IF(AC915="Intr",0,G915*Definitions!$B$54)</f>
        <v>91279.999999999985</v>
      </c>
      <c r="Y915" s="150">
        <f>IF(AC915="Intr",G915,G915*Definitions!$B$55)</f>
        <v>19559.999999999996</v>
      </c>
      <c r="Z915" s="150" t="s">
        <v>966</v>
      </c>
      <c r="AA915" s="150" t="s">
        <v>965</v>
      </c>
      <c r="AB915" s="150"/>
      <c r="AC915" s="112"/>
      <c r="AD915" s="112"/>
      <c r="AE915" s="112"/>
      <c r="AF915" s="112"/>
      <c r="AG915" s="151"/>
      <c r="AH915" s="112"/>
    </row>
    <row r="916" spans="1:34" x14ac:dyDescent="0.2">
      <c r="A916" s="145">
        <v>45747</v>
      </c>
      <c r="B916" s="112" t="s">
        <v>173</v>
      </c>
      <c r="C916" s="112">
        <v>2025</v>
      </c>
      <c r="D916" s="112" t="s">
        <v>7</v>
      </c>
      <c r="E916" s="146">
        <v>-600</v>
      </c>
      <c r="F916" s="146" t="s">
        <v>33</v>
      </c>
      <c r="G916" s="147">
        <v>270000</v>
      </c>
      <c r="H916" s="148">
        <v>581</v>
      </c>
      <c r="I916" s="146" t="s">
        <v>80</v>
      </c>
      <c r="J916" s="146" t="s">
        <v>40</v>
      </c>
      <c r="K916" s="146">
        <v>159</v>
      </c>
      <c r="L916" s="146" t="s">
        <v>1166</v>
      </c>
      <c r="M916" s="146" t="s">
        <v>1876</v>
      </c>
      <c r="N916" s="149" t="s">
        <v>1877</v>
      </c>
      <c r="O916" s="112"/>
      <c r="P916" s="112" t="s">
        <v>143</v>
      </c>
      <c r="Q916" s="729">
        <v>39.636488999999997</v>
      </c>
      <c r="R916" s="591">
        <v>-86.292974000000001</v>
      </c>
      <c r="S916" s="112" t="s">
        <v>61</v>
      </c>
      <c r="T916" s="112"/>
      <c r="U916" s="112" t="s">
        <v>51</v>
      </c>
      <c r="V916" s="145"/>
      <c r="W916" s="150">
        <f>IF(AC916="Intr",0,G916*Definitions!$B$53)</f>
        <v>40500</v>
      </c>
      <c r="X916" s="150">
        <f>IF(AC916="Intr",0,G916*Definitions!$B$54)</f>
        <v>189000</v>
      </c>
      <c r="Y916" s="150">
        <f>IF(AC916="Intr",G916,G916*Definitions!$B$55)</f>
        <v>40500</v>
      </c>
      <c r="Z916" s="150" t="s">
        <v>966</v>
      </c>
      <c r="AA916" s="150" t="s">
        <v>965</v>
      </c>
      <c r="AB916" s="150"/>
      <c r="AC916" s="112"/>
      <c r="AD916" s="112"/>
      <c r="AE916" s="112"/>
      <c r="AF916" s="112"/>
      <c r="AG916" s="151"/>
      <c r="AH916" s="112"/>
    </row>
    <row r="917" spans="1:34" x14ac:dyDescent="0.2">
      <c r="A917" s="41">
        <v>45747</v>
      </c>
      <c r="B917" s="42" t="s">
        <v>173</v>
      </c>
      <c r="C917" s="42">
        <v>2025</v>
      </c>
      <c r="D917" s="42" t="s">
        <v>7</v>
      </c>
      <c r="E917" s="320">
        <v>-1.8</v>
      </c>
      <c r="F917" s="320" t="s">
        <v>32</v>
      </c>
      <c r="G917" s="343">
        <v>144000</v>
      </c>
      <c r="H917" s="344">
        <v>580</v>
      </c>
      <c r="I917" s="320" t="s">
        <v>80</v>
      </c>
      <c r="J917" s="320" t="s">
        <v>38</v>
      </c>
      <c r="K917" s="320">
        <v>0.67</v>
      </c>
      <c r="L917" s="320" t="s">
        <v>726</v>
      </c>
      <c r="M917" s="320" t="s">
        <v>1878</v>
      </c>
      <c r="N917" s="73" t="s">
        <v>1879</v>
      </c>
      <c r="O917" s="42"/>
      <c r="P917" s="42" t="s">
        <v>1285</v>
      </c>
      <c r="Q917" s="731">
        <v>39.433816</v>
      </c>
      <c r="R917" s="593">
        <v>-86.449562999999998</v>
      </c>
      <c r="S917" s="42" t="s">
        <v>63</v>
      </c>
      <c r="T917" s="42"/>
      <c r="U917" s="42" t="s">
        <v>51</v>
      </c>
      <c r="V917" s="41"/>
      <c r="W917" s="43">
        <f>IF(AC917="Intr",0,G917*Definitions!$B$53)</f>
        <v>21600</v>
      </c>
      <c r="X917" s="43">
        <f>IF(AC917="Intr",0,G917*Definitions!$B$54)</f>
        <v>100800</v>
      </c>
      <c r="Y917" s="43">
        <f>IF(AC917="Intr",G917,G917*Definitions!$B$55)</f>
        <v>21600</v>
      </c>
      <c r="Z917" s="43" t="s">
        <v>966</v>
      </c>
      <c r="AA917" s="43" t="s">
        <v>965</v>
      </c>
      <c r="AB917" s="43"/>
      <c r="AC917" s="42"/>
      <c r="AD917" s="42"/>
      <c r="AE917" s="42"/>
      <c r="AF917" s="42"/>
      <c r="AG917" s="44"/>
      <c r="AH917" s="42" t="s">
        <v>1885</v>
      </c>
    </row>
    <row r="918" spans="1:34" x14ac:dyDescent="0.2">
      <c r="A918" s="168">
        <v>45755</v>
      </c>
      <c r="B918" s="169" t="s">
        <v>193</v>
      </c>
      <c r="C918" s="169">
        <v>2025</v>
      </c>
      <c r="D918" s="169" t="s">
        <v>7</v>
      </c>
      <c r="E918" s="170">
        <v>-307</v>
      </c>
      <c r="F918" s="170" t="s">
        <v>33</v>
      </c>
      <c r="G918" s="171">
        <v>138150</v>
      </c>
      <c r="H918" s="172">
        <v>575</v>
      </c>
      <c r="I918" s="170" t="s">
        <v>80</v>
      </c>
      <c r="J918" s="170" t="s">
        <v>41</v>
      </c>
      <c r="K918" s="170">
        <v>255.55</v>
      </c>
      <c r="L918" s="170" t="s">
        <v>406</v>
      </c>
      <c r="M918" s="170" t="s">
        <v>1886</v>
      </c>
      <c r="N918" s="173" t="s">
        <v>1887</v>
      </c>
      <c r="O918" s="169"/>
      <c r="P918" s="169" t="s">
        <v>162</v>
      </c>
      <c r="Q918" s="732">
        <v>39.770499999999998</v>
      </c>
      <c r="R918" s="646">
        <v>-86.462599999999995</v>
      </c>
      <c r="S918" s="169" t="s">
        <v>61</v>
      </c>
      <c r="T918" s="169"/>
      <c r="U918" s="169" t="s">
        <v>51</v>
      </c>
      <c r="V918" s="168"/>
      <c r="W918" s="174">
        <f>IF(AC918="Intr",0,G918*Definitions!$B$53)</f>
        <v>20722.5</v>
      </c>
      <c r="X918" s="174">
        <f>IF(AC918="Intr",0,G918*Definitions!$B$54)</f>
        <v>96705</v>
      </c>
      <c r="Y918" s="174">
        <f>IF(AC918="Intr",G918,G918*Definitions!$B$55)</f>
        <v>20722.5</v>
      </c>
      <c r="Z918" s="174" t="s">
        <v>966</v>
      </c>
      <c r="AA918" s="174" t="s">
        <v>965</v>
      </c>
      <c r="AB918" s="174"/>
      <c r="AC918" s="169"/>
      <c r="AD918" s="169"/>
      <c r="AE918" s="169"/>
      <c r="AF918" s="169"/>
      <c r="AG918" s="175"/>
      <c r="AH918" s="169"/>
    </row>
    <row r="919" spans="1:34" x14ac:dyDescent="0.2">
      <c r="A919" s="168">
        <v>45755</v>
      </c>
      <c r="B919" s="169" t="s">
        <v>193</v>
      </c>
      <c r="C919" s="169">
        <v>2025</v>
      </c>
      <c r="D919" s="169" t="s">
        <v>7</v>
      </c>
      <c r="E919" s="170">
        <v>-579</v>
      </c>
      <c r="F919" s="170" t="s">
        <v>33</v>
      </c>
      <c r="G919" s="171">
        <v>260550</v>
      </c>
      <c r="H919" s="172">
        <v>575</v>
      </c>
      <c r="I919" s="170" t="s">
        <v>80</v>
      </c>
      <c r="J919" s="170" t="s">
        <v>40</v>
      </c>
      <c r="K919" s="170">
        <v>603.65</v>
      </c>
      <c r="L919" s="170" t="s">
        <v>406</v>
      </c>
      <c r="M919" s="170" t="s">
        <v>1886</v>
      </c>
      <c r="N919" s="173" t="s">
        <v>1887</v>
      </c>
      <c r="O919" s="169"/>
      <c r="P919" s="169" t="s">
        <v>162</v>
      </c>
      <c r="Q919" s="732">
        <v>39.770499999999998</v>
      </c>
      <c r="R919" s="646">
        <v>-86.462599999999995</v>
      </c>
      <c r="S919" s="169" t="s">
        <v>61</v>
      </c>
      <c r="T919" s="169"/>
      <c r="U919" s="169" t="s">
        <v>51</v>
      </c>
      <c r="V919" s="168"/>
      <c r="W919" s="174">
        <f>IF(AC919="Intr",0,G919*Definitions!$B$53)</f>
        <v>39082.5</v>
      </c>
      <c r="X919" s="174">
        <f>IF(AC919="Intr",0,G919*Definitions!$B$54)</f>
        <v>182385</v>
      </c>
      <c r="Y919" s="174">
        <f>IF(AC919="Intr",G919,G919*Definitions!$B$55)</f>
        <v>39082.5</v>
      </c>
      <c r="Z919" s="174" t="s">
        <v>966</v>
      </c>
      <c r="AA919" s="174" t="s">
        <v>965</v>
      </c>
      <c r="AB919" s="174"/>
      <c r="AC919" s="169"/>
      <c r="AD919" s="169"/>
      <c r="AE919" s="169"/>
      <c r="AF919" s="169"/>
      <c r="AG919" s="175"/>
      <c r="AH919" s="169"/>
    </row>
    <row r="920" spans="1:34" x14ac:dyDescent="0.2">
      <c r="A920" s="168">
        <v>45755</v>
      </c>
      <c r="B920" s="169" t="s">
        <v>193</v>
      </c>
      <c r="C920" s="169">
        <v>2025</v>
      </c>
      <c r="D920" s="169" t="s">
        <v>7</v>
      </c>
      <c r="E920" s="170">
        <v>-124</v>
      </c>
      <c r="F920" s="170" t="s">
        <v>33</v>
      </c>
      <c r="G920" s="171">
        <v>55800</v>
      </c>
      <c r="H920" s="172">
        <v>575</v>
      </c>
      <c r="I920" s="170" t="s">
        <v>80</v>
      </c>
      <c r="J920" s="170" t="s">
        <v>39</v>
      </c>
      <c r="K920" s="170">
        <v>103.65</v>
      </c>
      <c r="L920" s="170" t="s">
        <v>406</v>
      </c>
      <c r="M920" s="170" t="s">
        <v>1886</v>
      </c>
      <c r="N920" s="173" t="s">
        <v>1887</v>
      </c>
      <c r="O920" s="169"/>
      <c r="P920" s="169" t="s">
        <v>162</v>
      </c>
      <c r="Q920" s="732">
        <v>39.770499999999998</v>
      </c>
      <c r="R920" s="646">
        <v>-86.462599999999995</v>
      </c>
      <c r="S920" s="169" t="s">
        <v>61</v>
      </c>
      <c r="T920" s="169"/>
      <c r="U920" s="169" t="s">
        <v>51</v>
      </c>
      <c r="V920" s="168"/>
      <c r="W920" s="174">
        <f>IF(AC920="Intr",0,G920*Definitions!$B$53)</f>
        <v>8370</v>
      </c>
      <c r="X920" s="174">
        <f>IF(AC920="Intr",0,G920*Definitions!$B$54)</f>
        <v>39060</v>
      </c>
      <c r="Y920" s="174">
        <f>IF(AC920="Intr",G920,G920*Definitions!$B$55)</f>
        <v>8370</v>
      </c>
      <c r="Z920" s="174" t="s">
        <v>966</v>
      </c>
      <c r="AA920" s="174" t="s">
        <v>965</v>
      </c>
      <c r="AB920" s="174"/>
      <c r="AC920" s="169"/>
      <c r="AD920" s="169"/>
      <c r="AE920" s="169"/>
      <c r="AF920" s="169"/>
      <c r="AG920" s="175"/>
      <c r="AH920" s="169"/>
    </row>
    <row r="921" spans="1:34" x14ac:dyDescent="0.2">
      <c r="A921" s="160">
        <v>45756</v>
      </c>
      <c r="B921" s="161" t="s">
        <v>193</v>
      </c>
      <c r="C921" s="161">
        <v>2025</v>
      </c>
      <c r="D921" s="161" t="s">
        <v>1</v>
      </c>
      <c r="E921" s="162">
        <v>-0.10199999999999999</v>
      </c>
      <c r="F921" s="162" t="s">
        <v>32</v>
      </c>
      <c r="G921" s="163">
        <v>9690</v>
      </c>
      <c r="H921" s="164">
        <v>572</v>
      </c>
      <c r="I921" s="162" t="s">
        <v>80</v>
      </c>
      <c r="J921" s="162" t="s">
        <v>36</v>
      </c>
      <c r="K921" s="162">
        <v>0.63</v>
      </c>
      <c r="L921" s="162" t="s">
        <v>408</v>
      </c>
      <c r="M921" s="162" t="s">
        <v>1888</v>
      </c>
      <c r="N921" s="165" t="s">
        <v>1889</v>
      </c>
      <c r="O921" s="161"/>
      <c r="P921" s="161" t="s">
        <v>227</v>
      </c>
      <c r="Q921" s="741">
        <v>41.559417000000003</v>
      </c>
      <c r="R921" s="654">
        <v>-87.430871999999994</v>
      </c>
      <c r="S921" s="161" t="s">
        <v>62</v>
      </c>
      <c r="T921" s="161"/>
      <c r="U921" s="161" t="s">
        <v>51</v>
      </c>
      <c r="V921" s="160"/>
      <c r="W921" s="166">
        <f>IF(AC921="Intr",0,G921*Definitions!$B$53)</f>
        <v>1453.5</v>
      </c>
      <c r="X921" s="166">
        <f>IF(AC921="Intr",0,G921*Definitions!$B$54)</f>
        <v>6783</v>
      </c>
      <c r="Y921" s="166">
        <f>IF(AC921="Intr",G921,G921*Definitions!$B$55)</f>
        <v>1453.5</v>
      </c>
      <c r="Z921" s="166" t="s">
        <v>967</v>
      </c>
      <c r="AA921" s="166" t="s">
        <v>965</v>
      </c>
      <c r="AB921" s="166"/>
      <c r="AC921" s="161"/>
      <c r="AD921" s="161"/>
      <c r="AE921" s="161"/>
      <c r="AF921" s="161"/>
      <c r="AG921" s="167"/>
      <c r="AH921" s="161"/>
    </row>
    <row r="922" spans="1:34" x14ac:dyDescent="0.2">
      <c r="A922" s="33">
        <v>45756</v>
      </c>
      <c r="B922" s="34" t="s">
        <v>193</v>
      </c>
      <c r="C922" s="34">
        <v>2025</v>
      </c>
      <c r="D922" s="34" t="s">
        <v>5</v>
      </c>
      <c r="E922" s="271">
        <v>-1.6240000000000001</v>
      </c>
      <c r="F922" s="271" t="s">
        <v>32</v>
      </c>
      <c r="G922" s="272">
        <v>129920</v>
      </c>
      <c r="H922" s="273">
        <v>582</v>
      </c>
      <c r="I922" s="271" t="s">
        <v>80</v>
      </c>
      <c r="J922" s="271" t="s">
        <v>38</v>
      </c>
      <c r="K922" s="271">
        <v>0.54100000000000004</v>
      </c>
      <c r="L922" s="271" t="s">
        <v>927</v>
      </c>
      <c r="M922" s="271" t="s">
        <v>1890</v>
      </c>
      <c r="N922" s="116" t="s">
        <v>1891</v>
      </c>
      <c r="O922" s="34"/>
      <c r="P922" s="34" t="s">
        <v>255</v>
      </c>
      <c r="Q922" s="773">
        <v>41.205719999999999</v>
      </c>
      <c r="R922" s="592">
        <v>-85.231769999999997</v>
      </c>
      <c r="S922" s="34" t="s">
        <v>61</v>
      </c>
      <c r="T922" s="34"/>
      <c r="U922" s="34" t="s">
        <v>51</v>
      </c>
      <c r="V922" s="33"/>
      <c r="W922" s="35">
        <f>IF(AC922="Intr",0,G922*Definitions!$B$53)</f>
        <v>19488</v>
      </c>
      <c r="X922" s="35">
        <f>IF(AC922="Intr",0,G922*Definitions!$B$54)</f>
        <v>90944</v>
      </c>
      <c r="Y922" s="35">
        <f>IF(AC922="Intr",G922,G922*Definitions!$B$55)</f>
        <v>19488</v>
      </c>
      <c r="Z922" s="35" t="s">
        <v>966</v>
      </c>
      <c r="AA922" s="35" t="s">
        <v>965</v>
      </c>
      <c r="AB922" s="35"/>
      <c r="AC922" s="34"/>
      <c r="AD922" s="34"/>
      <c r="AE922" s="34"/>
      <c r="AF922" s="34"/>
      <c r="AG922" s="36"/>
      <c r="AH922" s="34"/>
    </row>
    <row r="923" spans="1:34" x14ac:dyDescent="0.2">
      <c r="A923" s="79">
        <v>45778</v>
      </c>
      <c r="B923" s="80" t="s">
        <v>95</v>
      </c>
      <c r="C923" s="80">
        <v>2025</v>
      </c>
      <c r="D923" s="80" t="s">
        <v>5</v>
      </c>
      <c r="E923" s="81">
        <v>-0.02</v>
      </c>
      <c r="F923" s="81" t="s">
        <v>32</v>
      </c>
      <c r="G923" s="82">
        <v>1600</v>
      </c>
      <c r="H923" s="910" t="s">
        <v>1892</v>
      </c>
      <c r="I923" s="81" t="s">
        <v>80</v>
      </c>
      <c r="J923" s="81" t="s">
        <v>36</v>
      </c>
      <c r="K923" s="81">
        <v>0.01</v>
      </c>
      <c r="L923" s="81" t="s">
        <v>1893</v>
      </c>
      <c r="M923" s="81" t="s">
        <v>1896</v>
      </c>
      <c r="N923" s="84" t="s">
        <v>1907</v>
      </c>
      <c r="O923" s="80"/>
      <c r="P923" s="80" t="s">
        <v>1460</v>
      </c>
      <c r="Q923" s="770">
        <v>40.784700000000001</v>
      </c>
      <c r="R923" s="668">
        <v>-86.148200000000003</v>
      </c>
      <c r="S923" s="80" t="s">
        <v>61</v>
      </c>
      <c r="T923" s="80"/>
      <c r="U923" s="80" t="s">
        <v>51</v>
      </c>
      <c r="V923" s="79"/>
      <c r="W923" s="86">
        <f>IF(AC923="Intr",0,G923*Definitions!$B$53)</f>
        <v>240</v>
      </c>
      <c r="X923" s="86">
        <f>IF(AC923="Intr",0,G923*Definitions!$B$54)</f>
        <v>1120</v>
      </c>
      <c r="Y923" s="86">
        <f>IF(AC923="Intr",G923,G923*Definitions!$B$55)</f>
        <v>240</v>
      </c>
      <c r="Z923" s="86" t="s">
        <v>966</v>
      </c>
      <c r="AA923" s="86" t="s">
        <v>965</v>
      </c>
      <c r="AB923" s="86"/>
      <c r="AC923" s="80"/>
      <c r="AD923" s="80"/>
      <c r="AE923" s="80"/>
      <c r="AF923" s="80"/>
      <c r="AG923" s="87"/>
      <c r="AH923" s="80"/>
    </row>
    <row r="924" spans="1:34" x14ac:dyDescent="0.2">
      <c r="A924" s="79">
        <v>45778</v>
      </c>
      <c r="B924" s="80" t="s">
        <v>95</v>
      </c>
      <c r="C924" s="80">
        <v>2025</v>
      </c>
      <c r="D924" s="80" t="s">
        <v>5</v>
      </c>
      <c r="E924" s="81">
        <v>-0.69</v>
      </c>
      <c r="F924" s="81" t="s">
        <v>32</v>
      </c>
      <c r="G924" s="82">
        <v>55200</v>
      </c>
      <c r="H924" s="910" t="s">
        <v>1892</v>
      </c>
      <c r="I924" s="81" t="s">
        <v>80</v>
      </c>
      <c r="J924" s="81" t="s">
        <v>37</v>
      </c>
      <c r="K924" s="81">
        <v>0.23</v>
      </c>
      <c r="L924" s="81" t="s">
        <v>1893</v>
      </c>
      <c r="M924" s="81" t="s">
        <v>1896</v>
      </c>
      <c r="N924" s="84" t="s">
        <v>1907</v>
      </c>
      <c r="O924" s="80"/>
      <c r="P924" s="80" t="s">
        <v>1460</v>
      </c>
      <c r="Q924" s="770">
        <v>40.784700000000001</v>
      </c>
      <c r="R924" s="668">
        <v>-86.148200000000003</v>
      </c>
      <c r="S924" s="80" t="s">
        <v>61</v>
      </c>
      <c r="T924" s="80"/>
      <c r="U924" s="80" t="s">
        <v>51</v>
      </c>
      <c r="V924" s="79"/>
      <c r="W924" s="86">
        <f>IF(AC924="Intr",0,G924*Definitions!$B$53)</f>
        <v>8280</v>
      </c>
      <c r="X924" s="86">
        <f>IF(AC924="Intr",0,G924*Definitions!$B$54)</f>
        <v>38640</v>
      </c>
      <c r="Y924" s="86">
        <f>IF(AC924="Intr",G924,G924*Definitions!$B$55)</f>
        <v>8280</v>
      </c>
      <c r="Z924" s="86" t="s">
        <v>966</v>
      </c>
      <c r="AA924" s="86" t="s">
        <v>965</v>
      </c>
      <c r="AB924" s="86"/>
      <c r="AC924" s="80"/>
      <c r="AD924" s="80"/>
      <c r="AE924" s="80"/>
      <c r="AF924" s="80"/>
      <c r="AG924" s="87"/>
      <c r="AH924" s="80"/>
    </row>
    <row r="925" spans="1:34" x14ac:dyDescent="0.2">
      <c r="A925" s="145">
        <v>45778</v>
      </c>
      <c r="B925" s="112" t="s">
        <v>95</v>
      </c>
      <c r="C925" s="112">
        <v>2025</v>
      </c>
      <c r="D925" s="112" t="s">
        <v>4</v>
      </c>
      <c r="E925" s="146">
        <v>-8.0000000000000002E-3</v>
      </c>
      <c r="F925" s="146" t="s">
        <v>32</v>
      </c>
      <c r="G925" s="147">
        <v>640</v>
      </c>
      <c r="H925" s="616">
        <v>578</v>
      </c>
      <c r="I925" s="146" t="s">
        <v>80</v>
      </c>
      <c r="J925" s="146" t="s">
        <v>38</v>
      </c>
      <c r="K925" s="146">
        <v>4.0000000000000001E-3</v>
      </c>
      <c r="L925" s="146" t="s">
        <v>726</v>
      </c>
      <c r="M925" s="146" t="s">
        <v>1861</v>
      </c>
      <c r="N925" s="149" t="s">
        <v>1860</v>
      </c>
      <c r="O925" s="112"/>
      <c r="P925" s="112" t="s">
        <v>255</v>
      </c>
      <c r="Q925" s="729">
        <v>41.091819000000001</v>
      </c>
      <c r="R925" s="591">
        <v>-84.994384999999994</v>
      </c>
      <c r="S925" s="112" t="s">
        <v>63</v>
      </c>
      <c r="T925" s="112"/>
      <c r="U925" s="112" t="s">
        <v>51</v>
      </c>
      <c r="V925" s="145"/>
      <c r="W925" s="150">
        <f>IF(AC925="Intr",0,G925*Definitions!$B$53)</f>
        <v>96</v>
      </c>
      <c r="X925" s="150">
        <f>IF(AC925="Intr",0,G925*Definitions!$B$54)</f>
        <v>448</v>
      </c>
      <c r="Y925" s="150">
        <f>IF(AC925="Intr",G925,G925*Definitions!$B$55)</f>
        <v>96</v>
      </c>
      <c r="Z925" s="150" t="s">
        <v>964</v>
      </c>
      <c r="AA925" s="150" t="s">
        <v>965</v>
      </c>
      <c r="AB925" s="150"/>
      <c r="AC925" s="112"/>
      <c r="AD925" s="112"/>
      <c r="AE925" s="112"/>
      <c r="AF925" s="112"/>
      <c r="AG925" s="151"/>
      <c r="AH925" s="112"/>
    </row>
    <row r="926" spans="1:34" x14ac:dyDescent="0.2">
      <c r="A926" s="307">
        <v>45778</v>
      </c>
      <c r="B926" s="308" t="s">
        <v>95</v>
      </c>
      <c r="C926" s="308">
        <v>2025</v>
      </c>
      <c r="D926" s="308" t="s">
        <v>8</v>
      </c>
      <c r="E926" s="309">
        <v>-1.45</v>
      </c>
      <c r="F926" s="309" t="s">
        <v>32</v>
      </c>
      <c r="G926" s="310">
        <v>116000</v>
      </c>
      <c r="H926" s="911">
        <v>548</v>
      </c>
      <c r="I926" s="309" t="s">
        <v>81</v>
      </c>
      <c r="J926" s="309" t="s">
        <v>38</v>
      </c>
      <c r="K926" s="309">
        <v>0.57799999999999996</v>
      </c>
      <c r="L926" s="309" t="s">
        <v>726</v>
      </c>
      <c r="M926" s="309" t="s">
        <v>103</v>
      </c>
      <c r="N926" s="312" t="s">
        <v>1897</v>
      </c>
      <c r="O926" s="308"/>
      <c r="P926" s="308" t="s">
        <v>125</v>
      </c>
      <c r="Q926" s="737">
        <v>39.259694000000003</v>
      </c>
      <c r="R926" s="651">
        <v>-85.952674999999999</v>
      </c>
      <c r="S926" s="308" t="s">
        <v>63</v>
      </c>
      <c r="T926" s="308"/>
      <c r="U926" s="308" t="s">
        <v>51</v>
      </c>
      <c r="V926" s="307"/>
      <c r="W926" s="313">
        <f>IF(AC926="Intr",0,G926*Definitions!$B$53)</f>
        <v>17400</v>
      </c>
      <c r="X926" s="313">
        <f>IF(AC926="Intr",0,G926*Definitions!$B$54)</f>
        <v>81200</v>
      </c>
      <c r="Y926" s="313">
        <f>IF(AC926="Intr",G926,G926*Definitions!$B$55)</f>
        <v>17400</v>
      </c>
      <c r="Z926" s="313" t="s">
        <v>966</v>
      </c>
      <c r="AA926" s="313" t="s">
        <v>963</v>
      </c>
      <c r="AB926" s="313" t="s">
        <v>1268</v>
      </c>
      <c r="AC926" s="308"/>
      <c r="AD926" s="308" t="s">
        <v>1911</v>
      </c>
      <c r="AE926" s="308"/>
      <c r="AF926" s="308"/>
      <c r="AG926" s="314"/>
      <c r="AH926" s="308"/>
    </row>
    <row r="927" spans="1:34" x14ac:dyDescent="0.2">
      <c r="A927" s="58">
        <v>45778</v>
      </c>
      <c r="B927" s="59" t="s">
        <v>95</v>
      </c>
      <c r="C927" s="59">
        <v>2025</v>
      </c>
      <c r="D927" s="59" t="s">
        <v>11</v>
      </c>
      <c r="E927" s="60">
        <v>-0.62</v>
      </c>
      <c r="F927" s="60" t="s">
        <v>32</v>
      </c>
      <c r="G927" s="61">
        <v>49600</v>
      </c>
      <c r="H927" s="612">
        <v>583</v>
      </c>
      <c r="I927" s="60" t="s">
        <v>80</v>
      </c>
      <c r="J927" s="60" t="s">
        <v>36</v>
      </c>
      <c r="K927" s="60">
        <v>0.312</v>
      </c>
      <c r="L927" s="60" t="s">
        <v>726</v>
      </c>
      <c r="M927" s="60" t="s">
        <v>1898</v>
      </c>
      <c r="N927" s="63" t="s">
        <v>1899</v>
      </c>
      <c r="O927" s="59"/>
      <c r="P927" s="59" t="s">
        <v>1909</v>
      </c>
      <c r="Q927" s="745">
        <v>38.060971000000002</v>
      </c>
      <c r="R927" s="637">
        <v>-87.475572999999997</v>
      </c>
      <c r="S927" s="59" t="s">
        <v>63</v>
      </c>
      <c r="T927" s="59"/>
      <c r="U927" s="59" t="s">
        <v>51</v>
      </c>
      <c r="V927" s="58"/>
      <c r="W927" s="65">
        <f>IF(AC927="Intr",0,G927*Definitions!$B$53)</f>
        <v>7440</v>
      </c>
      <c r="X927" s="65">
        <f>IF(AC927="Intr",0,G927*Definitions!$B$54)</f>
        <v>34720</v>
      </c>
      <c r="Y927" s="65">
        <f>IF(AC927="Intr",G927,G927*Definitions!$B$55)</f>
        <v>7440</v>
      </c>
      <c r="Z927" s="65" t="s">
        <v>966</v>
      </c>
      <c r="AA927" s="65" t="s">
        <v>965</v>
      </c>
      <c r="AB927" s="65"/>
      <c r="AC927" s="59"/>
      <c r="AD927" s="59" t="s">
        <v>1912</v>
      </c>
      <c r="AE927" s="59"/>
      <c r="AF927" s="59"/>
      <c r="AG927" s="66"/>
      <c r="AH927" s="59"/>
    </row>
    <row r="928" spans="1:34" x14ac:dyDescent="0.2">
      <c r="A928" s="58">
        <v>45778</v>
      </c>
      <c r="B928" s="59" t="s">
        <v>95</v>
      </c>
      <c r="C928" s="59">
        <v>2025</v>
      </c>
      <c r="D928" s="59" t="s">
        <v>11</v>
      </c>
      <c r="E928" s="60">
        <v>-0.83</v>
      </c>
      <c r="F928" s="60" t="s">
        <v>32</v>
      </c>
      <c r="G928" s="61">
        <v>66400</v>
      </c>
      <c r="H928" s="612">
        <v>583</v>
      </c>
      <c r="I928" s="60" t="s">
        <v>80</v>
      </c>
      <c r="J928" s="60" t="s">
        <v>38</v>
      </c>
      <c r="K928" s="60">
        <v>0.27800000000000002</v>
      </c>
      <c r="L928" s="60" t="s">
        <v>726</v>
      </c>
      <c r="M928" s="60" t="s">
        <v>1898</v>
      </c>
      <c r="N928" s="63" t="s">
        <v>1899</v>
      </c>
      <c r="O928" s="59"/>
      <c r="P928" s="59" t="s">
        <v>1909</v>
      </c>
      <c r="Q928" s="745">
        <v>38.060971000000002</v>
      </c>
      <c r="R928" s="637">
        <v>-87.475572999999997</v>
      </c>
      <c r="S928" s="59" t="s">
        <v>63</v>
      </c>
      <c r="T928" s="59"/>
      <c r="U928" s="59" t="s">
        <v>51</v>
      </c>
      <c r="V928" s="58"/>
      <c r="W928" s="65">
        <f>IF(AC928="Intr",0,G928*Definitions!$B$53)</f>
        <v>9960</v>
      </c>
      <c r="X928" s="65">
        <f>IF(AC928="Intr",0,G928*Definitions!$B$54)</f>
        <v>46480</v>
      </c>
      <c r="Y928" s="65">
        <f>IF(AC928="Intr",G928,G928*Definitions!$B$55)</f>
        <v>9960</v>
      </c>
      <c r="Z928" s="65" t="s">
        <v>966</v>
      </c>
      <c r="AA928" s="65" t="s">
        <v>965</v>
      </c>
      <c r="AB928" s="65"/>
      <c r="AC928" s="59"/>
      <c r="AD928" s="59" t="s">
        <v>1912</v>
      </c>
      <c r="AE928" s="59"/>
      <c r="AF928" s="59"/>
      <c r="AG928" s="66"/>
      <c r="AH928" s="59"/>
    </row>
    <row r="929" spans="1:34" x14ac:dyDescent="0.2">
      <c r="A929" s="58">
        <v>45778</v>
      </c>
      <c r="B929" s="59" t="s">
        <v>95</v>
      </c>
      <c r="C929" s="59">
        <v>2025</v>
      </c>
      <c r="D929" s="59" t="s">
        <v>11</v>
      </c>
      <c r="E929" s="60">
        <v>-15</v>
      </c>
      <c r="F929" s="60" t="s">
        <v>33</v>
      </c>
      <c r="G929" s="61">
        <v>6000</v>
      </c>
      <c r="H929" s="612">
        <v>583</v>
      </c>
      <c r="I929" s="60" t="s">
        <v>80</v>
      </c>
      <c r="J929" s="60" t="s">
        <v>41</v>
      </c>
      <c r="K929" s="60">
        <v>15</v>
      </c>
      <c r="L929" s="60" t="s">
        <v>726</v>
      </c>
      <c r="M929" s="60" t="s">
        <v>1898</v>
      </c>
      <c r="N929" s="63" t="s">
        <v>1899</v>
      </c>
      <c r="O929" s="59"/>
      <c r="P929" s="59" t="s">
        <v>1909</v>
      </c>
      <c r="Q929" s="745">
        <v>38.060971000000002</v>
      </c>
      <c r="R929" s="637">
        <v>-87.475572999999997</v>
      </c>
      <c r="S929" s="59" t="s">
        <v>63</v>
      </c>
      <c r="T929" s="59"/>
      <c r="U929" s="59" t="s">
        <v>51</v>
      </c>
      <c r="V929" s="58"/>
      <c r="W929" s="65">
        <f>IF(AC929="Intr",0,G929*Definitions!$B$53)</f>
        <v>900</v>
      </c>
      <c r="X929" s="65">
        <f>IF(AC929="Intr",0,G929*Definitions!$B$54)</f>
        <v>4200</v>
      </c>
      <c r="Y929" s="65">
        <f>IF(AC929="Intr",G929,G929*Definitions!$B$55)</f>
        <v>900</v>
      </c>
      <c r="Z929" s="65" t="s">
        <v>966</v>
      </c>
      <c r="AA929" s="65" t="s">
        <v>965</v>
      </c>
      <c r="AB929" s="65"/>
      <c r="AC929" s="59"/>
      <c r="AD929" s="59" t="s">
        <v>1912</v>
      </c>
      <c r="AE929" s="59"/>
      <c r="AF929" s="59"/>
      <c r="AG929" s="66"/>
      <c r="AH929" s="59"/>
    </row>
    <row r="930" spans="1:34" x14ac:dyDescent="0.2">
      <c r="A930" s="58">
        <v>45778</v>
      </c>
      <c r="B930" s="59" t="s">
        <v>95</v>
      </c>
      <c r="C930" s="59">
        <v>2025</v>
      </c>
      <c r="D930" s="59" t="s">
        <v>11</v>
      </c>
      <c r="E930" s="60">
        <v>-104</v>
      </c>
      <c r="F930" s="60" t="s">
        <v>33</v>
      </c>
      <c r="G930" s="61">
        <v>41600</v>
      </c>
      <c r="H930" s="612">
        <v>583</v>
      </c>
      <c r="I930" s="60" t="s">
        <v>80</v>
      </c>
      <c r="J930" s="60" t="s">
        <v>40</v>
      </c>
      <c r="K930" s="60">
        <v>2492.75</v>
      </c>
      <c r="L930" s="60" t="s">
        <v>726</v>
      </c>
      <c r="M930" s="60" t="s">
        <v>1898</v>
      </c>
      <c r="N930" s="63" t="s">
        <v>1899</v>
      </c>
      <c r="O930" s="59"/>
      <c r="P930" s="59" t="s">
        <v>1909</v>
      </c>
      <c r="Q930" s="745">
        <v>38.060971000000002</v>
      </c>
      <c r="R930" s="637">
        <v>-87.475572999999997</v>
      </c>
      <c r="S930" s="59" t="s">
        <v>63</v>
      </c>
      <c r="T930" s="59"/>
      <c r="U930" s="59" t="s">
        <v>51</v>
      </c>
      <c r="V930" s="58"/>
      <c r="W930" s="65">
        <f>IF(AC930="Intr",0,G930*Definitions!$B$53)</f>
        <v>6240</v>
      </c>
      <c r="X930" s="65">
        <f>IF(AC930="Intr",0,G930*Definitions!$B$54)</f>
        <v>29119.999999999996</v>
      </c>
      <c r="Y930" s="65">
        <f>IF(AC930="Intr",G930,G930*Definitions!$B$55)</f>
        <v>6240</v>
      </c>
      <c r="Z930" s="65" t="s">
        <v>966</v>
      </c>
      <c r="AA930" s="65" t="s">
        <v>965</v>
      </c>
      <c r="AB930" s="65"/>
      <c r="AC930" s="59"/>
      <c r="AD930" s="59" t="s">
        <v>1912</v>
      </c>
      <c r="AE930" s="59"/>
      <c r="AF930" s="59"/>
      <c r="AG930" s="66"/>
      <c r="AH930" s="59"/>
    </row>
    <row r="931" spans="1:34" x14ac:dyDescent="0.2">
      <c r="A931" s="160">
        <v>45778</v>
      </c>
      <c r="B931" s="161" t="s">
        <v>95</v>
      </c>
      <c r="C931" s="161">
        <v>2025</v>
      </c>
      <c r="D931" s="161" t="s">
        <v>1</v>
      </c>
      <c r="E931" s="162">
        <v>-0.76</v>
      </c>
      <c r="F931" s="162" t="s">
        <v>32</v>
      </c>
      <c r="G931" s="163">
        <v>72200</v>
      </c>
      <c r="H931" s="604">
        <v>589</v>
      </c>
      <c r="I931" s="162" t="s">
        <v>80</v>
      </c>
      <c r="J931" s="162" t="s">
        <v>36</v>
      </c>
      <c r="K931" s="162">
        <v>0.38</v>
      </c>
      <c r="L931" s="162" t="s">
        <v>726</v>
      </c>
      <c r="M931" s="162" t="s">
        <v>1900</v>
      </c>
      <c r="N931" s="165" t="s">
        <v>1908</v>
      </c>
      <c r="O931" s="161"/>
      <c r="P931" s="161" t="s">
        <v>227</v>
      </c>
      <c r="Q931" s="741">
        <v>41.380749999999999</v>
      </c>
      <c r="R931" s="654">
        <v>-87.306579999999997</v>
      </c>
      <c r="S931" s="161" t="s">
        <v>63</v>
      </c>
      <c r="T931" s="161"/>
      <c r="U931" s="161" t="s">
        <v>51</v>
      </c>
      <c r="V931" s="160"/>
      <c r="W931" s="166">
        <f>IF(AC931="Intr",0,G931*Definitions!$B$53)</f>
        <v>10830</v>
      </c>
      <c r="X931" s="166">
        <f>IF(AC931="Intr",0,G931*Definitions!$B$54)</f>
        <v>50540</v>
      </c>
      <c r="Y931" s="166">
        <f>IF(AC931="Intr",G931,G931*Definitions!$B$55)</f>
        <v>10830</v>
      </c>
      <c r="Z931" s="166" t="s">
        <v>967</v>
      </c>
      <c r="AA931" s="166" t="s">
        <v>965</v>
      </c>
      <c r="AB931" s="166"/>
      <c r="AC931" s="161"/>
      <c r="AD931" s="161"/>
      <c r="AE931" s="161"/>
      <c r="AF931" s="161"/>
      <c r="AG931" s="167"/>
      <c r="AH931" s="161"/>
    </row>
    <row r="932" spans="1:34" x14ac:dyDescent="0.2">
      <c r="A932" s="207">
        <v>45779</v>
      </c>
      <c r="B932" s="208" t="s">
        <v>95</v>
      </c>
      <c r="C932" s="208">
        <v>2025</v>
      </c>
      <c r="D932" s="208" t="s">
        <v>5</v>
      </c>
      <c r="E932" s="209">
        <v>-43</v>
      </c>
      <c r="F932" s="209" t="s">
        <v>33</v>
      </c>
      <c r="G932" s="210">
        <v>17200</v>
      </c>
      <c r="H932" s="600">
        <v>584</v>
      </c>
      <c r="I932" s="209" t="s">
        <v>80</v>
      </c>
      <c r="J932" s="209" t="s">
        <v>40</v>
      </c>
      <c r="K932" s="209">
        <v>43</v>
      </c>
      <c r="L932" s="209" t="s">
        <v>726</v>
      </c>
      <c r="M932" s="209" t="s">
        <v>103</v>
      </c>
      <c r="N932" s="212" t="s">
        <v>1901</v>
      </c>
      <c r="O932" s="208"/>
      <c r="P932" s="208" t="s">
        <v>274</v>
      </c>
      <c r="Q932" s="749">
        <v>40.322270000000003</v>
      </c>
      <c r="R932" s="641">
        <v>-86.750370000000004</v>
      </c>
      <c r="S932" s="208" t="s">
        <v>63</v>
      </c>
      <c r="T932" s="208"/>
      <c r="U932" s="208" t="s">
        <v>51</v>
      </c>
      <c r="V932" s="207"/>
      <c r="W932" s="213">
        <f>IF(AC932="Intr",0,G932*Definitions!$B$53)</f>
        <v>2580</v>
      </c>
      <c r="X932" s="213">
        <f>IF(AC932="Intr",0,G932*Definitions!$B$54)</f>
        <v>12040</v>
      </c>
      <c r="Y932" s="213">
        <f>IF(AC932="Intr",G932,G932*Definitions!$B$55)</f>
        <v>2580</v>
      </c>
      <c r="Z932" s="213" t="s">
        <v>966</v>
      </c>
      <c r="AA932" s="213" t="s">
        <v>965</v>
      </c>
      <c r="AB932" s="213"/>
      <c r="AC932" s="208"/>
      <c r="AD932" s="208" t="s">
        <v>1913</v>
      </c>
      <c r="AE932" s="208"/>
      <c r="AF932" s="208"/>
      <c r="AG932" s="214"/>
      <c r="AH932" s="208"/>
    </row>
    <row r="933" spans="1:34" x14ac:dyDescent="0.2">
      <c r="A933" s="29">
        <v>45779</v>
      </c>
      <c r="B933" s="30" t="s">
        <v>95</v>
      </c>
      <c r="C933" s="30">
        <v>2025</v>
      </c>
      <c r="D933" s="30" t="s">
        <v>1</v>
      </c>
      <c r="E933" s="217">
        <v>-0.26600000000000001</v>
      </c>
      <c r="F933" s="217" t="s">
        <v>32</v>
      </c>
      <c r="G933" s="218">
        <v>25270</v>
      </c>
      <c r="H933" s="628">
        <v>586</v>
      </c>
      <c r="I933" s="217" t="s">
        <v>80</v>
      </c>
      <c r="J933" s="217" t="s">
        <v>36</v>
      </c>
      <c r="K933" s="217">
        <v>0.11</v>
      </c>
      <c r="L933" s="217" t="s">
        <v>726</v>
      </c>
      <c r="M933" s="217" t="s">
        <v>1902</v>
      </c>
      <c r="N933" s="67" t="s">
        <v>1903</v>
      </c>
      <c r="O933" s="30"/>
      <c r="P933" s="30" t="s">
        <v>227</v>
      </c>
      <c r="Q933" s="747">
        <v>41.587384</v>
      </c>
      <c r="R933" s="636">
        <v>-87.306416999999996</v>
      </c>
      <c r="S933" s="30" t="s">
        <v>63</v>
      </c>
      <c r="T933" s="30"/>
      <c r="U933" s="30" t="s">
        <v>51</v>
      </c>
      <c r="V933" s="29"/>
      <c r="W933" s="31">
        <f>IF(AC933="Intr",0,G933*Definitions!$B$53)</f>
        <v>3790.5</v>
      </c>
      <c r="X933" s="31">
        <f>IF(AC933="Intr",0,G933*Definitions!$B$54)</f>
        <v>17689</v>
      </c>
      <c r="Y933" s="31">
        <f>IF(AC933="Intr",G933,G933*Definitions!$B$55)</f>
        <v>3790.5</v>
      </c>
      <c r="Z933" s="31" t="s">
        <v>967</v>
      </c>
      <c r="AA933" s="31" t="s">
        <v>965</v>
      </c>
      <c r="AB933" s="31"/>
      <c r="AC933" s="30"/>
      <c r="AD933" s="30" t="s">
        <v>1914</v>
      </c>
      <c r="AE933" s="30"/>
      <c r="AF933" s="30"/>
      <c r="AG933" s="32"/>
      <c r="AH933" s="30"/>
    </row>
    <row r="934" spans="1:34" x14ac:dyDescent="0.2">
      <c r="A934" s="29">
        <v>45779</v>
      </c>
      <c r="B934" s="30" t="s">
        <v>95</v>
      </c>
      <c r="C934" s="30">
        <v>2025</v>
      </c>
      <c r="D934" s="30" t="s">
        <v>1</v>
      </c>
      <c r="E934" s="217">
        <v>-0.39600000000000002</v>
      </c>
      <c r="F934" s="217" t="s">
        <v>32</v>
      </c>
      <c r="G934" s="218">
        <v>37620</v>
      </c>
      <c r="H934" s="628">
        <v>586</v>
      </c>
      <c r="I934" s="217" t="s">
        <v>80</v>
      </c>
      <c r="J934" s="217" t="s">
        <v>37</v>
      </c>
      <c r="K934" s="217">
        <v>0.11</v>
      </c>
      <c r="L934" s="217" t="s">
        <v>726</v>
      </c>
      <c r="M934" s="217" t="s">
        <v>1902</v>
      </c>
      <c r="N934" s="67" t="s">
        <v>1903</v>
      </c>
      <c r="O934" s="30"/>
      <c r="P934" s="30" t="s">
        <v>227</v>
      </c>
      <c r="Q934" s="747">
        <v>41.587384</v>
      </c>
      <c r="R934" s="636">
        <v>-87.306416999999996</v>
      </c>
      <c r="S934" s="30" t="s">
        <v>63</v>
      </c>
      <c r="T934" s="30"/>
      <c r="U934" s="30" t="s">
        <v>51</v>
      </c>
      <c r="V934" s="29"/>
      <c r="W934" s="31">
        <f>IF(AC934="Intr",0,G934*Definitions!$B$53)</f>
        <v>5643</v>
      </c>
      <c r="X934" s="31">
        <f>IF(AC934="Intr",0,G934*Definitions!$B$54)</f>
        <v>26334</v>
      </c>
      <c r="Y934" s="31">
        <f>IF(AC934="Intr",G934,G934*Definitions!$B$55)</f>
        <v>5643</v>
      </c>
      <c r="Z934" s="31" t="s">
        <v>967</v>
      </c>
      <c r="AA934" s="31" t="s">
        <v>965</v>
      </c>
      <c r="AB934" s="31"/>
      <c r="AC934" s="30"/>
      <c r="AD934" s="30" t="s">
        <v>1914</v>
      </c>
      <c r="AE934" s="30"/>
      <c r="AF934" s="30"/>
      <c r="AG934" s="32"/>
      <c r="AH934" s="30"/>
    </row>
    <row r="935" spans="1:34" x14ac:dyDescent="0.2">
      <c r="A935" s="152">
        <v>45779</v>
      </c>
      <c r="B935" s="153" t="s">
        <v>95</v>
      </c>
      <c r="C935" s="153">
        <v>2025</v>
      </c>
      <c r="D935" s="153" t="s">
        <v>11</v>
      </c>
      <c r="E935" s="154">
        <v>-643</v>
      </c>
      <c r="F935" s="154" t="s">
        <v>33</v>
      </c>
      <c r="G935" s="155">
        <v>257200</v>
      </c>
      <c r="H935" s="912">
        <v>556</v>
      </c>
      <c r="I935" s="154" t="s">
        <v>80</v>
      </c>
      <c r="J935" s="154" t="s">
        <v>40</v>
      </c>
      <c r="K935" s="154">
        <v>854</v>
      </c>
      <c r="L935" s="154" t="s">
        <v>1894</v>
      </c>
      <c r="M935" s="154" t="s">
        <v>1904</v>
      </c>
      <c r="N935" s="157" t="s">
        <v>1905</v>
      </c>
      <c r="O935" s="153"/>
      <c r="P935" s="153" t="s">
        <v>325</v>
      </c>
      <c r="Q935" s="751">
        <v>38.005415999999997</v>
      </c>
      <c r="R935" s="656">
        <v>-87.395927999999998</v>
      </c>
      <c r="S935" s="153" t="s">
        <v>63</v>
      </c>
      <c r="T935" s="153"/>
      <c r="U935" s="153" t="s">
        <v>51</v>
      </c>
      <c r="V935" s="152"/>
      <c r="W935" s="158">
        <f>IF(AC935="Intr",0,G935*Definitions!$B$53)</f>
        <v>38580</v>
      </c>
      <c r="X935" s="158">
        <f>IF(AC935="Intr",0,G935*Definitions!$B$54)</f>
        <v>180040</v>
      </c>
      <c r="Y935" s="158">
        <f>IF(AC935="Intr",G935,G935*Definitions!$B$55)</f>
        <v>38580</v>
      </c>
      <c r="Z935" s="158" t="s">
        <v>966</v>
      </c>
      <c r="AA935" s="158" t="s">
        <v>965</v>
      </c>
      <c r="AB935" s="158"/>
      <c r="AC935" s="153"/>
      <c r="AD935" s="153"/>
      <c r="AE935" s="153"/>
      <c r="AF935" s="153"/>
      <c r="AG935" s="159"/>
      <c r="AH935" s="153"/>
    </row>
    <row r="936" spans="1:34" x14ac:dyDescent="0.2">
      <c r="A936" s="33">
        <v>45779</v>
      </c>
      <c r="B936" s="34" t="s">
        <v>95</v>
      </c>
      <c r="C936" s="34">
        <v>2025</v>
      </c>
      <c r="D936" s="34" t="s">
        <v>5</v>
      </c>
      <c r="E936" s="271">
        <v>-0.10349999999999999</v>
      </c>
      <c r="F936" s="271" t="s">
        <v>32</v>
      </c>
      <c r="G936" s="272">
        <v>8280</v>
      </c>
      <c r="H936" s="273">
        <v>565</v>
      </c>
      <c r="I936" s="271" t="s">
        <v>81</v>
      </c>
      <c r="J936" s="271" t="s">
        <v>36</v>
      </c>
      <c r="K936" s="271">
        <v>6.9000000000000006E-2</v>
      </c>
      <c r="L936" s="271" t="s">
        <v>1895</v>
      </c>
      <c r="M936" s="271" t="s">
        <v>103</v>
      </c>
      <c r="N936" s="116" t="s">
        <v>1906</v>
      </c>
      <c r="O936" s="34"/>
      <c r="P936" s="34" t="s">
        <v>1910</v>
      </c>
      <c r="Q936" s="773">
        <v>40.750427000000002</v>
      </c>
      <c r="R936" s="592">
        <v>-86.776831999999999</v>
      </c>
      <c r="S936" s="34" t="s">
        <v>61</v>
      </c>
      <c r="T936" s="34"/>
      <c r="U936" s="34" t="s">
        <v>51</v>
      </c>
      <c r="V936" s="33"/>
      <c r="W936" s="35">
        <f>IF(AC936="Intr",0,G936*Definitions!$B$53)</f>
        <v>1242</v>
      </c>
      <c r="X936" s="35">
        <f>IF(AC936="Intr",0,G936*Definitions!$B$54)</f>
        <v>5796</v>
      </c>
      <c r="Y936" s="35">
        <f>IF(AC936="Intr",G936,G936*Definitions!$B$55)</f>
        <v>1242</v>
      </c>
      <c r="Z936" s="35" t="s">
        <v>966</v>
      </c>
      <c r="AA936" s="35" t="s">
        <v>963</v>
      </c>
      <c r="AB936" s="35" t="s">
        <v>970</v>
      </c>
      <c r="AC936" s="34"/>
      <c r="AD936" s="34"/>
      <c r="AE936" s="34"/>
      <c r="AF936" s="34"/>
      <c r="AG936" s="36"/>
      <c r="AH936" s="34"/>
    </row>
    <row r="937" spans="1:34" x14ac:dyDescent="0.2">
      <c r="A937" s="282">
        <v>45782</v>
      </c>
      <c r="B937" s="114" t="s">
        <v>95</v>
      </c>
      <c r="C937" s="114">
        <v>2025</v>
      </c>
      <c r="D937" s="114" t="s">
        <v>6</v>
      </c>
      <c r="E937" s="270">
        <v>-0.6</v>
      </c>
      <c r="F937" s="270" t="s">
        <v>32</v>
      </c>
      <c r="G937" s="283">
        <v>48000</v>
      </c>
      <c r="H937" s="284" t="s">
        <v>1915</v>
      </c>
      <c r="I937" s="270" t="s">
        <v>80</v>
      </c>
      <c r="J937" s="270" t="s">
        <v>36</v>
      </c>
      <c r="K937" s="270">
        <v>0.25040000000000001</v>
      </c>
      <c r="L937" s="270" t="s">
        <v>1916</v>
      </c>
      <c r="M937" s="270" t="s">
        <v>1917</v>
      </c>
      <c r="N937" s="285" t="s">
        <v>1918</v>
      </c>
      <c r="O937" s="114"/>
      <c r="P937" s="114" t="s">
        <v>205</v>
      </c>
      <c r="Q937" s="750">
        <v>39.351748999999998</v>
      </c>
      <c r="R937" s="635">
        <v>-87.411080999999996</v>
      </c>
      <c r="S937" s="114" t="s">
        <v>61</v>
      </c>
      <c r="T937" s="114"/>
      <c r="U937" s="114" t="s">
        <v>51</v>
      </c>
      <c r="V937" s="282"/>
      <c r="W937" s="286">
        <f>IF(AC937="Intr",0,G937*Definitions!$B$53)</f>
        <v>7200</v>
      </c>
      <c r="X937" s="286">
        <f>IF(AC937="Intr",0,G937*Definitions!$B$54)</f>
        <v>33600</v>
      </c>
      <c r="Y937" s="286">
        <f>IF(AC937="Intr",G937,G937*Definitions!$B$55)</f>
        <v>7200</v>
      </c>
      <c r="Z937" s="286" t="s">
        <v>966</v>
      </c>
      <c r="AA937" s="286" t="s">
        <v>965</v>
      </c>
      <c r="AB937" s="286"/>
      <c r="AC937" s="114"/>
      <c r="AD937" s="114"/>
      <c r="AE937" s="114"/>
      <c r="AF937" s="114"/>
      <c r="AG937" s="287"/>
      <c r="AH937" s="114"/>
    </row>
    <row r="938" spans="1:34" x14ac:dyDescent="0.2">
      <c r="A938" s="282">
        <v>45782</v>
      </c>
      <c r="B938" s="114" t="s">
        <v>95</v>
      </c>
      <c r="C938" s="114">
        <v>2025</v>
      </c>
      <c r="D938" s="114" t="s">
        <v>6</v>
      </c>
      <c r="E938" s="270">
        <v>-82</v>
      </c>
      <c r="F938" s="270" t="s">
        <v>33</v>
      </c>
      <c r="G938" s="283">
        <v>32800</v>
      </c>
      <c r="H938" s="284" t="s">
        <v>1915</v>
      </c>
      <c r="I938" s="270" t="s">
        <v>80</v>
      </c>
      <c r="J938" s="270" t="s">
        <v>40</v>
      </c>
      <c r="K938" s="270">
        <v>82</v>
      </c>
      <c r="L938" s="270" t="s">
        <v>1916</v>
      </c>
      <c r="M938" s="270" t="s">
        <v>1917</v>
      </c>
      <c r="N938" s="285" t="s">
        <v>1918</v>
      </c>
      <c r="O938" s="114"/>
      <c r="P938" s="114" t="s">
        <v>205</v>
      </c>
      <c r="Q938" s="750">
        <v>39.351748999999998</v>
      </c>
      <c r="R938" s="635">
        <v>-87.411080999999996</v>
      </c>
      <c r="S938" s="114" t="s">
        <v>61</v>
      </c>
      <c r="T938" s="114"/>
      <c r="U938" s="114" t="s">
        <v>51</v>
      </c>
      <c r="V938" s="282"/>
      <c r="W938" s="286">
        <f>IF(AC938="Intr",0,G938*Definitions!$B$53)</f>
        <v>4920</v>
      </c>
      <c r="X938" s="286">
        <f>IF(AC938="Intr",0,G938*Definitions!$B$54)</f>
        <v>22960</v>
      </c>
      <c r="Y938" s="286">
        <f>IF(AC938="Intr",G938,G938*Definitions!$B$55)</f>
        <v>4920</v>
      </c>
      <c r="Z938" s="286" t="s">
        <v>966</v>
      </c>
      <c r="AA938" s="286" t="s">
        <v>965</v>
      </c>
      <c r="AB938" s="286"/>
      <c r="AC938" s="114"/>
      <c r="AD938" s="114"/>
      <c r="AE938" s="114"/>
      <c r="AF938" s="114"/>
      <c r="AG938" s="287"/>
      <c r="AH938" s="114"/>
    </row>
    <row r="939" spans="1:34" x14ac:dyDescent="0.2">
      <c r="A939" s="145">
        <v>45782</v>
      </c>
      <c r="B939" s="112" t="s">
        <v>95</v>
      </c>
      <c r="C939" s="112">
        <v>2025</v>
      </c>
      <c r="D939" s="112" t="s">
        <v>5</v>
      </c>
      <c r="E939" s="146">
        <v>-2.242</v>
      </c>
      <c r="F939" s="146" t="s">
        <v>32</v>
      </c>
      <c r="G939" s="147">
        <v>179360</v>
      </c>
      <c r="H939" s="148">
        <v>600</v>
      </c>
      <c r="I939" s="146" t="s">
        <v>81</v>
      </c>
      <c r="J939" s="146" t="s">
        <v>38</v>
      </c>
      <c r="K939" s="146">
        <v>1.121</v>
      </c>
      <c r="L939" s="146" t="s">
        <v>1919</v>
      </c>
      <c r="M939" s="146" t="s">
        <v>103</v>
      </c>
      <c r="N939" s="149" t="s">
        <v>1920</v>
      </c>
      <c r="O939" s="112"/>
      <c r="P939" s="112" t="s">
        <v>255</v>
      </c>
      <c r="Q939" s="729">
        <v>41.189610000000002</v>
      </c>
      <c r="R939" s="591">
        <v>-85.163579999999996</v>
      </c>
      <c r="S939" s="112" t="s">
        <v>61</v>
      </c>
      <c r="T939" s="112"/>
      <c r="U939" s="112" t="s">
        <v>51</v>
      </c>
      <c r="V939" s="145"/>
      <c r="W939" s="150">
        <f>IF(AC939="Intr",0,G939*Definitions!$B$53)</f>
        <v>26904</v>
      </c>
      <c r="X939" s="150">
        <f>IF(AC939="Intr",0,G939*Definitions!$B$54)</f>
        <v>125551.99999999999</v>
      </c>
      <c r="Y939" s="150">
        <f>IF(AC939="Intr",G939,G939*Definitions!$B$55)</f>
        <v>26904</v>
      </c>
      <c r="Z939" s="150" t="s">
        <v>964</v>
      </c>
      <c r="AA939" s="150" t="s">
        <v>963</v>
      </c>
      <c r="AB939" s="150" t="s">
        <v>1245</v>
      </c>
      <c r="AC939" s="112"/>
      <c r="AD939" s="112"/>
      <c r="AE939" s="112"/>
      <c r="AF939" s="112"/>
      <c r="AG939" s="151"/>
      <c r="AH939" s="112"/>
    </row>
    <row r="940" spans="1:34" x14ac:dyDescent="0.2">
      <c r="A940" s="288">
        <v>45784</v>
      </c>
      <c r="B940" s="289" t="s">
        <v>95</v>
      </c>
      <c r="C940" s="289">
        <v>2025</v>
      </c>
      <c r="D940" s="289" t="s">
        <v>7</v>
      </c>
      <c r="E940" s="331">
        <v>-4.2999999999999997E-2</v>
      </c>
      <c r="F940" s="331" t="s">
        <v>32</v>
      </c>
      <c r="G940" s="332">
        <v>3440</v>
      </c>
      <c r="H940" s="333">
        <v>591</v>
      </c>
      <c r="I940" s="331" t="s">
        <v>80</v>
      </c>
      <c r="J940" s="331" t="s">
        <v>36</v>
      </c>
      <c r="K940" s="331">
        <v>1.7999999999999999E-2</v>
      </c>
      <c r="L940" s="331" t="s">
        <v>1921</v>
      </c>
      <c r="M940" s="331" t="s">
        <v>1922</v>
      </c>
      <c r="N940" s="290" t="s">
        <v>1923</v>
      </c>
      <c r="O940" s="289"/>
      <c r="P940" s="289" t="s">
        <v>101</v>
      </c>
      <c r="Q940" s="733">
        <v>39.568100000000001</v>
      </c>
      <c r="R940" s="647">
        <v>-86.147800000000004</v>
      </c>
      <c r="S940" s="289" t="s">
        <v>61</v>
      </c>
      <c r="T940" s="289"/>
      <c r="U940" s="289" t="s">
        <v>51</v>
      </c>
      <c r="V940" s="288"/>
      <c r="W940" s="293">
        <f>IF(AC940="Intr",0,G940*Definitions!$B$53)</f>
        <v>516</v>
      </c>
      <c r="X940" s="293">
        <f>IF(AC940="Intr",0,G940*Definitions!$B$54)</f>
        <v>2408</v>
      </c>
      <c r="Y940" s="293">
        <f>IF(AC940="Intr",G940,G940*Definitions!$B$55)</f>
        <v>516</v>
      </c>
      <c r="Z940" s="293" t="s">
        <v>966</v>
      </c>
      <c r="AA940" s="293" t="s">
        <v>965</v>
      </c>
      <c r="AB940" s="293"/>
      <c r="AC940" s="289"/>
      <c r="AD940" s="289"/>
      <c r="AE940" s="289"/>
      <c r="AF940" s="289"/>
      <c r="AG940" s="294"/>
      <c r="AH940" s="289"/>
    </row>
    <row r="941" spans="1:34" x14ac:dyDescent="0.2">
      <c r="A941" s="288">
        <v>45784</v>
      </c>
      <c r="B941" s="289" t="s">
        <v>95</v>
      </c>
      <c r="C941" s="289">
        <v>2025</v>
      </c>
      <c r="D941" s="289" t="s">
        <v>7</v>
      </c>
      <c r="E941" s="331">
        <v>-0.309</v>
      </c>
      <c r="F941" s="331" t="s">
        <v>32</v>
      </c>
      <c r="G941" s="332">
        <v>24720</v>
      </c>
      <c r="H941" s="333">
        <v>591</v>
      </c>
      <c r="I941" s="331" t="s">
        <v>80</v>
      </c>
      <c r="J941" s="331" t="s">
        <v>37</v>
      </c>
      <c r="K941" s="331">
        <v>0.10299999999999999</v>
      </c>
      <c r="L941" s="331" t="s">
        <v>1921</v>
      </c>
      <c r="M941" s="331" t="s">
        <v>1922</v>
      </c>
      <c r="N941" s="290" t="s">
        <v>1923</v>
      </c>
      <c r="O941" s="289"/>
      <c r="P941" s="289" t="s">
        <v>101</v>
      </c>
      <c r="Q941" s="733">
        <v>39.568100000000001</v>
      </c>
      <c r="R941" s="647">
        <v>-86.147800000000004</v>
      </c>
      <c r="S941" s="289" t="s">
        <v>61</v>
      </c>
      <c r="T941" s="289"/>
      <c r="U941" s="289" t="s">
        <v>51</v>
      </c>
      <c r="V941" s="288"/>
      <c r="W941" s="293">
        <f>IF(AC941="Intr",0,G941*Definitions!$B$53)</f>
        <v>3708</v>
      </c>
      <c r="X941" s="293">
        <f>IF(AC941="Intr",0,G941*Definitions!$B$54)</f>
        <v>17304</v>
      </c>
      <c r="Y941" s="293">
        <f>IF(AC941="Intr",G941,G941*Definitions!$B$55)</f>
        <v>3708</v>
      </c>
      <c r="Z941" s="293" t="s">
        <v>966</v>
      </c>
      <c r="AA941" s="293" t="s">
        <v>965</v>
      </c>
      <c r="AB941" s="293"/>
      <c r="AC941" s="289"/>
      <c r="AD941" s="289"/>
      <c r="AE941" s="289"/>
      <c r="AF941" s="289"/>
      <c r="AG941" s="294"/>
      <c r="AH941" s="289"/>
    </row>
    <row r="942" spans="1:34" x14ac:dyDescent="0.2">
      <c r="A942" s="288">
        <v>45784</v>
      </c>
      <c r="B942" s="289" t="s">
        <v>95</v>
      </c>
      <c r="C942" s="289">
        <v>2025</v>
      </c>
      <c r="D942" s="289" t="s">
        <v>7</v>
      </c>
      <c r="E942" s="331">
        <v>-10</v>
      </c>
      <c r="F942" s="331" t="s">
        <v>33</v>
      </c>
      <c r="G942" s="332">
        <v>4500</v>
      </c>
      <c r="H942" s="333">
        <v>591</v>
      </c>
      <c r="I942" s="331" t="s">
        <v>80</v>
      </c>
      <c r="J942" s="331" t="s">
        <v>40</v>
      </c>
      <c r="K942" s="331">
        <v>10</v>
      </c>
      <c r="L942" s="331" t="s">
        <v>1921</v>
      </c>
      <c r="M942" s="331" t="s">
        <v>1922</v>
      </c>
      <c r="N942" s="290" t="s">
        <v>1923</v>
      </c>
      <c r="O942" s="289"/>
      <c r="P942" s="289" t="s">
        <v>101</v>
      </c>
      <c r="Q942" s="733">
        <v>39.568100000000001</v>
      </c>
      <c r="R942" s="647">
        <v>-86.147800000000004</v>
      </c>
      <c r="S942" s="289" t="s">
        <v>61</v>
      </c>
      <c r="T942" s="289"/>
      <c r="U942" s="289" t="s">
        <v>51</v>
      </c>
      <c r="V942" s="288"/>
      <c r="W942" s="293">
        <f>IF(AC942="Intr",0,G942*Definitions!$B$53)</f>
        <v>675</v>
      </c>
      <c r="X942" s="293">
        <f>IF(AC942="Intr",0,G942*Definitions!$B$54)</f>
        <v>3150</v>
      </c>
      <c r="Y942" s="293">
        <f>IF(AC942="Intr",G942,G942*Definitions!$B$55)</f>
        <v>675</v>
      </c>
      <c r="Z942" s="293" t="s">
        <v>966</v>
      </c>
      <c r="AA942" s="293" t="s">
        <v>965</v>
      </c>
      <c r="AB942" s="293"/>
      <c r="AC942" s="289"/>
      <c r="AD942" s="289"/>
      <c r="AE942" s="289"/>
      <c r="AF942" s="289"/>
      <c r="AG942" s="294"/>
      <c r="AH942" s="289"/>
    </row>
    <row r="943" spans="1:34" x14ac:dyDescent="0.2">
      <c r="A943" s="41">
        <v>45784</v>
      </c>
      <c r="B943" s="42" t="s">
        <v>95</v>
      </c>
      <c r="C943" s="42">
        <v>2025</v>
      </c>
      <c r="D943" s="42" t="s">
        <v>7</v>
      </c>
      <c r="E943" s="320">
        <v>-115</v>
      </c>
      <c r="F943" s="320" t="s">
        <v>33</v>
      </c>
      <c r="G943" s="343">
        <v>51750</v>
      </c>
      <c r="H943" s="344">
        <v>576</v>
      </c>
      <c r="I943" s="320" t="s">
        <v>80</v>
      </c>
      <c r="J943" s="320" t="s">
        <v>39</v>
      </c>
      <c r="K943" s="320">
        <v>263.3</v>
      </c>
      <c r="L943" s="320" t="s">
        <v>1807</v>
      </c>
      <c r="M943" s="320" t="s">
        <v>1924</v>
      </c>
      <c r="N943" s="73" t="s">
        <v>1925</v>
      </c>
      <c r="O943" s="42"/>
      <c r="P943" s="42" t="s">
        <v>143</v>
      </c>
      <c r="Q943" s="731">
        <v>39.658900000000003</v>
      </c>
      <c r="R943" s="593">
        <v>-86.082499999999996</v>
      </c>
      <c r="S943" s="42" t="s">
        <v>63</v>
      </c>
      <c r="T943" s="42"/>
      <c r="U943" s="42" t="s">
        <v>51</v>
      </c>
      <c r="V943" s="41"/>
      <c r="W943" s="43">
        <f>IF(AC943="Intr",0,G943*Definitions!$B$53)</f>
        <v>7762.5</v>
      </c>
      <c r="X943" s="43">
        <f>IF(AC943="Intr",0,G943*Definitions!$B$54)</f>
        <v>36225</v>
      </c>
      <c r="Y943" s="43">
        <f>IF(AC943="Intr",G943,G943*Definitions!$B$55)</f>
        <v>7762.5</v>
      </c>
      <c r="Z943" s="43" t="s">
        <v>966</v>
      </c>
      <c r="AA943" s="43" t="s">
        <v>965</v>
      </c>
      <c r="AB943" s="43"/>
      <c r="AC943" s="42"/>
      <c r="AD943" s="42"/>
      <c r="AE943" s="42"/>
      <c r="AF943" s="42"/>
      <c r="AG943" s="44"/>
      <c r="AH943" s="42"/>
    </row>
    <row r="944" spans="1:34" x14ac:dyDescent="0.2">
      <c r="A944" s="41">
        <v>45784</v>
      </c>
      <c r="B944" s="42" t="s">
        <v>95</v>
      </c>
      <c r="C944" s="42">
        <v>2025</v>
      </c>
      <c r="D944" s="42" t="s">
        <v>7</v>
      </c>
      <c r="E944" s="320">
        <v>-0.42699999999999999</v>
      </c>
      <c r="F944" s="320" t="s">
        <v>32</v>
      </c>
      <c r="G944" s="343">
        <v>34160</v>
      </c>
      <c r="H944" s="344">
        <v>576</v>
      </c>
      <c r="I944" s="320" t="s">
        <v>80</v>
      </c>
      <c r="J944" s="320" t="s">
        <v>36</v>
      </c>
      <c r="K944" s="320">
        <v>0.17899999999999999</v>
      </c>
      <c r="L944" s="320" t="s">
        <v>1807</v>
      </c>
      <c r="M944" s="320" t="s">
        <v>1924</v>
      </c>
      <c r="N944" s="73" t="s">
        <v>1925</v>
      </c>
      <c r="O944" s="42"/>
      <c r="P944" s="42" t="s">
        <v>143</v>
      </c>
      <c r="Q944" s="731">
        <v>39.658900000000003</v>
      </c>
      <c r="R944" s="593">
        <v>-86.082499999999996</v>
      </c>
      <c r="S944" s="42" t="s">
        <v>63</v>
      </c>
      <c r="T944" s="42"/>
      <c r="U944" s="42" t="s">
        <v>51</v>
      </c>
      <c r="V944" s="41"/>
      <c r="W944" s="43">
        <f>IF(AC944="Intr",0,G944*Definitions!$B$53)</f>
        <v>5124</v>
      </c>
      <c r="X944" s="43">
        <f>IF(AC944="Intr",0,G944*Definitions!$B$54)</f>
        <v>23912</v>
      </c>
      <c r="Y944" s="43">
        <f>IF(AC944="Intr",G944,G944*Definitions!$B$55)</f>
        <v>5124</v>
      </c>
      <c r="Z944" s="43" t="s">
        <v>966</v>
      </c>
      <c r="AA944" s="43" t="s">
        <v>965</v>
      </c>
      <c r="AB944" s="43"/>
      <c r="AC944" s="42"/>
      <c r="AD944" s="42"/>
      <c r="AE944" s="42"/>
      <c r="AF944" s="42"/>
      <c r="AG944" s="44"/>
      <c r="AH944" s="42"/>
    </row>
    <row r="945" spans="1:34" x14ac:dyDescent="0.2">
      <c r="A945" s="41">
        <v>45784</v>
      </c>
      <c r="B945" s="42" t="s">
        <v>95</v>
      </c>
      <c r="C945" s="42">
        <v>2025</v>
      </c>
      <c r="D945" s="42" t="s">
        <v>7</v>
      </c>
      <c r="E945" s="320">
        <v>-3.3000000000000002E-2</v>
      </c>
      <c r="F945" s="320" t="s">
        <v>32</v>
      </c>
      <c r="G945" s="343">
        <v>2640</v>
      </c>
      <c r="H945" s="344">
        <v>576</v>
      </c>
      <c r="I945" s="320" t="s">
        <v>81</v>
      </c>
      <c r="J945" s="320" t="s">
        <v>36</v>
      </c>
      <c r="K945" s="320">
        <v>3.3000000000000002E-2</v>
      </c>
      <c r="L945" s="320" t="s">
        <v>1807</v>
      </c>
      <c r="M945" s="320" t="s">
        <v>103</v>
      </c>
      <c r="N945" s="73" t="s">
        <v>1926</v>
      </c>
      <c r="O945" s="42"/>
      <c r="P945" s="42" t="s">
        <v>143</v>
      </c>
      <c r="Q945" s="731">
        <v>39.658900000000003</v>
      </c>
      <c r="R945" s="593">
        <v>-86.082499999999996</v>
      </c>
      <c r="S945" s="42" t="s">
        <v>63</v>
      </c>
      <c r="T945" s="42"/>
      <c r="U945" s="42" t="s">
        <v>51</v>
      </c>
      <c r="V945" s="41"/>
      <c r="W945" s="43">
        <f>IF(AC945="Intr",0,G945*Definitions!$B$53)</f>
        <v>396</v>
      </c>
      <c r="X945" s="43">
        <f>IF(AC945="Intr",0,G945*Definitions!$B$54)</f>
        <v>1847.9999999999998</v>
      </c>
      <c r="Y945" s="43">
        <f>IF(AC945="Intr",G945,G945*Definitions!$B$55)</f>
        <v>396</v>
      </c>
      <c r="Z945" s="43" t="s">
        <v>966</v>
      </c>
      <c r="AA945" s="43" t="s">
        <v>963</v>
      </c>
      <c r="AB945" s="43" t="s">
        <v>969</v>
      </c>
      <c r="AC945" s="42"/>
      <c r="AD945" s="42"/>
      <c r="AE945" s="42"/>
      <c r="AF945" s="42"/>
      <c r="AG945" s="44"/>
      <c r="AH945" s="42"/>
    </row>
    <row r="946" spans="1:34" x14ac:dyDescent="0.2">
      <c r="A946" s="207">
        <v>45784</v>
      </c>
      <c r="B946" s="208" t="s">
        <v>95</v>
      </c>
      <c r="C946" s="208">
        <v>2025</v>
      </c>
      <c r="D946" s="208" t="s">
        <v>6</v>
      </c>
      <c r="E946" s="209">
        <v>-0.3</v>
      </c>
      <c r="F946" s="209" t="s">
        <v>32</v>
      </c>
      <c r="G946" s="210">
        <v>24000</v>
      </c>
      <c r="H946" s="211">
        <v>595</v>
      </c>
      <c r="I946" s="209" t="s">
        <v>81</v>
      </c>
      <c r="J946" s="209" t="s">
        <v>36</v>
      </c>
      <c r="K946" s="209">
        <v>0.2</v>
      </c>
      <c r="L946" s="209" t="s">
        <v>1927</v>
      </c>
      <c r="M946" s="209" t="s">
        <v>103</v>
      </c>
      <c r="N946" s="212" t="s">
        <v>1928</v>
      </c>
      <c r="O946" s="208"/>
      <c r="P946" s="208" t="s">
        <v>117</v>
      </c>
      <c r="Q946" s="749">
        <v>40.043190000000003</v>
      </c>
      <c r="R946" s="641">
        <v>-86.515140000000002</v>
      </c>
      <c r="S946" s="208" t="s">
        <v>61</v>
      </c>
      <c r="T946" s="208"/>
      <c r="U946" s="208" t="s">
        <v>51</v>
      </c>
      <c r="V946" s="207"/>
      <c r="W946" s="213">
        <f>IF(AC946="Intr",0,G946*Definitions!$B$53)</f>
        <v>3600</v>
      </c>
      <c r="X946" s="213">
        <f>IF(AC946="Intr",0,G946*Definitions!$B$54)</f>
        <v>16800</v>
      </c>
      <c r="Y946" s="213">
        <f>IF(AC946="Intr",G946,G946*Definitions!$B$55)</f>
        <v>3600</v>
      </c>
      <c r="Z946" s="213" t="s">
        <v>966</v>
      </c>
      <c r="AA946" s="213" t="s">
        <v>963</v>
      </c>
      <c r="AB946" s="213" t="s">
        <v>970</v>
      </c>
      <c r="AC946" s="208"/>
      <c r="AD946" s="208"/>
      <c r="AE946" s="208"/>
      <c r="AF946" s="208"/>
      <c r="AG946" s="214"/>
      <c r="AH946" s="208"/>
    </row>
    <row r="947" spans="1:34" x14ac:dyDescent="0.2">
      <c r="A947" s="88">
        <v>45790</v>
      </c>
      <c r="B947" s="89" t="s">
        <v>95</v>
      </c>
      <c r="C947" s="89">
        <v>2025</v>
      </c>
      <c r="D947" s="89" t="s">
        <v>5</v>
      </c>
      <c r="E947" s="90">
        <v>-1588</v>
      </c>
      <c r="F947" s="90" t="s">
        <v>33</v>
      </c>
      <c r="G947" s="91">
        <v>635200</v>
      </c>
      <c r="H947" s="92">
        <v>574</v>
      </c>
      <c r="I947" s="90" t="s">
        <v>80</v>
      </c>
      <c r="J947" s="90" t="s">
        <v>39</v>
      </c>
      <c r="K947" s="90">
        <v>1588</v>
      </c>
      <c r="L947" s="90" t="s">
        <v>1929</v>
      </c>
      <c r="M947" s="90" t="s">
        <v>1930</v>
      </c>
      <c r="N947" s="93" t="s">
        <v>1931</v>
      </c>
      <c r="O947" s="90" t="s">
        <v>1947</v>
      </c>
      <c r="P947" s="89" t="s">
        <v>1910</v>
      </c>
      <c r="Q947" s="735">
        <v>40.894809000000002</v>
      </c>
      <c r="R947" s="649">
        <v>-86.699406999999994</v>
      </c>
      <c r="S947" s="89" t="s">
        <v>61</v>
      </c>
      <c r="T947" s="89"/>
      <c r="U947" s="89" t="s">
        <v>51</v>
      </c>
      <c r="V947" s="88"/>
      <c r="W947" s="95">
        <f>IF(AC947="Intr",0,G947*Definitions!$B$53)</f>
        <v>95280</v>
      </c>
      <c r="X947" s="95">
        <f>IF(AC947="Intr",0,G947*Definitions!$B$54)</f>
        <v>444640</v>
      </c>
      <c r="Y947" s="95">
        <f>IF(AC947="Intr",G947,G947*Definitions!$B$55)</f>
        <v>95280</v>
      </c>
      <c r="Z947" s="95" t="s">
        <v>966</v>
      </c>
      <c r="AA947" s="95" t="s">
        <v>965</v>
      </c>
      <c r="AB947" s="95"/>
      <c r="AC947" s="89"/>
      <c r="AD947" s="89"/>
      <c r="AE947" s="89"/>
      <c r="AF947" s="89"/>
      <c r="AG947" s="96"/>
      <c r="AH947" s="89" t="s">
        <v>1948</v>
      </c>
    </row>
    <row r="948" spans="1:34" x14ac:dyDescent="0.2">
      <c r="A948" s="88">
        <v>45790</v>
      </c>
      <c r="B948" s="89" t="s">
        <v>95</v>
      </c>
      <c r="C948" s="89">
        <v>2025</v>
      </c>
      <c r="D948" s="89" t="s">
        <v>5</v>
      </c>
      <c r="E948" s="90">
        <v>-1.25</v>
      </c>
      <c r="F948" s="90" t="s">
        <v>32</v>
      </c>
      <c r="G948" s="91">
        <v>100000</v>
      </c>
      <c r="H948" s="92">
        <v>574</v>
      </c>
      <c r="I948" s="90" t="s">
        <v>80</v>
      </c>
      <c r="J948" s="90" t="s">
        <v>36</v>
      </c>
      <c r="K948" s="90">
        <v>0.52</v>
      </c>
      <c r="L948" s="90" t="s">
        <v>1929</v>
      </c>
      <c r="M948" s="90" t="s">
        <v>1930</v>
      </c>
      <c r="N948" s="93" t="s">
        <v>1931</v>
      </c>
      <c r="O948" s="90" t="s">
        <v>1947</v>
      </c>
      <c r="P948" s="89" t="s">
        <v>1910</v>
      </c>
      <c r="Q948" s="735">
        <v>40.894809000000002</v>
      </c>
      <c r="R948" s="649">
        <v>-86.699406999999994</v>
      </c>
      <c r="S948" s="89" t="s">
        <v>61</v>
      </c>
      <c r="T948" s="89"/>
      <c r="U948" s="89" t="s">
        <v>51</v>
      </c>
      <c r="V948" s="88"/>
      <c r="W948" s="95">
        <f>IF(AC948="Intr",0,G948*Definitions!$B$53)</f>
        <v>15000</v>
      </c>
      <c r="X948" s="95">
        <f>IF(AC948="Intr",0,G948*Definitions!$B$54)</f>
        <v>70000</v>
      </c>
      <c r="Y948" s="95">
        <f>IF(AC948="Intr",G948,G948*Definitions!$B$55)</f>
        <v>15000</v>
      </c>
      <c r="Z948" s="95" t="s">
        <v>966</v>
      </c>
      <c r="AA948" s="95" t="s">
        <v>965</v>
      </c>
      <c r="AB948" s="95"/>
      <c r="AC948" s="89"/>
      <c r="AD948" s="89"/>
      <c r="AE948" s="89"/>
      <c r="AF948" s="89"/>
      <c r="AG948" s="96"/>
      <c r="AH948" s="89" t="s">
        <v>1948</v>
      </c>
    </row>
    <row r="949" spans="1:34" x14ac:dyDescent="0.2">
      <c r="A949" s="29">
        <v>45790</v>
      </c>
      <c r="B949" s="30" t="s">
        <v>95</v>
      </c>
      <c r="C949" s="30">
        <v>2025</v>
      </c>
      <c r="D949" s="30" t="s">
        <v>4</v>
      </c>
      <c r="E949" s="217">
        <v>-1.2</v>
      </c>
      <c r="F949" s="217" t="s">
        <v>32</v>
      </c>
      <c r="G949" s="218">
        <v>96000</v>
      </c>
      <c r="H949" s="219">
        <v>573</v>
      </c>
      <c r="I949" s="217" t="s">
        <v>80</v>
      </c>
      <c r="J949" s="217" t="s">
        <v>38</v>
      </c>
      <c r="K949" s="217">
        <v>0.29699999999999999</v>
      </c>
      <c r="L949" s="217" t="s">
        <v>1932</v>
      </c>
      <c r="M949" s="217" t="s">
        <v>1933</v>
      </c>
      <c r="N949" s="67" t="s">
        <v>1934</v>
      </c>
      <c r="O949" s="30"/>
      <c r="P949" s="30" t="s">
        <v>255</v>
      </c>
      <c r="Q949" s="747">
        <v>41.146241000000003</v>
      </c>
      <c r="R949" s="636">
        <v>-85.166835000000006</v>
      </c>
      <c r="S949" s="30" t="s">
        <v>61</v>
      </c>
      <c r="T949" s="30"/>
      <c r="U949" s="30" t="s">
        <v>51</v>
      </c>
      <c r="V949" s="29"/>
      <c r="W949" s="31">
        <f>IF(AC949="Intr",0,G949*Definitions!$B$53)</f>
        <v>14400</v>
      </c>
      <c r="X949" s="31">
        <f>IF(AC949="Intr",0,G949*Definitions!$B$54)</f>
        <v>67200</v>
      </c>
      <c r="Y949" s="31">
        <f>IF(AC949="Intr",G949,G949*Definitions!$B$55)</f>
        <v>14400</v>
      </c>
      <c r="Z949" s="31" t="s">
        <v>964</v>
      </c>
      <c r="AA949" s="31" t="s">
        <v>965</v>
      </c>
      <c r="AB949" s="31"/>
      <c r="AC949" s="30"/>
      <c r="AD949" s="30"/>
      <c r="AE949" s="30"/>
      <c r="AF949" s="30"/>
      <c r="AG949" s="32"/>
      <c r="AH949" s="30"/>
    </row>
    <row r="950" spans="1:34" x14ac:dyDescent="0.2">
      <c r="A950" s="58">
        <v>45791</v>
      </c>
      <c r="B950" s="59" t="s">
        <v>95</v>
      </c>
      <c r="C950" s="59">
        <v>2025</v>
      </c>
      <c r="D950" s="59" t="s">
        <v>4</v>
      </c>
      <c r="E950" s="60">
        <v>-0.37</v>
      </c>
      <c r="F950" s="60" t="s">
        <v>32</v>
      </c>
      <c r="G950" s="61">
        <v>29600</v>
      </c>
      <c r="H950" s="62">
        <v>590</v>
      </c>
      <c r="I950" s="60" t="s">
        <v>81</v>
      </c>
      <c r="J950" s="60" t="s">
        <v>36</v>
      </c>
      <c r="K950" s="60">
        <v>0.25</v>
      </c>
      <c r="L950" s="60" t="s">
        <v>726</v>
      </c>
      <c r="M950" s="60" t="s">
        <v>1935</v>
      </c>
      <c r="N950" s="63" t="s">
        <v>1936</v>
      </c>
      <c r="O950" s="59"/>
      <c r="P950" s="59" t="s">
        <v>255</v>
      </c>
      <c r="Q950" s="745">
        <v>41.125228</v>
      </c>
      <c r="R950" s="637">
        <v>-85.211544000000004</v>
      </c>
      <c r="S950" s="59" t="s">
        <v>63</v>
      </c>
      <c r="T950" s="59"/>
      <c r="U950" s="59" t="s">
        <v>51</v>
      </c>
      <c r="V950" s="58"/>
      <c r="W950" s="65">
        <f>IF(AC950="Intr",0,G950*Definitions!$B$53)</f>
        <v>4440</v>
      </c>
      <c r="X950" s="65">
        <f>IF(AC950="Intr",0,G950*Definitions!$B$54)</f>
        <v>20720</v>
      </c>
      <c r="Y950" s="65">
        <f>IF(AC950="Intr",G950,G950*Definitions!$B$55)</f>
        <v>4440</v>
      </c>
      <c r="Z950" s="65" t="s">
        <v>964</v>
      </c>
      <c r="AA950" s="65" t="s">
        <v>963</v>
      </c>
      <c r="AB950" s="65" t="s">
        <v>970</v>
      </c>
      <c r="AC950" s="59"/>
      <c r="AD950" s="59"/>
      <c r="AE950" s="59"/>
      <c r="AF950" s="59"/>
      <c r="AG950" s="66"/>
      <c r="AH950" s="59" t="s">
        <v>1949</v>
      </c>
    </row>
    <row r="951" spans="1:34" x14ac:dyDescent="0.2">
      <c r="A951" s="58">
        <v>45791</v>
      </c>
      <c r="B951" s="59" t="s">
        <v>95</v>
      </c>
      <c r="C951" s="59">
        <v>2025</v>
      </c>
      <c r="D951" s="59" t="s">
        <v>4</v>
      </c>
      <c r="E951" s="60">
        <v>-0.06</v>
      </c>
      <c r="F951" s="60" t="s">
        <v>32</v>
      </c>
      <c r="G951" s="61">
        <v>4800</v>
      </c>
      <c r="H951" s="62">
        <v>590</v>
      </c>
      <c r="I951" s="60" t="s">
        <v>80</v>
      </c>
      <c r="J951" s="60" t="s">
        <v>36</v>
      </c>
      <c r="K951" s="60">
        <v>0.03</v>
      </c>
      <c r="L951" s="60" t="s">
        <v>726</v>
      </c>
      <c r="M951" s="60" t="s">
        <v>1935</v>
      </c>
      <c r="N951" s="63" t="s">
        <v>1937</v>
      </c>
      <c r="O951" s="59"/>
      <c r="P951" s="59" t="s">
        <v>255</v>
      </c>
      <c r="Q951" s="745">
        <v>41.125228</v>
      </c>
      <c r="R951" s="637">
        <v>-85.211544000000004</v>
      </c>
      <c r="S951" s="59" t="s">
        <v>63</v>
      </c>
      <c r="T951" s="59"/>
      <c r="U951" s="59" t="s">
        <v>51</v>
      </c>
      <c r="V951" s="58"/>
      <c r="W951" s="65">
        <f>IF(AC951="Intr",0,G951*Definitions!$B$53)</f>
        <v>720</v>
      </c>
      <c r="X951" s="65">
        <f>IF(AC951="Intr",0,G951*Definitions!$B$54)</f>
        <v>3360</v>
      </c>
      <c r="Y951" s="65">
        <f>IF(AC951="Intr",G951,G951*Definitions!$B$55)</f>
        <v>720</v>
      </c>
      <c r="Z951" s="65" t="s">
        <v>964</v>
      </c>
      <c r="AA951" s="65" t="s">
        <v>965</v>
      </c>
      <c r="AB951" s="65"/>
      <c r="AC951" s="59"/>
      <c r="AD951" s="59"/>
      <c r="AE951" s="59"/>
      <c r="AF951" s="59"/>
      <c r="AG951" s="66"/>
      <c r="AH951" s="59" t="s">
        <v>1949</v>
      </c>
    </row>
    <row r="952" spans="1:34" x14ac:dyDescent="0.2">
      <c r="A952" s="58">
        <v>45791</v>
      </c>
      <c r="B952" s="59" t="s">
        <v>95</v>
      </c>
      <c r="C952" s="59">
        <v>2025</v>
      </c>
      <c r="D952" s="59" t="s">
        <v>4</v>
      </c>
      <c r="E952" s="60">
        <v>-42</v>
      </c>
      <c r="F952" s="60" t="s">
        <v>33</v>
      </c>
      <c r="G952" s="61">
        <v>18900</v>
      </c>
      <c r="H952" s="62">
        <v>590</v>
      </c>
      <c r="I952" s="60" t="s">
        <v>80</v>
      </c>
      <c r="J952" s="60" t="s">
        <v>40</v>
      </c>
      <c r="K952" s="60">
        <v>42</v>
      </c>
      <c r="L952" s="60" t="s">
        <v>726</v>
      </c>
      <c r="M952" s="60" t="s">
        <v>1935</v>
      </c>
      <c r="N952" s="63" t="s">
        <v>1937</v>
      </c>
      <c r="O952" s="59"/>
      <c r="P952" s="59" t="s">
        <v>255</v>
      </c>
      <c r="Q952" s="745">
        <v>41.125228</v>
      </c>
      <c r="R952" s="637">
        <v>-85.211544000000004</v>
      </c>
      <c r="S952" s="59" t="s">
        <v>63</v>
      </c>
      <c r="T952" s="59"/>
      <c r="U952" s="59" t="s">
        <v>51</v>
      </c>
      <c r="V952" s="58"/>
      <c r="W952" s="65">
        <f>IF(AC952="Intr",0,G952*Definitions!$B$53)</f>
        <v>2835</v>
      </c>
      <c r="X952" s="65">
        <f>IF(AC952="Intr",0,G952*Definitions!$B$54)</f>
        <v>13230</v>
      </c>
      <c r="Y952" s="65">
        <f>IF(AC952="Intr",G952,G952*Definitions!$B$55)</f>
        <v>2835</v>
      </c>
      <c r="Z952" s="65" t="s">
        <v>964</v>
      </c>
      <c r="AA952" s="65" t="s">
        <v>965</v>
      </c>
      <c r="AB952" s="65"/>
      <c r="AC952" s="59"/>
      <c r="AD952" s="59"/>
      <c r="AE952" s="59"/>
      <c r="AF952" s="59"/>
      <c r="AG952" s="66"/>
      <c r="AH952" s="59" t="s">
        <v>1949</v>
      </c>
    </row>
    <row r="953" spans="1:34" x14ac:dyDescent="0.2">
      <c r="A953" s="58">
        <v>45791</v>
      </c>
      <c r="B953" s="59" t="s">
        <v>95</v>
      </c>
      <c r="C953" s="59">
        <v>2025</v>
      </c>
      <c r="D953" s="59" t="s">
        <v>5</v>
      </c>
      <c r="E953" s="60">
        <v>-1</v>
      </c>
      <c r="F953" s="60" t="s">
        <v>32</v>
      </c>
      <c r="G953" s="61">
        <v>80000</v>
      </c>
      <c r="H953" s="62">
        <v>590</v>
      </c>
      <c r="I953" s="60" t="s">
        <v>81</v>
      </c>
      <c r="J953" s="60" t="s">
        <v>38</v>
      </c>
      <c r="K953" s="60">
        <v>0.5</v>
      </c>
      <c r="L953" s="60" t="s">
        <v>726</v>
      </c>
      <c r="M953" s="60" t="s">
        <v>1935</v>
      </c>
      <c r="N953" s="63" t="s">
        <v>1936</v>
      </c>
      <c r="O953" s="59"/>
      <c r="P953" s="59" t="s">
        <v>255</v>
      </c>
      <c r="Q953" s="745">
        <v>41.125309999999999</v>
      </c>
      <c r="R953" s="637">
        <v>-85.226330000000004</v>
      </c>
      <c r="S953" s="59" t="s">
        <v>63</v>
      </c>
      <c r="T953" s="59"/>
      <c r="U953" s="59" t="s">
        <v>51</v>
      </c>
      <c r="V953" s="58"/>
      <c r="W953" s="65">
        <f>IF(AC953="Intr",0,G953*Definitions!$B$53)</f>
        <v>12000</v>
      </c>
      <c r="X953" s="65">
        <f>IF(AC953="Intr",0,G953*Definitions!$B$54)</f>
        <v>56000</v>
      </c>
      <c r="Y953" s="65">
        <f>IF(AC953="Intr",G953,G953*Definitions!$B$55)</f>
        <v>12000</v>
      </c>
      <c r="Z953" s="65" t="s">
        <v>966</v>
      </c>
      <c r="AA953" s="65" t="s">
        <v>963</v>
      </c>
      <c r="AB953" s="65" t="s">
        <v>1245</v>
      </c>
      <c r="AC953" s="59"/>
      <c r="AD953" s="59"/>
      <c r="AE953" s="59"/>
      <c r="AF953" s="59"/>
      <c r="AG953" s="66"/>
      <c r="AH953" s="59" t="s">
        <v>1949</v>
      </c>
    </row>
    <row r="954" spans="1:34" x14ac:dyDescent="0.2">
      <c r="A954" s="58">
        <v>45791</v>
      </c>
      <c r="B954" s="59" t="s">
        <v>95</v>
      </c>
      <c r="C954" s="59">
        <v>2025</v>
      </c>
      <c r="D954" s="59" t="s">
        <v>5</v>
      </c>
      <c r="E954" s="60">
        <v>-0.63</v>
      </c>
      <c r="F954" s="60" t="s">
        <v>32</v>
      </c>
      <c r="G954" s="61">
        <v>50400</v>
      </c>
      <c r="H954" s="62">
        <v>590</v>
      </c>
      <c r="I954" s="60" t="s">
        <v>81</v>
      </c>
      <c r="J954" s="60" t="s">
        <v>36</v>
      </c>
      <c r="K954" s="60">
        <v>0.42</v>
      </c>
      <c r="L954" s="60" t="s">
        <v>726</v>
      </c>
      <c r="M954" s="60" t="s">
        <v>1935</v>
      </c>
      <c r="N954" s="63" t="s">
        <v>1936</v>
      </c>
      <c r="O954" s="59"/>
      <c r="P954" s="59" t="s">
        <v>255</v>
      </c>
      <c r="Q954" s="745">
        <v>41.125309999999999</v>
      </c>
      <c r="R954" s="637">
        <v>-85.226330000000004</v>
      </c>
      <c r="S954" s="59" t="s">
        <v>63</v>
      </c>
      <c r="T954" s="59"/>
      <c r="U954" s="59" t="s">
        <v>51</v>
      </c>
      <c r="V954" s="58"/>
      <c r="W954" s="65">
        <f>IF(AC954="Intr",0,G954*Definitions!$B$53)</f>
        <v>7560</v>
      </c>
      <c r="X954" s="65">
        <f>IF(AC954="Intr",0,G954*Definitions!$B$54)</f>
        <v>35280</v>
      </c>
      <c r="Y954" s="65">
        <f>IF(AC954="Intr",G954,G954*Definitions!$B$55)</f>
        <v>7560</v>
      </c>
      <c r="Z954" s="65" t="s">
        <v>966</v>
      </c>
      <c r="AA954" s="65" t="s">
        <v>963</v>
      </c>
      <c r="AB954" s="65" t="s">
        <v>970</v>
      </c>
      <c r="AC954" s="59"/>
      <c r="AD954" s="59"/>
      <c r="AE954" s="59"/>
      <c r="AF954" s="59"/>
      <c r="AG954" s="66"/>
      <c r="AH954" s="59" t="s">
        <v>1949</v>
      </c>
    </row>
    <row r="955" spans="1:34" x14ac:dyDescent="0.2">
      <c r="A955" s="58">
        <v>45791</v>
      </c>
      <c r="B955" s="59" t="s">
        <v>95</v>
      </c>
      <c r="C955" s="59">
        <v>2025</v>
      </c>
      <c r="D955" s="59" t="s">
        <v>5</v>
      </c>
      <c r="E955" s="60">
        <v>-0.09</v>
      </c>
      <c r="F955" s="60" t="s">
        <v>32</v>
      </c>
      <c r="G955" s="61">
        <v>7200</v>
      </c>
      <c r="H955" s="62">
        <v>590</v>
      </c>
      <c r="I955" s="60" t="s">
        <v>80</v>
      </c>
      <c r="J955" s="60" t="s">
        <v>36</v>
      </c>
      <c r="K955" s="60">
        <v>4.4999999999999998E-2</v>
      </c>
      <c r="L955" s="60" t="s">
        <v>726</v>
      </c>
      <c r="M955" s="60" t="s">
        <v>1935</v>
      </c>
      <c r="N955" s="63" t="s">
        <v>1937</v>
      </c>
      <c r="O955" s="59"/>
      <c r="P955" s="59" t="s">
        <v>255</v>
      </c>
      <c r="Q955" s="745">
        <v>41.125309999999999</v>
      </c>
      <c r="R955" s="637">
        <v>-85.226330000000004</v>
      </c>
      <c r="S955" s="59" t="s">
        <v>63</v>
      </c>
      <c r="T955" s="59"/>
      <c r="U955" s="59" t="s">
        <v>51</v>
      </c>
      <c r="V955" s="58"/>
      <c r="W955" s="65">
        <f>IF(AC955="Intr",0,G955*Definitions!$B$53)</f>
        <v>1080</v>
      </c>
      <c r="X955" s="65">
        <f>IF(AC955="Intr",0,G955*Definitions!$B$54)</f>
        <v>5040</v>
      </c>
      <c r="Y955" s="65">
        <f>IF(AC955="Intr",G955,G955*Definitions!$B$55)</f>
        <v>1080</v>
      </c>
      <c r="Z955" s="65" t="s">
        <v>966</v>
      </c>
      <c r="AA955" s="65" t="s">
        <v>965</v>
      </c>
      <c r="AB955" s="65"/>
      <c r="AC955" s="59"/>
      <c r="AD955" s="59"/>
      <c r="AE955" s="59"/>
      <c r="AF955" s="59"/>
      <c r="AG955" s="66"/>
      <c r="AH955" s="59" t="s">
        <v>1949</v>
      </c>
    </row>
    <row r="956" spans="1:34" x14ac:dyDescent="0.2">
      <c r="A956" s="58">
        <v>45791</v>
      </c>
      <c r="B956" s="59" t="s">
        <v>95</v>
      </c>
      <c r="C956" s="59">
        <v>2025</v>
      </c>
      <c r="D956" s="59" t="s">
        <v>5</v>
      </c>
      <c r="E956" s="60">
        <v>-562</v>
      </c>
      <c r="F956" s="60" t="s">
        <v>33</v>
      </c>
      <c r="G956" s="61">
        <v>224800</v>
      </c>
      <c r="H956" s="62">
        <v>590</v>
      </c>
      <c r="I956" s="60" t="s">
        <v>80</v>
      </c>
      <c r="J956" s="60" t="s">
        <v>40</v>
      </c>
      <c r="K956" s="60">
        <v>562</v>
      </c>
      <c r="L956" s="60" t="s">
        <v>726</v>
      </c>
      <c r="M956" s="60" t="s">
        <v>1935</v>
      </c>
      <c r="N956" s="63" t="s">
        <v>1937</v>
      </c>
      <c r="O956" s="59"/>
      <c r="P956" s="59" t="s">
        <v>255</v>
      </c>
      <c r="Q956" s="745">
        <v>41.125309999999999</v>
      </c>
      <c r="R956" s="637">
        <v>-85.226330000000004</v>
      </c>
      <c r="S956" s="59" t="s">
        <v>63</v>
      </c>
      <c r="T956" s="59"/>
      <c r="U956" s="59" t="s">
        <v>51</v>
      </c>
      <c r="V956" s="58"/>
      <c r="W956" s="65">
        <f>IF(AC956="Intr",0,G956*Definitions!$B$53)</f>
        <v>33720</v>
      </c>
      <c r="X956" s="65">
        <f>IF(AC956="Intr",0,G956*Definitions!$B$54)</f>
        <v>157360</v>
      </c>
      <c r="Y956" s="65">
        <f>IF(AC956="Intr",G956,G956*Definitions!$B$55)</f>
        <v>33720</v>
      </c>
      <c r="Z956" s="65" t="s">
        <v>966</v>
      </c>
      <c r="AA956" s="65" t="s">
        <v>965</v>
      </c>
      <c r="AB956" s="65"/>
      <c r="AC956" s="59"/>
      <c r="AD956" s="59"/>
      <c r="AE956" s="59"/>
      <c r="AF956" s="59"/>
      <c r="AG956" s="66"/>
      <c r="AH956" s="59" t="s">
        <v>1949</v>
      </c>
    </row>
    <row r="957" spans="1:34" x14ac:dyDescent="0.2">
      <c r="A957" s="58">
        <v>45791</v>
      </c>
      <c r="B957" s="59" t="s">
        <v>95</v>
      </c>
      <c r="C957" s="59">
        <v>2025</v>
      </c>
      <c r="D957" s="59" t="s">
        <v>5</v>
      </c>
      <c r="E957" s="60">
        <v>-221</v>
      </c>
      <c r="F957" s="60" t="s">
        <v>33</v>
      </c>
      <c r="G957" s="61">
        <v>88400</v>
      </c>
      <c r="H957" s="62">
        <v>590</v>
      </c>
      <c r="I957" s="60" t="s">
        <v>80</v>
      </c>
      <c r="J957" s="60" t="s">
        <v>39</v>
      </c>
      <c r="K957" s="60">
        <v>221</v>
      </c>
      <c r="L957" s="60" t="s">
        <v>726</v>
      </c>
      <c r="M957" s="60" t="s">
        <v>1935</v>
      </c>
      <c r="N957" s="63" t="s">
        <v>1937</v>
      </c>
      <c r="O957" s="59"/>
      <c r="P957" s="59" t="s">
        <v>255</v>
      </c>
      <c r="Q957" s="745">
        <v>41.125309999999999</v>
      </c>
      <c r="R957" s="637">
        <v>-85.226330000000004</v>
      </c>
      <c r="S957" s="59" t="s">
        <v>63</v>
      </c>
      <c r="T957" s="59"/>
      <c r="U957" s="59" t="s">
        <v>51</v>
      </c>
      <c r="V957" s="58"/>
      <c r="W957" s="65">
        <f>IF(AC957="Intr",0,G957*Definitions!$B$53)</f>
        <v>13260</v>
      </c>
      <c r="X957" s="65">
        <f>IF(AC957="Intr",0,G957*Definitions!$B$54)</f>
        <v>61879.999999999993</v>
      </c>
      <c r="Y957" s="65">
        <f>IF(AC957="Intr",G957,G957*Definitions!$B$55)</f>
        <v>13260</v>
      </c>
      <c r="Z957" s="65" t="s">
        <v>966</v>
      </c>
      <c r="AA957" s="65" t="s">
        <v>965</v>
      </c>
      <c r="AB957" s="65"/>
      <c r="AC957" s="59"/>
      <c r="AD957" s="59"/>
      <c r="AE957" s="59"/>
      <c r="AF957" s="59"/>
      <c r="AG957" s="66"/>
      <c r="AH957" s="59" t="s">
        <v>1949</v>
      </c>
    </row>
    <row r="958" spans="1:34" x14ac:dyDescent="0.2">
      <c r="A958" s="237">
        <v>45791</v>
      </c>
      <c r="B958" s="238" t="s">
        <v>95</v>
      </c>
      <c r="C958" s="238">
        <v>2025</v>
      </c>
      <c r="D958" s="238" t="s">
        <v>11</v>
      </c>
      <c r="E958" s="240">
        <v>-123</v>
      </c>
      <c r="F958" s="240" t="s">
        <v>33</v>
      </c>
      <c r="G958" s="317">
        <v>49200</v>
      </c>
      <c r="H958" s="318">
        <v>597</v>
      </c>
      <c r="I958" s="240" t="s">
        <v>80</v>
      </c>
      <c r="J958" s="240" t="s">
        <v>40</v>
      </c>
      <c r="K958" s="240">
        <v>1269</v>
      </c>
      <c r="L958" s="240" t="s">
        <v>726</v>
      </c>
      <c r="M958" s="240" t="s">
        <v>1938</v>
      </c>
      <c r="N958" s="319" t="s">
        <v>1939</v>
      </c>
      <c r="O958" s="238"/>
      <c r="P958" s="238" t="s">
        <v>279</v>
      </c>
      <c r="Q958" s="734">
        <v>38.226407999999999</v>
      </c>
      <c r="R958" s="648">
        <v>-86.697208000000003</v>
      </c>
      <c r="S958" s="238" t="s">
        <v>63</v>
      </c>
      <c r="T958" s="238"/>
      <c r="U958" s="238" t="s">
        <v>51</v>
      </c>
      <c r="V958" s="237"/>
      <c r="W958" s="244">
        <f>IF(AC958="Intr",0,G958*Definitions!$B$53)</f>
        <v>7380</v>
      </c>
      <c r="X958" s="244">
        <f>IF(AC958="Intr",0,G958*Definitions!$B$54)</f>
        <v>34440</v>
      </c>
      <c r="Y958" s="244">
        <f>IF(AC958="Intr",G958,G958*Definitions!$B$55)</f>
        <v>7380</v>
      </c>
      <c r="Z958" s="244" t="s">
        <v>966</v>
      </c>
      <c r="AA958" s="244" t="s">
        <v>965</v>
      </c>
      <c r="AB958" s="244"/>
      <c r="AC958" s="238"/>
      <c r="AD958" s="238"/>
      <c r="AE958" s="238"/>
      <c r="AF958" s="238"/>
      <c r="AG958" s="245"/>
      <c r="AH958" s="238" t="s">
        <v>1950</v>
      </c>
    </row>
    <row r="959" spans="1:34" x14ac:dyDescent="0.2">
      <c r="A959" s="237">
        <v>45791</v>
      </c>
      <c r="B959" s="238" t="s">
        <v>95</v>
      </c>
      <c r="C959" s="238">
        <v>2025</v>
      </c>
      <c r="D959" s="238" t="s">
        <v>11</v>
      </c>
      <c r="E959" s="240">
        <v>-91</v>
      </c>
      <c r="F959" s="240" t="s">
        <v>33</v>
      </c>
      <c r="G959" s="317">
        <v>36400</v>
      </c>
      <c r="H959" s="318">
        <v>597</v>
      </c>
      <c r="I959" s="240" t="s">
        <v>80</v>
      </c>
      <c r="J959" s="240" t="s">
        <v>39</v>
      </c>
      <c r="K959" s="240">
        <v>862</v>
      </c>
      <c r="L959" s="240" t="s">
        <v>726</v>
      </c>
      <c r="M959" s="240" t="s">
        <v>1938</v>
      </c>
      <c r="N959" s="319" t="s">
        <v>1939</v>
      </c>
      <c r="O959" s="238"/>
      <c r="P959" s="238" t="s">
        <v>279</v>
      </c>
      <c r="Q959" s="734">
        <v>38.226407999999999</v>
      </c>
      <c r="R959" s="648">
        <v>-86.697208000000003</v>
      </c>
      <c r="S959" s="238" t="s">
        <v>63</v>
      </c>
      <c r="T959" s="238"/>
      <c r="U959" s="238" t="s">
        <v>51</v>
      </c>
      <c r="V959" s="237"/>
      <c r="W959" s="244">
        <f>IF(AC959="Intr",0,G959*Definitions!$B$53)</f>
        <v>5460</v>
      </c>
      <c r="X959" s="244">
        <f>IF(AC959="Intr",0,G959*Definitions!$B$54)</f>
        <v>25480</v>
      </c>
      <c r="Y959" s="244">
        <f>IF(AC959="Intr",G959,G959*Definitions!$B$55)</f>
        <v>5460</v>
      </c>
      <c r="Z959" s="244" t="s">
        <v>966</v>
      </c>
      <c r="AA959" s="244" t="s">
        <v>965</v>
      </c>
      <c r="AB959" s="244"/>
      <c r="AC959" s="238"/>
      <c r="AD959" s="238"/>
      <c r="AE959" s="238"/>
      <c r="AF959" s="238"/>
      <c r="AG959" s="245"/>
      <c r="AH959" s="238" t="s">
        <v>1950</v>
      </c>
    </row>
    <row r="960" spans="1:34" x14ac:dyDescent="0.2">
      <c r="A960" s="79">
        <v>45791</v>
      </c>
      <c r="B960" s="80" t="s">
        <v>95</v>
      </c>
      <c r="C960" s="80">
        <v>2025</v>
      </c>
      <c r="D960" s="80" t="s">
        <v>9</v>
      </c>
      <c r="E960" s="81">
        <v>-0.46</v>
      </c>
      <c r="F960" s="81" t="s">
        <v>32</v>
      </c>
      <c r="G960" s="82">
        <v>36800</v>
      </c>
      <c r="H960" s="83">
        <v>598</v>
      </c>
      <c r="I960" s="81" t="s">
        <v>80</v>
      </c>
      <c r="J960" s="81" t="s">
        <v>38</v>
      </c>
      <c r="K960" s="81">
        <v>0.46</v>
      </c>
      <c r="L960" s="81" t="s">
        <v>726</v>
      </c>
      <c r="M960" s="81" t="s">
        <v>1940</v>
      </c>
      <c r="N960" s="84" t="s">
        <v>1941</v>
      </c>
      <c r="O960" s="80"/>
      <c r="P960" s="80" t="s">
        <v>487</v>
      </c>
      <c r="Q960" s="770">
        <v>38.484456999999999</v>
      </c>
      <c r="R960" s="668">
        <v>-87.431540999999996</v>
      </c>
      <c r="S960" s="80" t="s">
        <v>63</v>
      </c>
      <c r="T960" s="80"/>
      <c r="U960" s="80" t="s">
        <v>51</v>
      </c>
      <c r="V960" s="79"/>
      <c r="W960" s="86">
        <f>IF(AC960="Intr",0,G960*Definitions!$B$53)</f>
        <v>5520</v>
      </c>
      <c r="X960" s="86">
        <f>IF(AC960="Intr",0,G960*Definitions!$B$54)</f>
        <v>25760</v>
      </c>
      <c r="Y960" s="86">
        <f>IF(AC960="Intr",G960,G960*Definitions!$B$55)</f>
        <v>5520</v>
      </c>
      <c r="Z960" s="86" t="s">
        <v>966</v>
      </c>
      <c r="AA960" s="86" t="s">
        <v>965</v>
      </c>
      <c r="AB960" s="86"/>
      <c r="AC960" s="80"/>
      <c r="AD960" s="80"/>
      <c r="AE960" s="80"/>
      <c r="AF960" s="80"/>
      <c r="AG960" s="87"/>
      <c r="AH960" s="80" t="s">
        <v>1951</v>
      </c>
    </row>
    <row r="961" spans="1:34" x14ac:dyDescent="0.2">
      <c r="A961" s="282">
        <v>45798</v>
      </c>
      <c r="B961" s="114" t="s">
        <v>95</v>
      </c>
      <c r="C961" s="114">
        <v>2025</v>
      </c>
      <c r="D961" s="114" t="s">
        <v>5</v>
      </c>
      <c r="E961" s="270">
        <v>-0.65</v>
      </c>
      <c r="F961" s="270" t="s">
        <v>32</v>
      </c>
      <c r="G961" s="283">
        <v>52000</v>
      </c>
      <c r="H961" s="284">
        <v>385</v>
      </c>
      <c r="I961" s="270" t="s">
        <v>80</v>
      </c>
      <c r="J961" s="270" t="s">
        <v>37</v>
      </c>
      <c r="K961" s="270">
        <v>0.18</v>
      </c>
      <c r="L961" s="270" t="s">
        <v>1942</v>
      </c>
      <c r="M961" s="270" t="s">
        <v>1943</v>
      </c>
      <c r="N961" s="285" t="s">
        <v>1944</v>
      </c>
      <c r="O961" s="114"/>
      <c r="P961" s="114" t="s">
        <v>418</v>
      </c>
      <c r="Q961" s="750">
        <v>40.4664</v>
      </c>
      <c r="R961" s="635">
        <v>-85.091700000000003</v>
      </c>
      <c r="S961" s="114" t="s">
        <v>63</v>
      </c>
      <c r="T961" s="114"/>
      <c r="U961" s="114" t="s">
        <v>51</v>
      </c>
      <c r="V961" s="282"/>
      <c r="W961" s="286">
        <f>IF(AC961="Intr",0,G961*Definitions!$B$53)</f>
        <v>7800</v>
      </c>
      <c r="X961" s="286">
        <f>IF(AC961="Intr",0,G961*Definitions!$B$54)</f>
        <v>36400</v>
      </c>
      <c r="Y961" s="286">
        <f>IF(AC961="Intr",G961,G961*Definitions!$B$55)</f>
        <v>7800</v>
      </c>
      <c r="Z961" s="286" t="s">
        <v>966</v>
      </c>
      <c r="AA961" s="286" t="s">
        <v>965</v>
      </c>
      <c r="AB961" s="286"/>
      <c r="AC961" s="114"/>
      <c r="AD961" s="114"/>
      <c r="AE961" s="114"/>
      <c r="AF961" s="114"/>
      <c r="AG961" s="287"/>
      <c r="AH961" s="114"/>
    </row>
    <row r="962" spans="1:34" x14ac:dyDescent="0.2">
      <c r="A962" s="145">
        <v>45798</v>
      </c>
      <c r="B962" s="112" t="s">
        <v>95</v>
      </c>
      <c r="C962" s="112">
        <v>2025</v>
      </c>
      <c r="D962" s="112" t="s">
        <v>5</v>
      </c>
      <c r="E962" s="146">
        <v>-0.61</v>
      </c>
      <c r="F962" s="146" t="s">
        <v>32</v>
      </c>
      <c r="G962" s="147">
        <v>48800</v>
      </c>
      <c r="H962" s="148">
        <v>395</v>
      </c>
      <c r="I962" s="146" t="s">
        <v>80</v>
      </c>
      <c r="J962" s="146" t="s">
        <v>38</v>
      </c>
      <c r="K962" s="146">
        <v>0.2</v>
      </c>
      <c r="L962" s="146" t="s">
        <v>1942</v>
      </c>
      <c r="M962" s="146" t="s">
        <v>1945</v>
      </c>
      <c r="N962" s="149" t="s">
        <v>1946</v>
      </c>
      <c r="O962" s="112"/>
      <c r="P962" s="112" t="s">
        <v>418</v>
      </c>
      <c r="Q962" s="729">
        <v>40.449800000000003</v>
      </c>
      <c r="R962" s="591">
        <v>-84.9726</v>
      </c>
      <c r="S962" s="112" t="s">
        <v>63</v>
      </c>
      <c r="T962" s="112"/>
      <c r="U962" s="112" t="s">
        <v>51</v>
      </c>
      <c r="V962" s="145"/>
      <c r="W962" s="150">
        <f>IF(AC962="Intr",0,G962*Definitions!$B$53)</f>
        <v>7320</v>
      </c>
      <c r="X962" s="150">
        <f>IF(AC962="Intr",0,G962*Definitions!$B$54)</f>
        <v>34160</v>
      </c>
      <c r="Y962" s="150">
        <f>IF(AC962="Intr",G962,G962*Definitions!$B$55)</f>
        <v>7320</v>
      </c>
      <c r="Z962" s="150" t="s">
        <v>965</v>
      </c>
      <c r="AA962" s="150" t="s">
        <v>966</v>
      </c>
      <c r="AB962" s="150"/>
      <c r="AC962" s="112"/>
      <c r="AD962" s="112"/>
      <c r="AE962" s="112"/>
      <c r="AF962" s="112"/>
      <c r="AG962" s="151"/>
      <c r="AH962" s="112"/>
    </row>
    <row r="963" spans="1:34" x14ac:dyDescent="0.2">
      <c r="A963" s="145">
        <v>45798</v>
      </c>
      <c r="B963" s="112" t="s">
        <v>95</v>
      </c>
      <c r="C963" s="112">
        <v>2025</v>
      </c>
      <c r="D963" s="112" t="s">
        <v>5</v>
      </c>
      <c r="E963" s="146">
        <v>-0.04</v>
      </c>
      <c r="F963" s="146" t="s">
        <v>32</v>
      </c>
      <c r="G963" s="147">
        <v>3200</v>
      </c>
      <c r="H963" s="148">
        <v>395</v>
      </c>
      <c r="I963" s="146" t="s">
        <v>80</v>
      </c>
      <c r="J963" s="146" t="s">
        <v>36</v>
      </c>
      <c r="K963" s="146">
        <v>0.02</v>
      </c>
      <c r="L963" s="146" t="s">
        <v>1942</v>
      </c>
      <c r="M963" s="146" t="s">
        <v>1945</v>
      </c>
      <c r="N963" s="149" t="s">
        <v>1946</v>
      </c>
      <c r="O963" s="112"/>
      <c r="P963" s="112" t="s">
        <v>418</v>
      </c>
      <c r="Q963" s="729">
        <v>40.449800000000003</v>
      </c>
      <c r="R963" s="591">
        <v>-84.9726</v>
      </c>
      <c r="S963" s="112" t="s">
        <v>63</v>
      </c>
      <c r="T963" s="112"/>
      <c r="U963" s="112" t="s">
        <v>51</v>
      </c>
      <c r="V963" s="145"/>
      <c r="W963" s="150">
        <f>IF(AC963="Intr",0,G963*Definitions!$B$53)</f>
        <v>480</v>
      </c>
      <c r="X963" s="150">
        <f>IF(AC963="Intr",0,G963*Definitions!$B$54)</f>
        <v>2240</v>
      </c>
      <c r="Y963" s="150">
        <f>IF(AC963="Intr",G963,G963*Definitions!$B$55)</f>
        <v>480</v>
      </c>
      <c r="Z963" s="150" t="s">
        <v>965</v>
      </c>
      <c r="AA963" s="150" t="s">
        <v>966</v>
      </c>
      <c r="AB963" s="150"/>
      <c r="AC963" s="112"/>
      <c r="AD963" s="112"/>
      <c r="AE963" s="112"/>
      <c r="AF963" s="112"/>
      <c r="AG963" s="151"/>
      <c r="AH963" s="112"/>
    </row>
    <row r="964" spans="1:34" x14ac:dyDescent="0.2">
      <c r="A964" s="160">
        <v>45804</v>
      </c>
      <c r="B964" s="161" t="s">
        <v>95</v>
      </c>
      <c r="C964" s="161">
        <v>2025</v>
      </c>
      <c r="D964" s="161" t="s">
        <v>7</v>
      </c>
      <c r="E964" s="162">
        <v>-0.84</v>
      </c>
      <c r="F964" s="162" t="s">
        <v>32</v>
      </c>
      <c r="G964" s="163">
        <v>67200</v>
      </c>
      <c r="H964" s="164">
        <v>602</v>
      </c>
      <c r="I964" s="162" t="s">
        <v>81</v>
      </c>
      <c r="J964" s="162" t="s">
        <v>38</v>
      </c>
      <c r="K964" s="162">
        <v>0.21</v>
      </c>
      <c r="L964" s="162" t="s">
        <v>406</v>
      </c>
      <c r="M964" s="162" t="s">
        <v>103</v>
      </c>
      <c r="N964" s="165" t="s">
        <v>1965</v>
      </c>
      <c r="O964" s="161"/>
      <c r="P964" s="161" t="s">
        <v>101</v>
      </c>
      <c r="Q964" s="741">
        <v>39.592599999999997</v>
      </c>
      <c r="R964" s="654">
        <v>-86.043400000000005</v>
      </c>
      <c r="S964" s="161" t="s">
        <v>61</v>
      </c>
      <c r="T964" s="161"/>
      <c r="U964" s="161" t="s">
        <v>51</v>
      </c>
      <c r="V964" s="160"/>
      <c r="W964" s="166">
        <f>IF(AC964="Intr",0,G964*Definitions!$B$53)</f>
        <v>10080</v>
      </c>
      <c r="X964" s="166">
        <f>IF(AC964="Intr",0,G964*Definitions!$B$54)</f>
        <v>47040</v>
      </c>
      <c r="Y964" s="166">
        <f>IF(AC964="Intr",G964,G964*Definitions!$B$55)</f>
        <v>10080</v>
      </c>
      <c r="Z964" s="166" t="s">
        <v>966</v>
      </c>
      <c r="AA964" s="166" t="s">
        <v>963</v>
      </c>
      <c r="AB964" s="166" t="s">
        <v>1245</v>
      </c>
      <c r="AC964" s="161"/>
      <c r="AD964" s="161"/>
      <c r="AE964" s="161"/>
      <c r="AF964" s="161"/>
      <c r="AG964" s="167"/>
      <c r="AH964" s="161"/>
    </row>
    <row r="965" spans="1:34" x14ac:dyDescent="0.2">
      <c r="A965" s="168">
        <v>45812</v>
      </c>
      <c r="B965" s="169" t="s">
        <v>433</v>
      </c>
      <c r="C965" s="169">
        <v>2025</v>
      </c>
      <c r="D965" s="169" t="s">
        <v>10</v>
      </c>
      <c r="E965" s="170">
        <v>-40</v>
      </c>
      <c r="F965" s="170" t="s">
        <v>33</v>
      </c>
      <c r="G965" s="171">
        <v>16000</v>
      </c>
      <c r="H965" s="913">
        <v>561</v>
      </c>
      <c r="I965" s="170" t="s">
        <v>80</v>
      </c>
      <c r="J965" s="170" t="s">
        <v>41</v>
      </c>
      <c r="K965" s="914">
        <v>74</v>
      </c>
      <c r="L965" s="914" t="s">
        <v>726</v>
      </c>
      <c r="M965" s="914" t="s">
        <v>1968</v>
      </c>
      <c r="N965" s="914" t="s">
        <v>1969</v>
      </c>
      <c r="O965" s="169"/>
      <c r="P965" s="169" t="s">
        <v>84</v>
      </c>
      <c r="Q965" s="732">
        <v>38.543973000000001</v>
      </c>
      <c r="R965" s="646">
        <v>-85.767638000000005</v>
      </c>
      <c r="S965" s="169" t="s">
        <v>59</v>
      </c>
      <c r="T965" s="169"/>
      <c r="U965" s="169" t="s">
        <v>51</v>
      </c>
      <c r="V965" s="168"/>
      <c r="W965" s="174">
        <f>IF(AC965="Intr",0,G965*Definitions!$B$53)</f>
        <v>2400</v>
      </c>
      <c r="X965" s="174">
        <f>IF(AC965="Intr",0,G965*Definitions!$B$54)</f>
        <v>11200</v>
      </c>
      <c r="Y965" s="174">
        <f>IF(AC965="Intr",G965,G965*Definitions!$B$55)</f>
        <v>2400</v>
      </c>
      <c r="Z965" s="174" t="s">
        <v>966</v>
      </c>
      <c r="AA965" s="174" t="s">
        <v>965</v>
      </c>
      <c r="AB965" s="174"/>
      <c r="AC965" s="169"/>
      <c r="AD965" s="169"/>
      <c r="AE965" s="169"/>
      <c r="AF965" s="169"/>
      <c r="AG965" s="175"/>
      <c r="AH965" s="169" t="s">
        <v>1996</v>
      </c>
    </row>
    <row r="966" spans="1:34" x14ac:dyDescent="0.2">
      <c r="A966" s="152">
        <v>45812</v>
      </c>
      <c r="B966" s="153" t="s">
        <v>433</v>
      </c>
      <c r="C966" s="153">
        <v>2025</v>
      </c>
      <c r="D966" s="153" t="s">
        <v>6</v>
      </c>
      <c r="E966" s="154">
        <v>-84</v>
      </c>
      <c r="F966" s="154" t="s">
        <v>33</v>
      </c>
      <c r="G966" s="155">
        <v>33600</v>
      </c>
      <c r="H966" s="915">
        <v>562</v>
      </c>
      <c r="I966" s="154" t="s">
        <v>80</v>
      </c>
      <c r="J966" s="154" t="s">
        <v>40</v>
      </c>
      <c r="K966" s="912">
        <v>84</v>
      </c>
      <c r="L966" s="912" t="s">
        <v>726</v>
      </c>
      <c r="M966" s="912" t="s">
        <v>1970</v>
      </c>
      <c r="N966" s="912" t="s">
        <v>1971</v>
      </c>
      <c r="O966" s="153"/>
      <c r="P966" s="153" t="s">
        <v>1667</v>
      </c>
      <c r="Q966" s="751">
        <v>40.112510999999998</v>
      </c>
      <c r="R966" s="656">
        <v>-87.243199000000004</v>
      </c>
      <c r="S966" s="153" t="s">
        <v>63</v>
      </c>
      <c r="T966" s="153"/>
      <c r="U966" s="153" t="s">
        <v>51</v>
      </c>
      <c r="V966" s="152"/>
      <c r="W966" s="158">
        <f>IF(AC966="Intr",0,G966*Definitions!$B$53)</f>
        <v>5040</v>
      </c>
      <c r="X966" s="158">
        <f>IF(AC966="Intr",0,G966*Definitions!$B$54)</f>
        <v>23520</v>
      </c>
      <c r="Y966" s="158">
        <f>IF(AC966="Intr",G966,G966*Definitions!$B$55)</f>
        <v>5040</v>
      </c>
      <c r="Z966" s="158" t="s">
        <v>966</v>
      </c>
      <c r="AA966" s="158" t="s">
        <v>965</v>
      </c>
      <c r="AB966" s="158"/>
      <c r="AC966" s="153"/>
      <c r="AD966" s="153"/>
      <c r="AE966" s="153"/>
      <c r="AF966" s="153"/>
      <c r="AG966" s="159"/>
      <c r="AH966" s="153" t="s">
        <v>1997</v>
      </c>
    </row>
    <row r="967" spans="1:34" x14ac:dyDescent="0.2">
      <c r="A967" s="288">
        <v>45812</v>
      </c>
      <c r="B967" s="289" t="s">
        <v>433</v>
      </c>
      <c r="C967" s="289">
        <v>2025</v>
      </c>
      <c r="D967" s="289" t="s">
        <v>3</v>
      </c>
      <c r="E967" s="331">
        <v>-67</v>
      </c>
      <c r="F967" s="331" t="s">
        <v>33</v>
      </c>
      <c r="G967" s="332">
        <v>40200</v>
      </c>
      <c r="H967" s="916">
        <v>593</v>
      </c>
      <c r="I967" s="331" t="s">
        <v>80</v>
      </c>
      <c r="J967" s="331" t="s">
        <v>39</v>
      </c>
      <c r="K967" s="917">
        <v>67</v>
      </c>
      <c r="L967" s="917" t="s">
        <v>726</v>
      </c>
      <c r="M967" s="917" t="s">
        <v>1972</v>
      </c>
      <c r="N967" s="917" t="s">
        <v>1973</v>
      </c>
      <c r="O967" s="289"/>
      <c r="P967" s="289" t="s">
        <v>113</v>
      </c>
      <c r="Q967" s="733">
        <v>41.353544999999997</v>
      </c>
      <c r="R967" s="647">
        <v>-85.423655999999994</v>
      </c>
      <c r="S967" s="289" t="s">
        <v>61</v>
      </c>
      <c r="T967" s="289"/>
      <c r="U967" s="289" t="s">
        <v>51</v>
      </c>
      <c r="V967" s="288"/>
      <c r="W967" s="293">
        <f>IF(AC967="Intr",0,G967*Definitions!$B$53)</f>
        <v>6030</v>
      </c>
      <c r="X967" s="293">
        <f>IF(AC967="Intr",0,G967*Definitions!$B$54)</f>
        <v>28140</v>
      </c>
      <c r="Y967" s="293">
        <f>IF(AC967="Intr",G967,G967*Definitions!$B$55)</f>
        <v>6030</v>
      </c>
      <c r="Z967" s="293" t="s">
        <v>964</v>
      </c>
      <c r="AA967" s="293" t="s">
        <v>965</v>
      </c>
      <c r="AB967" s="293"/>
      <c r="AC967" s="289"/>
      <c r="AD967" s="289"/>
      <c r="AE967" s="289"/>
      <c r="AF967" s="289"/>
      <c r="AG967" s="294"/>
      <c r="AH967" s="289" t="s">
        <v>1998</v>
      </c>
    </row>
    <row r="968" spans="1:34" x14ac:dyDescent="0.2">
      <c r="A968" s="274">
        <v>45812</v>
      </c>
      <c r="B968" s="275" t="s">
        <v>433</v>
      </c>
      <c r="C968" s="275">
        <v>2025</v>
      </c>
      <c r="D968" s="275" t="s">
        <v>7</v>
      </c>
      <c r="E968" s="276">
        <v>-1061.3</v>
      </c>
      <c r="F968" s="276" t="s">
        <v>33</v>
      </c>
      <c r="G968" s="277">
        <v>477585</v>
      </c>
      <c r="H968" s="918">
        <v>601</v>
      </c>
      <c r="I968" s="276" t="s">
        <v>80</v>
      </c>
      <c r="J968" s="276" t="s">
        <v>40</v>
      </c>
      <c r="K968" s="624">
        <v>6129.6</v>
      </c>
      <c r="L968" s="624" t="s">
        <v>726</v>
      </c>
      <c r="M968" s="624" t="s">
        <v>1974</v>
      </c>
      <c r="N968" s="624" t="s">
        <v>1018</v>
      </c>
      <c r="O968" s="275"/>
      <c r="P968" s="275" t="s">
        <v>143</v>
      </c>
      <c r="Q968" s="755">
        <v>39.865000000000002</v>
      </c>
      <c r="R968" s="657">
        <v>-86.046999999999997</v>
      </c>
      <c r="S968" s="275" t="s">
        <v>63</v>
      </c>
      <c r="T968" s="275"/>
      <c r="U968" s="275" t="s">
        <v>51</v>
      </c>
      <c r="V968" s="274"/>
      <c r="W968" s="280">
        <f>IF(AC968="Intr",0,G968*Definitions!$B$53)</f>
        <v>71637.75</v>
      </c>
      <c r="X968" s="280">
        <f>IF(AC968="Intr",0,G968*Definitions!$B$54)</f>
        <v>334309.5</v>
      </c>
      <c r="Y968" s="280">
        <f>IF(AC968="Intr",G968,G968*Definitions!$B$55)</f>
        <v>71637.75</v>
      </c>
      <c r="Z968" s="280" t="s">
        <v>966</v>
      </c>
      <c r="AA968" s="280" t="s">
        <v>965</v>
      </c>
      <c r="AB968" s="280"/>
      <c r="AC968" s="275"/>
      <c r="AD968" s="275"/>
      <c r="AE968" s="275"/>
      <c r="AF968" s="275"/>
      <c r="AG968" s="281"/>
      <c r="AH968" s="275" t="s">
        <v>1999</v>
      </c>
    </row>
    <row r="969" spans="1:34" x14ac:dyDescent="0.2">
      <c r="A969" s="88">
        <v>45818</v>
      </c>
      <c r="B969" s="89" t="s">
        <v>433</v>
      </c>
      <c r="C969" s="89">
        <v>2025</v>
      </c>
      <c r="D969" s="89" t="s">
        <v>4</v>
      </c>
      <c r="E969" s="90">
        <v>-184.2</v>
      </c>
      <c r="F969" s="90" t="s">
        <v>33</v>
      </c>
      <c r="G969" s="91">
        <v>82890</v>
      </c>
      <c r="H969" s="881">
        <v>510</v>
      </c>
      <c r="I969" s="90" t="s">
        <v>80</v>
      </c>
      <c r="J969" s="90" t="s">
        <v>39</v>
      </c>
      <c r="K969" s="919">
        <v>122.01</v>
      </c>
      <c r="L969" s="919" t="s">
        <v>1975</v>
      </c>
      <c r="M969" s="919" t="s">
        <v>1976</v>
      </c>
      <c r="N969" s="919" t="s">
        <v>1977</v>
      </c>
      <c r="O969" s="89"/>
      <c r="P969" s="89" t="s">
        <v>255</v>
      </c>
      <c r="Q969" s="735">
        <v>41.052067000000001</v>
      </c>
      <c r="R969" s="649">
        <v>-85.157611000000003</v>
      </c>
      <c r="S969" s="89" t="s">
        <v>63</v>
      </c>
      <c r="T969" s="89"/>
      <c r="U969" s="89" t="s">
        <v>51</v>
      </c>
      <c r="V969" s="88"/>
      <c r="W969" s="95">
        <f>IF(AC969="Intr",0,G969*Definitions!$B$53)</f>
        <v>12433.5</v>
      </c>
      <c r="X969" s="95">
        <f>IF(AC969="Intr",0,G969*Definitions!$B$54)</f>
        <v>58022.999999999993</v>
      </c>
      <c r="Y969" s="95">
        <f>IF(AC969="Intr",G969,G969*Definitions!$B$55)</f>
        <v>12433.5</v>
      </c>
      <c r="Z969" s="95" t="s">
        <v>964</v>
      </c>
      <c r="AA969" s="95" t="s">
        <v>965</v>
      </c>
      <c r="AB969" s="95"/>
      <c r="AC969" s="89"/>
      <c r="AD969" s="89"/>
      <c r="AE969" s="89"/>
      <c r="AF969" s="89"/>
      <c r="AG969" s="96"/>
      <c r="AH969" s="89"/>
    </row>
    <row r="970" spans="1:34" x14ac:dyDescent="0.2">
      <c r="A970" s="207">
        <v>45818</v>
      </c>
      <c r="B970" s="208" t="s">
        <v>433</v>
      </c>
      <c r="C970" s="208">
        <v>2025</v>
      </c>
      <c r="D970" s="208" t="s">
        <v>1</v>
      </c>
      <c r="E970" s="209">
        <v>-0.57999999999999996</v>
      </c>
      <c r="F970" s="209" t="s">
        <v>32</v>
      </c>
      <c r="G970" s="210">
        <v>55100</v>
      </c>
      <c r="H970" s="895" t="s">
        <v>1967</v>
      </c>
      <c r="I970" s="209" t="s">
        <v>80</v>
      </c>
      <c r="J970" s="209" t="s">
        <v>38</v>
      </c>
      <c r="K970" s="600">
        <v>0.17299999999999999</v>
      </c>
      <c r="L970" s="600" t="s">
        <v>726</v>
      </c>
      <c r="M970" s="600" t="s">
        <v>1978</v>
      </c>
      <c r="N970" s="600" t="s">
        <v>1979</v>
      </c>
      <c r="O970" s="208"/>
      <c r="P970" s="208" t="s">
        <v>385</v>
      </c>
      <c r="Q970" s="749">
        <v>41.656599999999997</v>
      </c>
      <c r="R970" s="641">
        <v>-87.05762</v>
      </c>
      <c r="S970" s="208" t="s">
        <v>63</v>
      </c>
      <c r="T970" s="208"/>
      <c r="U970" s="208" t="s">
        <v>51</v>
      </c>
      <c r="V970" s="207"/>
      <c r="W970" s="213">
        <f>IF(AC970="Intr",0,G970*Definitions!$B$53)</f>
        <v>8265</v>
      </c>
      <c r="X970" s="213">
        <f>IF(AC970="Intr",0,G970*Definitions!$B$54)</f>
        <v>38570</v>
      </c>
      <c r="Y970" s="213">
        <f>IF(AC970="Intr",G970,G970*Definitions!$B$55)</f>
        <v>8265</v>
      </c>
      <c r="Z970" s="213" t="s">
        <v>967</v>
      </c>
      <c r="AA970" s="213" t="s">
        <v>965</v>
      </c>
      <c r="AB970" s="213"/>
      <c r="AC970" s="208"/>
      <c r="AD970" s="208"/>
      <c r="AE970" s="208"/>
      <c r="AF970" s="208"/>
      <c r="AG970" s="214"/>
      <c r="AH970" s="208" t="s">
        <v>2000</v>
      </c>
    </row>
    <row r="971" spans="1:34" x14ac:dyDescent="0.2">
      <c r="A971" s="207">
        <v>45818</v>
      </c>
      <c r="B971" s="208" t="s">
        <v>433</v>
      </c>
      <c r="C971" s="208">
        <v>2025</v>
      </c>
      <c r="D971" s="208" t="s">
        <v>1</v>
      </c>
      <c r="E971" s="209">
        <v>-0.59</v>
      </c>
      <c r="F971" s="209" t="s">
        <v>32</v>
      </c>
      <c r="G971" s="210">
        <v>56050</v>
      </c>
      <c r="H971" s="895" t="s">
        <v>1967</v>
      </c>
      <c r="I971" s="209" t="s">
        <v>80</v>
      </c>
      <c r="J971" s="209" t="s">
        <v>36</v>
      </c>
      <c r="K971" s="600">
        <v>1</v>
      </c>
      <c r="L971" s="600" t="s">
        <v>726</v>
      </c>
      <c r="M971" s="600" t="s">
        <v>1978</v>
      </c>
      <c r="N971" s="600" t="s">
        <v>1979</v>
      </c>
      <c r="O971" s="208"/>
      <c r="P971" s="208" t="s">
        <v>385</v>
      </c>
      <c r="Q971" s="749">
        <v>41.656599999999997</v>
      </c>
      <c r="R971" s="641">
        <v>-87.05762</v>
      </c>
      <c r="S971" s="208" t="s">
        <v>63</v>
      </c>
      <c r="T971" s="208"/>
      <c r="U971" s="208" t="s">
        <v>51</v>
      </c>
      <c r="V971" s="207"/>
      <c r="W971" s="213">
        <f>IF(AC971="Intr",0,G971*Definitions!$B$53)</f>
        <v>8407.5</v>
      </c>
      <c r="X971" s="213">
        <f>IF(AC971="Intr",0,G971*Definitions!$B$54)</f>
        <v>39235</v>
      </c>
      <c r="Y971" s="213">
        <f>IF(AC971="Intr",G971,G971*Definitions!$B$55)</f>
        <v>8407.5</v>
      </c>
      <c r="Z971" s="213" t="s">
        <v>967</v>
      </c>
      <c r="AA971" s="213" t="s">
        <v>965</v>
      </c>
      <c r="AB971" s="213"/>
      <c r="AC971" s="208"/>
      <c r="AD971" s="208"/>
      <c r="AE971" s="208"/>
      <c r="AF971" s="208"/>
      <c r="AG971" s="214"/>
      <c r="AH971" s="208" t="s">
        <v>2000</v>
      </c>
    </row>
    <row r="972" spans="1:34" x14ac:dyDescent="0.2">
      <c r="A972" s="207">
        <v>45818</v>
      </c>
      <c r="B972" s="208" t="s">
        <v>433</v>
      </c>
      <c r="C972" s="208">
        <v>2025</v>
      </c>
      <c r="D972" s="208" t="s">
        <v>1</v>
      </c>
      <c r="E972" s="209">
        <v>-8.4</v>
      </c>
      <c r="F972" s="209" t="s">
        <v>33</v>
      </c>
      <c r="G972" s="210">
        <v>5040</v>
      </c>
      <c r="H972" s="895" t="s">
        <v>1967</v>
      </c>
      <c r="I972" s="209" t="s">
        <v>80</v>
      </c>
      <c r="J972" s="209" t="s">
        <v>39</v>
      </c>
      <c r="K972" s="600">
        <v>7</v>
      </c>
      <c r="L972" s="600" t="s">
        <v>726</v>
      </c>
      <c r="M972" s="600" t="s">
        <v>1978</v>
      </c>
      <c r="N972" s="600" t="s">
        <v>1979</v>
      </c>
      <c r="O972" s="208"/>
      <c r="P972" s="208" t="s">
        <v>385</v>
      </c>
      <c r="Q972" s="749">
        <v>41.656599999999997</v>
      </c>
      <c r="R972" s="641">
        <v>-87.05762</v>
      </c>
      <c r="S972" s="208" t="s">
        <v>63</v>
      </c>
      <c r="T972" s="208"/>
      <c r="U972" s="208" t="s">
        <v>51</v>
      </c>
      <c r="V972" s="207"/>
      <c r="W972" s="213">
        <f>IF(AC972="Intr",0,G972*Definitions!$B$53)</f>
        <v>756</v>
      </c>
      <c r="X972" s="213">
        <f>IF(AC972="Intr",0,G972*Definitions!$B$54)</f>
        <v>3528</v>
      </c>
      <c r="Y972" s="213">
        <f>IF(AC972="Intr",G972,G972*Definitions!$B$55)</f>
        <v>756</v>
      </c>
      <c r="Z972" s="213" t="s">
        <v>967</v>
      </c>
      <c r="AA972" s="213" t="s">
        <v>965</v>
      </c>
      <c r="AB972" s="213"/>
      <c r="AC972" s="208"/>
      <c r="AD972" s="208"/>
      <c r="AE972" s="208"/>
      <c r="AF972" s="208"/>
      <c r="AG972" s="214"/>
      <c r="AH972" s="208" t="s">
        <v>2000</v>
      </c>
    </row>
    <row r="973" spans="1:34" x14ac:dyDescent="0.2">
      <c r="A973" s="282">
        <v>45818</v>
      </c>
      <c r="B973" s="114" t="s">
        <v>433</v>
      </c>
      <c r="C973" s="114">
        <v>2025</v>
      </c>
      <c r="D973" s="114" t="s">
        <v>7</v>
      </c>
      <c r="E973" s="270">
        <v>-51</v>
      </c>
      <c r="F973" s="270" t="s">
        <v>33</v>
      </c>
      <c r="G973" s="283">
        <v>22950</v>
      </c>
      <c r="H973" s="920">
        <v>599</v>
      </c>
      <c r="I973" s="270" t="s">
        <v>80</v>
      </c>
      <c r="J973" s="270" t="s">
        <v>40</v>
      </c>
      <c r="K973" s="921">
        <v>51</v>
      </c>
      <c r="L973" s="921" t="s">
        <v>1980</v>
      </c>
      <c r="M973" s="921" t="s">
        <v>1981</v>
      </c>
      <c r="N973" s="921" t="s">
        <v>1982</v>
      </c>
      <c r="O973" s="114"/>
      <c r="P973" s="114" t="s">
        <v>121</v>
      </c>
      <c r="Q973" s="750">
        <v>39.827311999999999</v>
      </c>
      <c r="R973" s="635">
        <v>-85.925578999999999</v>
      </c>
      <c r="S973" s="114" t="s">
        <v>63</v>
      </c>
      <c r="T973" s="114"/>
      <c r="U973" s="114" t="s">
        <v>51</v>
      </c>
      <c r="V973" s="282"/>
      <c r="W973" s="286">
        <f>IF(AC973="Intr",0,G973*Definitions!$B$53)</f>
        <v>3442.5</v>
      </c>
      <c r="X973" s="286">
        <f>IF(AC973="Intr",0,G973*Definitions!$B$54)</f>
        <v>16064.999999999998</v>
      </c>
      <c r="Y973" s="286">
        <f>IF(AC973="Intr",G973,G973*Definitions!$B$55)</f>
        <v>3442.5</v>
      </c>
      <c r="Z973" s="286" t="s">
        <v>966</v>
      </c>
      <c r="AA973" s="286" t="s">
        <v>965</v>
      </c>
      <c r="AB973" s="286"/>
      <c r="AC973" s="114"/>
      <c r="AD973" s="114"/>
      <c r="AE973" s="114"/>
      <c r="AF973" s="114"/>
      <c r="AG973" s="287"/>
      <c r="AH973" s="114"/>
    </row>
    <row r="974" spans="1:34" x14ac:dyDescent="0.2">
      <c r="A974" s="160">
        <v>45818</v>
      </c>
      <c r="B974" s="161" t="s">
        <v>433</v>
      </c>
      <c r="C974" s="161">
        <v>2025</v>
      </c>
      <c r="D974" s="161" t="s">
        <v>9</v>
      </c>
      <c r="E974" s="162">
        <v>-230</v>
      </c>
      <c r="F974" s="162" t="s">
        <v>33</v>
      </c>
      <c r="G974" s="163">
        <v>92000</v>
      </c>
      <c r="H974" s="922">
        <v>606</v>
      </c>
      <c r="I974" s="162" t="s">
        <v>80</v>
      </c>
      <c r="J974" s="162" t="s">
        <v>40</v>
      </c>
      <c r="K974" s="604">
        <v>230</v>
      </c>
      <c r="L974" s="604" t="s">
        <v>1993</v>
      </c>
      <c r="M974" s="923" t="s">
        <v>1994</v>
      </c>
      <c r="N974" s="604" t="s">
        <v>1995</v>
      </c>
      <c r="O974" s="161"/>
      <c r="P974" s="161" t="s">
        <v>375</v>
      </c>
      <c r="Q974" s="741">
        <v>38.330084999999997</v>
      </c>
      <c r="R974" s="654">
        <v>-87.003397000000007</v>
      </c>
      <c r="S974" s="161" t="s">
        <v>62</v>
      </c>
      <c r="T974" s="161"/>
      <c r="U974" s="161" t="s">
        <v>51</v>
      </c>
      <c r="V974" s="160"/>
      <c r="W974" s="166">
        <f>IF(AC974="Intr",0,G974*Definitions!$B$53)</f>
        <v>13800</v>
      </c>
      <c r="X974" s="166">
        <f>IF(AC974="Intr",0,G974*Definitions!$B$54)</f>
        <v>64399.999999999993</v>
      </c>
      <c r="Y974" s="166">
        <f>IF(AC974="Intr",G974,G974*Definitions!$B$55)</f>
        <v>13800</v>
      </c>
      <c r="Z974" s="166" t="s">
        <v>966</v>
      </c>
      <c r="AA974" s="166" t="s">
        <v>965</v>
      </c>
      <c r="AB974" s="166"/>
      <c r="AC974" s="161"/>
      <c r="AD974" s="161"/>
      <c r="AE974" s="161"/>
      <c r="AF974" s="161"/>
      <c r="AG974" s="167"/>
      <c r="AH974" s="161"/>
    </row>
    <row r="975" spans="1:34" x14ac:dyDescent="0.2">
      <c r="A975" s="160">
        <v>45818</v>
      </c>
      <c r="B975" s="161" t="s">
        <v>433</v>
      </c>
      <c r="C975" s="161">
        <v>2025</v>
      </c>
      <c r="D975" s="161" t="s">
        <v>9</v>
      </c>
      <c r="E975" s="162">
        <v>-65</v>
      </c>
      <c r="F975" s="162" t="s">
        <v>33</v>
      </c>
      <c r="G975" s="163">
        <v>26000</v>
      </c>
      <c r="H975" s="922">
        <v>606</v>
      </c>
      <c r="I975" s="162" t="s">
        <v>80</v>
      </c>
      <c r="J975" s="162" t="s">
        <v>39</v>
      </c>
      <c r="K975" s="604">
        <v>65</v>
      </c>
      <c r="L975" s="604" t="s">
        <v>1993</v>
      </c>
      <c r="M975" s="923" t="s">
        <v>1994</v>
      </c>
      <c r="N975" s="604" t="s">
        <v>1995</v>
      </c>
      <c r="O975" s="161"/>
      <c r="P975" s="161" t="s">
        <v>375</v>
      </c>
      <c r="Q975" s="741">
        <v>38.330084999999997</v>
      </c>
      <c r="R975" s="654">
        <v>-87.003397000000007</v>
      </c>
      <c r="S975" s="161" t="s">
        <v>62</v>
      </c>
      <c r="T975" s="161"/>
      <c r="U975" s="161" t="s">
        <v>51</v>
      </c>
      <c r="V975" s="160"/>
      <c r="W975" s="166">
        <f>IF(AC975="Intr",0,G975*Definitions!$B$53)</f>
        <v>3900</v>
      </c>
      <c r="X975" s="166">
        <f>IF(AC975="Intr",0,G975*Definitions!$B$54)</f>
        <v>18200</v>
      </c>
      <c r="Y975" s="166">
        <f>IF(AC975="Intr",G975,G975*Definitions!$B$55)</f>
        <v>3900</v>
      </c>
      <c r="Z975" s="166" t="s">
        <v>966</v>
      </c>
      <c r="AA975" s="166" t="s">
        <v>965</v>
      </c>
      <c r="AB975" s="166"/>
      <c r="AC975" s="161"/>
      <c r="AD975" s="161"/>
      <c r="AE975" s="161"/>
      <c r="AF975" s="161"/>
      <c r="AG975" s="167"/>
      <c r="AH975" s="161"/>
    </row>
    <row r="976" spans="1:34" x14ac:dyDescent="0.2">
      <c r="A976" s="160">
        <v>45818</v>
      </c>
      <c r="B976" s="161" t="s">
        <v>433</v>
      </c>
      <c r="C976" s="161">
        <v>2025</v>
      </c>
      <c r="D976" s="161" t="s">
        <v>9</v>
      </c>
      <c r="E976" s="162">
        <v>-83</v>
      </c>
      <c r="F976" s="162" t="s">
        <v>33</v>
      </c>
      <c r="G976" s="163">
        <v>33200</v>
      </c>
      <c r="H976" s="922">
        <v>606</v>
      </c>
      <c r="I976" s="162" t="s">
        <v>80</v>
      </c>
      <c r="J976" s="162" t="s">
        <v>41</v>
      </c>
      <c r="K976" s="604">
        <v>83</v>
      </c>
      <c r="L976" s="604" t="s">
        <v>1993</v>
      </c>
      <c r="M976" s="923" t="s">
        <v>1994</v>
      </c>
      <c r="N976" s="604" t="s">
        <v>1995</v>
      </c>
      <c r="O976" s="161"/>
      <c r="P976" s="161" t="s">
        <v>375</v>
      </c>
      <c r="Q976" s="741">
        <v>38.330084999999997</v>
      </c>
      <c r="R976" s="654">
        <v>-87.003397000000007</v>
      </c>
      <c r="S976" s="161" t="s">
        <v>62</v>
      </c>
      <c r="T976" s="161"/>
      <c r="U976" s="161" t="s">
        <v>51</v>
      </c>
      <c r="V976" s="160"/>
      <c r="W976" s="166">
        <f>IF(AC976="Intr",0,G976*Definitions!$B$53)</f>
        <v>4980</v>
      </c>
      <c r="X976" s="166">
        <f>IF(AC976="Intr",0,G976*Definitions!$B$54)</f>
        <v>23240</v>
      </c>
      <c r="Y976" s="166">
        <f>IF(AC976="Intr",G976,G976*Definitions!$B$55)</f>
        <v>4980</v>
      </c>
      <c r="Z976" s="166" t="s">
        <v>966</v>
      </c>
      <c r="AA976" s="166" t="s">
        <v>965</v>
      </c>
      <c r="AB976" s="166"/>
      <c r="AC976" s="161"/>
      <c r="AD976" s="161"/>
      <c r="AE976" s="161"/>
      <c r="AF976" s="161"/>
      <c r="AG976" s="167"/>
      <c r="AH976" s="161"/>
    </row>
    <row r="977" spans="1:34" x14ac:dyDescent="0.2">
      <c r="A977" s="29">
        <v>45825</v>
      </c>
      <c r="B977" s="30" t="s">
        <v>433</v>
      </c>
      <c r="C977" s="30">
        <v>2025</v>
      </c>
      <c r="D977" s="30" t="s">
        <v>7</v>
      </c>
      <c r="E977" s="217">
        <v>-0.59399999999999997</v>
      </c>
      <c r="F977" s="217" t="s">
        <v>32</v>
      </c>
      <c r="G977" s="218">
        <v>47520</v>
      </c>
      <c r="H977" s="882">
        <v>604</v>
      </c>
      <c r="I977" s="217" t="s">
        <v>81</v>
      </c>
      <c r="J977" s="217" t="s">
        <v>37</v>
      </c>
      <c r="K977" s="628">
        <v>0.39600000000000002</v>
      </c>
      <c r="L977" s="628" t="s">
        <v>1724</v>
      </c>
      <c r="M977" s="628" t="s">
        <v>103</v>
      </c>
      <c r="N977" s="628" t="s">
        <v>1983</v>
      </c>
      <c r="O977" s="30"/>
      <c r="P977" s="30" t="s">
        <v>117</v>
      </c>
      <c r="Q977" s="747">
        <v>39.930568999999998</v>
      </c>
      <c r="R977" s="636">
        <v>-86.343152000000003</v>
      </c>
      <c r="S977" s="30" t="s">
        <v>61</v>
      </c>
      <c r="T977" s="30"/>
      <c r="U977" s="30" t="s">
        <v>51</v>
      </c>
      <c r="V977" s="29"/>
      <c r="W977" s="31">
        <f>IF(AC977="Intr",0,G977*Definitions!$B$53)</f>
        <v>7128</v>
      </c>
      <c r="X977" s="31">
        <f>IF(AC977="Intr",0,G977*Definitions!$B$54)</f>
        <v>33264</v>
      </c>
      <c r="Y977" s="31">
        <f>IF(AC977="Intr",G977,G977*Definitions!$B$55)</f>
        <v>7128</v>
      </c>
      <c r="Z977" s="31" t="s">
        <v>966</v>
      </c>
      <c r="AA977" s="31" t="s">
        <v>963</v>
      </c>
      <c r="AB977" s="31" t="s">
        <v>970</v>
      </c>
      <c r="AC977" s="30"/>
      <c r="AD977" s="30"/>
      <c r="AE977" s="30"/>
      <c r="AF977" s="30"/>
      <c r="AG977" s="32"/>
      <c r="AH977" s="30"/>
    </row>
    <row r="978" spans="1:34" x14ac:dyDescent="0.2">
      <c r="A978" s="237">
        <v>45825</v>
      </c>
      <c r="B978" s="238" t="s">
        <v>433</v>
      </c>
      <c r="C978" s="238">
        <v>2025</v>
      </c>
      <c r="D978" s="238" t="s">
        <v>6</v>
      </c>
      <c r="E978" s="240">
        <v>-0.16600000000000001</v>
      </c>
      <c r="F978" s="240" t="s">
        <v>32</v>
      </c>
      <c r="G978" s="317">
        <v>13280</v>
      </c>
      <c r="H978" s="924">
        <v>588</v>
      </c>
      <c r="I978" s="240" t="s">
        <v>80</v>
      </c>
      <c r="J978" s="240" t="s">
        <v>36</v>
      </c>
      <c r="K978" s="596">
        <v>8.3000000000000004E-2</v>
      </c>
      <c r="L978" s="596" t="s">
        <v>1984</v>
      </c>
      <c r="M978" s="596" t="s">
        <v>1985</v>
      </c>
      <c r="N978" s="596" t="s">
        <v>1986</v>
      </c>
      <c r="O978" s="238"/>
      <c r="P978" s="238" t="s">
        <v>482</v>
      </c>
      <c r="Q978" s="734">
        <v>39.633077</v>
      </c>
      <c r="R978" s="648">
        <v>-86.857313000000005</v>
      </c>
      <c r="S978" s="238" t="s">
        <v>61</v>
      </c>
      <c r="T978" s="238"/>
      <c r="U978" s="238" t="s">
        <v>51</v>
      </c>
      <c r="V978" s="237"/>
      <c r="W978" s="244">
        <f>IF(AC978="Intr",0,G978*Definitions!$B$53)</f>
        <v>1992</v>
      </c>
      <c r="X978" s="244">
        <f>IF(AC978="Intr",0,G978*Definitions!$B$54)</f>
        <v>9296</v>
      </c>
      <c r="Y978" s="244">
        <f>IF(AC978="Intr",G978,G978*Definitions!$B$55)</f>
        <v>1992</v>
      </c>
      <c r="Z978" s="244" t="s">
        <v>966</v>
      </c>
      <c r="AA978" s="244" t="s">
        <v>965</v>
      </c>
      <c r="AB978" s="244"/>
      <c r="AC978" s="238"/>
      <c r="AD978" s="238"/>
      <c r="AE978" s="238"/>
      <c r="AF978" s="238"/>
      <c r="AG978" s="245"/>
      <c r="AH978" s="238"/>
    </row>
    <row r="979" spans="1:34" x14ac:dyDescent="0.2">
      <c r="A979" s="237">
        <v>45825</v>
      </c>
      <c r="B979" s="238" t="s">
        <v>433</v>
      </c>
      <c r="C979" s="238">
        <v>2025</v>
      </c>
      <c r="D979" s="238" t="s">
        <v>6</v>
      </c>
      <c r="E979" s="240">
        <v>-0.23400000000000001</v>
      </c>
      <c r="F979" s="240" t="s">
        <v>32</v>
      </c>
      <c r="G979" s="317">
        <v>18720</v>
      </c>
      <c r="H979" s="924">
        <v>588</v>
      </c>
      <c r="I979" s="240" t="s">
        <v>81</v>
      </c>
      <c r="J979" s="240" t="s">
        <v>36</v>
      </c>
      <c r="K979" s="596">
        <v>0.156</v>
      </c>
      <c r="L979" s="596" t="s">
        <v>1984</v>
      </c>
      <c r="M979" s="596" t="s">
        <v>1985</v>
      </c>
      <c r="N979" s="596" t="s">
        <v>1987</v>
      </c>
      <c r="O979" s="238"/>
      <c r="P979" s="238" t="s">
        <v>482</v>
      </c>
      <c r="Q979" s="734">
        <v>39.633077</v>
      </c>
      <c r="R979" s="648">
        <v>-86.857313000000005</v>
      </c>
      <c r="S979" s="238" t="s">
        <v>61</v>
      </c>
      <c r="T979" s="238"/>
      <c r="U979" s="238" t="s">
        <v>51</v>
      </c>
      <c r="V979" s="237"/>
      <c r="W979" s="244">
        <f>IF(AC979="Intr",0,G979*Definitions!$B$53)</f>
        <v>2808</v>
      </c>
      <c r="X979" s="244">
        <f>IF(AC979="Intr",0,G979*Definitions!$B$54)</f>
        <v>13104</v>
      </c>
      <c r="Y979" s="244">
        <f>IF(AC979="Intr",G979,G979*Definitions!$B$55)</f>
        <v>2808</v>
      </c>
      <c r="Z979" s="244" t="s">
        <v>966</v>
      </c>
      <c r="AA979" s="244" t="s">
        <v>963</v>
      </c>
      <c r="AB979" s="244"/>
      <c r="AC979" s="238"/>
      <c r="AD979" s="238"/>
      <c r="AE979" s="238"/>
      <c r="AF979" s="238"/>
      <c r="AG979" s="245"/>
      <c r="AH979" s="238"/>
    </row>
    <row r="980" spans="1:34" x14ac:dyDescent="0.2">
      <c r="A980" s="288">
        <v>45826</v>
      </c>
      <c r="B980" s="289" t="s">
        <v>433</v>
      </c>
      <c r="C980" s="289">
        <v>2025</v>
      </c>
      <c r="D980" s="289" t="s">
        <v>4</v>
      </c>
      <c r="E980" s="331">
        <v>-0.53</v>
      </c>
      <c r="F980" s="331" t="s">
        <v>32</v>
      </c>
      <c r="G980" s="332">
        <v>42400</v>
      </c>
      <c r="H980" s="916">
        <v>609</v>
      </c>
      <c r="I980" s="331" t="s">
        <v>81</v>
      </c>
      <c r="J980" s="331" t="s">
        <v>38</v>
      </c>
      <c r="K980" s="917">
        <v>0.27</v>
      </c>
      <c r="L980" s="917" t="s">
        <v>1988</v>
      </c>
      <c r="M980" s="917" t="s">
        <v>103</v>
      </c>
      <c r="N980" s="917" t="s">
        <v>1989</v>
      </c>
      <c r="O980" s="289"/>
      <c r="P980" s="289" t="s">
        <v>255</v>
      </c>
      <c r="Q980" s="733">
        <v>41.089928</v>
      </c>
      <c r="R980" s="647">
        <v>-85.03322</v>
      </c>
      <c r="S980" s="289" t="s">
        <v>61</v>
      </c>
      <c r="T980" s="289"/>
      <c r="U980" s="289" t="s">
        <v>51</v>
      </c>
      <c r="V980" s="288"/>
      <c r="W980" s="293">
        <f>IF(AC980="Intr",0,G980*Definitions!$B$53)</f>
        <v>6360</v>
      </c>
      <c r="X980" s="293">
        <f>IF(AC980="Intr",0,G980*Definitions!$B$54)</f>
        <v>29679.999999999996</v>
      </c>
      <c r="Y980" s="293">
        <f>IF(AC980="Intr",G980,G980*Definitions!$B$55)</f>
        <v>6360</v>
      </c>
      <c r="Z980" s="293" t="s">
        <v>964</v>
      </c>
      <c r="AA980" s="293" t="s">
        <v>963</v>
      </c>
      <c r="AB980" s="293"/>
      <c r="AC980" s="289"/>
      <c r="AD980" s="289"/>
      <c r="AE980" s="289"/>
      <c r="AF980" s="289"/>
      <c r="AG980" s="294"/>
      <c r="AH980" s="289"/>
    </row>
    <row r="981" spans="1:34" x14ac:dyDescent="0.2">
      <c r="A981" s="45">
        <v>45826</v>
      </c>
      <c r="B981" s="46" t="s">
        <v>433</v>
      </c>
      <c r="C981" s="46">
        <v>2025</v>
      </c>
      <c r="D981" s="46" t="s">
        <v>11</v>
      </c>
      <c r="E981" s="181">
        <v>-20</v>
      </c>
      <c r="F981" s="181" t="s">
        <v>33</v>
      </c>
      <c r="G981" s="182">
        <v>8000</v>
      </c>
      <c r="H981" s="925">
        <v>605</v>
      </c>
      <c r="I981" s="181" t="s">
        <v>80</v>
      </c>
      <c r="J981" s="181" t="s">
        <v>39</v>
      </c>
      <c r="K981" s="632">
        <v>442</v>
      </c>
      <c r="L981" s="632" t="s">
        <v>1123</v>
      </c>
      <c r="M981" s="632" t="s">
        <v>103</v>
      </c>
      <c r="N981" s="632" t="s">
        <v>1990</v>
      </c>
      <c r="O981" s="46"/>
      <c r="P981" s="46" t="s">
        <v>89</v>
      </c>
      <c r="Q981" s="761">
        <v>37.980955000000002</v>
      </c>
      <c r="R981" s="660">
        <v>-87.620413999999997</v>
      </c>
      <c r="S981" s="46" t="s">
        <v>61</v>
      </c>
      <c r="T981" s="46"/>
      <c r="U981" s="46" t="s">
        <v>51</v>
      </c>
      <c r="V981" s="45"/>
      <c r="W981" s="47">
        <f>IF(AC981="Intr",0,G981*Definitions!$B$53)</f>
        <v>1200</v>
      </c>
      <c r="X981" s="47">
        <f>IF(AC981="Intr",0,G981*Definitions!$B$54)</f>
        <v>5600</v>
      </c>
      <c r="Y981" s="47">
        <f>IF(AC981="Intr",G981,G981*Definitions!$B$55)</f>
        <v>1200</v>
      </c>
      <c r="Z981" s="47" t="s">
        <v>966</v>
      </c>
      <c r="AA981" s="47" t="s">
        <v>965</v>
      </c>
      <c r="AB981" s="47"/>
      <c r="AC981" s="46"/>
      <c r="AD981" s="46"/>
      <c r="AE981" s="46"/>
      <c r="AF981" s="46"/>
      <c r="AG981" s="48"/>
      <c r="AH981" s="46" t="s">
        <v>2001</v>
      </c>
    </row>
    <row r="982" spans="1:34" x14ac:dyDescent="0.2">
      <c r="A982" s="33">
        <v>45826</v>
      </c>
      <c r="B982" s="34" t="s">
        <v>433</v>
      </c>
      <c r="C982" s="34">
        <v>2025</v>
      </c>
      <c r="D982" s="34" t="s">
        <v>7</v>
      </c>
      <c r="E982" s="271">
        <v>-0.22</v>
      </c>
      <c r="F982" s="271" t="s">
        <v>32</v>
      </c>
      <c r="G982" s="272">
        <v>17600</v>
      </c>
      <c r="H982" s="926">
        <v>608</v>
      </c>
      <c r="I982" s="271" t="s">
        <v>81</v>
      </c>
      <c r="J982" s="271" t="s">
        <v>38</v>
      </c>
      <c r="K982" s="927">
        <v>0.11</v>
      </c>
      <c r="L982" s="927" t="s">
        <v>1991</v>
      </c>
      <c r="M982" s="927" t="s">
        <v>103</v>
      </c>
      <c r="N982" s="927" t="s">
        <v>1992</v>
      </c>
      <c r="O982" s="34"/>
      <c r="P982" s="34" t="s">
        <v>137</v>
      </c>
      <c r="Q982" s="773">
        <v>39.999930999999997</v>
      </c>
      <c r="R982" s="592">
        <v>-85.998932999999994</v>
      </c>
      <c r="S982" s="34" t="s">
        <v>61</v>
      </c>
      <c r="T982" s="34"/>
      <c r="U982" s="34" t="s">
        <v>51</v>
      </c>
      <c r="V982" s="33"/>
      <c r="W982" s="35">
        <f>IF(AC982="Intr",0,G982*Definitions!$B$53)</f>
        <v>2640</v>
      </c>
      <c r="X982" s="35">
        <f>IF(AC982="Intr",0,G982*Definitions!$B$54)</f>
        <v>12320</v>
      </c>
      <c r="Y982" s="35">
        <f>IF(AC982="Intr",G982,G982*Definitions!$B$55)</f>
        <v>2640</v>
      </c>
      <c r="Z982" s="35" t="s">
        <v>966</v>
      </c>
      <c r="AA982" s="35" t="s">
        <v>963</v>
      </c>
      <c r="AB982" s="35" t="s">
        <v>1245</v>
      </c>
      <c r="AC982" s="34"/>
      <c r="AD982" s="34"/>
      <c r="AE982" s="34"/>
      <c r="AF982" s="34"/>
      <c r="AG982" s="36"/>
      <c r="AH982" s="34"/>
    </row>
    <row r="983" spans="1:34" x14ac:dyDescent="0.2">
      <c r="A983" s="191">
        <v>45833</v>
      </c>
      <c r="B983" s="192" t="s">
        <v>433</v>
      </c>
      <c r="C983" s="192">
        <v>2025</v>
      </c>
      <c r="D983" s="192" t="s">
        <v>1</v>
      </c>
      <c r="E983" s="193">
        <v>-5.04</v>
      </c>
      <c r="F983" s="193" t="s">
        <v>32</v>
      </c>
      <c r="G983" s="194">
        <v>478800</v>
      </c>
      <c r="H983" s="195">
        <v>615</v>
      </c>
      <c r="I983" s="193" t="s">
        <v>81</v>
      </c>
      <c r="J983" s="193" t="s">
        <v>38</v>
      </c>
      <c r="K983" s="193">
        <v>2.5099999999999998</v>
      </c>
      <c r="L983" s="193" t="s">
        <v>2003</v>
      </c>
      <c r="M983" s="193" t="s">
        <v>103</v>
      </c>
      <c r="N983" s="196" t="s">
        <v>2002</v>
      </c>
      <c r="O983" s="192"/>
      <c r="P983" s="192" t="s">
        <v>227</v>
      </c>
      <c r="Q983" s="764">
        <v>41.481119999999997</v>
      </c>
      <c r="R983" s="662">
        <v>-87.319299999999998</v>
      </c>
      <c r="S983" s="192" t="s">
        <v>61</v>
      </c>
      <c r="T983" s="192"/>
      <c r="U983" s="192" t="s">
        <v>51</v>
      </c>
      <c r="V983" s="191"/>
      <c r="W983" s="197">
        <f>IF(AC983="Intr",0,G983*Definitions!$B$53)</f>
        <v>71820</v>
      </c>
      <c r="X983" s="197">
        <f>IF(AC983="Intr",0,G983*Definitions!$B$54)</f>
        <v>335160</v>
      </c>
      <c r="Y983" s="197">
        <f>IF(AC983="Intr",G983,G983*Definitions!$B$55)</f>
        <v>71820</v>
      </c>
      <c r="Z983" s="197" t="s">
        <v>967</v>
      </c>
      <c r="AA983" s="197" t="s">
        <v>963</v>
      </c>
      <c r="AB983" s="197" t="s">
        <v>1245</v>
      </c>
      <c r="AC983" s="192"/>
      <c r="AD983" s="192"/>
      <c r="AE983" s="192"/>
      <c r="AF983" s="192"/>
      <c r="AG983" s="198"/>
      <c r="AH983" s="192"/>
    </row>
    <row r="984" spans="1:34" x14ac:dyDescent="0.2">
      <c r="A984" s="367">
        <v>45838</v>
      </c>
      <c r="B984" s="368" t="s">
        <v>433</v>
      </c>
      <c r="C984" s="368">
        <v>2025</v>
      </c>
      <c r="D984" s="368" t="s">
        <v>7</v>
      </c>
      <c r="E984" s="389">
        <v>-0.78</v>
      </c>
      <c r="F984" s="389" t="s">
        <v>32</v>
      </c>
      <c r="G984" s="638">
        <v>62400</v>
      </c>
      <c r="H984" s="639" t="s">
        <v>2004</v>
      </c>
      <c r="I984" s="389" t="s">
        <v>81</v>
      </c>
      <c r="J984" s="389" t="s">
        <v>38</v>
      </c>
      <c r="K984" s="389">
        <v>0.31</v>
      </c>
      <c r="L984" s="389" t="s">
        <v>2005</v>
      </c>
      <c r="M984" s="389" t="s">
        <v>103</v>
      </c>
      <c r="N984" s="526" t="s">
        <v>2006</v>
      </c>
      <c r="O984" s="368"/>
      <c r="P984" s="368" t="s">
        <v>137</v>
      </c>
      <c r="Q984" s="838">
        <v>40.071199999999997</v>
      </c>
      <c r="R984" s="640">
        <v>-86.133899999999997</v>
      </c>
      <c r="S984" s="368" t="s">
        <v>61</v>
      </c>
      <c r="T984" s="368"/>
      <c r="U984" s="368" t="s">
        <v>51</v>
      </c>
      <c r="V984" s="367"/>
      <c r="W984" s="374">
        <f>IF(AC984="Intr",0,G984*Definitions!$B$53)</f>
        <v>9360</v>
      </c>
      <c r="X984" s="374">
        <f>IF(AC984="Intr",0,G984*Definitions!$B$54)</f>
        <v>43680</v>
      </c>
      <c r="Y984" s="374">
        <f>IF(AC984="Intr",G984,G984*Definitions!$B$55)</f>
        <v>9360</v>
      </c>
      <c r="Z984" s="374" t="s">
        <v>966</v>
      </c>
      <c r="AA984" s="374" t="s">
        <v>963</v>
      </c>
      <c r="AB984" s="374" t="s">
        <v>1245</v>
      </c>
      <c r="AC984" s="368"/>
      <c r="AD984" s="368"/>
      <c r="AE984" s="368"/>
      <c r="AF984" s="368"/>
      <c r="AG984" s="375"/>
      <c r="AH984" s="368"/>
    </row>
    <row r="985" spans="1:34" x14ac:dyDescent="0.2">
      <c r="A985" s="288">
        <v>45838</v>
      </c>
      <c r="B985" s="289" t="s">
        <v>433</v>
      </c>
      <c r="C985" s="289">
        <v>2025</v>
      </c>
      <c r="D985" s="289" t="s">
        <v>7</v>
      </c>
      <c r="E985" s="331">
        <v>-2.4</v>
      </c>
      <c r="F985" s="331" t="s">
        <v>32</v>
      </c>
      <c r="G985" s="332">
        <v>192000</v>
      </c>
      <c r="H985" s="333">
        <v>618</v>
      </c>
      <c r="I985" s="331" t="s">
        <v>81</v>
      </c>
      <c r="J985" s="331" t="s">
        <v>36</v>
      </c>
      <c r="K985" s="331">
        <v>1.63</v>
      </c>
      <c r="L985" s="331" t="s">
        <v>1166</v>
      </c>
      <c r="M985" s="331" t="s">
        <v>103</v>
      </c>
      <c r="N985" s="290" t="s">
        <v>2007</v>
      </c>
      <c r="O985" s="289"/>
      <c r="P985" s="289" t="s">
        <v>143</v>
      </c>
      <c r="Q985" s="733">
        <v>39.633400000000002</v>
      </c>
      <c r="R985" s="647">
        <v>-86.291899999999998</v>
      </c>
      <c r="S985" s="289" t="s">
        <v>61</v>
      </c>
      <c r="T985" s="289"/>
      <c r="U985" s="289" t="s">
        <v>51</v>
      </c>
      <c r="V985" s="288"/>
      <c r="W985" s="293">
        <f>IF(AC985="Intr",0,G985*Definitions!$B$53)</f>
        <v>28800</v>
      </c>
      <c r="X985" s="293">
        <f>IF(AC985="Intr",0,G985*Definitions!$B$54)</f>
        <v>134400</v>
      </c>
      <c r="Y985" s="293">
        <f>IF(AC985="Intr",G985,G985*Definitions!$B$55)</f>
        <v>28800</v>
      </c>
      <c r="Z985" s="293" t="s">
        <v>966</v>
      </c>
      <c r="AA985" s="293" t="s">
        <v>963</v>
      </c>
      <c r="AB985" s="293" t="s">
        <v>970</v>
      </c>
      <c r="AC985" s="289"/>
      <c r="AD985" s="289"/>
      <c r="AE985" s="289"/>
      <c r="AF985" s="289"/>
      <c r="AG985" s="294"/>
      <c r="AH985" s="289"/>
    </row>
    <row r="986" spans="1:34" x14ac:dyDescent="0.2">
      <c r="A986" s="207">
        <v>45838</v>
      </c>
      <c r="B986" s="208" t="s">
        <v>433</v>
      </c>
      <c r="C986" s="208">
        <v>2025</v>
      </c>
      <c r="D986" s="208" t="s">
        <v>6</v>
      </c>
      <c r="E986" s="209">
        <v>-0.442</v>
      </c>
      <c r="F986" s="209" t="s">
        <v>32</v>
      </c>
      <c r="G986" s="210">
        <v>35360</v>
      </c>
      <c r="H986" s="211">
        <v>616</v>
      </c>
      <c r="I986" s="209" t="s">
        <v>80</v>
      </c>
      <c r="J986" s="209" t="s">
        <v>36</v>
      </c>
      <c r="K986" s="209">
        <v>0.52100000000000002</v>
      </c>
      <c r="L986" s="209" t="s">
        <v>1916</v>
      </c>
      <c r="M986" s="209" t="s">
        <v>2008</v>
      </c>
      <c r="N986" s="212" t="s">
        <v>1918</v>
      </c>
      <c r="O986" s="208"/>
      <c r="P986" s="208" t="s">
        <v>205</v>
      </c>
      <c r="Q986" s="749">
        <v>39.351748999999998</v>
      </c>
      <c r="R986" s="641">
        <v>-87.411080999999996</v>
      </c>
      <c r="S986" s="208" t="s">
        <v>61</v>
      </c>
      <c r="T986" s="208"/>
      <c r="U986" s="208" t="s">
        <v>51</v>
      </c>
      <c r="V986" s="207"/>
      <c r="W986" s="213">
        <f>IF(AC986="Intr",0,G986*Definitions!$B$53)</f>
        <v>5304</v>
      </c>
      <c r="X986" s="213">
        <f>IF(AC986="Intr",0,G986*Definitions!$B$54)</f>
        <v>24752</v>
      </c>
      <c r="Y986" s="213">
        <f>IF(AC986="Intr",G986,G986*Definitions!$B$55)</f>
        <v>5304</v>
      </c>
      <c r="Z986" s="213" t="s">
        <v>966</v>
      </c>
      <c r="AA986" s="213" t="s">
        <v>965</v>
      </c>
      <c r="AB986" s="213"/>
      <c r="AC986" s="208"/>
      <c r="AD986" s="208"/>
      <c r="AE986" s="208"/>
      <c r="AF986" s="208"/>
      <c r="AG986" s="214"/>
      <c r="AH986" s="208"/>
    </row>
    <row r="987" spans="1:34" x14ac:dyDescent="0.2">
      <c r="A987" s="359">
        <v>45845</v>
      </c>
      <c r="B987" s="360" t="s">
        <v>238</v>
      </c>
      <c r="C987" s="360">
        <v>2025</v>
      </c>
      <c r="D987" s="360" t="s">
        <v>7</v>
      </c>
      <c r="E987" s="361">
        <v>-0.68</v>
      </c>
      <c r="F987" s="361" t="s">
        <v>32</v>
      </c>
      <c r="G987" s="362">
        <v>54400</v>
      </c>
      <c r="H987" s="363">
        <v>617</v>
      </c>
      <c r="I987" s="361" t="s">
        <v>81</v>
      </c>
      <c r="J987" s="361" t="s">
        <v>38</v>
      </c>
      <c r="K987" s="361">
        <v>0.34</v>
      </c>
      <c r="L987" s="361" t="s">
        <v>376</v>
      </c>
      <c r="M987" s="361" t="s">
        <v>103</v>
      </c>
      <c r="N987" s="364" t="s">
        <v>2009</v>
      </c>
      <c r="O987" s="360"/>
      <c r="P987" s="360" t="s">
        <v>143</v>
      </c>
      <c r="Q987" s="765">
        <v>39.838000000000001</v>
      </c>
      <c r="R987" s="663">
        <v>-85.969700000000003</v>
      </c>
      <c r="S987" s="360" t="s">
        <v>61</v>
      </c>
      <c r="T987" s="360"/>
      <c r="U987" s="360" t="s">
        <v>51</v>
      </c>
      <c r="V987" s="359"/>
      <c r="W987" s="365">
        <f>IF(AC987="Intr",0,G987*Definitions!$B$53)</f>
        <v>8160</v>
      </c>
      <c r="X987" s="365">
        <f>IF(AC987="Intr",0,G987*Definitions!$B$54)</f>
        <v>38080</v>
      </c>
      <c r="Y987" s="365">
        <f>IF(AC987="Intr",G987,G987*Definitions!$B$55)</f>
        <v>8160</v>
      </c>
      <c r="Z987" s="365" t="s">
        <v>966</v>
      </c>
      <c r="AA987" s="365" t="s">
        <v>963</v>
      </c>
      <c r="AB987" s="365" t="s">
        <v>1245</v>
      </c>
      <c r="AC987" s="360"/>
      <c r="AD987" s="360"/>
      <c r="AE987" s="360"/>
      <c r="AF987" s="360"/>
      <c r="AG987" s="366"/>
      <c r="AH987" s="360"/>
    </row>
    <row r="988" spans="1:34" x14ac:dyDescent="0.2">
      <c r="A988" s="359">
        <v>45845</v>
      </c>
      <c r="B988" s="360" t="s">
        <v>238</v>
      </c>
      <c r="C988" s="360">
        <v>2025</v>
      </c>
      <c r="D988" s="360" t="s">
        <v>7</v>
      </c>
      <c r="E988" s="361">
        <v>-0.31</v>
      </c>
      <c r="F988" s="361" t="s">
        <v>32</v>
      </c>
      <c r="G988" s="362">
        <v>24800</v>
      </c>
      <c r="H988" s="363">
        <v>617</v>
      </c>
      <c r="I988" s="361" t="s">
        <v>81</v>
      </c>
      <c r="J988" s="361" t="s">
        <v>36</v>
      </c>
      <c r="K988" s="361">
        <v>0.2</v>
      </c>
      <c r="L988" s="361" t="s">
        <v>376</v>
      </c>
      <c r="M988" s="361" t="s">
        <v>103</v>
      </c>
      <c r="N988" s="364" t="s">
        <v>2009</v>
      </c>
      <c r="O988" s="360"/>
      <c r="P988" s="360" t="s">
        <v>143</v>
      </c>
      <c r="Q988" s="765">
        <v>39.838000000000001</v>
      </c>
      <c r="R988" s="663">
        <v>-85.969700000000003</v>
      </c>
      <c r="S988" s="360" t="s">
        <v>61</v>
      </c>
      <c r="T988" s="360"/>
      <c r="U988" s="360" t="s">
        <v>51</v>
      </c>
      <c r="V988" s="359"/>
      <c r="W988" s="365">
        <f>IF(AC988="Intr",0,G988*Definitions!$B$53)</f>
        <v>3720</v>
      </c>
      <c r="X988" s="365">
        <f>IF(AC988="Intr",0,G988*Definitions!$B$54)</f>
        <v>17360</v>
      </c>
      <c r="Y988" s="365">
        <f>IF(AC988="Intr",G988,G988*Definitions!$B$55)</f>
        <v>3720</v>
      </c>
      <c r="Z988" s="365" t="s">
        <v>966</v>
      </c>
      <c r="AA988" s="365" t="s">
        <v>963</v>
      </c>
      <c r="AB988" s="365" t="s">
        <v>970</v>
      </c>
      <c r="AC988" s="360"/>
      <c r="AD988" s="360"/>
      <c r="AE988" s="360"/>
      <c r="AF988" s="360"/>
      <c r="AG988" s="366"/>
      <c r="AH988" s="360"/>
    </row>
    <row r="989" spans="1:34" x14ac:dyDescent="0.2">
      <c r="A989" s="282">
        <v>45845</v>
      </c>
      <c r="B989" s="114" t="s">
        <v>238</v>
      </c>
      <c r="C989" s="114">
        <v>2025</v>
      </c>
      <c r="D989" s="114" t="s">
        <v>7</v>
      </c>
      <c r="E989" s="270">
        <v>-0.57999999999999996</v>
      </c>
      <c r="F989" s="270" t="s">
        <v>32</v>
      </c>
      <c r="G989" s="283">
        <v>46400</v>
      </c>
      <c r="H989" s="284">
        <v>571</v>
      </c>
      <c r="I989" s="270" t="s">
        <v>81</v>
      </c>
      <c r="J989" s="270" t="s">
        <v>38</v>
      </c>
      <c r="K989" s="270">
        <v>0.28999999999999998</v>
      </c>
      <c r="L989" s="270" t="s">
        <v>2010</v>
      </c>
      <c r="M989" s="270" t="s">
        <v>103</v>
      </c>
      <c r="N989" s="285" t="s">
        <v>2011</v>
      </c>
      <c r="O989" s="114"/>
      <c r="P989" s="114" t="s">
        <v>162</v>
      </c>
      <c r="Q989" s="750">
        <v>39.655009999999997</v>
      </c>
      <c r="R989" s="635">
        <v>-86.366209999999995</v>
      </c>
      <c r="S989" s="114" t="s">
        <v>61</v>
      </c>
      <c r="T989" s="114"/>
      <c r="U989" s="114" t="s">
        <v>51</v>
      </c>
      <c r="V989" s="282"/>
      <c r="W989" s="286">
        <f>IF(AC989="Intr",0,G989*Definitions!$B$53)</f>
        <v>6960</v>
      </c>
      <c r="X989" s="286">
        <f>IF(AC989="Intr",0,G989*Definitions!$B$54)</f>
        <v>32479.999999999996</v>
      </c>
      <c r="Y989" s="286">
        <f>IF(AC989="Intr",G989,G989*Definitions!$B$55)</f>
        <v>6960</v>
      </c>
      <c r="Z989" s="286" t="s">
        <v>963</v>
      </c>
      <c r="AA989" s="286" t="s">
        <v>963</v>
      </c>
      <c r="AB989" s="286" t="s">
        <v>1245</v>
      </c>
      <c r="AC989" s="114"/>
      <c r="AD989" s="114"/>
      <c r="AE989" s="114"/>
      <c r="AF989" s="114"/>
      <c r="AG989" s="287"/>
      <c r="AH989" s="114"/>
    </row>
    <row r="990" spans="1:34" x14ac:dyDescent="0.2">
      <c r="A990" s="29">
        <v>45845</v>
      </c>
      <c r="B990" s="30" t="s">
        <v>238</v>
      </c>
      <c r="C990" s="30">
        <v>2025</v>
      </c>
      <c r="D990" s="30" t="s">
        <v>4</v>
      </c>
      <c r="E990" s="217">
        <v>-201</v>
      </c>
      <c r="F990" s="217" t="s">
        <v>33</v>
      </c>
      <c r="G990" s="218">
        <v>90450</v>
      </c>
      <c r="H990" s="219">
        <v>613</v>
      </c>
      <c r="I990" s="217" t="s">
        <v>80</v>
      </c>
      <c r="J990" s="217" t="s">
        <v>40</v>
      </c>
      <c r="K990" s="217">
        <v>494</v>
      </c>
      <c r="L990" s="217" t="s">
        <v>2012</v>
      </c>
      <c r="M990" s="217" t="s">
        <v>2013</v>
      </c>
      <c r="N990" s="67" t="s">
        <v>2014</v>
      </c>
      <c r="O990" s="30"/>
      <c r="P990" s="30" t="s">
        <v>255</v>
      </c>
      <c r="Q990" s="747">
        <v>41.033259999999999</v>
      </c>
      <c r="R990" s="636">
        <v>-85.057739999999995</v>
      </c>
      <c r="S990" s="30" t="s">
        <v>63</v>
      </c>
      <c r="T990" s="30"/>
      <c r="U990" s="30" t="s">
        <v>51</v>
      </c>
      <c r="V990" s="29"/>
      <c r="W990" s="31">
        <f>IF(AC990="Intr",0,G990*Definitions!$B$53)</f>
        <v>13567.5</v>
      </c>
      <c r="X990" s="31">
        <f>IF(AC990="Intr",0,G990*Definitions!$B$54)</f>
        <v>63314.999999999993</v>
      </c>
      <c r="Y990" s="31">
        <f>IF(AC990="Intr",G990,G990*Definitions!$B$55)</f>
        <v>13567.5</v>
      </c>
      <c r="Z990" s="31" t="s">
        <v>964</v>
      </c>
      <c r="AA990" s="31" t="s">
        <v>965</v>
      </c>
      <c r="AB990" s="31"/>
      <c r="AC990" s="30"/>
      <c r="AD990" s="30"/>
      <c r="AE990" s="30"/>
      <c r="AF990" s="30"/>
      <c r="AG990" s="32"/>
      <c r="AH990" s="30"/>
    </row>
    <row r="991" spans="1:34" x14ac:dyDescent="0.2">
      <c r="A991" s="41">
        <v>45845</v>
      </c>
      <c r="B991" s="42" t="s">
        <v>238</v>
      </c>
      <c r="C991" s="42">
        <v>2025</v>
      </c>
      <c r="D991" s="42" t="s">
        <v>11</v>
      </c>
      <c r="E991" s="320">
        <v>-0.5</v>
      </c>
      <c r="F991" s="320" t="s">
        <v>32</v>
      </c>
      <c r="G991" s="343">
        <v>40000</v>
      </c>
      <c r="H991" s="344">
        <v>614</v>
      </c>
      <c r="I991" s="320" t="s">
        <v>80</v>
      </c>
      <c r="J991" s="320" t="s">
        <v>36</v>
      </c>
      <c r="K991" s="320">
        <v>3.7999999999999999E-2</v>
      </c>
      <c r="L991" s="320" t="s">
        <v>1623</v>
      </c>
      <c r="M991" s="320" t="s">
        <v>2015</v>
      </c>
      <c r="N991" s="73" t="s">
        <v>2016</v>
      </c>
      <c r="O991" s="42"/>
      <c r="P991" s="42" t="s">
        <v>497</v>
      </c>
      <c r="Q991" s="731">
        <v>37.964753000000002</v>
      </c>
      <c r="R991" s="593">
        <v>-87.904550999999998</v>
      </c>
      <c r="S991" s="42" t="s">
        <v>63</v>
      </c>
      <c r="T991" s="42"/>
      <c r="U991" s="42" t="s">
        <v>51</v>
      </c>
      <c r="V991" s="41"/>
      <c r="W991" s="43">
        <f>IF(AC991="Intr",0,G991*Definitions!$B$53)</f>
        <v>6000</v>
      </c>
      <c r="X991" s="43">
        <f>IF(AC991="Intr",0,G991*Definitions!$B$54)</f>
        <v>28000</v>
      </c>
      <c r="Y991" s="43">
        <f>IF(AC991="Intr",G991,G991*Definitions!$B$55)</f>
        <v>6000</v>
      </c>
      <c r="Z991" s="43" t="s">
        <v>966</v>
      </c>
      <c r="AA991" s="43" t="s">
        <v>965</v>
      </c>
      <c r="AB991" s="43"/>
      <c r="AC991" s="42"/>
      <c r="AD991" s="42"/>
      <c r="AE991" s="42"/>
      <c r="AF991" s="42"/>
      <c r="AG991" s="44"/>
      <c r="AH991" s="42"/>
    </row>
    <row r="992" spans="1:34" x14ac:dyDescent="0.2">
      <c r="A992" s="33">
        <v>45846</v>
      </c>
      <c r="B992" s="34" t="s">
        <v>238</v>
      </c>
      <c r="C992" s="34">
        <v>2025</v>
      </c>
      <c r="D992" s="34" t="s">
        <v>6</v>
      </c>
      <c r="E992" s="271">
        <v>-0.91</v>
      </c>
      <c r="F992" s="271" t="s">
        <v>32</v>
      </c>
      <c r="G992" s="272">
        <f>E992*(-80000)</f>
        <v>72800</v>
      </c>
      <c r="H992" s="273">
        <v>603</v>
      </c>
      <c r="I992" s="271" t="s">
        <v>80</v>
      </c>
      <c r="J992" s="271" t="s">
        <v>36</v>
      </c>
      <c r="K992" s="271">
        <v>0.38</v>
      </c>
      <c r="L992" s="271" t="s">
        <v>284</v>
      </c>
      <c r="M992" s="271" t="s">
        <v>2115</v>
      </c>
      <c r="N992" s="116" t="s">
        <v>2116</v>
      </c>
      <c r="O992" s="34"/>
      <c r="P992" s="34" t="s">
        <v>205</v>
      </c>
      <c r="Q992" s="773">
        <v>39.518087999999999</v>
      </c>
      <c r="R992" s="592">
        <v>-87.422785000000005</v>
      </c>
      <c r="S992" s="34" t="s">
        <v>62</v>
      </c>
      <c r="T992" s="34"/>
      <c r="U992" s="34" t="s">
        <v>51</v>
      </c>
      <c r="V992" s="33"/>
      <c r="W992" s="35">
        <f>IF(AC992="Intr",0,G992*[3]Data!$B$53)</f>
        <v>10920</v>
      </c>
      <c r="X992" s="35">
        <f>IF(AC992="Intr",0,G992*[3]Data!$B$54)</f>
        <v>50960</v>
      </c>
      <c r="Y992" s="35">
        <f>IF(AC992="Intr",G992,G992*[3]Data!$B$55)</f>
        <v>10920</v>
      </c>
      <c r="Z992" s="35" t="s">
        <v>966</v>
      </c>
      <c r="AA992" s="35" t="s">
        <v>965</v>
      </c>
      <c r="AB992" s="35"/>
      <c r="AC992" s="34"/>
      <c r="AD992" s="34"/>
      <c r="AE992" s="34"/>
      <c r="AF992" s="34"/>
      <c r="AG992" s="36"/>
      <c r="AH992" s="34" t="s">
        <v>2117</v>
      </c>
    </row>
    <row r="993" spans="1:34" x14ac:dyDescent="0.2">
      <c r="A993" s="33">
        <v>45846</v>
      </c>
      <c r="B993" s="34" t="s">
        <v>238</v>
      </c>
      <c r="C993" s="34">
        <v>2025</v>
      </c>
      <c r="D993" s="34" t="s">
        <v>6</v>
      </c>
      <c r="E993" s="271">
        <v>-0.3</v>
      </c>
      <c r="F993" s="271" t="s">
        <v>32</v>
      </c>
      <c r="G993" s="272">
        <f>E993*(-80000)</f>
        <v>24000</v>
      </c>
      <c r="H993" s="273">
        <v>603</v>
      </c>
      <c r="I993" s="271" t="s">
        <v>80</v>
      </c>
      <c r="J993" s="271" t="s">
        <v>38</v>
      </c>
      <c r="K993" s="271">
        <v>0.06</v>
      </c>
      <c r="L993" s="271" t="s">
        <v>284</v>
      </c>
      <c r="M993" s="271" t="s">
        <v>2115</v>
      </c>
      <c r="N993" s="116" t="s">
        <v>2116</v>
      </c>
      <c r="O993" s="34"/>
      <c r="P993" s="34" t="s">
        <v>205</v>
      </c>
      <c r="Q993" s="773">
        <v>39.518087999999999</v>
      </c>
      <c r="R993" s="592">
        <v>-87.422785000000005</v>
      </c>
      <c r="S993" s="34" t="s">
        <v>62</v>
      </c>
      <c r="T993" s="34"/>
      <c r="U993" s="34" t="s">
        <v>51</v>
      </c>
      <c r="V993" s="33"/>
      <c r="W993" s="35">
        <f>IF(AC993="Intr",0,G993*[3]Data!$B$53)</f>
        <v>3600</v>
      </c>
      <c r="X993" s="35">
        <f>IF(AC993="Intr",0,G993*[3]Data!$B$54)</f>
        <v>16800</v>
      </c>
      <c r="Y993" s="35">
        <f>IF(AC993="Intr",G993,G993*[3]Data!$B$55)</f>
        <v>3600</v>
      </c>
      <c r="Z993" s="35" t="s">
        <v>966</v>
      </c>
      <c r="AA993" s="35" t="s">
        <v>965</v>
      </c>
      <c r="AB993" s="35"/>
      <c r="AC993" s="34"/>
      <c r="AD993" s="34"/>
      <c r="AE993" s="34"/>
      <c r="AF993" s="34"/>
      <c r="AG993" s="36"/>
      <c r="AH993" s="34" t="s">
        <v>2117</v>
      </c>
    </row>
    <row r="994" spans="1:34" x14ac:dyDescent="0.2">
      <c r="A994" s="288">
        <v>45852</v>
      </c>
      <c r="B994" s="289" t="s">
        <v>2017</v>
      </c>
      <c r="C994" s="289">
        <v>2025</v>
      </c>
      <c r="D994" s="289" t="s">
        <v>1</v>
      </c>
      <c r="E994" s="331">
        <v>-632</v>
      </c>
      <c r="F994" s="331" t="s">
        <v>33</v>
      </c>
      <c r="G994" s="332">
        <v>379200</v>
      </c>
      <c r="H994" s="333">
        <v>558</v>
      </c>
      <c r="I994" s="331" t="s">
        <v>80</v>
      </c>
      <c r="J994" s="331" t="s">
        <v>39</v>
      </c>
      <c r="K994" s="331">
        <v>527</v>
      </c>
      <c r="L994" s="331" t="s">
        <v>1851</v>
      </c>
      <c r="M994" s="331" t="s">
        <v>2018</v>
      </c>
      <c r="N994" s="290" t="s">
        <v>2019</v>
      </c>
      <c r="O994" s="289"/>
      <c r="P994" s="289" t="s">
        <v>227</v>
      </c>
      <c r="Q994" s="733">
        <v>41.510942</v>
      </c>
      <c r="R994" s="647">
        <v>-87.461459000000005</v>
      </c>
      <c r="S994" s="289" t="s">
        <v>63</v>
      </c>
      <c r="T994" s="289"/>
      <c r="U994" s="289" t="s">
        <v>51</v>
      </c>
      <c r="V994" s="288"/>
      <c r="W994" s="293">
        <f>IF(AC994="Intr",0,G994*Definitions!$B$53)</f>
        <v>56880</v>
      </c>
      <c r="X994" s="293">
        <f>IF(AC994="Intr",0,G994*Definitions!$B$54)</f>
        <v>265440</v>
      </c>
      <c r="Y994" s="293">
        <f>IF(AC994="Intr",G994,G994*Definitions!$B$55)</f>
        <v>56880</v>
      </c>
      <c r="Z994" s="293" t="s">
        <v>967</v>
      </c>
      <c r="AA994" s="293" t="s">
        <v>965</v>
      </c>
      <c r="AB994" s="293"/>
      <c r="AC994" s="289"/>
      <c r="AD994" s="289"/>
      <c r="AE994" s="289"/>
      <c r="AF994" s="289"/>
      <c r="AG994" s="294"/>
      <c r="AH994" s="289" t="s">
        <v>2045</v>
      </c>
    </row>
    <row r="995" spans="1:34" x14ac:dyDescent="0.2">
      <c r="A995" s="288">
        <v>45852</v>
      </c>
      <c r="B995" s="289" t="s">
        <v>2017</v>
      </c>
      <c r="C995" s="289">
        <v>2025</v>
      </c>
      <c r="D995" s="289" t="s">
        <v>1</v>
      </c>
      <c r="E995" s="331">
        <v>-1.55</v>
      </c>
      <c r="F995" s="331" t="s">
        <v>32</v>
      </c>
      <c r="G995" s="332">
        <v>147250</v>
      </c>
      <c r="H995" s="333">
        <v>558</v>
      </c>
      <c r="I995" s="331" t="s">
        <v>80</v>
      </c>
      <c r="J995" s="331" t="s">
        <v>36</v>
      </c>
      <c r="K995" s="331">
        <v>0.86</v>
      </c>
      <c r="L995" s="331" t="s">
        <v>1851</v>
      </c>
      <c r="M995" s="331" t="s">
        <v>2018</v>
      </c>
      <c r="N995" s="290" t="s">
        <v>2019</v>
      </c>
      <c r="O995" s="289"/>
      <c r="P995" s="289" t="s">
        <v>227</v>
      </c>
      <c r="Q995" s="733">
        <v>41.510942</v>
      </c>
      <c r="R995" s="647">
        <v>-87.461459000000005</v>
      </c>
      <c r="S995" s="289" t="s">
        <v>63</v>
      </c>
      <c r="T995" s="289"/>
      <c r="U995" s="289" t="s">
        <v>51</v>
      </c>
      <c r="V995" s="288"/>
      <c r="W995" s="293">
        <f>IF(AC995="Intr",0,G995*Definitions!$B$53)</f>
        <v>22087.5</v>
      </c>
      <c r="X995" s="293">
        <f>IF(AC995="Intr",0,G995*Definitions!$B$54)</f>
        <v>103075</v>
      </c>
      <c r="Y995" s="293">
        <f>IF(AC995="Intr",G995,G995*Definitions!$B$55)</f>
        <v>22087.5</v>
      </c>
      <c r="Z995" s="293" t="s">
        <v>967</v>
      </c>
      <c r="AA995" s="293" t="s">
        <v>965</v>
      </c>
      <c r="AB995" s="293"/>
      <c r="AC995" s="289"/>
      <c r="AD995" s="289"/>
      <c r="AE995" s="289"/>
      <c r="AF995" s="289"/>
      <c r="AG995" s="294"/>
      <c r="AH995" s="289" t="s">
        <v>2046</v>
      </c>
    </row>
    <row r="996" spans="1:34" x14ac:dyDescent="0.2">
      <c r="A996" s="288">
        <v>45852</v>
      </c>
      <c r="B996" s="289" t="s">
        <v>2017</v>
      </c>
      <c r="C996" s="289">
        <v>2025</v>
      </c>
      <c r="D996" s="289" t="s">
        <v>1</v>
      </c>
      <c r="E996" s="331">
        <v>-3.1</v>
      </c>
      <c r="F996" s="331" t="s">
        <v>32</v>
      </c>
      <c r="G996" s="332">
        <v>294500</v>
      </c>
      <c r="H996" s="333">
        <v>558</v>
      </c>
      <c r="I996" s="331" t="s">
        <v>80</v>
      </c>
      <c r="J996" s="331" t="s">
        <v>37</v>
      </c>
      <c r="K996" s="331">
        <v>0.86</v>
      </c>
      <c r="L996" s="331" t="s">
        <v>1851</v>
      </c>
      <c r="M996" s="331" t="s">
        <v>2018</v>
      </c>
      <c r="N996" s="290" t="s">
        <v>2019</v>
      </c>
      <c r="O996" s="289"/>
      <c r="P996" s="289" t="s">
        <v>227</v>
      </c>
      <c r="Q996" s="733">
        <v>41.510942</v>
      </c>
      <c r="R996" s="647">
        <v>-87.461459000000005</v>
      </c>
      <c r="S996" s="289" t="s">
        <v>63</v>
      </c>
      <c r="T996" s="289"/>
      <c r="U996" s="289" t="s">
        <v>51</v>
      </c>
      <c r="V996" s="288"/>
      <c r="W996" s="293">
        <f>IF(AC996="Intr",0,G996*Definitions!$B$53)</f>
        <v>44175</v>
      </c>
      <c r="X996" s="293">
        <f>IF(AC996="Intr",0,G996*Definitions!$B$54)</f>
        <v>206150</v>
      </c>
      <c r="Y996" s="293">
        <f>IF(AC996="Intr",G996,G996*Definitions!$B$55)</f>
        <v>44175</v>
      </c>
      <c r="Z996" s="293" t="s">
        <v>967</v>
      </c>
      <c r="AA996" s="293" t="s">
        <v>965</v>
      </c>
      <c r="AB996" s="293"/>
      <c r="AC996" s="289"/>
      <c r="AD996" s="289"/>
      <c r="AE996" s="289"/>
      <c r="AF996" s="289"/>
      <c r="AG996" s="294"/>
      <c r="AH996" s="289" t="s">
        <v>2047</v>
      </c>
    </row>
    <row r="997" spans="1:34" x14ac:dyDescent="0.2">
      <c r="A997" s="79">
        <v>45852</v>
      </c>
      <c r="B997" s="80" t="s">
        <v>2017</v>
      </c>
      <c r="C997" s="80">
        <v>2025</v>
      </c>
      <c r="D997" s="80" t="s">
        <v>1</v>
      </c>
      <c r="E997" s="81">
        <v>-1.29</v>
      </c>
      <c r="F997" s="81" t="s">
        <v>32</v>
      </c>
      <c r="G997" s="82">
        <v>122550</v>
      </c>
      <c r="H997" s="83">
        <v>568</v>
      </c>
      <c r="I997" s="81" t="s">
        <v>81</v>
      </c>
      <c r="J997" s="81" t="s">
        <v>36</v>
      </c>
      <c r="K997" s="81">
        <v>0.86</v>
      </c>
      <c r="L997" s="81" t="s">
        <v>726</v>
      </c>
      <c r="M997" s="81" t="s">
        <v>103</v>
      </c>
      <c r="N997" s="84" t="s">
        <v>2020</v>
      </c>
      <c r="O997" s="80"/>
      <c r="P997" s="80" t="s">
        <v>227</v>
      </c>
      <c r="Q997" s="770">
        <v>41.420949999999998</v>
      </c>
      <c r="R997" s="668">
        <v>-87.431240000000003</v>
      </c>
      <c r="S997" s="80" t="s">
        <v>63</v>
      </c>
      <c r="T997" s="80"/>
      <c r="U997" s="80" t="s">
        <v>51</v>
      </c>
      <c r="V997" s="79"/>
      <c r="W997" s="86">
        <f>IF(AC997="Intr",0,G997*Definitions!$B$53)</f>
        <v>18382.5</v>
      </c>
      <c r="X997" s="86">
        <f>IF(AC997="Intr",0,G997*Definitions!$B$54)</f>
        <v>85785</v>
      </c>
      <c r="Y997" s="86">
        <f>IF(AC997="Intr",G997,G997*Definitions!$B$55)</f>
        <v>18382.5</v>
      </c>
      <c r="Z997" s="86" t="s">
        <v>967</v>
      </c>
      <c r="AA997" s="86" t="s">
        <v>963</v>
      </c>
      <c r="AB997" s="86" t="s">
        <v>970</v>
      </c>
      <c r="AC997" s="80"/>
      <c r="AD997" s="80"/>
      <c r="AE997" s="80"/>
      <c r="AF997" s="80"/>
      <c r="AG997" s="87"/>
      <c r="AH997" s="80" t="s">
        <v>2048</v>
      </c>
    </row>
    <row r="998" spans="1:34" x14ac:dyDescent="0.2">
      <c r="A998" s="37">
        <v>45863</v>
      </c>
      <c r="B998" s="38" t="s">
        <v>238</v>
      </c>
      <c r="C998" s="38">
        <v>2025</v>
      </c>
      <c r="D998" s="38" t="s">
        <v>7</v>
      </c>
      <c r="E998" s="177">
        <v>-1032</v>
      </c>
      <c r="F998" s="177" t="s">
        <v>33</v>
      </c>
      <c r="G998" s="269">
        <v>464400</v>
      </c>
      <c r="H998" s="179">
        <v>612</v>
      </c>
      <c r="I998" s="177" t="s">
        <v>80</v>
      </c>
      <c r="J998" s="177" t="s">
        <v>40</v>
      </c>
      <c r="K998" s="177">
        <v>1032</v>
      </c>
      <c r="L998" s="177" t="s">
        <v>2021</v>
      </c>
      <c r="M998" s="177" t="s">
        <v>2022</v>
      </c>
      <c r="N998" s="70" t="s">
        <v>2023</v>
      </c>
      <c r="O998" s="38"/>
      <c r="P998" s="38" t="s">
        <v>143</v>
      </c>
      <c r="Q998" s="760">
        <v>39.7029</v>
      </c>
      <c r="R998" s="590">
        <v>-86.263999999999996</v>
      </c>
      <c r="S998" s="38" t="s">
        <v>61</v>
      </c>
      <c r="T998" s="38"/>
      <c r="U998" s="38" t="s">
        <v>51</v>
      </c>
      <c r="V998" s="37"/>
      <c r="W998" s="39">
        <f>IF(AC998="Intr",0,G998*Definitions!$B$53)</f>
        <v>69660</v>
      </c>
      <c r="X998" s="39">
        <f>IF(AC998="Intr",0,G998*Definitions!$B$54)</f>
        <v>325080</v>
      </c>
      <c r="Y998" s="39">
        <f>IF(AC998="Intr",G998,G998*Definitions!$B$55)</f>
        <v>69660</v>
      </c>
      <c r="Z998" s="39" t="s">
        <v>966</v>
      </c>
      <c r="AA998" s="39" t="s">
        <v>965</v>
      </c>
      <c r="AB998" s="39"/>
      <c r="AC998" s="38"/>
      <c r="AD998" s="38"/>
      <c r="AE998" s="38"/>
      <c r="AF998" s="38"/>
      <c r="AG998" s="40"/>
      <c r="AH998" s="38"/>
    </row>
    <row r="999" spans="1:34" x14ac:dyDescent="0.2">
      <c r="A999" s="88">
        <v>45870</v>
      </c>
      <c r="B999" s="89" t="s">
        <v>249</v>
      </c>
      <c r="C999" s="89">
        <v>2025</v>
      </c>
      <c r="D999" s="89" t="s">
        <v>4</v>
      </c>
      <c r="E999" s="90">
        <v>-231</v>
      </c>
      <c r="F999" s="90" t="s">
        <v>33</v>
      </c>
      <c r="G999" s="91">
        <f>E999*450*(-1)</f>
        <v>103950</v>
      </c>
      <c r="H999" s="92">
        <v>619</v>
      </c>
      <c r="I999" s="90" t="s">
        <v>80</v>
      </c>
      <c r="J999" s="90" t="s">
        <v>40</v>
      </c>
      <c r="K999" s="90">
        <v>192</v>
      </c>
      <c r="L999" s="90" t="s">
        <v>927</v>
      </c>
      <c r="M999" s="90" t="s">
        <v>2025</v>
      </c>
      <c r="N999" s="93" t="s">
        <v>2035</v>
      </c>
      <c r="O999" s="89"/>
      <c r="P999" s="89" t="s">
        <v>255</v>
      </c>
      <c r="Q999" s="735">
        <v>41.025829999999999</v>
      </c>
      <c r="R999" s="649">
        <v>-85.046914000000001</v>
      </c>
      <c r="S999" s="89" t="s">
        <v>63</v>
      </c>
      <c r="T999" s="89"/>
      <c r="U999" s="89" t="s">
        <v>51</v>
      </c>
      <c r="V999" s="88"/>
      <c r="W999" s="95">
        <f>IF(AC999="Intr",0,G999*Definitions!$B$53)</f>
        <v>15592.5</v>
      </c>
      <c r="X999" s="95">
        <f>IF(AC999="Intr",0,G999*Definitions!$B$54)</f>
        <v>72765</v>
      </c>
      <c r="Y999" s="95">
        <f>IF(AC999="Intr",G999,G999*Definitions!$B$55)</f>
        <v>15592.5</v>
      </c>
      <c r="Z999" s="95" t="s">
        <v>964</v>
      </c>
      <c r="AA999" s="95" t="s">
        <v>965</v>
      </c>
      <c r="AB999" s="95"/>
      <c r="AC999" s="89"/>
      <c r="AD999" s="89"/>
      <c r="AE999" s="89"/>
      <c r="AF999" s="89"/>
      <c r="AG999" s="96"/>
      <c r="AH999" s="89" t="s">
        <v>2038</v>
      </c>
    </row>
    <row r="1000" spans="1:34" x14ac:dyDescent="0.2">
      <c r="A1000" s="33">
        <v>45870</v>
      </c>
      <c r="B1000" s="34" t="s">
        <v>249</v>
      </c>
      <c r="C1000" s="34">
        <v>2025</v>
      </c>
      <c r="D1000" s="34" t="s">
        <v>6</v>
      </c>
      <c r="E1000" s="271">
        <v>-0.25800000000000001</v>
      </c>
      <c r="F1000" s="271" t="s">
        <v>32</v>
      </c>
      <c r="G1000" s="272">
        <f>E1000*80000*(-1)</f>
        <v>20640</v>
      </c>
      <c r="H1000" s="273">
        <v>622</v>
      </c>
      <c r="I1000" s="271" t="s">
        <v>80</v>
      </c>
      <c r="J1000" s="271" t="s">
        <v>36</v>
      </c>
      <c r="K1000" s="271">
        <v>0.52100000000000002</v>
      </c>
      <c r="L1000" s="271" t="s">
        <v>1916</v>
      </c>
      <c r="M1000" s="271" t="s">
        <v>2008</v>
      </c>
      <c r="N1000" s="116" t="s">
        <v>1918</v>
      </c>
      <c r="O1000" s="34"/>
      <c r="P1000" s="34" t="s">
        <v>205</v>
      </c>
      <c r="Q1000" s="773">
        <v>39.351748999999998</v>
      </c>
      <c r="R1000" s="592">
        <v>-87.411080999999996</v>
      </c>
      <c r="S1000" s="34" t="s">
        <v>61</v>
      </c>
      <c r="T1000" s="34"/>
      <c r="U1000" s="34" t="s">
        <v>51</v>
      </c>
      <c r="V1000" s="33"/>
      <c r="W1000" s="35">
        <f>IF(AC1000="Intr",0,G1000*Definitions!$B$53)</f>
        <v>3096</v>
      </c>
      <c r="X1000" s="35">
        <f>IF(AC1000="Intr",0,G1000*Definitions!$B$54)</f>
        <v>14447.999999999998</v>
      </c>
      <c r="Y1000" s="35">
        <f>IF(AC1000="Intr",G1000,G1000*Definitions!$B$55)</f>
        <v>3096</v>
      </c>
      <c r="Z1000" s="35" t="s">
        <v>966</v>
      </c>
      <c r="AA1000" s="35" t="s">
        <v>965</v>
      </c>
      <c r="AB1000" s="35"/>
      <c r="AC1000" s="34"/>
      <c r="AD1000" s="34"/>
      <c r="AE1000" s="34"/>
      <c r="AF1000" s="34"/>
      <c r="AG1000" s="36"/>
      <c r="AH1000" s="34"/>
    </row>
    <row r="1001" spans="1:34" x14ac:dyDescent="0.2">
      <c r="A1001" s="29">
        <v>45895</v>
      </c>
      <c r="B1001" s="30" t="s">
        <v>249</v>
      </c>
      <c r="C1001" s="30">
        <v>2025</v>
      </c>
      <c r="D1001" s="30" t="s">
        <v>4</v>
      </c>
      <c r="E1001" s="217">
        <v>-48</v>
      </c>
      <c r="F1001" s="217" t="s">
        <v>33</v>
      </c>
      <c r="G1001" s="218">
        <f>E1001*450*(-1)</f>
        <v>21600</v>
      </c>
      <c r="H1001" s="219">
        <v>621</v>
      </c>
      <c r="I1001" s="217" t="s">
        <v>80</v>
      </c>
      <c r="J1001" s="217" t="s">
        <v>40</v>
      </c>
      <c r="K1001" s="217">
        <v>48</v>
      </c>
      <c r="L1001" s="217" t="s">
        <v>726</v>
      </c>
      <c r="M1001" s="217" t="s">
        <v>2024</v>
      </c>
      <c r="N1001" s="67" t="s">
        <v>2026</v>
      </c>
      <c r="O1001" s="30"/>
      <c r="P1001" s="30" t="s">
        <v>310</v>
      </c>
      <c r="Q1001" s="747">
        <v>41.295524999999998</v>
      </c>
      <c r="R1001" s="636">
        <v>-85.187016</v>
      </c>
      <c r="S1001" s="30" t="s">
        <v>63</v>
      </c>
      <c r="T1001" s="30"/>
      <c r="U1001" s="30" t="s">
        <v>51</v>
      </c>
      <c r="V1001" s="29"/>
      <c r="W1001" s="31">
        <f>IF(AC1001="Intr",0,G1001*Definitions!$B$53)</f>
        <v>3240</v>
      </c>
      <c r="X1001" s="31">
        <f>IF(AC1001="Intr",0,G1001*Definitions!$B$54)</f>
        <v>15119.999999999998</v>
      </c>
      <c r="Y1001" s="31">
        <f>IF(AC1001="Intr",G1001,G1001*Definitions!$B$55)</f>
        <v>3240</v>
      </c>
      <c r="Z1001" s="31" t="s">
        <v>964</v>
      </c>
      <c r="AA1001" s="31" t="s">
        <v>965</v>
      </c>
      <c r="AB1001" s="31"/>
      <c r="AC1001" s="30"/>
      <c r="AD1001" s="30"/>
      <c r="AE1001" s="30"/>
      <c r="AF1001" s="30"/>
      <c r="AG1001" s="32"/>
      <c r="AH1001" s="30" t="s">
        <v>2039</v>
      </c>
    </row>
    <row r="1002" spans="1:34" x14ac:dyDescent="0.2">
      <c r="A1002" s="160">
        <v>45896</v>
      </c>
      <c r="B1002" s="161" t="s">
        <v>249</v>
      </c>
      <c r="C1002" s="161">
        <v>2025</v>
      </c>
      <c r="D1002" s="161" t="s">
        <v>10</v>
      </c>
      <c r="E1002" s="162">
        <v>-78</v>
      </c>
      <c r="F1002" s="162" t="s">
        <v>33</v>
      </c>
      <c r="G1002" s="163">
        <f>E1002*400*(-1)</f>
        <v>31200</v>
      </c>
      <c r="H1002" s="164">
        <v>620</v>
      </c>
      <c r="I1002" s="162" t="s">
        <v>80</v>
      </c>
      <c r="J1002" s="162" t="s">
        <v>40</v>
      </c>
      <c r="K1002" s="162">
        <v>156</v>
      </c>
      <c r="L1002" s="162" t="s">
        <v>726</v>
      </c>
      <c r="M1002" s="162" t="s">
        <v>2027</v>
      </c>
      <c r="N1002" s="165" t="s">
        <v>2028</v>
      </c>
      <c r="O1002" s="161"/>
      <c r="P1002" s="161" t="s">
        <v>2036</v>
      </c>
      <c r="Q1002" s="741">
        <v>39.249775999999997</v>
      </c>
      <c r="R1002" s="654">
        <v>-85.356548000000004</v>
      </c>
      <c r="S1002" s="161" t="s">
        <v>63</v>
      </c>
      <c r="T1002" s="161"/>
      <c r="U1002" s="161" t="s">
        <v>51</v>
      </c>
      <c r="V1002" s="160"/>
      <c r="W1002" s="166">
        <f>IF(AC1002="Intr",0,G1002*Definitions!$B$53)</f>
        <v>4680</v>
      </c>
      <c r="X1002" s="166">
        <f>IF(AC1002="Intr",0,G1002*Definitions!$B$54)</f>
        <v>21840</v>
      </c>
      <c r="Y1002" s="166">
        <f>IF(AC1002="Intr",G1002,G1002*Definitions!$B$55)</f>
        <v>4680</v>
      </c>
      <c r="Z1002" s="166" t="s">
        <v>966</v>
      </c>
      <c r="AA1002" s="166" t="s">
        <v>965</v>
      </c>
      <c r="AB1002" s="166"/>
      <c r="AC1002" s="161"/>
      <c r="AD1002" s="161"/>
      <c r="AE1002" s="161"/>
      <c r="AF1002" s="161"/>
      <c r="AG1002" s="167"/>
      <c r="AH1002" s="161" t="s">
        <v>2040</v>
      </c>
    </row>
    <row r="1003" spans="1:34" x14ac:dyDescent="0.2">
      <c r="A1003" s="160">
        <v>45896</v>
      </c>
      <c r="B1003" s="161" t="s">
        <v>249</v>
      </c>
      <c r="C1003" s="161">
        <v>2025</v>
      </c>
      <c r="D1003" s="161" t="s">
        <v>8</v>
      </c>
      <c r="E1003" s="162">
        <v>-147</v>
      </c>
      <c r="F1003" s="162" t="s">
        <v>33</v>
      </c>
      <c r="G1003" s="163">
        <f>E1003*400*(-1)</f>
        <v>58800</v>
      </c>
      <c r="H1003" s="164">
        <v>620</v>
      </c>
      <c r="I1003" s="162" t="s">
        <v>80</v>
      </c>
      <c r="J1003" s="162" t="s">
        <v>40</v>
      </c>
      <c r="K1003" s="162">
        <v>294</v>
      </c>
      <c r="L1003" s="162" t="s">
        <v>726</v>
      </c>
      <c r="M1003" s="162" t="s">
        <v>2027</v>
      </c>
      <c r="N1003" s="165" t="s">
        <v>2028</v>
      </c>
      <c r="O1003" s="161"/>
      <c r="P1003" s="161" t="s">
        <v>2036</v>
      </c>
      <c r="Q1003" s="741">
        <v>39.278578000000003</v>
      </c>
      <c r="R1003" s="654">
        <v>-85.401252999999997</v>
      </c>
      <c r="S1003" s="161" t="s">
        <v>63</v>
      </c>
      <c r="T1003" s="161"/>
      <c r="U1003" s="161" t="s">
        <v>51</v>
      </c>
      <c r="V1003" s="160"/>
      <c r="W1003" s="166">
        <f>IF(AC1003="Intr",0,G1003*Definitions!$B$53)</f>
        <v>8820</v>
      </c>
      <c r="X1003" s="166">
        <f>IF(AC1003="Intr",0,G1003*Definitions!$B$54)</f>
        <v>41160</v>
      </c>
      <c r="Y1003" s="166">
        <f>IF(AC1003="Intr",G1003,G1003*Definitions!$B$55)</f>
        <v>8820</v>
      </c>
      <c r="Z1003" s="166" t="s">
        <v>966</v>
      </c>
      <c r="AA1003" s="166" t="s">
        <v>965</v>
      </c>
      <c r="AB1003" s="166"/>
      <c r="AC1003" s="161"/>
      <c r="AD1003" s="161"/>
      <c r="AE1003" s="161"/>
      <c r="AF1003" s="161"/>
      <c r="AG1003" s="167"/>
      <c r="AH1003" s="161" t="s">
        <v>2040</v>
      </c>
    </row>
    <row r="1004" spans="1:34" x14ac:dyDescent="0.2">
      <c r="A1004" s="58">
        <v>45896</v>
      </c>
      <c r="B1004" s="59" t="s">
        <v>249</v>
      </c>
      <c r="C1004" s="59">
        <v>2025</v>
      </c>
      <c r="D1004" s="59" t="s">
        <v>5</v>
      </c>
      <c r="E1004" s="60">
        <v>-39.5</v>
      </c>
      <c r="F1004" s="60" t="s">
        <v>33</v>
      </c>
      <c r="G1004" s="61">
        <f>E1004*400*(-1)</f>
        <v>15800</v>
      </c>
      <c r="H1004" s="62">
        <v>624</v>
      </c>
      <c r="I1004" s="60" t="s">
        <v>80</v>
      </c>
      <c r="J1004" s="60" t="s">
        <v>40</v>
      </c>
      <c r="K1004" s="60">
        <v>39.5</v>
      </c>
      <c r="L1004" s="60" t="s">
        <v>726</v>
      </c>
      <c r="M1004" s="60"/>
      <c r="N1004" s="63" t="s">
        <v>2029</v>
      </c>
      <c r="O1004" s="59"/>
      <c r="P1004" s="59" t="s">
        <v>1460</v>
      </c>
      <c r="Q1004" s="745">
        <v>40.741459999999996</v>
      </c>
      <c r="R1004" s="637">
        <v>-86.126411000000004</v>
      </c>
      <c r="S1004" s="59" t="s">
        <v>63</v>
      </c>
      <c r="T1004" s="59"/>
      <c r="U1004" s="59" t="s">
        <v>51</v>
      </c>
      <c r="V1004" s="58"/>
      <c r="W1004" s="65">
        <f>IF(AC1004="Intr",0,G1004*Definitions!$B$53)</f>
        <v>2370</v>
      </c>
      <c r="X1004" s="65">
        <f>IF(AC1004="Intr",0,G1004*Definitions!$B$54)</f>
        <v>11060</v>
      </c>
      <c r="Y1004" s="65">
        <f>IF(AC1004="Intr",G1004,G1004*Definitions!$B$55)</f>
        <v>2370</v>
      </c>
      <c r="Z1004" s="65" t="s">
        <v>966</v>
      </c>
      <c r="AA1004" s="65" t="s">
        <v>965</v>
      </c>
      <c r="AB1004" s="65"/>
      <c r="AC1004" s="59"/>
      <c r="AD1004" s="59"/>
      <c r="AE1004" s="59"/>
      <c r="AF1004" s="59"/>
      <c r="AG1004" s="66"/>
      <c r="AH1004" s="59" t="s">
        <v>2041</v>
      </c>
    </row>
    <row r="1005" spans="1:34" x14ac:dyDescent="0.2">
      <c r="A1005" s="307">
        <v>45896</v>
      </c>
      <c r="B1005" s="308" t="s">
        <v>249</v>
      </c>
      <c r="C1005" s="308">
        <v>2025</v>
      </c>
      <c r="D1005" s="308" t="s">
        <v>5</v>
      </c>
      <c r="E1005" s="309">
        <v>-19</v>
      </c>
      <c r="F1005" s="309" t="s">
        <v>33</v>
      </c>
      <c r="G1005" s="310">
        <f>E1005*400*(-1)</f>
        <v>7600</v>
      </c>
      <c r="H1005" s="311">
        <v>623</v>
      </c>
      <c r="I1005" s="309" t="s">
        <v>80</v>
      </c>
      <c r="J1005" s="309" t="s">
        <v>41</v>
      </c>
      <c r="K1005" s="309">
        <v>24.5</v>
      </c>
      <c r="L1005" s="309" t="s">
        <v>726</v>
      </c>
      <c r="M1005" s="309" t="s">
        <v>2030</v>
      </c>
      <c r="N1005" s="312" t="s">
        <v>2031</v>
      </c>
      <c r="O1005" s="308"/>
      <c r="P1005" s="308" t="s">
        <v>1274</v>
      </c>
      <c r="Q1005" s="737">
        <v>40.555041000000003</v>
      </c>
      <c r="R1005" s="651">
        <v>-85.636126000000004</v>
      </c>
      <c r="S1005" s="308" t="s">
        <v>63</v>
      </c>
      <c r="T1005" s="308"/>
      <c r="U1005" s="308" t="s">
        <v>51</v>
      </c>
      <c r="V1005" s="307"/>
      <c r="W1005" s="313">
        <f>IF(AC1005="Intr",0,G1005*Definitions!$B$53)</f>
        <v>1140</v>
      </c>
      <c r="X1005" s="313">
        <f>IF(AC1005="Intr",0,G1005*Definitions!$B$54)</f>
        <v>5320</v>
      </c>
      <c r="Y1005" s="313">
        <f>IF(AC1005="Intr",G1005,G1005*Definitions!$B$55)</f>
        <v>1140</v>
      </c>
      <c r="Z1005" s="313" t="s">
        <v>966</v>
      </c>
      <c r="AA1005" s="313" t="s">
        <v>965</v>
      </c>
      <c r="AB1005" s="313"/>
      <c r="AC1005" s="308"/>
      <c r="AD1005" s="308"/>
      <c r="AE1005" s="308"/>
      <c r="AF1005" s="308"/>
      <c r="AG1005" s="314"/>
      <c r="AH1005" s="308" t="s">
        <v>2042</v>
      </c>
    </row>
    <row r="1006" spans="1:34" x14ac:dyDescent="0.2">
      <c r="A1006" s="307">
        <v>45896</v>
      </c>
      <c r="B1006" s="308" t="s">
        <v>249</v>
      </c>
      <c r="C1006" s="308">
        <v>2025</v>
      </c>
      <c r="D1006" s="308" t="s">
        <v>5</v>
      </c>
      <c r="E1006" s="309">
        <v>-72.5</v>
      </c>
      <c r="F1006" s="309" t="s">
        <v>33</v>
      </c>
      <c r="G1006" s="310">
        <f>E1006*400*(-1)</f>
        <v>29000</v>
      </c>
      <c r="H1006" s="311">
        <v>623</v>
      </c>
      <c r="I1006" s="309" t="s">
        <v>80</v>
      </c>
      <c r="J1006" s="309" t="s">
        <v>40</v>
      </c>
      <c r="K1006" s="309">
        <v>175</v>
      </c>
      <c r="L1006" s="309" t="s">
        <v>726</v>
      </c>
      <c r="M1006" s="309" t="s">
        <v>2030</v>
      </c>
      <c r="N1006" s="312" t="s">
        <v>2031</v>
      </c>
      <c r="O1006" s="308"/>
      <c r="P1006" s="308" t="s">
        <v>1274</v>
      </c>
      <c r="Q1006" s="737">
        <v>40.555041000000003</v>
      </c>
      <c r="R1006" s="651">
        <v>-85.636126000000004</v>
      </c>
      <c r="S1006" s="308" t="s">
        <v>63</v>
      </c>
      <c r="T1006" s="308"/>
      <c r="U1006" s="308" t="s">
        <v>51</v>
      </c>
      <c r="V1006" s="307"/>
      <c r="W1006" s="313">
        <f>IF(AC1006="Intr",0,G1006*Definitions!$B$53)</f>
        <v>4350</v>
      </c>
      <c r="X1006" s="313">
        <f>IF(AC1006="Intr",0,G1006*Definitions!$B$54)</f>
        <v>20300</v>
      </c>
      <c r="Y1006" s="313">
        <f>IF(AC1006="Intr",G1006,G1006*Definitions!$B$55)</f>
        <v>4350</v>
      </c>
      <c r="Z1006" s="313" t="s">
        <v>966</v>
      </c>
      <c r="AA1006" s="313" t="s">
        <v>965</v>
      </c>
      <c r="AB1006" s="313"/>
      <c r="AC1006" s="308"/>
      <c r="AD1006" s="308"/>
      <c r="AE1006" s="308"/>
      <c r="AF1006" s="308"/>
      <c r="AG1006" s="314"/>
      <c r="AH1006" s="308" t="s">
        <v>2042</v>
      </c>
    </row>
    <row r="1007" spans="1:34" x14ac:dyDescent="0.2">
      <c r="A1007" s="307">
        <v>45896</v>
      </c>
      <c r="B1007" s="308" t="s">
        <v>249</v>
      </c>
      <c r="C1007" s="308">
        <v>2025</v>
      </c>
      <c r="D1007" s="308" t="s">
        <v>5</v>
      </c>
      <c r="E1007" s="309">
        <v>-0.02</v>
      </c>
      <c r="F1007" s="309" t="s">
        <v>32</v>
      </c>
      <c r="G1007" s="310">
        <f>E1007*80000*(-1)</f>
        <v>1600</v>
      </c>
      <c r="H1007" s="311">
        <v>623</v>
      </c>
      <c r="I1007" s="309" t="s">
        <v>81</v>
      </c>
      <c r="J1007" s="309" t="s">
        <v>36</v>
      </c>
      <c r="K1007" s="309">
        <v>1.18E-2</v>
      </c>
      <c r="L1007" s="309" t="s">
        <v>726</v>
      </c>
      <c r="M1007" s="309" t="s">
        <v>103</v>
      </c>
      <c r="N1007" s="312" t="s">
        <v>2032</v>
      </c>
      <c r="O1007" s="308"/>
      <c r="P1007" s="308" t="s">
        <v>1274</v>
      </c>
      <c r="Q1007" s="737">
        <v>40.556790999999997</v>
      </c>
      <c r="R1007" s="651">
        <v>-85.647180000000006</v>
      </c>
      <c r="S1007" s="308" t="s">
        <v>63</v>
      </c>
      <c r="T1007" s="308"/>
      <c r="U1007" s="308" t="s">
        <v>51</v>
      </c>
      <c r="V1007" s="307"/>
      <c r="W1007" s="313">
        <f>IF(AC1007="Intr",0,G1007*Definitions!$B$53)</f>
        <v>240</v>
      </c>
      <c r="X1007" s="313">
        <f>IF(AC1007="Intr",0,G1007*Definitions!$B$54)</f>
        <v>1120</v>
      </c>
      <c r="Y1007" s="313">
        <f>IF(AC1007="Intr",G1007,G1007*Definitions!$B$55)</f>
        <v>240</v>
      </c>
      <c r="Z1007" s="313" t="s">
        <v>966</v>
      </c>
      <c r="AA1007" s="313" t="s">
        <v>965</v>
      </c>
      <c r="AB1007" s="313" t="s">
        <v>2037</v>
      </c>
      <c r="AC1007" s="308"/>
      <c r="AD1007" s="308"/>
      <c r="AE1007" s="308"/>
      <c r="AF1007" s="308"/>
      <c r="AG1007" s="314"/>
      <c r="AH1007" s="308" t="s">
        <v>2042</v>
      </c>
    </row>
    <row r="1008" spans="1:34" x14ac:dyDescent="0.2">
      <c r="A1008" s="288">
        <v>45896</v>
      </c>
      <c r="B1008" s="289" t="s">
        <v>249</v>
      </c>
      <c r="C1008" s="289">
        <v>2025</v>
      </c>
      <c r="D1008" s="289" t="s">
        <v>8</v>
      </c>
      <c r="E1008" s="331">
        <v>-9</v>
      </c>
      <c r="F1008" s="331" t="s">
        <v>33</v>
      </c>
      <c r="G1008" s="332">
        <f>E1008*400*(-1)</f>
        <v>3600</v>
      </c>
      <c r="H1008" s="333">
        <v>626</v>
      </c>
      <c r="I1008" s="331" t="s">
        <v>80</v>
      </c>
      <c r="J1008" s="331" t="s">
        <v>39</v>
      </c>
      <c r="K1008" s="331">
        <v>9</v>
      </c>
      <c r="L1008" s="331" t="s">
        <v>726</v>
      </c>
      <c r="M1008" s="331" t="s">
        <v>2033</v>
      </c>
      <c r="N1008" s="290" t="s">
        <v>2034</v>
      </c>
      <c r="O1008" s="289"/>
      <c r="P1008" s="289" t="s">
        <v>2036</v>
      </c>
      <c r="Q1008" s="733">
        <v>39.404198999999998</v>
      </c>
      <c r="R1008" s="647">
        <v>-85.558008000000001</v>
      </c>
      <c r="S1008" s="289" t="s">
        <v>63</v>
      </c>
      <c r="T1008" s="289"/>
      <c r="U1008" s="289" t="s">
        <v>51</v>
      </c>
      <c r="V1008" s="288"/>
      <c r="W1008" s="293">
        <f>IF(AC1008="Intr",0,G1008*Definitions!$B$53)</f>
        <v>540</v>
      </c>
      <c r="X1008" s="293">
        <f>IF(AC1008="Intr",0,G1008*Definitions!$B$54)</f>
        <v>2520</v>
      </c>
      <c r="Y1008" s="293">
        <f>IF(AC1008="Intr",G1008,G1008*Definitions!$B$55)</f>
        <v>540</v>
      </c>
      <c r="Z1008" s="293" t="s">
        <v>966</v>
      </c>
      <c r="AA1008" s="293" t="s">
        <v>965</v>
      </c>
      <c r="AB1008" s="293"/>
      <c r="AC1008" s="289"/>
      <c r="AD1008" s="289"/>
      <c r="AE1008" s="289"/>
      <c r="AF1008" s="289"/>
      <c r="AG1008" s="294"/>
      <c r="AH1008" s="289" t="s">
        <v>2043</v>
      </c>
    </row>
    <row r="1009" spans="1:34" x14ac:dyDescent="0.2">
      <c r="A1009" s="288">
        <v>45896</v>
      </c>
      <c r="B1009" s="289" t="s">
        <v>249</v>
      </c>
      <c r="C1009" s="289">
        <v>2025</v>
      </c>
      <c r="D1009" s="289" t="s">
        <v>8</v>
      </c>
      <c r="E1009" s="331">
        <v>-324</v>
      </c>
      <c r="F1009" s="331" t="s">
        <v>33</v>
      </c>
      <c r="G1009" s="332">
        <f>E1009*400*(-1)</f>
        <v>129600</v>
      </c>
      <c r="H1009" s="333">
        <v>626</v>
      </c>
      <c r="I1009" s="331" t="s">
        <v>80</v>
      </c>
      <c r="J1009" s="331" t="s">
        <v>39</v>
      </c>
      <c r="K1009" s="331">
        <v>324</v>
      </c>
      <c r="L1009" s="331" t="s">
        <v>726</v>
      </c>
      <c r="M1009" s="331" t="s">
        <v>2033</v>
      </c>
      <c r="N1009" s="290" t="s">
        <v>2034</v>
      </c>
      <c r="O1009" s="289"/>
      <c r="P1009" s="289" t="s">
        <v>2036</v>
      </c>
      <c r="Q1009" s="733">
        <v>39.404198999999998</v>
      </c>
      <c r="R1009" s="647">
        <v>-85.558008000000001</v>
      </c>
      <c r="S1009" s="289" t="s">
        <v>63</v>
      </c>
      <c r="T1009" s="289"/>
      <c r="U1009" s="289" t="s">
        <v>51</v>
      </c>
      <c r="V1009" s="288"/>
      <c r="W1009" s="293">
        <f>IF(AC1009="Intr",0,G1009*Definitions!$B$53)</f>
        <v>19440</v>
      </c>
      <c r="X1009" s="293">
        <f>IF(AC1009="Intr",0,G1009*Definitions!$B$54)</f>
        <v>90720</v>
      </c>
      <c r="Y1009" s="293">
        <f>IF(AC1009="Intr",G1009,G1009*Definitions!$B$55)</f>
        <v>19440</v>
      </c>
      <c r="Z1009" s="293" t="s">
        <v>966</v>
      </c>
      <c r="AA1009" s="293" t="s">
        <v>965</v>
      </c>
      <c r="AB1009" s="293"/>
      <c r="AC1009" s="289"/>
      <c r="AD1009" s="289"/>
      <c r="AE1009" s="289"/>
      <c r="AF1009" s="289"/>
      <c r="AG1009" s="294"/>
      <c r="AH1009" s="289" t="s">
        <v>2043</v>
      </c>
    </row>
    <row r="1010" spans="1:34" x14ac:dyDescent="0.2">
      <c r="A1010" s="41">
        <v>45898</v>
      </c>
      <c r="B1010" s="42" t="s">
        <v>249</v>
      </c>
      <c r="C1010" s="42">
        <v>2025</v>
      </c>
      <c r="D1010" s="42" t="s">
        <v>5</v>
      </c>
      <c r="E1010" s="320">
        <v>-45</v>
      </c>
      <c r="F1010" s="320" t="s">
        <v>33</v>
      </c>
      <c r="G1010" s="343">
        <f>E1010*400*(-1)</f>
        <v>18000</v>
      </c>
      <c r="H1010" s="344">
        <v>625</v>
      </c>
      <c r="I1010" s="320" t="s">
        <v>80</v>
      </c>
      <c r="J1010" s="320" t="s">
        <v>39</v>
      </c>
      <c r="K1010" s="320">
        <v>88</v>
      </c>
      <c r="L1010" s="320" t="s">
        <v>726</v>
      </c>
      <c r="M1010" s="320" t="s">
        <v>1433</v>
      </c>
      <c r="N1010" s="73" t="s">
        <v>1434</v>
      </c>
      <c r="O1010" s="42"/>
      <c r="P1010" s="42" t="s">
        <v>151</v>
      </c>
      <c r="Q1010" s="731">
        <v>40.654705999999997</v>
      </c>
      <c r="R1010" s="593">
        <v>-85.191113000000001</v>
      </c>
      <c r="S1010" s="42" t="s">
        <v>63</v>
      </c>
      <c r="T1010" s="42"/>
      <c r="U1010" s="42" t="s">
        <v>51</v>
      </c>
      <c r="V1010" s="41"/>
      <c r="W1010" s="43">
        <f>IF(AC1010="Intr",0,G1010*Definitions!$B$53)</f>
        <v>2700</v>
      </c>
      <c r="X1010" s="43">
        <f>IF(AC1010="Intr",0,G1010*Definitions!$B$54)</f>
        <v>12600</v>
      </c>
      <c r="Y1010" s="43">
        <f>IF(AC1010="Intr",G1010,G1010*Definitions!$B$55)</f>
        <v>2700</v>
      </c>
      <c r="Z1010" s="43" t="s">
        <v>966</v>
      </c>
      <c r="AA1010" s="43" t="s">
        <v>965</v>
      </c>
      <c r="AB1010" s="43"/>
      <c r="AC1010" s="42"/>
      <c r="AD1010" s="42"/>
      <c r="AE1010" s="42"/>
      <c r="AF1010" s="42"/>
      <c r="AG1010" s="44"/>
      <c r="AH1010" s="42" t="s">
        <v>2044</v>
      </c>
    </row>
    <row r="1011" spans="1:34" x14ac:dyDescent="0.2">
      <c r="A1011" s="37">
        <v>45902</v>
      </c>
      <c r="B1011" s="38" t="s">
        <v>96</v>
      </c>
      <c r="C1011" s="38">
        <v>2025</v>
      </c>
      <c r="D1011" s="38" t="s">
        <v>1</v>
      </c>
      <c r="E1011" s="177">
        <v>-0.99</v>
      </c>
      <c r="F1011" s="177" t="s">
        <v>32</v>
      </c>
      <c r="G1011" s="269">
        <f>E1011*95000*(-1)</f>
        <v>94050</v>
      </c>
      <c r="H1011" s="179">
        <v>627</v>
      </c>
      <c r="I1011" s="177" t="s">
        <v>80</v>
      </c>
      <c r="J1011" s="177" t="s">
        <v>36</v>
      </c>
      <c r="K1011" s="177">
        <v>0.41199999999999998</v>
      </c>
      <c r="L1011" s="177" t="s">
        <v>726</v>
      </c>
      <c r="M1011" s="177" t="s">
        <v>2049</v>
      </c>
      <c r="N1011" s="70" t="s">
        <v>2050</v>
      </c>
      <c r="O1011" s="38"/>
      <c r="P1011" s="38" t="s">
        <v>227</v>
      </c>
      <c r="Q1011" s="760">
        <v>41.6100894</v>
      </c>
      <c r="R1011" s="590">
        <v>-87.461603999999994</v>
      </c>
      <c r="S1011" s="38" t="s">
        <v>63</v>
      </c>
      <c r="T1011" s="38"/>
      <c r="U1011" s="38" t="s">
        <v>51</v>
      </c>
      <c r="V1011" s="37"/>
      <c r="W1011" s="39">
        <f>IF(AC1011="Intr",0,G1011*Definitions!$B$53)</f>
        <v>14107.5</v>
      </c>
      <c r="X1011" s="39">
        <f>IF(AC1011="Intr",0,G1011*Definitions!$B$54)</f>
        <v>65835</v>
      </c>
      <c r="Y1011" s="39">
        <f>IF(AC1011="Intr",G1011,G1011*Definitions!$B$55)</f>
        <v>14107.5</v>
      </c>
      <c r="Z1011" s="39" t="s">
        <v>967</v>
      </c>
      <c r="AA1011" s="39" t="s">
        <v>965</v>
      </c>
      <c r="AB1011" s="39"/>
      <c r="AC1011" s="38"/>
      <c r="AD1011" s="38"/>
      <c r="AE1011" s="38"/>
      <c r="AF1011" s="38"/>
      <c r="AG1011" s="40"/>
      <c r="AH1011" s="38" t="s">
        <v>2051</v>
      </c>
    </row>
    <row r="1012" spans="1:34" x14ac:dyDescent="0.2">
      <c r="A1012" s="207">
        <v>45918</v>
      </c>
      <c r="B1012" s="208" t="s">
        <v>96</v>
      </c>
      <c r="C1012" s="208">
        <v>2025</v>
      </c>
      <c r="D1012" s="208" t="s">
        <v>11</v>
      </c>
      <c r="E1012" s="209">
        <v>-586.79999999999995</v>
      </c>
      <c r="F1012" s="209" t="s">
        <v>33</v>
      </c>
      <c r="G1012" s="210">
        <f>E1012*400*(-1)</f>
        <v>234719.99999999997</v>
      </c>
      <c r="H1012" s="211">
        <v>628</v>
      </c>
      <c r="I1012" s="209" t="s">
        <v>80</v>
      </c>
      <c r="J1012" s="209" t="s">
        <v>40</v>
      </c>
      <c r="K1012" s="209">
        <v>489</v>
      </c>
      <c r="L1012" s="209" t="s">
        <v>2052</v>
      </c>
      <c r="M1012" s="209" t="s">
        <v>2053</v>
      </c>
      <c r="N1012" s="212" t="s">
        <v>2054</v>
      </c>
      <c r="O1012" s="208"/>
      <c r="P1012" s="208" t="s">
        <v>325</v>
      </c>
      <c r="Q1012" s="749">
        <v>38.118459999999999</v>
      </c>
      <c r="R1012" s="641">
        <v>-87.053604000000007</v>
      </c>
      <c r="S1012" s="208" t="s">
        <v>63</v>
      </c>
      <c r="T1012" s="208"/>
      <c r="U1012" s="208" t="s">
        <v>51</v>
      </c>
      <c r="V1012" s="207"/>
      <c r="W1012" s="213">
        <f>IF(AC1012="Intr",0,G1012*Definitions!$B$53)</f>
        <v>35207.999999999993</v>
      </c>
      <c r="X1012" s="213">
        <f>IF(AC1012="Intr",0,G1012*Definitions!$B$54)</f>
        <v>164303.99999999997</v>
      </c>
      <c r="Y1012" s="213">
        <f>IF(AC1012="Intr",G1012,G1012*Definitions!$B$55)</f>
        <v>35207.999999999993</v>
      </c>
      <c r="Z1012" s="213" t="s">
        <v>966</v>
      </c>
      <c r="AA1012" s="213" t="s">
        <v>965</v>
      </c>
      <c r="AB1012" s="213"/>
      <c r="AC1012" s="208"/>
      <c r="AD1012" s="208"/>
      <c r="AE1012" s="208"/>
      <c r="AF1012" s="208"/>
      <c r="AG1012" s="214"/>
      <c r="AH1012" s="208" t="s">
        <v>2056</v>
      </c>
    </row>
    <row r="1013" spans="1:34" x14ac:dyDescent="0.2">
      <c r="A1013" s="207">
        <v>45918</v>
      </c>
      <c r="B1013" s="208" t="s">
        <v>96</v>
      </c>
      <c r="C1013" s="208">
        <v>2025</v>
      </c>
      <c r="D1013" s="208" t="s">
        <v>11</v>
      </c>
      <c r="E1013" s="209">
        <v>-592.20000000000005</v>
      </c>
      <c r="F1013" s="209" t="s">
        <v>33</v>
      </c>
      <c r="G1013" s="210">
        <f>E1013*400*(-1)</f>
        <v>236880.00000000003</v>
      </c>
      <c r="H1013" s="211">
        <v>628</v>
      </c>
      <c r="I1013" s="209" t="s">
        <v>80</v>
      </c>
      <c r="J1013" s="209" t="s">
        <v>39</v>
      </c>
      <c r="K1013" s="209">
        <v>463</v>
      </c>
      <c r="L1013" s="209" t="s">
        <v>2052</v>
      </c>
      <c r="M1013" s="209" t="s">
        <v>2053</v>
      </c>
      <c r="N1013" s="212" t="s">
        <v>2054</v>
      </c>
      <c r="O1013" s="208"/>
      <c r="P1013" s="208" t="s">
        <v>325</v>
      </c>
      <c r="Q1013" s="749">
        <v>38.118459999999999</v>
      </c>
      <c r="R1013" s="641">
        <v>-87.053604000000007</v>
      </c>
      <c r="S1013" s="208" t="s">
        <v>63</v>
      </c>
      <c r="T1013" s="208"/>
      <c r="U1013" s="208" t="s">
        <v>51</v>
      </c>
      <c r="V1013" s="207"/>
      <c r="W1013" s="213">
        <f>IF(AC1013="Intr",0,G1013*Definitions!$B$53)</f>
        <v>35532</v>
      </c>
      <c r="X1013" s="213">
        <f>IF(AC1013="Intr",0,G1013*Definitions!$B$54)</f>
        <v>165816</v>
      </c>
      <c r="Y1013" s="213">
        <f>IF(AC1013="Intr",G1013,G1013*Definitions!$B$55)</f>
        <v>35532</v>
      </c>
      <c r="Z1013" s="213" t="s">
        <v>966</v>
      </c>
      <c r="AA1013" s="213" t="s">
        <v>965</v>
      </c>
      <c r="AB1013" s="213"/>
      <c r="AC1013" s="208"/>
      <c r="AD1013" s="208"/>
      <c r="AE1013" s="208"/>
      <c r="AF1013" s="208"/>
      <c r="AG1013" s="214"/>
      <c r="AH1013" s="208" t="s">
        <v>2056</v>
      </c>
    </row>
    <row r="1014" spans="1:34" x14ac:dyDescent="0.2">
      <c r="A1014" s="207">
        <v>45918</v>
      </c>
      <c r="B1014" s="208" t="s">
        <v>96</v>
      </c>
      <c r="C1014" s="208">
        <v>2025</v>
      </c>
      <c r="D1014" s="208" t="s">
        <v>11</v>
      </c>
      <c r="E1014" s="209">
        <v>-0.06</v>
      </c>
      <c r="F1014" s="209" t="s">
        <v>32</v>
      </c>
      <c r="G1014" s="210">
        <f>E1014*80000*(-1)</f>
        <v>4800</v>
      </c>
      <c r="H1014" s="211">
        <v>628</v>
      </c>
      <c r="I1014" s="209" t="s">
        <v>80</v>
      </c>
      <c r="J1014" s="209" t="s">
        <v>36</v>
      </c>
      <c r="K1014" s="209">
        <v>0.03</v>
      </c>
      <c r="L1014" s="209" t="s">
        <v>2052</v>
      </c>
      <c r="M1014" s="209" t="s">
        <v>2053</v>
      </c>
      <c r="N1014" s="212" t="s">
        <v>2054</v>
      </c>
      <c r="O1014" s="208"/>
      <c r="P1014" s="208" t="s">
        <v>325</v>
      </c>
      <c r="Q1014" s="749">
        <v>38.118459999999999</v>
      </c>
      <c r="R1014" s="641">
        <v>-87.053604000000007</v>
      </c>
      <c r="S1014" s="208" t="s">
        <v>63</v>
      </c>
      <c r="T1014" s="208"/>
      <c r="U1014" s="208" t="s">
        <v>51</v>
      </c>
      <c r="V1014" s="207"/>
      <c r="W1014" s="213">
        <f>IF(AC1014="Intr",0,G1014*Definitions!$B$53)</f>
        <v>720</v>
      </c>
      <c r="X1014" s="213">
        <f>IF(AC1014="Intr",0,G1014*Definitions!$B$54)</f>
        <v>3360</v>
      </c>
      <c r="Y1014" s="213">
        <f>IF(AC1014="Intr",G1014,G1014*Definitions!$B$55)</f>
        <v>720</v>
      </c>
      <c r="Z1014" s="213" t="s">
        <v>966</v>
      </c>
      <c r="AA1014" s="213" t="s">
        <v>965</v>
      </c>
      <c r="AB1014" s="213"/>
      <c r="AC1014" s="208"/>
      <c r="AD1014" s="208"/>
      <c r="AE1014" s="208"/>
      <c r="AF1014" s="208"/>
      <c r="AG1014" s="214"/>
      <c r="AH1014" s="208" t="s">
        <v>2056</v>
      </c>
    </row>
    <row r="1015" spans="1:34" x14ac:dyDescent="0.2">
      <c r="A1015" s="88">
        <v>45924</v>
      </c>
      <c r="B1015" s="89" t="s">
        <v>96</v>
      </c>
      <c r="C1015" s="89">
        <v>2025</v>
      </c>
      <c r="D1015" s="89" t="s">
        <v>9</v>
      </c>
      <c r="E1015" s="90">
        <v>-0.13</v>
      </c>
      <c r="F1015" s="90" t="s">
        <v>32</v>
      </c>
      <c r="G1015" s="91">
        <f>E1015*80000*(-1)</f>
        <v>10400</v>
      </c>
      <c r="H1015" s="92">
        <v>631</v>
      </c>
      <c r="I1015" s="90" t="s">
        <v>81</v>
      </c>
      <c r="J1015" s="90" t="s">
        <v>38</v>
      </c>
      <c r="K1015" s="90">
        <v>0.05</v>
      </c>
      <c r="L1015" s="90" t="s">
        <v>1779</v>
      </c>
      <c r="M1015" s="90" t="s">
        <v>103</v>
      </c>
      <c r="N1015" s="93" t="s">
        <v>2055</v>
      </c>
      <c r="O1015" s="89"/>
      <c r="P1015" s="89" t="s">
        <v>137</v>
      </c>
      <c r="Q1015" s="735">
        <v>40.007294000000002</v>
      </c>
      <c r="R1015" s="649">
        <v>-86.215046999999998</v>
      </c>
      <c r="S1015" s="89" t="s">
        <v>61</v>
      </c>
      <c r="T1015" s="89"/>
      <c r="U1015" s="89" t="s">
        <v>51</v>
      </c>
      <c r="V1015" s="88"/>
      <c r="W1015" s="95">
        <f>IF(AC1015="Intr",0,G1015*Definitions!$B$53)</f>
        <v>1560</v>
      </c>
      <c r="X1015" s="95">
        <f>IF(AC1015="Intr",0,G1015*Definitions!$B$54)</f>
        <v>7279.9999999999991</v>
      </c>
      <c r="Y1015" s="95">
        <f>IF(AC1015="Intr",G1015,G1015*Definitions!$B$55)</f>
        <v>1560</v>
      </c>
      <c r="Z1015" s="95" t="s">
        <v>966</v>
      </c>
      <c r="AA1015" s="95" t="s">
        <v>963</v>
      </c>
      <c r="AB1015" s="95" t="s">
        <v>1245</v>
      </c>
      <c r="AC1015" s="89"/>
      <c r="AD1015" s="89"/>
      <c r="AE1015" s="89"/>
      <c r="AF1015" s="89"/>
      <c r="AG1015" s="96"/>
      <c r="AH1015" s="89" t="s">
        <v>2057</v>
      </c>
    </row>
    <row r="1016" spans="1:34" x14ac:dyDescent="0.2">
      <c r="A1016" s="33">
        <v>45937</v>
      </c>
      <c r="B1016" s="34" t="s">
        <v>98</v>
      </c>
      <c r="C1016" s="34">
        <v>2025</v>
      </c>
      <c r="D1016" s="34" t="s">
        <v>8</v>
      </c>
      <c r="E1016" s="271">
        <v>-782</v>
      </c>
      <c r="F1016" s="271" t="s">
        <v>33</v>
      </c>
      <c r="G1016" s="272">
        <f>E1016*400*(-1)</f>
        <v>312800</v>
      </c>
      <c r="H1016" s="273">
        <v>630</v>
      </c>
      <c r="I1016" s="271" t="s">
        <v>80</v>
      </c>
      <c r="J1016" s="271" t="s">
        <v>39</v>
      </c>
      <c r="K1016" s="271">
        <v>823.5</v>
      </c>
      <c r="L1016" s="271" t="s">
        <v>2058</v>
      </c>
      <c r="M1016" s="271" t="s">
        <v>2101</v>
      </c>
      <c r="N1016" s="116" t="s">
        <v>2059</v>
      </c>
      <c r="O1016" s="34"/>
      <c r="P1016" s="34" t="s">
        <v>125</v>
      </c>
      <c r="Q1016" s="773">
        <v>39.191346000000003</v>
      </c>
      <c r="R1016" s="592">
        <v>-85.925865999999999</v>
      </c>
      <c r="S1016" s="34" t="s">
        <v>61</v>
      </c>
      <c r="T1016" s="34"/>
      <c r="U1016" s="34" t="s">
        <v>51</v>
      </c>
      <c r="V1016" s="33"/>
      <c r="W1016" s="35">
        <f>IF(AC1016="Intr",0,G1016*Definitions!$B$53)</f>
        <v>46920</v>
      </c>
      <c r="X1016" s="35">
        <f>IF(AC1016="Intr",0,G1016*Definitions!$B$54)</f>
        <v>218960</v>
      </c>
      <c r="Y1016" s="35">
        <f>IF(AC1016="Intr",G1016,G1016*Definitions!$B$55)</f>
        <v>46920</v>
      </c>
      <c r="Z1016" s="35" t="s">
        <v>966</v>
      </c>
      <c r="AA1016" s="35" t="s">
        <v>965</v>
      </c>
      <c r="AB1016" s="35"/>
      <c r="AC1016" s="34"/>
      <c r="AD1016" s="34"/>
      <c r="AE1016" s="34"/>
      <c r="AF1016" s="34"/>
      <c r="AG1016" s="36"/>
      <c r="AH1016" s="34" t="s">
        <v>2069</v>
      </c>
    </row>
    <row r="1017" spans="1:34" x14ac:dyDescent="0.2">
      <c r="A1017" s="168">
        <v>45937</v>
      </c>
      <c r="B1017" s="169" t="s">
        <v>98</v>
      </c>
      <c r="C1017" s="169">
        <v>2025</v>
      </c>
      <c r="D1017" s="169" t="s">
        <v>1</v>
      </c>
      <c r="E1017" s="170">
        <v>-45.5</v>
      </c>
      <c r="F1017" s="170" t="s">
        <v>33</v>
      </c>
      <c r="G1017" s="171">
        <f>E1017*600*(-1)</f>
        <v>27300</v>
      </c>
      <c r="H1017" s="172">
        <v>635</v>
      </c>
      <c r="I1017" s="170" t="s">
        <v>80</v>
      </c>
      <c r="J1017" s="170" t="s">
        <v>40</v>
      </c>
      <c r="K1017" s="170">
        <v>45.5</v>
      </c>
      <c r="L1017" s="170" t="s">
        <v>726</v>
      </c>
      <c r="M1017" s="170" t="s">
        <v>103</v>
      </c>
      <c r="N1017" s="173" t="s">
        <v>2060</v>
      </c>
      <c r="O1017" s="169"/>
      <c r="P1017" s="169" t="s">
        <v>227</v>
      </c>
      <c r="Q1017" s="732">
        <v>41.471215999999998</v>
      </c>
      <c r="R1017" s="646">
        <v>-87.313139000000007</v>
      </c>
      <c r="S1017" s="169" t="s">
        <v>63</v>
      </c>
      <c r="T1017" s="169"/>
      <c r="U1017" s="169" t="s">
        <v>51</v>
      </c>
      <c r="V1017" s="168"/>
      <c r="W1017" s="174">
        <f>IF(AC1017="Intr",0,G1017*Definitions!$B$53)</f>
        <v>4095</v>
      </c>
      <c r="X1017" s="174">
        <f>IF(AC1017="Intr",0,G1017*Definitions!$B$54)</f>
        <v>19110</v>
      </c>
      <c r="Y1017" s="174">
        <f>IF(AC1017="Intr",G1017,G1017*Definitions!$B$55)</f>
        <v>4095</v>
      </c>
      <c r="Z1017" s="174" t="s">
        <v>967</v>
      </c>
      <c r="AA1017" s="174" t="s">
        <v>965</v>
      </c>
      <c r="AB1017" s="174"/>
      <c r="AC1017" s="169"/>
      <c r="AD1017" s="169"/>
      <c r="AE1017" s="169"/>
      <c r="AF1017" s="169"/>
      <c r="AG1017" s="175"/>
      <c r="AH1017" s="169" t="s">
        <v>2070</v>
      </c>
    </row>
    <row r="1018" spans="1:34" x14ac:dyDescent="0.2">
      <c r="A1018" s="307">
        <v>45937</v>
      </c>
      <c r="B1018" s="308" t="s">
        <v>98</v>
      </c>
      <c r="C1018" s="308">
        <v>2025</v>
      </c>
      <c r="D1018" s="308" t="s">
        <v>6</v>
      </c>
      <c r="E1018" s="309">
        <v>-444</v>
      </c>
      <c r="F1018" s="309" t="s">
        <v>33</v>
      </c>
      <c r="G1018" s="310">
        <f>E1018*400*(-1)</f>
        <v>177600</v>
      </c>
      <c r="H1018" s="311">
        <v>638</v>
      </c>
      <c r="I1018" s="309" t="s">
        <v>80</v>
      </c>
      <c r="J1018" s="309" t="s">
        <v>39</v>
      </c>
      <c r="K1018" s="309">
        <v>1255</v>
      </c>
      <c r="L1018" s="309" t="s">
        <v>987</v>
      </c>
      <c r="M1018" s="309" t="s">
        <v>2061</v>
      </c>
      <c r="N1018" s="312" t="s">
        <v>2062</v>
      </c>
      <c r="O1018" s="308"/>
      <c r="P1018" s="308" t="s">
        <v>2068</v>
      </c>
      <c r="Q1018" s="737">
        <v>40.025210000000001</v>
      </c>
      <c r="R1018" s="651">
        <v>-86.976550000000003</v>
      </c>
      <c r="S1018" s="308" t="s">
        <v>63</v>
      </c>
      <c r="T1018" s="308"/>
      <c r="U1018" s="308" t="s">
        <v>51</v>
      </c>
      <c r="V1018" s="307"/>
      <c r="W1018" s="313">
        <f>IF(AC1018="Intr",0,G1018*Definitions!$B$53)</f>
        <v>26640</v>
      </c>
      <c r="X1018" s="313">
        <f>IF(AC1018="Intr",0,G1018*Definitions!$B$54)</f>
        <v>124319.99999999999</v>
      </c>
      <c r="Y1018" s="313">
        <f>IF(AC1018="Intr",G1018,G1018*Definitions!$B$55)</f>
        <v>26640</v>
      </c>
      <c r="Z1018" s="313" t="s">
        <v>966</v>
      </c>
      <c r="AA1018" s="313" t="s">
        <v>965</v>
      </c>
      <c r="AB1018" s="313"/>
      <c r="AC1018" s="308"/>
      <c r="AD1018" s="308"/>
      <c r="AE1018" s="308"/>
      <c r="AF1018" s="308"/>
      <c r="AG1018" s="314"/>
      <c r="AH1018" s="308" t="s">
        <v>2071</v>
      </c>
    </row>
    <row r="1019" spans="1:34" x14ac:dyDescent="0.2">
      <c r="A1019" s="160">
        <v>45937</v>
      </c>
      <c r="B1019" s="161" t="s">
        <v>98</v>
      </c>
      <c r="C1019" s="161">
        <v>2025</v>
      </c>
      <c r="D1019" s="161" t="s">
        <v>8</v>
      </c>
      <c r="E1019" s="162">
        <v>-318</v>
      </c>
      <c r="F1019" s="162" t="s">
        <v>33</v>
      </c>
      <c r="G1019" s="163">
        <f>E1019*400*(-1)</f>
        <v>127200</v>
      </c>
      <c r="H1019" s="164">
        <v>639</v>
      </c>
      <c r="I1019" s="162" t="s">
        <v>80</v>
      </c>
      <c r="J1019" s="162" t="s">
        <v>39</v>
      </c>
      <c r="K1019" s="162">
        <v>285</v>
      </c>
      <c r="L1019" s="162" t="s">
        <v>726</v>
      </c>
      <c r="M1019" s="162" t="s">
        <v>2063</v>
      </c>
      <c r="N1019" s="165" t="s">
        <v>2064</v>
      </c>
      <c r="O1019" s="161"/>
      <c r="P1019" s="161" t="s">
        <v>125</v>
      </c>
      <c r="Q1019" s="741">
        <v>39.095064999999998</v>
      </c>
      <c r="R1019" s="654">
        <v>-86.028053</v>
      </c>
      <c r="S1019" s="161" t="s">
        <v>63</v>
      </c>
      <c r="T1019" s="161"/>
      <c r="U1019" s="161" t="s">
        <v>51</v>
      </c>
      <c r="V1019" s="160"/>
      <c r="W1019" s="166">
        <f>IF(AC1019="Intr",0,G1019*Definitions!$B$53)</f>
        <v>19080</v>
      </c>
      <c r="X1019" s="166">
        <f>IF(AC1019="Intr",0,G1019*Definitions!$B$54)</f>
        <v>89040</v>
      </c>
      <c r="Y1019" s="166">
        <f>IF(AC1019="Intr",G1019,G1019*Definitions!$B$55)</f>
        <v>19080</v>
      </c>
      <c r="Z1019" s="166" t="s">
        <v>966</v>
      </c>
      <c r="AA1019" s="166" t="s">
        <v>965</v>
      </c>
      <c r="AB1019" s="166"/>
      <c r="AC1019" s="161"/>
      <c r="AD1019" s="161"/>
      <c r="AE1019" s="161"/>
      <c r="AF1019" s="161"/>
      <c r="AG1019" s="167"/>
      <c r="AH1019" s="161" t="s">
        <v>2072</v>
      </c>
    </row>
    <row r="1020" spans="1:34" x14ac:dyDescent="0.2">
      <c r="A1020" s="145">
        <v>45937</v>
      </c>
      <c r="B1020" s="112" t="s">
        <v>98</v>
      </c>
      <c r="C1020" s="112">
        <v>2025</v>
      </c>
      <c r="D1020" s="112" t="s">
        <v>7</v>
      </c>
      <c r="E1020" s="146">
        <v>-27</v>
      </c>
      <c r="F1020" s="146" t="s">
        <v>33</v>
      </c>
      <c r="G1020" s="147">
        <f>E1020*450*(-1)</f>
        <v>12150</v>
      </c>
      <c r="H1020" s="148">
        <v>640</v>
      </c>
      <c r="I1020" s="146" t="s">
        <v>80</v>
      </c>
      <c r="J1020" s="146" t="s">
        <v>40</v>
      </c>
      <c r="K1020" s="146">
        <v>27</v>
      </c>
      <c r="L1020" s="146" t="s">
        <v>726</v>
      </c>
      <c r="M1020" s="146" t="s">
        <v>2065</v>
      </c>
      <c r="N1020" s="149" t="s">
        <v>2066</v>
      </c>
      <c r="O1020" s="112"/>
      <c r="P1020" s="112" t="s">
        <v>117</v>
      </c>
      <c r="Q1020" s="729">
        <v>39.930833</v>
      </c>
      <c r="R1020" s="591">
        <v>-86.287778000000003</v>
      </c>
      <c r="S1020" s="112" t="s">
        <v>63</v>
      </c>
      <c r="T1020" s="112"/>
      <c r="U1020" s="112" t="s">
        <v>51</v>
      </c>
      <c r="V1020" s="145"/>
      <c r="W1020" s="150">
        <f>IF(AC1020="Intr",0,G1020*Definitions!$B$53)</f>
        <v>1822.5</v>
      </c>
      <c r="X1020" s="150">
        <f>IF(AC1020="Intr",0,G1020*Definitions!$B$54)</f>
        <v>8505</v>
      </c>
      <c r="Y1020" s="150">
        <f>IF(AC1020="Intr",G1020,G1020*Definitions!$B$55)</f>
        <v>1822.5</v>
      </c>
      <c r="Z1020" s="150" t="s">
        <v>966</v>
      </c>
      <c r="AA1020" s="150" t="s">
        <v>965</v>
      </c>
      <c r="AB1020" s="150"/>
      <c r="AC1020" s="112"/>
      <c r="AD1020" s="112"/>
      <c r="AE1020" s="112"/>
      <c r="AF1020" s="112"/>
      <c r="AG1020" s="151"/>
      <c r="AH1020" s="112" t="s">
        <v>2073</v>
      </c>
    </row>
    <row r="1021" spans="1:34" x14ac:dyDescent="0.2">
      <c r="A1021" s="58">
        <v>45937</v>
      </c>
      <c r="B1021" s="59" t="s">
        <v>98</v>
      </c>
      <c r="C1021" s="59">
        <v>2025</v>
      </c>
      <c r="D1021" s="59" t="s">
        <v>11</v>
      </c>
      <c r="E1021" s="60">
        <v>-26.4</v>
      </c>
      <c r="F1021" s="60" t="s">
        <v>33</v>
      </c>
      <c r="G1021" s="61">
        <f>E1021*400*(-1)</f>
        <v>10560</v>
      </c>
      <c r="H1021" s="62">
        <v>641</v>
      </c>
      <c r="I1021" s="60" t="s">
        <v>80</v>
      </c>
      <c r="J1021" s="60" t="s">
        <v>40</v>
      </c>
      <c r="K1021" s="60">
        <v>26.4</v>
      </c>
      <c r="L1021" s="60" t="s">
        <v>726</v>
      </c>
      <c r="M1021" s="60" t="s">
        <v>103</v>
      </c>
      <c r="N1021" s="63" t="s">
        <v>2067</v>
      </c>
      <c r="O1021" s="59"/>
      <c r="P1021" s="59" t="s">
        <v>279</v>
      </c>
      <c r="Q1021" s="745">
        <v>38.231470999999999</v>
      </c>
      <c r="R1021" s="637">
        <v>-86.659903999999997</v>
      </c>
      <c r="S1021" s="59" t="s">
        <v>63</v>
      </c>
      <c r="T1021" s="59"/>
      <c r="U1021" s="59" t="s">
        <v>51</v>
      </c>
      <c r="V1021" s="58"/>
      <c r="W1021" s="65">
        <f>IF(AC1021="Intr",0,G1021*Definitions!$B$53)</f>
        <v>1584</v>
      </c>
      <c r="X1021" s="65">
        <f>IF(AC1021="Intr",0,G1021*Definitions!$B$54)</f>
        <v>7391.9999999999991</v>
      </c>
      <c r="Y1021" s="65">
        <f>IF(AC1021="Intr",G1021,G1021*Definitions!$B$55)</f>
        <v>1584</v>
      </c>
      <c r="Z1021" s="65" t="s">
        <v>966</v>
      </c>
      <c r="AA1021" s="65" t="s">
        <v>965</v>
      </c>
      <c r="AB1021" s="65"/>
      <c r="AC1021" s="59"/>
      <c r="AD1021" s="59"/>
      <c r="AE1021" s="59"/>
      <c r="AF1021" s="59"/>
      <c r="AG1021" s="66"/>
      <c r="AH1021" s="59" t="s">
        <v>2074</v>
      </c>
    </row>
    <row r="1022" spans="1:34" x14ac:dyDescent="0.2">
      <c r="A1022" s="58">
        <v>45937</v>
      </c>
      <c r="B1022" s="59" t="s">
        <v>98</v>
      </c>
      <c r="C1022" s="59">
        <v>2025</v>
      </c>
      <c r="D1022" s="59" t="s">
        <v>11</v>
      </c>
      <c r="E1022" s="60">
        <v>-3.1E-2</v>
      </c>
      <c r="F1022" s="60" t="s">
        <v>32</v>
      </c>
      <c r="G1022" s="61">
        <f>E1022*80000*(-1)</f>
        <v>2480</v>
      </c>
      <c r="H1022" s="62">
        <v>641</v>
      </c>
      <c r="I1022" s="60" t="s">
        <v>80</v>
      </c>
      <c r="J1022" s="60" t="s">
        <v>36</v>
      </c>
      <c r="K1022" s="60">
        <v>3.1E-2</v>
      </c>
      <c r="L1022" s="60" t="s">
        <v>726</v>
      </c>
      <c r="M1022" s="60" t="s">
        <v>103</v>
      </c>
      <c r="N1022" s="63" t="s">
        <v>2067</v>
      </c>
      <c r="O1022" s="59"/>
      <c r="P1022" s="59" t="s">
        <v>279</v>
      </c>
      <c r="Q1022" s="745">
        <v>38.231470999999999</v>
      </c>
      <c r="R1022" s="637">
        <v>-86.659903999999997</v>
      </c>
      <c r="S1022" s="59" t="s">
        <v>63</v>
      </c>
      <c r="T1022" s="59"/>
      <c r="U1022" s="59" t="s">
        <v>51</v>
      </c>
      <c r="V1022" s="58"/>
      <c r="W1022" s="65">
        <f>IF(AC1022="Intr",0,G1022*Definitions!$B$53)</f>
        <v>372</v>
      </c>
      <c r="X1022" s="65">
        <f>IF(AC1022="Intr",0,G1022*Definitions!$B$54)</f>
        <v>1736</v>
      </c>
      <c r="Y1022" s="65">
        <f>IF(AC1022="Intr",G1022,G1022*Definitions!$B$55)</f>
        <v>372</v>
      </c>
      <c r="Z1022" s="65" t="s">
        <v>966</v>
      </c>
      <c r="AA1022" s="65" t="s">
        <v>965</v>
      </c>
      <c r="AB1022" s="65"/>
      <c r="AC1022" s="59"/>
      <c r="AD1022" s="59"/>
      <c r="AE1022" s="59"/>
      <c r="AF1022" s="59"/>
      <c r="AG1022" s="66"/>
      <c r="AH1022" s="59" t="s">
        <v>2074</v>
      </c>
    </row>
    <row r="1023" spans="1:34" x14ac:dyDescent="0.2">
      <c r="A1023" s="58">
        <v>45937</v>
      </c>
      <c r="B1023" s="59" t="s">
        <v>98</v>
      </c>
      <c r="C1023" s="59">
        <v>2025</v>
      </c>
      <c r="D1023" s="59" t="s">
        <v>11</v>
      </c>
      <c r="E1023" s="60">
        <v>-8.9999999999999993E-3</v>
      </c>
      <c r="F1023" s="60" t="s">
        <v>32</v>
      </c>
      <c r="G1023" s="61">
        <f>E1023*80000*(-1)</f>
        <v>720</v>
      </c>
      <c r="H1023" s="62">
        <v>641</v>
      </c>
      <c r="I1023" s="60" t="s">
        <v>80</v>
      </c>
      <c r="J1023" s="60" t="s">
        <v>37</v>
      </c>
      <c r="K1023" s="60">
        <v>8.9999999999999993E-3</v>
      </c>
      <c r="L1023" s="60" t="s">
        <v>726</v>
      </c>
      <c r="M1023" s="60" t="s">
        <v>103</v>
      </c>
      <c r="N1023" s="63" t="s">
        <v>2067</v>
      </c>
      <c r="O1023" s="59"/>
      <c r="P1023" s="59" t="s">
        <v>279</v>
      </c>
      <c r="Q1023" s="745">
        <v>38.231470999999999</v>
      </c>
      <c r="R1023" s="637">
        <v>-86.659903999999997</v>
      </c>
      <c r="S1023" s="59" t="s">
        <v>63</v>
      </c>
      <c r="T1023" s="59"/>
      <c r="U1023" s="59" t="s">
        <v>51</v>
      </c>
      <c r="V1023" s="58"/>
      <c r="W1023" s="65">
        <f>IF(AC1023="Intr",0,G1023*Definitions!$B$53)</f>
        <v>108</v>
      </c>
      <c r="X1023" s="65">
        <f>IF(AC1023="Intr",0,G1023*Definitions!$B$54)</f>
        <v>503.99999999999994</v>
      </c>
      <c r="Y1023" s="65">
        <f>IF(AC1023="Intr",G1023,G1023*Definitions!$B$55)</f>
        <v>108</v>
      </c>
      <c r="Z1023" s="65" t="s">
        <v>966</v>
      </c>
      <c r="AA1023" s="65" t="s">
        <v>965</v>
      </c>
      <c r="AB1023" s="65"/>
      <c r="AC1023" s="59"/>
      <c r="AD1023" s="59"/>
      <c r="AE1023" s="59"/>
      <c r="AF1023" s="59"/>
      <c r="AG1023" s="66"/>
      <c r="AH1023" s="59" t="s">
        <v>2074</v>
      </c>
    </row>
    <row r="1024" spans="1:34" x14ac:dyDescent="0.2">
      <c r="A1024" s="41">
        <v>45945</v>
      </c>
      <c r="B1024" s="42" t="s">
        <v>98</v>
      </c>
      <c r="C1024" s="42">
        <v>2025</v>
      </c>
      <c r="D1024" s="42" t="s">
        <v>1</v>
      </c>
      <c r="E1024" s="320">
        <v>-5.5E-2</v>
      </c>
      <c r="F1024" s="320" t="s">
        <v>32</v>
      </c>
      <c r="G1024" s="343">
        <f>E1024*95000*(-1)</f>
        <v>5225</v>
      </c>
      <c r="H1024" s="344">
        <v>632</v>
      </c>
      <c r="I1024" s="320" t="s">
        <v>80</v>
      </c>
      <c r="J1024" s="320" t="s">
        <v>37</v>
      </c>
      <c r="K1024" s="320">
        <v>1.52E-2</v>
      </c>
      <c r="L1024" s="320" t="s">
        <v>726</v>
      </c>
      <c r="M1024" s="320" t="s">
        <v>2075</v>
      </c>
      <c r="N1024" s="73" t="s">
        <v>2076</v>
      </c>
      <c r="O1024" s="42"/>
      <c r="P1024" s="42" t="s">
        <v>385</v>
      </c>
      <c r="Q1024" s="731">
        <v>41.470709999999997</v>
      </c>
      <c r="R1024" s="593">
        <v>-87.161940000000001</v>
      </c>
      <c r="S1024" s="42" t="s">
        <v>63</v>
      </c>
      <c r="T1024" s="42"/>
      <c r="U1024" s="42" t="s">
        <v>51</v>
      </c>
      <c r="V1024" s="41"/>
      <c r="W1024" s="43">
        <f>IF(AC1024="Intr",0,G1024*Definitions!$B$53)</f>
        <v>783.75</v>
      </c>
      <c r="X1024" s="43">
        <f>IF(AC1024="Intr",0,G1024*Definitions!$B$54)</f>
        <v>3657.4999999999995</v>
      </c>
      <c r="Y1024" s="43">
        <f>IF(AC1024="Intr",G1024,G1024*Definitions!$B$55)</f>
        <v>783.75</v>
      </c>
      <c r="Z1024" s="43" t="s">
        <v>967</v>
      </c>
      <c r="AA1024" s="43" t="s">
        <v>965</v>
      </c>
      <c r="AB1024" s="43"/>
      <c r="AC1024" s="42"/>
      <c r="AD1024" s="42"/>
      <c r="AE1024" s="42"/>
      <c r="AF1024" s="42"/>
      <c r="AG1024" s="44"/>
      <c r="AH1024" s="42" t="s">
        <v>2082</v>
      </c>
    </row>
    <row r="1025" spans="1:34" x14ac:dyDescent="0.2">
      <c r="A1025" s="41">
        <v>45945</v>
      </c>
      <c r="B1025" s="42" t="s">
        <v>98</v>
      </c>
      <c r="C1025" s="42">
        <v>2025</v>
      </c>
      <c r="D1025" s="42" t="s">
        <v>1</v>
      </c>
      <c r="E1025" s="320">
        <v>-210</v>
      </c>
      <c r="F1025" s="320" t="s">
        <v>33</v>
      </c>
      <c r="G1025" s="343">
        <f>E1025*600*(-1)</f>
        <v>126000</v>
      </c>
      <c r="H1025" s="344">
        <v>632</v>
      </c>
      <c r="I1025" s="320" t="s">
        <v>80</v>
      </c>
      <c r="J1025" s="320" t="s">
        <v>39</v>
      </c>
      <c r="K1025" s="320">
        <v>228</v>
      </c>
      <c r="L1025" s="320" t="s">
        <v>726</v>
      </c>
      <c r="M1025" s="320" t="s">
        <v>2075</v>
      </c>
      <c r="N1025" s="73" t="s">
        <v>2076</v>
      </c>
      <c r="O1025" s="42"/>
      <c r="P1025" s="42" t="s">
        <v>385</v>
      </c>
      <c r="Q1025" s="731">
        <v>41.470709999999997</v>
      </c>
      <c r="R1025" s="593">
        <v>-87.161940000000001</v>
      </c>
      <c r="S1025" s="42" t="s">
        <v>63</v>
      </c>
      <c r="T1025" s="42"/>
      <c r="U1025" s="42" t="s">
        <v>51</v>
      </c>
      <c r="V1025" s="41"/>
      <c r="W1025" s="43">
        <f>IF(AC1025="Intr",0,G1025*Definitions!$B$53)</f>
        <v>18900</v>
      </c>
      <c r="X1025" s="43">
        <f>IF(AC1025="Intr",0,G1025*Definitions!$B$54)</f>
        <v>88200</v>
      </c>
      <c r="Y1025" s="43">
        <f>IF(AC1025="Intr",G1025,G1025*Definitions!$B$55)</f>
        <v>18900</v>
      </c>
      <c r="Z1025" s="43" t="s">
        <v>967</v>
      </c>
      <c r="AA1025" s="43" t="s">
        <v>965</v>
      </c>
      <c r="AB1025" s="43"/>
      <c r="AC1025" s="42"/>
      <c r="AD1025" s="42"/>
      <c r="AE1025" s="42"/>
      <c r="AF1025" s="42"/>
      <c r="AG1025" s="44"/>
      <c r="AH1025" s="42" t="s">
        <v>2082</v>
      </c>
    </row>
    <row r="1026" spans="1:34" x14ac:dyDescent="0.2">
      <c r="A1026" s="88">
        <v>45945</v>
      </c>
      <c r="B1026" s="89" t="s">
        <v>98</v>
      </c>
      <c r="C1026" s="89">
        <v>2025</v>
      </c>
      <c r="D1026" s="89" t="s">
        <v>1</v>
      </c>
      <c r="E1026" s="90">
        <v>-0.41</v>
      </c>
      <c r="F1026" s="90" t="s">
        <v>32</v>
      </c>
      <c r="G1026" s="91">
        <f>E1026*95000*(-1)</f>
        <v>38950</v>
      </c>
      <c r="H1026" s="92">
        <v>645</v>
      </c>
      <c r="I1026" s="90" t="s">
        <v>81</v>
      </c>
      <c r="J1026" s="90" t="s">
        <v>36</v>
      </c>
      <c r="K1026" s="90">
        <v>0.27</v>
      </c>
      <c r="L1026" s="90" t="s">
        <v>491</v>
      </c>
      <c r="M1026" s="90" t="s">
        <v>103</v>
      </c>
      <c r="N1026" s="93" t="s">
        <v>2077</v>
      </c>
      <c r="O1026" s="89"/>
      <c r="P1026" s="89" t="s">
        <v>385</v>
      </c>
      <c r="Q1026" s="735">
        <v>41.540109999999999</v>
      </c>
      <c r="R1026" s="649">
        <v>-87.199489999999997</v>
      </c>
      <c r="S1026" s="89" t="s">
        <v>61</v>
      </c>
      <c r="T1026" s="89"/>
      <c r="U1026" s="89" t="s">
        <v>51</v>
      </c>
      <c r="V1026" s="88"/>
      <c r="W1026" s="95">
        <f>IF(AC1026="Intr",0,G1026*Definitions!$B$53)</f>
        <v>5842.5</v>
      </c>
      <c r="X1026" s="95">
        <f>IF(AC1026="Intr",0,G1026*Definitions!$B$54)</f>
        <v>27265</v>
      </c>
      <c r="Y1026" s="95">
        <f>IF(AC1026="Intr",G1026,G1026*Definitions!$B$55)</f>
        <v>5842.5</v>
      </c>
      <c r="Z1026" s="95" t="s">
        <v>964</v>
      </c>
      <c r="AA1026" s="95" t="s">
        <v>963</v>
      </c>
      <c r="AB1026" s="95" t="s">
        <v>1773</v>
      </c>
      <c r="AC1026" s="89"/>
      <c r="AD1026" s="89"/>
      <c r="AE1026" s="89"/>
      <c r="AF1026" s="89"/>
      <c r="AG1026" s="96"/>
      <c r="AH1026" s="89"/>
    </row>
    <row r="1027" spans="1:34" x14ac:dyDescent="0.2">
      <c r="A1027" s="29">
        <v>45945</v>
      </c>
      <c r="B1027" s="30" t="s">
        <v>98</v>
      </c>
      <c r="C1027" s="30">
        <v>2025</v>
      </c>
      <c r="D1027" s="30" t="s">
        <v>5</v>
      </c>
      <c r="E1027" s="217">
        <v>-96.36</v>
      </c>
      <c r="F1027" s="217" t="s">
        <v>33</v>
      </c>
      <c r="G1027" s="218">
        <f>E1027*400*(-1)</f>
        <v>38544</v>
      </c>
      <c r="H1027" s="219">
        <v>642</v>
      </c>
      <c r="I1027" s="217" t="s">
        <v>80</v>
      </c>
      <c r="J1027" s="217" t="s">
        <v>39</v>
      </c>
      <c r="K1027" s="217">
        <v>1026.3</v>
      </c>
      <c r="L1027" s="217" t="s">
        <v>726</v>
      </c>
      <c r="M1027" s="217" t="s">
        <v>2078</v>
      </c>
      <c r="N1027" s="67" t="s">
        <v>2079</v>
      </c>
      <c r="O1027" s="30"/>
      <c r="P1027" s="30" t="s">
        <v>255</v>
      </c>
      <c r="Q1027" s="747">
        <v>41.074548</v>
      </c>
      <c r="R1027" s="636">
        <v>-85.231093999999999</v>
      </c>
      <c r="S1027" s="30" t="s">
        <v>63</v>
      </c>
      <c r="T1027" s="30"/>
      <c r="U1027" s="30" t="s">
        <v>51</v>
      </c>
      <c r="V1027" s="29"/>
      <c r="W1027" s="31">
        <f>IF(AC1027="Intr",0,G1027*Definitions!$B$53)</f>
        <v>5781.5999999999995</v>
      </c>
      <c r="X1027" s="31">
        <f>IF(AC1027="Intr",0,G1027*Definitions!$B$54)</f>
        <v>26980.799999999999</v>
      </c>
      <c r="Y1027" s="31">
        <f>IF(AC1027="Intr",G1027,G1027*Definitions!$B$55)</f>
        <v>5781.5999999999995</v>
      </c>
      <c r="Z1027" s="31" t="s">
        <v>966</v>
      </c>
      <c r="AA1027" s="31" t="s">
        <v>965</v>
      </c>
      <c r="AB1027" s="31"/>
      <c r="AC1027" s="30"/>
      <c r="AD1027" s="30"/>
      <c r="AE1027" s="30"/>
      <c r="AF1027" s="30"/>
      <c r="AG1027" s="32"/>
      <c r="AH1027" s="30" t="s">
        <v>2083</v>
      </c>
    </row>
    <row r="1028" spans="1:34" x14ac:dyDescent="0.2">
      <c r="A1028" s="207">
        <v>45945</v>
      </c>
      <c r="B1028" s="208" t="s">
        <v>98</v>
      </c>
      <c r="C1028" s="208">
        <v>2025</v>
      </c>
      <c r="D1028" s="208" t="s">
        <v>5</v>
      </c>
      <c r="E1028" s="209">
        <v>-1.32</v>
      </c>
      <c r="F1028" s="209" t="s">
        <v>32</v>
      </c>
      <c r="G1028" s="210">
        <f>E1028*80000*(-1)</f>
        <v>105600</v>
      </c>
      <c r="H1028" s="211">
        <v>649</v>
      </c>
      <c r="I1028" s="209" t="s">
        <v>81</v>
      </c>
      <c r="J1028" s="209" t="s">
        <v>38</v>
      </c>
      <c r="K1028" s="209">
        <v>0.66</v>
      </c>
      <c r="L1028" s="209" t="s">
        <v>2080</v>
      </c>
      <c r="M1028" s="209" t="s">
        <v>103</v>
      </c>
      <c r="N1028" s="212" t="s">
        <v>2081</v>
      </c>
      <c r="O1028" s="208"/>
      <c r="P1028" s="208" t="s">
        <v>255</v>
      </c>
      <c r="Q1028" s="749">
        <v>40.980449999999998</v>
      </c>
      <c r="R1028" s="641">
        <v>-85.201390000000004</v>
      </c>
      <c r="S1028" s="208" t="s">
        <v>61</v>
      </c>
      <c r="T1028" s="208"/>
      <c r="U1028" s="208" t="s">
        <v>51</v>
      </c>
      <c r="V1028" s="207"/>
      <c r="W1028" s="213">
        <f>IF(AC1028="Intr",0,G1028*Definitions!$B$53)</f>
        <v>15840</v>
      </c>
      <c r="X1028" s="213">
        <f>IF(AC1028="Intr",0,G1028*Definitions!$B$54)</f>
        <v>73920</v>
      </c>
      <c r="Y1028" s="213">
        <f>IF(AC1028="Intr",G1028,G1028*Definitions!$B$55)</f>
        <v>15840</v>
      </c>
      <c r="Z1028" s="213" t="s">
        <v>964</v>
      </c>
      <c r="AA1028" s="213" t="s">
        <v>963</v>
      </c>
      <c r="AB1028" s="213" t="s">
        <v>1245</v>
      </c>
      <c r="AC1028" s="208"/>
      <c r="AD1028" s="208"/>
      <c r="AE1028" s="208"/>
      <c r="AF1028" s="208"/>
      <c r="AG1028" s="214"/>
      <c r="AH1028" s="208"/>
    </row>
    <row r="1029" spans="1:34" x14ac:dyDescent="0.2">
      <c r="A1029" s="207">
        <v>45945</v>
      </c>
      <c r="B1029" s="208" t="s">
        <v>98</v>
      </c>
      <c r="C1029" s="208">
        <v>2025</v>
      </c>
      <c r="D1029" s="208" t="s">
        <v>5</v>
      </c>
      <c r="E1029" s="209">
        <v>-0.05</v>
      </c>
      <c r="F1029" s="209" t="s">
        <v>32</v>
      </c>
      <c r="G1029" s="210">
        <f>E1029*80000*(-1)</f>
        <v>4000</v>
      </c>
      <c r="H1029" s="211">
        <v>649</v>
      </c>
      <c r="I1029" s="209" t="s">
        <v>81</v>
      </c>
      <c r="J1029" s="209" t="s">
        <v>36</v>
      </c>
      <c r="K1029" s="209">
        <v>0.03</v>
      </c>
      <c r="L1029" s="209" t="s">
        <v>2080</v>
      </c>
      <c r="M1029" s="209" t="s">
        <v>103</v>
      </c>
      <c r="N1029" s="212" t="s">
        <v>2081</v>
      </c>
      <c r="O1029" s="208"/>
      <c r="P1029" s="208" t="s">
        <v>255</v>
      </c>
      <c r="Q1029" s="749">
        <v>40.980449999999998</v>
      </c>
      <c r="R1029" s="641">
        <v>-85.201390000000004</v>
      </c>
      <c r="S1029" s="208" t="s">
        <v>61</v>
      </c>
      <c r="T1029" s="208"/>
      <c r="U1029" s="208" t="s">
        <v>51</v>
      </c>
      <c r="V1029" s="207"/>
      <c r="W1029" s="213">
        <f>IF(AC1029="Intr",0,G1029*Definitions!$B$53)</f>
        <v>600</v>
      </c>
      <c r="X1029" s="213">
        <f>IF(AC1029="Intr",0,G1029*Definitions!$B$54)</f>
        <v>2800</v>
      </c>
      <c r="Y1029" s="213">
        <f>IF(AC1029="Intr",G1029,G1029*Definitions!$B$55)</f>
        <v>600</v>
      </c>
      <c r="Z1029" s="213" t="s">
        <v>964</v>
      </c>
      <c r="AA1029" s="213" t="s">
        <v>963</v>
      </c>
      <c r="AB1029" s="213" t="s">
        <v>970</v>
      </c>
      <c r="AC1029" s="208"/>
      <c r="AD1029" s="208"/>
      <c r="AE1029" s="208"/>
      <c r="AF1029" s="208"/>
      <c r="AG1029" s="214"/>
      <c r="AH1029" s="208"/>
    </row>
    <row r="1030" spans="1:34" x14ac:dyDescent="0.2">
      <c r="A1030" s="334">
        <v>45951</v>
      </c>
      <c r="B1030" s="335" t="s">
        <v>98</v>
      </c>
      <c r="C1030" s="335">
        <v>2025</v>
      </c>
      <c r="D1030" s="335" t="s">
        <v>9</v>
      </c>
      <c r="E1030" s="336">
        <v>-0.45</v>
      </c>
      <c r="F1030" s="336" t="s">
        <v>32</v>
      </c>
      <c r="G1030" s="337">
        <f>E1030*80000*(-1)</f>
        <v>36000</v>
      </c>
      <c r="H1030" s="338">
        <v>643</v>
      </c>
      <c r="I1030" s="336" t="s">
        <v>80</v>
      </c>
      <c r="J1030" s="336" t="s">
        <v>36</v>
      </c>
      <c r="K1030" s="336">
        <v>0.188</v>
      </c>
      <c r="L1030" s="336" t="s">
        <v>726</v>
      </c>
      <c r="M1030" s="336" t="s">
        <v>2084</v>
      </c>
      <c r="N1030" s="339" t="s">
        <v>2085</v>
      </c>
      <c r="O1030" s="335"/>
      <c r="P1030" s="335" t="s">
        <v>1023</v>
      </c>
      <c r="Q1030" s="771">
        <v>38.716428000000001</v>
      </c>
      <c r="R1030" s="669">
        <v>-86.553398000000001</v>
      </c>
      <c r="S1030" s="335" t="s">
        <v>63</v>
      </c>
      <c r="T1030" s="335"/>
      <c r="U1030" s="335" t="s">
        <v>51</v>
      </c>
      <c r="V1030" s="334"/>
      <c r="W1030" s="340">
        <f>IF(AC1030="Intr",0,G1030*Definitions!$B$53)</f>
        <v>5400</v>
      </c>
      <c r="X1030" s="340">
        <f>IF(AC1030="Intr",0,G1030*Definitions!$B$54)</f>
        <v>25200</v>
      </c>
      <c r="Y1030" s="340">
        <f>IF(AC1030="Intr",G1030,G1030*Definitions!$B$55)</f>
        <v>5400</v>
      </c>
      <c r="Z1030" s="340" t="s">
        <v>966</v>
      </c>
      <c r="AA1030" s="340" t="s">
        <v>965</v>
      </c>
      <c r="AB1030" s="340"/>
      <c r="AC1030" s="335"/>
      <c r="AD1030" s="335"/>
      <c r="AE1030" s="335"/>
      <c r="AF1030" s="335"/>
      <c r="AG1030" s="341"/>
      <c r="AH1030" s="335" t="s">
        <v>2090</v>
      </c>
    </row>
    <row r="1031" spans="1:34" x14ac:dyDescent="0.2">
      <c r="A1031" s="307">
        <v>45951</v>
      </c>
      <c r="B1031" s="308" t="s">
        <v>98</v>
      </c>
      <c r="C1031" s="308">
        <v>2025</v>
      </c>
      <c r="D1031" s="308" t="s">
        <v>11</v>
      </c>
      <c r="E1031" s="309">
        <v>-0.11</v>
      </c>
      <c r="F1031" s="309" t="s">
        <v>32</v>
      </c>
      <c r="G1031" s="310">
        <f>E1031*80000*(-1)</f>
        <v>8800</v>
      </c>
      <c r="H1031" s="311">
        <v>644</v>
      </c>
      <c r="I1031" s="309" t="s">
        <v>80</v>
      </c>
      <c r="J1031" s="309" t="s">
        <v>36</v>
      </c>
      <c r="K1031" s="309">
        <v>5.3999999999999999E-2</v>
      </c>
      <c r="L1031" s="309" t="s">
        <v>726</v>
      </c>
      <c r="M1031" s="309" t="s">
        <v>2086</v>
      </c>
      <c r="N1031" s="312" t="s">
        <v>2087</v>
      </c>
      <c r="O1031" s="308"/>
      <c r="P1031" s="308" t="s">
        <v>526</v>
      </c>
      <c r="Q1031" s="737">
        <v>37.902059000000001</v>
      </c>
      <c r="R1031" s="651">
        <v>-87.150698000000006</v>
      </c>
      <c r="S1031" s="308" t="s">
        <v>63</v>
      </c>
      <c r="T1031" s="308"/>
      <c r="U1031" s="308" t="s">
        <v>51</v>
      </c>
      <c r="V1031" s="307"/>
      <c r="W1031" s="313">
        <f>IF(AC1031="Intr",0,G1031*Definitions!$B$53)</f>
        <v>1320</v>
      </c>
      <c r="X1031" s="313">
        <f>IF(AC1031="Intr",0,G1031*Definitions!$B$54)</f>
        <v>6160</v>
      </c>
      <c r="Y1031" s="313">
        <f>IF(AC1031="Intr",G1031,G1031*Definitions!$B$55)</f>
        <v>1320</v>
      </c>
      <c r="Z1031" s="313" t="s">
        <v>966</v>
      </c>
      <c r="AA1031" s="313" t="s">
        <v>965</v>
      </c>
      <c r="AB1031" s="313"/>
      <c r="AC1031" s="308"/>
      <c r="AD1031" s="308"/>
      <c r="AE1031" s="308"/>
      <c r="AF1031" s="308"/>
      <c r="AG1031" s="314"/>
      <c r="AH1031" s="308" t="s">
        <v>2091</v>
      </c>
    </row>
    <row r="1032" spans="1:34" x14ac:dyDescent="0.2">
      <c r="A1032" s="191">
        <v>45951</v>
      </c>
      <c r="B1032" s="192" t="s">
        <v>98</v>
      </c>
      <c r="C1032" s="192">
        <v>2025</v>
      </c>
      <c r="D1032" s="192" t="s">
        <v>9</v>
      </c>
      <c r="E1032" s="193">
        <v>-82</v>
      </c>
      <c r="F1032" s="193" t="s">
        <v>33</v>
      </c>
      <c r="G1032" s="194">
        <f>E1032*400*(-1)</f>
        <v>32800</v>
      </c>
      <c r="H1032" s="195">
        <v>646</v>
      </c>
      <c r="I1032" s="193" t="s">
        <v>80</v>
      </c>
      <c r="J1032" s="193" t="s">
        <v>39</v>
      </c>
      <c r="K1032" s="193">
        <v>82</v>
      </c>
      <c r="L1032" s="193" t="s">
        <v>726</v>
      </c>
      <c r="M1032" s="193" t="s">
        <v>2088</v>
      </c>
      <c r="N1032" s="196" t="s">
        <v>2089</v>
      </c>
      <c r="O1032" s="192"/>
      <c r="P1032" s="192" t="s">
        <v>200</v>
      </c>
      <c r="Q1032" s="764">
        <v>38.511229999999998</v>
      </c>
      <c r="R1032" s="662">
        <v>-87.288409999999999</v>
      </c>
      <c r="S1032" s="192" t="s">
        <v>63</v>
      </c>
      <c r="T1032" s="192"/>
      <c r="U1032" s="192" t="s">
        <v>51</v>
      </c>
      <c r="V1032" s="191"/>
      <c r="W1032" s="197">
        <f>IF(AC1032="Intr",0,G1032*Definitions!$B$53)</f>
        <v>4920</v>
      </c>
      <c r="X1032" s="197">
        <f>IF(AC1032="Intr",0,G1032*Definitions!$B$54)</f>
        <v>22960</v>
      </c>
      <c r="Y1032" s="197">
        <f>IF(AC1032="Intr",G1032,G1032*Definitions!$B$55)</f>
        <v>4920</v>
      </c>
      <c r="Z1032" s="197" t="s">
        <v>966</v>
      </c>
      <c r="AA1032" s="197" t="s">
        <v>965</v>
      </c>
      <c r="AB1032" s="197"/>
      <c r="AC1032" s="192"/>
      <c r="AD1032" s="192"/>
      <c r="AE1032" s="192"/>
      <c r="AF1032" s="192"/>
      <c r="AG1032" s="198"/>
      <c r="AH1032" s="192" t="s">
        <v>2092</v>
      </c>
    </row>
    <row r="1033" spans="1:34" x14ac:dyDescent="0.2">
      <c r="A1033" s="191">
        <v>45951</v>
      </c>
      <c r="B1033" s="192" t="s">
        <v>98</v>
      </c>
      <c r="C1033" s="192">
        <v>2025</v>
      </c>
      <c r="D1033" s="192" t="s">
        <v>9</v>
      </c>
      <c r="E1033" s="193">
        <v>-0.57999999999999996</v>
      </c>
      <c r="F1033" s="193" t="s">
        <v>32</v>
      </c>
      <c r="G1033" s="194">
        <f>E1033*80000*(-1)</f>
        <v>46400</v>
      </c>
      <c r="H1033" s="195">
        <v>646</v>
      </c>
      <c r="I1033" s="193" t="s">
        <v>80</v>
      </c>
      <c r="J1033" s="193" t="s">
        <v>36</v>
      </c>
      <c r="K1033" s="193">
        <v>0.24</v>
      </c>
      <c r="L1033" s="193" t="s">
        <v>726</v>
      </c>
      <c r="M1033" s="193" t="s">
        <v>2088</v>
      </c>
      <c r="N1033" s="196" t="s">
        <v>2089</v>
      </c>
      <c r="O1033" s="192"/>
      <c r="P1033" s="192" t="s">
        <v>200</v>
      </c>
      <c r="Q1033" s="764">
        <v>38.511229999999998</v>
      </c>
      <c r="R1033" s="662">
        <v>-87.288409999999999</v>
      </c>
      <c r="S1033" s="192" t="s">
        <v>63</v>
      </c>
      <c r="T1033" s="192"/>
      <c r="U1033" s="192" t="s">
        <v>51</v>
      </c>
      <c r="V1033" s="191"/>
      <c r="W1033" s="197">
        <f>IF(AC1033="Intr",0,G1033*Definitions!$B$53)</f>
        <v>6960</v>
      </c>
      <c r="X1033" s="197">
        <f>IF(AC1033="Intr",0,G1033*Definitions!$B$54)</f>
        <v>32479.999999999996</v>
      </c>
      <c r="Y1033" s="197">
        <f>IF(AC1033="Intr",G1033,G1033*Definitions!$B$55)</f>
        <v>6960</v>
      </c>
      <c r="Z1033" s="197" t="s">
        <v>966</v>
      </c>
      <c r="AA1033" s="197" t="s">
        <v>965</v>
      </c>
      <c r="AB1033" s="197"/>
      <c r="AC1033" s="192"/>
      <c r="AD1033" s="192"/>
      <c r="AE1033" s="192"/>
      <c r="AF1033" s="192"/>
      <c r="AG1033" s="198"/>
      <c r="AH1033" s="192" t="s">
        <v>2092</v>
      </c>
    </row>
    <row r="1034" spans="1:34" x14ac:dyDescent="0.2">
      <c r="A1034" s="45">
        <v>45957</v>
      </c>
      <c r="B1034" s="46" t="s">
        <v>98</v>
      </c>
      <c r="C1034" s="46">
        <v>2025</v>
      </c>
      <c r="D1034" s="46" t="s">
        <v>4</v>
      </c>
      <c r="E1034" s="181">
        <v>-1.58</v>
      </c>
      <c r="F1034" s="181" t="s">
        <v>32</v>
      </c>
      <c r="G1034" s="182">
        <f>E1034*80000*(-1)</f>
        <v>126400</v>
      </c>
      <c r="H1034" s="183">
        <v>658</v>
      </c>
      <c r="I1034" s="181" t="s">
        <v>81</v>
      </c>
      <c r="J1034" s="181" t="s">
        <v>38</v>
      </c>
      <c r="K1034" s="181">
        <v>0.79</v>
      </c>
      <c r="L1034" s="181" t="s">
        <v>2012</v>
      </c>
      <c r="M1034" s="181" t="s">
        <v>103</v>
      </c>
      <c r="N1034" s="76" t="s">
        <v>2093</v>
      </c>
      <c r="O1034" s="46"/>
      <c r="P1034" s="46" t="s">
        <v>255</v>
      </c>
      <c r="Q1034" s="761">
        <v>41.038739999999997</v>
      </c>
      <c r="R1034" s="660">
        <v>-85.050330000000002</v>
      </c>
      <c r="S1034" s="46" t="s">
        <v>61</v>
      </c>
      <c r="T1034" s="46"/>
      <c r="U1034" s="46" t="s">
        <v>51</v>
      </c>
      <c r="V1034" s="45"/>
      <c r="W1034" s="47">
        <f>IF(AC1034="Intr",0,G1034*Definitions!$B$53)</f>
        <v>18960</v>
      </c>
      <c r="X1034" s="47">
        <f>IF(AC1034="Intr",0,G1034*Definitions!$B$54)</f>
        <v>88480</v>
      </c>
      <c r="Y1034" s="47">
        <f>IF(AC1034="Intr",G1034,G1034*Definitions!$B$55)</f>
        <v>18960</v>
      </c>
      <c r="Z1034" s="47" t="s">
        <v>964</v>
      </c>
      <c r="AA1034" s="47" t="s">
        <v>963</v>
      </c>
      <c r="AB1034" s="47" t="s">
        <v>1245</v>
      </c>
      <c r="AC1034" s="46"/>
      <c r="AD1034" s="46"/>
      <c r="AE1034" s="46"/>
      <c r="AF1034" s="46"/>
      <c r="AG1034" s="48"/>
      <c r="AH1034" s="46" t="s">
        <v>2094</v>
      </c>
    </row>
    <row r="1035" spans="1:34" x14ac:dyDescent="0.2">
      <c r="A1035" s="288">
        <v>45965</v>
      </c>
      <c r="B1035" s="289" t="s">
        <v>118</v>
      </c>
      <c r="C1035" s="289">
        <v>2025</v>
      </c>
      <c r="D1035" s="289" t="s">
        <v>3</v>
      </c>
      <c r="E1035" s="331">
        <v>-0.33600000000000002</v>
      </c>
      <c r="F1035" s="331" t="s">
        <v>32</v>
      </c>
      <c r="G1035" s="332">
        <f>E1035*(-120000)</f>
        <v>40320</v>
      </c>
      <c r="H1035" s="333">
        <v>651</v>
      </c>
      <c r="I1035" s="331" t="s">
        <v>80</v>
      </c>
      <c r="J1035" s="331" t="s">
        <v>36</v>
      </c>
      <c r="K1035" s="331">
        <v>0.13900000000000001</v>
      </c>
      <c r="L1035" s="331" t="s">
        <v>2095</v>
      </c>
      <c r="M1035" s="331" t="s">
        <v>2096</v>
      </c>
      <c r="N1035" s="290" t="s">
        <v>2097</v>
      </c>
      <c r="O1035" s="289"/>
      <c r="P1035" s="289" t="s">
        <v>270</v>
      </c>
      <c r="Q1035" s="733">
        <v>41.531666999999999</v>
      </c>
      <c r="R1035" s="647">
        <v>-85.885969000000003</v>
      </c>
      <c r="S1035" s="289" t="s">
        <v>63</v>
      </c>
      <c r="T1035" s="289"/>
      <c r="U1035" s="289" t="s">
        <v>51</v>
      </c>
      <c r="V1035" s="288"/>
      <c r="W1035" s="293">
        <f>IF(AC1035="Intr",0,G1035*Definitions!$B$53)</f>
        <v>6048</v>
      </c>
      <c r="X1035" s="293">
        <f>IF(AC1035="Intr",0,G1035*Definitions!$B$54)</f>
        <v>28224</v>
      </c>
      <c r="Y1035" s="293">
        <f>IF(AC1035="Intr",G1035,G1035*Definitions!$B$55)</f>
        <v>6048</v>
      </c>
      <c r="Z1035" s="293" t="s">
        <v>964</v>
      </c>
      <c r="AA1035" s="293" t="s">
        <v>965</v>
      </c>
      <c r="AB1035" s="293"/>
      <c r="AC1035" s="289"/>
      <c r="AD1035" s="289"/>
      <c r="AE1035" s="289"/>
      <c r="AF1035" s="289"/>
      <c r="AG1035" s="294"/>
      <c r="AH1035" s="289"/>
    </row>
    <row r="1036" spans="1:34" x14ac:dyDescent="0.2">
      <c r="A1036" s="288">
        <v>45965</v>
      </c>
      <c r="B1036" s="289" t="s">
        <v>118</v>
      </c>
      <c r="C1036" s="289">
        <v>2025</v>
      </c>
      <c r="D1036" s="289" t="s">
        <v>3</v>
      </c>
      <c r="E1036" s="331">
        <v>-59</v>
      </c>
      <c r="F1036" s="331" t="s">
        <v>33</v>
      </c>
      <c r="G1036" s="332">
        <f>E1036*(-600)</f>
        <v>35400</v>
      </c>
      <c r="H1036" s="333">
        <v>651</v>
      </c>
      <c r="I1036" s="331" t="s">
        <v>80</v>
      </c>
      <c r="J1036" s="331" t="s">
        <v>39</v>
      </c>
      <c r="K1036" s="331">
        <v>59</v>
      </c>
      <c r="L1036" s="331" t="s">
        <v>2095</v>
      </c>
      <c r="M1036" s="331" t="s">
        <v>2096</v>
      </c>
      <c r="N1036" s="290" t="s">
        <v>2097</v>
      </c>
      <c r="O1036" s="289"/>
      <c r="P1036" s="289" t="s">
        <v>270</v>
      </c>
      <c r="Q1036" s="733">
        <v>41.531666999999999</v>
      </c>
      <c r="R1036" s="647">
        <v>-85.885969000000003</v>
      </c>
      <c r="S1036" s="289" t="s">
        <v>63</v>
      </c>
      <c r="T1036" s="289"/>
      <c r="U1036" s="289" t="s">
        <v>51</v>
      </c>
      <c r="V1036" s="288"/>
      <c r="W1036" s="293">
        <f>IF(AC1036="Intr",0,G1036*Definitions!$B$53)</f>
        <v>5310</v>
      </c>
      <c r="X1036" s="293">
        <f>IF(AC1036="Intr",0,G1036*Definitions!$B$54)</f>
        <v>24780</v>
      </c>
      <c r="Y1036" s="293">
        <f>IF(AC1036="Intr",G1036,G1036*Definitions!$B$55)</f>
        <v>5310</v>
      </c>
      <c r="Z1036" s="293" t="s">
        <v>964</v>
      </c>
      <c r="AA1036" s="293" t="s">
        <v>965</v>
      </c>
      <c r="AB1036" s="293"/>
      <c r="AC1036" s="289"/>
      <c r="AD1036" s="289"/>
      <c r="AE1036" s="289"/>
      <c r="AF1036" s="289"/>
      <c r="AG1036" s="294"/>
      <c r="AH1036" s="289"/>
    </row>
    <row r="1037" spans="1:34" x14ac:dyDescent="0.2">
      <c r="A1037" s="37">
        <v>45979</v>
      </c>
      <c r="B1037" s="38" t="s">
        <v>118</v>
      </c>
      <c r="C1037" s="38">
        <v>2025</v>
      </c>
      <c r="D1037" s="38" t="s">
        <v>5</v>
      </c>
      <c r="E1037" s="177">
        <v>-3.07</v>
      </c>
      <c r="F1037" s="177" t="s">
        <v>32</v>
      </c>
      <c r="G1037" s="269">
        <f>E1037*(-80000)</f>
        <v>245600</v>
      </c>
      <c r="H1037" s="179">
        <v>594</v>
      </c>
      <c r="I1037" s="177" t="s">
        <v>80</v>
      </c>
      <c r="J1037" s="177" t="s">
        <v>36</v>
      </c>
      <c r="K1037" s="177">
        <v>2.56</v>
      </c>
      <c r="L1037" s="177" t="s">
        <v>726</v>
      </c>
      <c r="M1037" s="177" t="s">
        <v>2098</v>
      </c>
      <c r="N1037" s="70" t="s">
        <v>2099</v>
      </c>
      <c r="O1037" s="38"/>
      <c r="P1037" s="38" t="s">
        <v>2100</v>
      </c>
      <c r="Q1037" s="760">
        <v>40.484130999999998</v>
      </c>
      <c r="R1037" s="590">
        <v>-86.509308000000004</v>
      </c>
      <c r="S1037" s="38" t="s">
        <v>63</v>
      </c>
      <c r="T1037" s="38"/>
      <c r="U1037" s="38" t="s">
        <v>51</v>
      </c>
      <c r="V1037" s="37"/>
      <c r="W1037" s="39">
        <f>IF(AC1037="Intr",0,G1037*Definitions!$B$53)</f>
        <v>36840</v>
      </c>
      <c r="X1037" s="39">
        <f>IF(AC1037="Intr",0,G1037*Definitions!$B$54)</f>
        <v>171920</v>
      </c>
      <c r="Y1037" s="39">
        <f>IF(AC1037="Intr",G1037,G1037*Definitions!$B$55)</f>
        <v>36840</v>
      </c>
      <c r="Z1037" s="39" t="s">
        <v>966</v>
      </c>
      <c r="AA1037" s="39" t="s">
        <v>965</v>
      </c>
      <c r="AB1037" s="39"/>
      <c r="AC1037" s="38"/>
      <c r="AD1037" s="38"/>
      <c r="AE1037" s="38"/>
      <c r="AF1037" s="38"/>
      <c r="AG1037" s="40"/>
      <c r="AH1037" s="38"/>
    </row>
    <row r="1038" spans="1:34" x14ac:dyDescent="0.2">
      <c r="A1038" s="29">
        <v>46008</v>
      </c>
      <c r="B1038" s="30" t="s">
        <v>134</v>
      </c>
      <c r="C1038" s="30">
        <v>2025</v>
      </c>
      <c r="D1038" s="30" t="s">
        <v>4</v>
      </c>
      <c r="E1038" s="217">
        <v>-0.70799999999999996</v>
      </c>
      <c r="F1038" s="217" t="s">
        <v>32</v>
      </c>
      <c r="G1038" s="218">
        <f>E1038*(-80000)</f>
        <v>56640</v>
      </c>
      <c r="H1038" s="219">
        <v>650</v>
      </c>
      <c r="I1038" s="217" t="s">
        <v>80</v>
      </c>
      <c r="J1038" s="217" t="s">
        <v>38</v>
      </c>
      <c r="K1038" s="217">
        <v>0.23599999999999999</v>
      </c>
      <c r="L1038" s="217" t="s">
        <v>2102</v>
      </c>
      <c r="M1038" s="217" t="s">
        <v>103</v>
      </c>
      <c r="N1038" s="67" t="s">
        <v>2103</v>
      </c>
      <c r="O1038" s="30"/>
      <c r="P1038" s="30" t="s">
        <v>310</v>
      </c>
      <c r="Q1038" s="747">
        <v>41.423319999999997</v>
      </c>
      <c r="R1038" s="636">
        <v>-84.884960000000007</v>
      </c>
      <c r="S1038" s="30" t="s">
        <v>61</v>
      </c>
      <c r="T1038" s="30"/>
      <c r="U1038" s="30" t="s">
        <v>51</v>
      </c>
      <c r="V1038" s="29"/>
      <c r="W1038" s="31">
        <f>IF(AC1038="Intr",0,G1038*Definitions!$B$53)</f>
        <v>8496</v>
      </c>
      <c r="X1038" s="31">
        <f>IF(AC1038="Intr",0,G1038*Definitions!$B$54)</f>
        <v>39648</v>
      </c>
      <c r="Y1038" s="31">
        <f>IF(AC1038="Intr",G1038,G1038*Definitions!$B$55)</f>
        <v>8496</v>
      </c>
      <c r="Z1038" s="31" t="s">
        <v>964</v>
      </c>
      <c r="AA1038" s="31" t="s">
        <v>965</v>
      </c>
      <c r="AB1038" s="31"/>
      <c r="AC1038" s="30"/>
      <c r="AD1038" s="30"/>
      <c r="AE1038" s="30"/>
      <c r="AF1038" s="30"/>
      <c r="AG1038" s="32"/>
      <c r="AH1038" s="30"/>
    </row>
    <row r="1039" spans="1:34" x14ac:dyDescent="0.2">
      <c r="A1039" s="29">
        <v>46008</v>
      </c>
      <c r="B1039" s="30" t="s">
        <v>134</v>
      </c>
      <c r="C1039" s="30">
        <v>2025</v>
      </c>
      <c r="D1039" s="30" t="s">
        <v>4</v>
      </c>
      <c r="E1039" s="217">
        <v>-2E-3</v>
      </c>
      <c r="F1039" s="217" t="s">
        <v>32</v>
      </c>
      <c r="G1039" s="218">
        <f>E1039*(-80000)</f>
        <v>160</v>
      </c>
      <c r="H1039" s="219">
        <v>650</v>
      </c>
      <c r="I1039" s="217" t="s">
        <v>80</v>
      </c>
      <c r="J1039" s="217" t="s">
        <v>36</v>
      </c>
      <c r="K1039" s="217">
        <v>0.38500000000000001</v>
      </c>
      <c r="L1039" s="217" t="s">
        <v>2102</v>
      </c>
      <c r="M1039" s="217" t="s">
        <v>103</v>
      </c>
      <c r="N1039" s="67" t="s">
        <v>2103</v>
      </c>
      <c r="O1039" s="30"/>
      <c r="P1039" s="30" t="s">
        <v>310</v>
      </c>
      <c r="Q1039" s="747">
        <v>41.423319999999997</v>
      </c>
      <c r="R1039" s="636">
        <v>-84.884960000000007</v>
      </c>
      <c r="S1039" s="30" t="s">
        <v>61</v>
      </c>
      <c r="T1039" s="30"/>
      <c r="U1039" s="30" t="s">
        <v>51</v>
      </c>
      <c r="V1039" s="29"/>
      <c r="W1039" s="31">
        <f>IF(AC1039="Intr",0,G1039*Definitions!$B$53)</f>
        <v>24</v>
      </c>
      <c r="X1039" s="31">
        <f>IF(AC1039="Intr",0,G1039*Definitions!$B$54)</f>
        <v>112</v>
      </c>
      <c r="Y1039" s="31">
        <f>IF(AC1039="Intr",G1039,G1039*Definitions!$B$55)</f>
        <v>24</v>
      </c>
      <c r="Z1039" s="31" t="s">
        <v>964</v>
      </c>
      <c r="AA1039" s="31" t="s">
        <v>965</v>
      </c>
      <c r="AB1039" s="31"/>
      <c r="AC1039" s="30"/>
      <c r="AD1039" s="30"/>
      <c r="AE1039" s="30"/>
      <c r="AF1039" s="30"/>
      <c r="AG1039" s="32"/>
      <c r="AH1039" s="30"/>
    </row>
    <row r="1040" spans="1:34" x14ac:dyDescent="0.2">
      <c r="A1040" s="160">
        <v>46020</v>
      </c>
      <c r="B1040" s="161" t="s">
        <v>134</v>
      </c>
      <c r="C1040" s="161">
        <v>2025</v>
      </c>
      <c r="D1040" s="161" t="s">
        <v>5</v>
      </c>
      <c r="E1040" s="162">
        <v>-513</v>
      </c>
      <c r="F1040" s="162" t="s">
        <v>33</v>
      </c>
      <c r="G1040" s="163">
        <f>E1040*(-400)</f>
        <v>205200</v>
      </c>
      <c r="H1040" s="164">
        <v>657</v>
      </c>
      <c r="I1040" s="162" t="s">
        <v>80</v>
      </c>
      <c r="J1040" s="162" t="s">
        <v>40</v>
      </c>
      <c r="K1040" s="162">
        <v>427</v>
      </c>
      <c r="L1040" s="162" t="s">
        <v>2104</v>
      </c>
      <c r="M1040" s="162" t="s">
        <v>2105</v>
      </c>
      <c r="N1040" s="165" t="s">
        <v>2112</v>
      </c>
      <c r="O1040" s="161"/>
      <c r="P1040" s="161" t="s">
        <v>2106</v>
      </c>
      <c r="Q1040" s="741">
        <v>40.722000000000001</v>
      </c>
      <c r="R1040" s="654">
        <v>-86.336699999999993</v>
      </c>
      <c r="S1040" s="161" t="s">
        <v>61</v>
      </c>
      <c r="T1040" s="161"/>
      <c r="U1040" s="161" t="s">
        <v>51</v>
      </c>
      <c r="V1040" s="160"/>
      <c r="W1040" s="166">
        <f>IF(AC1040="Intr",0,G1040*Definitions!$B$53)</f>
        <v>30780</v>
      </c>
      <c r="X1040" s="166">
        <f>IF(AC1040="Intr",0,G1040*Definitions!$B$54)</f>
        <v>143640</v>
      </c>
      <c r="Y1040" s="166">
        <f>IF(AC1040="Intr",G1040,G1040*Definitions!$B$55)</f>
        <v>30780</v>
      </c>
      <c r="Z1040" s="166" t="s">
        <v>966</v>
      </c>
      <c r="AA1040" s="166" t="s">
        <v>965</v>
      </c>
      <c r="AB1040" s="166"/>
      <c r="AC1040" s="161"/>
      <c r="AD1040" s="161"/>
      <c r="AE1040" s="161"/>
      <c r="AF1040" s="161"/>
      <c r="AG1040" s="167"/>
      <c r="AH1040" s="161"/>
    </row>
    <row r="1041" spans="1:34" x14ac:dyDescent="0.2">
      <c r="A1041" s="282">
        <v>46020</v>
      </c>
      <c r="B1041" s="114" t="s">
        <v>134</v>
      </c>
      <c r="C1041" s="114">
        <v>2025</v>
      </c>
      <c r="D1041" s="114" t="s">
        <v>6</v>
      </c>
      <c r="E1041" s="270">
        <v>-11</v>
      </c>
      <c r="F1041" s="270" t="s">
        <v>33</v>
      </c>
      <c r="G1041" s="283">
        <f t="shared" ref="G1041:G1042" si="0">E1041*(-400)</f>
        <v>4400</v>
      </c>
      <c r="H1041" s="284">
        <v>655</v>
      </c>
      <c r="I1041" s="270" t="s">
        <v>80</v>
      </c>
      <c r="J1041" s="270" t="s">
        <v>41</v>
      </c>
      <c r="K1041" s="270">
        <v>152</v>
      </c>
      <c r="L1041" s="270" t="s">
        <v>726</v>
      </c>
      <c r="M1041" s="270" t="s">
        <v>2107</v>
      </c>
      <c r="N1041" s="285" t="s">
        <v>2108</v>
      </c>
      <c r="O1041" s="114"/>
      <c r="P1041" s="114" t="s">
        <v>2109</v>
      </c>
      <c r="Q1041" s="750">
        <v>39.786949999999997</v>
      </c>
      <c r="R1041" s="635">
        <v>-87.408309599999995</v>
      </c>
      <c r="S1041" s="114" t="s">
        <v>63</v>
      </c>
      <c r="T1041" s="114"/>
      <c r="U1041" s="114" t="s">
        <v>51</v>
      </c>
      <c r="V1041" s="282"/>
      <c r="W1041" s="286">
        <f>IF(AC1041="Intr",0,G1041*Definitions!$B$53)</f>
        <v>660</v>
      </c>
      <c r="X1041" s="286">
        <f>IF(AC1041="Intr",0,G1041*Definitions!$B$54)</f>
        <v>3080</v>
      </c>
      <c r="Y1041" s="286">
        <f>IF(AC1041="Intr",G1041,G1041*Definitions!$B$55)</f>
        <v>660</v>
      </c>
      <c r="Z1041" s="286" t="s">
        <v>966</v>
      </c>
      <c r="AA1041" s="286" t="s">
        <v>965</v>
      </c>
      <c r="AB1041" s="286"/>
      <c r="AC1041" s="114"/>
      <c r="AD1041" s="114"/>
      <c r="AE1041" s="114"/>
      <c r="AF1041" s="114"/>
      <c r="AG1041" s="287"/>
      <c r="AH1041" s="114" t="s">
        <v>2113</v>
      </c>
    </row>
    <row r="1042" spans="1:34" x14ac:dyDescent="0.2">
      <c r="A1042" s="282">
        <v>46020</v>
      </c>
      <c r="B1042" s="114" t="s">
        <v>134</v>
      </c>
      <c r="C1042" s="114">
        <v>2025</v>
      </c>
      <c r="D1042" s="114" t="s">
        <v>6</v>
      </c>
      <c r="E1042" s="270">
        <v>-62</v>
      </c>
      <c r="F1042" s="270" t="s">
        <v>33</v>
      </c>
      <c r="G1042" s="283">
        <f t="shared" si="0"/>
        <v>24800</v>
      </c>
      <c r="H1042" s="284">
        <v>655</v>
      </c>
      <c r="I1042" s="270" t="s">
        <v>80</v>
      </c>
      <c r="J1042" s="270" t="s">
        <v>40</v>
      </c>
      <c r="K1042" s="270">
        <v>762</v>
      </c>
      <c r="L1042" s="270" t="s">
        <v>726</v>
      </c>
      <c r="M1042" s="270" t="s">
        <v>2107</v>
      </c>
      <c r="N1042" s="285" t="s">
        <v>2108</v>
      </c>
      <c r="O1042" s="114"/>
      <c r="P1042" s="114" t="s">
        <v>2109</v>
      </c>
      <c r="Q1042" s="750">
        <v>39.786949999999997</v>
      </c>
      <c r="R1042" s="635">
        <v>-87.408309599999995</v>
      </c>
      <c r="S1042" s="114" t="s">
        <v>63</v>
      </c>
      <c r="T1042" s="114"/>
      <c r="U1042" s="114" t="s">
        <v>51</v>
      </c>
      <c r="V1042" s="282"/>
      <c r="W1042" s="286">
        <f>IF(AC1042="Intr",0,G1042*Definitions!$B$53)</f>
        <v>3720</v>
      </c>
      <c r="X1042" s="286">
        <f>IF(AC1042="Intr",0,G1042*Definitions!$B$54)</f>
        <v>17360</v>
      </c>
      <c r="Y1042" s="286">
        <f>IF(AC1042="Intr",G1042,G1042*Definitions!$B$55)</f>
        <v>3720</v>
      </c>
      <c r="Z1042" s="286" t="s">
        <v>966</v>
      </c>
      <c r="AA1042" s="286" t="s">
        <v>965</v>
      </c>
      <c r="AB1042" s="286"/>
      <c r="AC1042" s="114"/>
      <c r="AD1042" s="114"/>
      <c r="AE1042" s="114"/>
      <c r="AF1042" s="114"/>
      <c r="AG1042" s="287"/>
      <c r="AH1042" s="114" t="s">
        <v>2113</v>
      </c>
    </row>
    <row r="1043" spans="1:34" x14ac:dyDescent="0.2">
      <c r="A1043" s="282">
        <v>46020</v>
      </c>
      <c r="B1043" s="114" t="s">
        <v>134</v>
      </c>
      <c r="C1043" s="114">
        <v>2025</v>
      </c>
      <c r="D1043" s="114" t="s">
        <v>6</v>
      </c>
      <c r="E1043" s="270">
        <v>-2.5000000000000001E-2</v>
      </c>
      <c r="F1043" s="270" t="s">
        <v>32</v>
      </c>
      <c r="G1043" s="283">
        <f>E1043*(-80000)</f>
        <v>2000</v>
      </c>
      <c r="H1043" s="284">
        <v>655</v>
      </c>
      <c r="I1043" s="270" t="s">
        <v>80</v>
      </c>
      <c r="J1043" s="270" t="s">
        <v>36</v>
      </c>
      <c r="K1043" s="270">
        <v>1.2500000000000001E-2</v>
      </c>
      <c r="L1043" s="270" t="s">
        <v>726</v>
      </c>
      <c r="M1043" s="270" t="s">
        <v>2107</v>
      </c>
      <c r="N1043" s="285" t="s">
        <v>2108</v>
      </c>
      <c r="O1043" s="114"/>
      <c r="P1043" s="114" t="s">
        <v>2109</v>
      </c>
      <c r="Q1043" s="750">
        <v>39.786949999999997</v>
      </c>
      <c r="R1043" s="635">
        <v>-87.408309599999995</v>
      </c>
      <c r="S1043" s="114" t="s">
        <v>63</v>
      </c>
      <c r="T1043" s="114"/>
      <c r="U1043" s="114" t="s">
        <v>51</v>
      </c>
      <c r="V1043" s="282"/>
      <c r="W1043" s="286">
        <f>IF(AC1043="Intr",0,G1043*Definitions!$B$53)</f>
        <v>300</v>
      </c>
      <c r="X1043" s="286">
        <f>IF(AC1043="Intr",0,G1043*Definitions!$B$54)</f>
        <v>1400</v>
      </c>
      <c r="Y1043" s="286">
        <f>IF(AC1043="Intr",G1043,G1043*Definitions!$B$55)</f>
        <v>300</v>
      </c>
      <c r="Z1043" s="286" t="s">
        <v>966</v>
      </c>
      <c r="AA1043" s="286" t="s">
        <v>965</v>
      </c>
      <c r="AB1043" s="286"/>
      <c r="AC1043" s="114"/>
      <c r="AD1043" s="114"/>
      <c r="AE1043" s="114"/>
      <c r="AF1043" s="114"/>
      <c r="AG1043" s="287"/>
      <c r="AH1043" s="114" t="s">
        <v>2113</v>
      </c>
    </row>
    <row r="1044" spans="1:34" x14ac:dyDescent="0.2">
      <c r="A1044" s="207">
        <v>46020</v>
      </c>
      <c r="B1044" s="208" t="s">
        <v>134</v>
      </c>
      <c r="C1044" s="208">
        <v>2025</v>
      </c>
      <c r="D1044" s="208" t="s">
        <v>3</v>
      </c>
      <c r="E1044" s="209">
        <v>-28</v>
      </c>
      <c r="F1044" s="209" t="s">
        <v>33</v>
      </c>
      <c r="G1044" s="210">
        <f>E1044*(-600)</f>
        <v>16800</v>
      </c>
      <c r="H1044" s="211">
        <v>654</v>
      </c>
      <c r="I1044" s="209" t="s">
        <v>80</v>
      </c>
      <c r="J1044" s="209" t="s">
        <v>40</v>
      </c>
      <c r="K1044" s="209">
        <v>28</v>
      </c>
      <c r="L1044" s="209" t="s">
        <v>726</v>
      </c>
      <c r="M1044" s="209" t="s">
        <v>2110</v>
      </c>
      <c r="N1044" s="212" t="s">
        <v>2111</v>
      </c>
      <c r="O1044" s="208"/>
      <c r="P1044" s="208" t="s">
        <v>1222</v>
      </c>
      <c r="Q1044" s="749">
        <v>41.638494549999997</v>
      </c>
      <c r="R1044" s="641">
        <v>-85.047915000000003</v>
      </c>
      <c r="S1044" s="208" t="s">
        <v>63</v>
      </c>
      <c r="T1044" s="208"/>
      <c r="U1044" s="208" t="s">
        <v>51</v>
      </c>
      <c r="V1044" s="207"/>
      <c r="W1044" s="213">
        <f>IF(AC1044="Intr",0,G1044*Definitions!$B$53)</f>
        <v>2520</v>
      </c>
      <c r="X1044" s="213">
        <f>IF(AC1044="Intr",0,G1044*Definitions!$B$54)</f>
        <v>11760</v>
      </c>
      <c r="Y1044" s="213">
        <f>IF(AC1044="Intr",G1044,G1044*Definitions!$B$55)</f>
        <v>2520</v>
      </c>
      <c r="Z1044" s="213" t="s">
        <v>966</v>
      </c>
      <c r="AA1044" s="213" t="s">
        <v>965</v>
      </c>
      <c r="AB1044" s="213"/>
      <c r="AC1044" s="208"/>
      <c r="AD1044" s="208"/>
      <c r="AE1044" s="208"/>
      <c r="AF1044" s="208"/>
      <c r="AG1044" s="214"/>
      <c r="AH1044" s="208"/>
    </row>
    <row r="1045" spans="1:34" x14ac:dyDescent="0.2">
      <c r="A1045" s="58">
        <v>46022</v>
      </c>
      <c r="B1045" s="59" t="s">
        <v>134</v>
      </c>
      <c r="C1045" s="59">
        <v>2025</v>
      </c>
      <c r="D1045" s="59" t="s">
        <v>10</v>
      </c>
      <c r="E1045" s="60">
        <v>-288</v>
      </c>
      <c r="F1045" s="60" t="s">
        <v>33</v>
      </c>
      <c r="G1045" s="61">
        <f>E1045*(-400)</f>
        <v>115200</v>
      </c>
      <c r="H1045" s="62">
        <v>659</v>
      </c>
      <c r="I1045" s="60" t="s">
        <v>80</v>
      </c>
      <c r="J1045" s="60" t="s">
        <v>40</v>
      </c>
      <c r="K1045" s="60">
        <v>288</v>
      </c>
      <c r="L1045" s="60" t="s">
        <v>1805</v>
      </c>
      <c r="M1045" s="60" t="s">
        <v>1208</v>
      </c>
      <c r="N1045" s="63" t="s">
        <v>1209</v>
      </c>
      <c r="O1045" s="59"/>
      <c r="P1045" s="59" t="s">
        <v>84</v>
      </c>
      <c r="Q1045" s="745">
        <v>38.457000000000001</v>
      </c>
      <c r="R1045" s="637">
        <v>-85.847740000000002</v>
      </c>
      <c r="S1045" s="59" t="s">
        <v>61</v>
      </c>
      <c r="T1045" s="59"/>
      <c r="U1045" s="59" t="s">
        <v>51</v>
      </c>
      <c r="V1045" s="58"/>
      <c r="W1045" s="65">
        <f>IF(AC1045="Intr",0,G1045*Definitions!$B$53)</f>
        <v>17280</v>
      </c>
      <c r="X1045" s="65">
        <f>IF(AC1045="Intr",0,G1045*Definitions!$B$54)</f>
        <v>80640</v>
      </c>
      <c r="Y1045" s="65">
        <f>IF(AC1045="Intr",G1045,G1045*Definitions!$B$55)</f>
        <v>17280</v>
      </c>
      <c r="Z1045" s="65" t="s">
        <v>966</v>
      </c>
      <c r="AA1045" s="65" t="s">
        <v>965</v>
      </c>
      <c r="AB1045" s="65"/>
      <c r="AC1045" s="59"/>
      <c r="AD1045" s="59"/>
      <c r="AE1045" s="59"/>
      <c r="AF1045" s="59"/>
      <c r="AG1045" s="66"/>
      <c r="AH1045" s="59" t="s">
        <v>2114</v>
      </c>
    </row>
    <row r="1046" spans="1:34" x14ac:dyDescent="0.2">
      <c r="A1046" s="58">
        <v>46022</v>
      </c>
      <c r="B1046" s="59" t="s">
        <v>134</v>
      </c>
      <c r="C1046" s="59">
        <v>2025</v>
      </c>
      <c r="D1046" s="59" t="s">
        <v>10</v>
      </c>
      <c r="E1046" s="60">
        <v>-1.3</v>
      </c>
      <c r="F1046" s="60" t="s">
        <v>32</v>
      </c>
      <c r="G1046" s="61">
        <f>E1046*(-80000)</f>
        <v>104000</v>
      </c>
      <c r="H1046" s="62">
        <v>659</v>
      </c>
      <c r="I1046" s="60" t="s">
        <v>80</v>
      </c>
      <c r="J1046" s="60" t="s">
        <v>38</v>
      </c>
      <c r="K1046" s="60">
        <v>1.3</v>
      </c>
      <c r="L1046" s="60" t="s">
        <v>1805</v>
      </c>
      <c r="M1046" s="60" t="s">
        <v>1208</v>
      </c>
      <c r="N1046" s="63" t="s">
        <v>1209</v>
      </c>
      <c r="O1046" s="59"/>
      <c r="P1046" s="59" t="s">
        <v>84</v>
      </c>
      <c r="Q1046" s="745">
        <v>38.457000000000001</v>
      </c>
      <c r="R1046" s="637">
        <v>-85.847740000000002</v>
      </c>
      <c r="S1046" s="59" t="s">
        <v>61</v>
      </c>
      <c r="T1046" s="59"/>
      <c r="U1046" s="59" t="s">
        <v>51</v>
      </c>
      <c r="V1046" s="58"/>
      <c r="W1046" s="65">
        <f>IF(AC1046="Intr",0,G1046*Definitions!$B$53)</f>
        <v>15600</v>
      </c>
      <c r="X1046" s="65">
        <f>IF(AC1046="Intr",0,G1046*Definitions!$B$54)</f>
        <v>72800</v>
      </c>
      <c r="Y1046" s="65">
        <f>IF(AC1046="Intr",G1046,G1046*Definitions!$B$55)</f>
        <v>15600</v>
      </c>
      <c r="Z1046" s="65" t="s">
        <v>966</v>
      </c>
      <c r="AA1046" s="65" t="s">
        <v>965</v>
      </c>
      <c r="AB1046" s="65"/>
      <c r="AC1046" s="59"/>
      <c r="AD1046" s="59"/>
      <c r="AE1046" s="59"/>
      <c r="AF1046" s="59"/>
      <c r="AG1046" s="66"/>
      <c r="AH1046" s="59" t="s">
        <v>2114</v>
      </c>
    </row>
    <row r="1047" spans="1:34" x14ac:dyDescent="0.2">
      <c r="A1047" s="38"/>
      <c r="B1047" s="38"/>
      <c r="C1047" s="38"/>
      <c r="D1047" s="38"/>
      <c r="E1047" s="177"/>
      <c r="F1047" s="177"/>
      <c r="G1047" s="269"/>
      <c r="H1047" s="179"/>
      <c r="I1047" s="177"/>
      <c r="J1047" s="177"/>
      <c r="K1047" s="177"/>
      <c r="L1047" s="177"/>
      <c r="M1047" s="177"/>
      <c r="N1047" s="70"/>
      <c r="O1047" s="38"/>
      <c r="P1047" s="38"/>
      <c r="Q1047" s="760"/>
      <c r="R1047" s="590"/>
      <c r="S1047" s="38"/>
      <c r="T1047" s="38"/>
      <c r="U1047" s="38"/>
      <c r="V1047" s="37"/>
      <c r="W1047" s="39">
        <f>IF(AC1047="Intr",0,G1047*Definitions!$B$53)</f>
        <v>0</v>
      </c>
      <c r="X1047" s="39">
        <f>IF(AC1047="Intr",0,G1047*Definitions!$B$54)</f>
        <v>0</v>
      </c>
      <c r="Y1047" s="39">
        <f>IF(AC1047="Intr",G1047,G1047*Definitions!$B$55)</f>
        <v>0</v>
      </c>
      <c r="Z1047" s="39"/>
      <c r="AA1047" s="39"/>
      <c r="AB1047" s="39"/>
      <c r="AC1047" s="38"/>
      <c r="AD1047" s="38"/>
      <c r="AE1047" s="38"/>
      <c r="AF1047" s="38"/>
      <c r="AG1047" s="40"/>
      <c r="AH1047" s="38"/>
    </row>
    <row r="1048" spans="1:34" x14ac:dyDescent="0.2">
      <c r="A1048" s="38"/>
      <c r="B1048" s="38"/>
      <c r="C1048" s="38"/>
      <c r="D1048" s="38"/>
      <c r="E1048" s="177"/>
      <c r="F1048" s="177"/>
      <c r="G1048" s="269"/>
      <c r="H1048" s="179"/>
      <c r="I1048" s="177"/>
      <c r="J1048" s="177"/>
      <c r="K1048" s="177"/>
      <c r="L1048" s="177"/>
      <c r="M1048" s="177"/>
      <c r="N1048" s="70"/>
      <c r="O1048" s="38"/>
      <c r="P1048" s="38"/>
      <c r="Q1048" s="760"/>
      <c r="R1048" s="590"/>
      <c r="S1048" s="38"/>
      <c r="T1048" s="38"/>
      <c r="U1048" s="38"/>
      <c r="V1048" s="37"/>
      <c r="W1048" s="39">
        <f>IF(AC1048="Intr",0,G1048*Definitions!$B$53)</f>
        <v>0</v>
      </c>
      <c r="X1048" s="39">
        <f>IF(AC1048="Intr",0,G1048*Definitions!$B$54)</f>
        <v>0</v>
      </c>
      <c r="Y1048" s="39">
        <f>IF(AC1048="Intr",G1048,G1048*Definitions!$B$55)</f>
        <v>0</v>
      </c>
      <c r="Z1048" s="39"/>
      <c r="AA1048" s="39"/>
      <c r="AB1048" s="39"/>
      <c r="AC1048" s="38"/>
      <c r="AD1048" s="38"/>
      <c r="AE1048" s="38"/>
      <c r="AF1048" s="38"/>
      <c r="AG1048" s="40"/>
      <c r="AH1048" s="38"/>
    </row>
    <row r="1049" spans="1:34" x14ac:dyDescent="0.2">
      <c r="A1049" s="38"/>
      <c r="B1049" s="38"/>
      <c r="C1049" s="38"/>
      <c r="D1049" s="38"/>
      <c r="E1049" s="177"/>
      <c r="F1049" s="177"/>
      <c r="G1049" s="269"/>
      <c r="H1049" s="179"/>
      <c r="I1049" s="177"/>
      <c r="J1049" s="177"/>
      <c r="K1049" s="177"/>
      <c r="L1049" s="177"/>
      <c r="M1049" s="177"/>
      <c r="N1049" s="70"/>
      <c r="O1049" s="38"/>
      <c r="P1049" s="38"/>
      <c r="Q1049" s="760"/>
      <c r="R1049" s="590"/>
      <c r="S1049" s="38"/>
      <c r="T1049" s="38"/>
      <c r="U1049" s="38"/>
      <c r="V1049" s="37"/>
      <c r="W1049" s="39">
        <f>IF(AC1049="Intr",0,G1049*Definitions!$B$53)</f>
        <v>0</v>
      </c>
      <c r="X1049" s="39">
        <f>IF(AC1049="Intr",0,G1049*Definitions!$B$54)</f>
        <v>0</v>
      </c>
      <c r="Y1049" s="39">
        <f>IF(AC1049="Intr",G1049,G1049*Definitions!$B$55)</f>
        <v>0</v>
      </c>
      <c r="Z1049" s="39"/>
      <c r="AA1049" s="39"/>
      <c r="AB1049" s="39"/>
      <c r="AC1049" s="38"/>
      <c r="AD1049" s="38"/>
      <c r="AE1049" s="38"/>
      <c r="AF1049" s="38"/>
      <c r="AG1049" s="40"/>
      <c r="AH1049" s="38"/>
    </row>
    <row r="1050" spans="1:34" x14ac:dyDescent="0.2">
      <c r="A1050" s="38"/>
      <c r="B1050" s="38"/>
      <c r="C1050" s="38"/>
      <c r="D1050" s="38"/>
      <c r="E1050" s="177"/>
      <c r="F1050" s="177"/>
      <c r="G1050" s="269"/>
      <c r="H1050" s="179"/>
      <c r="I1050" s="177"/>
      <c r="J1050" s="177"/>
      <c r="K1050" s="177"/>
      <c r="L1050" s="177"/>
      <c r="M1050" s="177"/>
      <c r="N1050" s="70"/>
      <c r="O1050" s="38"/>
      <c r="P1050" s="38"/>
      <c r="Q1050" s="760"/>
      <c r="R1050" s="590"/>
      <c r="S1050" s="38"/>
      <c r="T1050" s="38"/>
      <c r="U1050" s="38"/>
      <c r="V1050" s="37"/>
      <c r="W1050" s="39">
        <f>IF(AC1050="Intr",0,G1050*Definitions!$B$53)</f>
        <v>0</v>
      </c>
      <c r="X1050" s="39">
        <f>IF(AC1050="Intr",0,G1050*Definitions!$B$54)</f>
        <v>0</v>
      </c>
      <c r="Y1050" s="39">
        <f>IF(AC1050="Intr",G1050,G1050*Definitions!$B$55)</f>
        <v>0</v>
      </c>
      <c r="Z1050" s="39"/>
      <c r="AA1050" s="39"/>
      <c r="AB1050" s="39"/>
      <c r="AC1050" s="38"/>
      <c r="AD1050" s="38"/>
      <c r="AE1050" s="38"/>
      <c r="AF1050" s="38"/>
      <c r="AG1050" s="40"/>
      <c r="AH1050" s="38"/>
    </row>
    <row r="1051" spans="1:34" x14ac:dyDescent="0.2">
      <c r="A1051" s="38"/>
      <c r="B1051" s="38"/>
      <c r="C1051" s="38"/>
      <c r="D1051" s="38"/>
      <c r="E1051" s="177"/>
      <c r="F1051" s="177"/>
      <c r="G1051" s="269"/>
      <c r="H1051" s="179"/>
      <c r="I1051" s="177"/>
      <c r="J1051" s="177"/>
      <c r="K1051" s="177"/>
      <c r="L1051" s="177"/>
      <c r="M1051" s="177"/>
      <c r="N1051" s="70"/>
      <c r="O1051" s="38"/>
      <c r="P1051" s="38"/>
      <c r="Q1051" s="760"/>
      <c r="R1051" s="590"/>
      <c r="S1051" s="38"/>
      <c r="T1051" s="38"/>
      <c r="U1051" s="38"/>
      <c r="V1051" s="37"/>
      <c r="W1051" s="39">
        <f>IF(AC1051="Intr",0,G1051*Definitions!$B$53)</f>
        <v>0</v>
      </c>
      <c r="X1051" s="39">
        <f>IF(AC1051="Intr",0,G1051*Definitions!$B$54)</f>
        <v>0</v>
      </c>
      <c r="Y1051" s="39">
        <f>IF(AC1051="Intr",G1051,G1051*Definitions!$B$55)</f>
        <v>0</v>
      </c>
      <c r="Z1051" s="39"/>
      <c r="AA1051" s="39"/>
      <c r="AB1051" s="39"/>
      <c r="AC1051" s="38"/>
      <c r="AD1051" s="38"/>
      <c r="AE1051" s="38"/>
      <c r="AF1051" s="38"/>
      <c r="AG1051" s="40"/>
      <c r="AH1051" s="38"/>
    </row>
    <row r="1052" spans="1:34" x14ac:dyDescent="0.2">
      <c r="A1052" s="38"/>
      <c r="B1052" s="38"/>
      <c r="C1052" s="38"/>
      <c r="D1052" s="38"/>
      <c r="E1052" s="177"/>
      <c r="F1052" s="177"/>
      <c r="G1052" s="269"/>
      <c r="H1052" s="179"/>
      <c r="I1052" s="177"/>
      <c r="J1052" s="177"/>
      <c r="K1052" s="177"/>
      <c r="L1052" s="177"/>
      <c r="M1052" s="177"/>
      <c r="N1052" s="70"/>
      <c r="O1052" s="38"/>
      <c r="P1052" s="38"/>
      <c r="Q1052" s="760"/>
      <c r="R1052" s="590"/>
      <c r="S1052" s="38"/>
      <c r="T1052" s="38"/>
      <c r="U1052" s="38"/>
      <c r="V1052" s="37"/>
      <c r="W1052" s="39">
        <f>IF(AC1052="Intr",0,G1052*Definitions!$B$53)</f>
        <v>0</v>
      </c>
      <c r="X1052" s="39">
        <f>IF(AC1052="Intr",0,G1052*Definitions!$B$54)</f>
        <v>0</v>
      </c>
      <c r="Y1052" s="39">
        <f>IF(AC1052="Intr",G1052,G1052*Definitions!$B$55)</f>
        <v>0</v>
      </c>
      <c r="Z1052" s="39"/>
      <c r="AA1052" s="39"/>
      <c r="AB1052" s="39"/>
      <c r="AC1052" s="38"/>
      <c r="AD1052" s="38"/>
      <c r="AE1052" s="38"/>
      <c r="AF1052" s="38"/>
      <c r="AG1052" s="40"/>
      <c r="AH1052" s="38"/>
    </row>
    <row r="1053" spans="1:34" x14ac:dyDescent="0.2">
      <c r="A1053" s="38"/>
      <c r="B1053" s="38"/>
      <c r="C1053" s="38"/>
      <c r="D1053" s="38"/>
      <c r="E1053" s="177"/>
      <c r="F1053" s="177"/>
      <c r="G1053" s="269"/>
      <c r="H1053" s="179"/>
      <c r="I1053" s="177"/>
      <c r="J1053" s="177"/>
      <c r="K1053" s="177"/>
      <c r="L1053" s="177"/>
      <c r="M1053" s="177"/>
      <c r="N1053" s="70"/>
      <c r="O1053" s="38"/>
      <c r="P1053" s="38"/>
      <c r="Q1053" s="760"/>
      <c r="R1053" s="590"/>
      <c r="S1053" s="38"/>
      <c r="T1053" s="38"/>
      <c r="U1053" s="38"/>
      <c r="V1053" s="37"/>
      <c r="W1053" s="39">
        <f>IF(AC1053="Intr",0,G1053*Definitions!$B$53)</f>
        <v>0</v>
      </c>
      <c r="X1053" s="39">
        <f>IF(AC1053="Intr",0,G1053*Definitions!$B$54)</f>
        <v>0</v>
      </c>
      <c r="Y1053" s="39">
        <f>IF(AC1053="Intr",G1053,G1053*Definitions!$B$55)</f>
        <v>0</v>
      </c>
      <c r="Z1053" s="39"/>
      <c r="AA1053" s="39"/>
      <c r="AB1053" s="39"/>
      <c r="AC1053" s="38"/>
      <c r="AD1053" s="38"/>
      <c r="AE1053" s="38"/>
      <c r="AF1053" s="38"/>
      <c r="AG1053" s="40"/>
      <c r="AH1053" s="38"/>
    </row>
    <row r="1054" spans="1:34" x14ac:dyDescent="0.2">
      <c r="A1054" s="38"/>
      <c r="B1054" s="38"/>
      <c r="C1054" s="38"/>
      <c r="D1054" s="38"/>
      <c r="E1054" s="177"/>
      <c r="F1054" s="177"/>
      <c r="G1054" s="269"/>
      <c r="H1054" s="179"/>
      <c r="I1054" s="177"/>
      <c r="J1054" s="177"/>
      <c r="K1054" s="177"/>
      <c r="L1054" s="177"/>
      <c r="M1054" s="177"/>
      <c r="N1054" s="70"/>
      <c r="O1054" s="38"/>
      <c r="P1054" s="38"/>
      <c r="Q1054" s="760"/>
      <c r="R1054" s="590"/>
      <c r="S1054" s="38"/>
      <c r="T1054" s="38"/>
      <c r="U1054" s="38"/>
      <c r="V1054" s="37"/>
      <c r="W1054" s="39">
        <f>IF(AC1054="Intr",0,G1054*Definitions!$B$53)</f>
        <v>0</v>
      </c>
      <c r="X1054" s="39">
        <f>IF(AC1054="Intr",0,G1054*Definitions!$B$54)</f>
        <v>0</v>
      </c>
      <c r="Y1054" s="39">
        <f>IF(AC1054="Intr",G1054,G1054*Definitions!$B$55)</f>
        <v>0</v>
      </c>
      <c r="Z1054" s="39"/>
      <c r="AA1054" s="39"/>
      <c r="AB1054" s="39"/>
      <c r="AC1054" s="38"/>
      <c r="AD1054" s="38"/>
      <c r="AE1054" s="38"/>
      <c r="AF1054" s="38"/>
      <c r="AG1054" s="40"/>
      <c r="AH1054" s="38"/>
    </row>
    <row r="1055" spans="1:34" x14ac:dyDescent="0.2">
      <c r="A1055" s="38"/>
      <c r="B1055" s="38"/>
      <c r="C1055" s="38"/>
      <c r="D1055" s="38"/>
      <c r="E1055" s="177"/>
      <c r="F1055" s="177"/>
      <c r="G1055" s="269"/>
      <c r="H1055" s="179"/>
      <c r="I1055" s="177"/>
      <c r="J1055" s="177"/>
      <c r="K1055" s="177"/>
      <c r="L1055" s="177"/>
      <c r="M1055" s="177"/>
      <c r="N1055" s="70"/>
      <c r="O1055" s="38"/>
      <c r="P1055" s="38"/>
      <c r="Q1055" s="760"/>
      <c r="R1055" s="590"/>
      <c r="S1055" s="38"/>
      <c r="T1055" s="38"/>
      <c r="U1055" s="38"/>
      <c r="V1055" s="37"/>
      <c r="W1055" s="39">
        <f>IF(AC1055="Intr",0,G1055*Definitions!$B$53)</f>
        <v>0</v>
      </c>
      <c r="X1055" s="39">
        <f>IF(AC1055="Intr",0,G1055*Definitions!$B$54)</f>
        <v>0</v>
      </c>
      <c r="Y1055" s="39">
        <f>IF(AC1055="Intr",G1055,G1055*Definitions!$B$55)</f>
        <v>0</v>
      </c>
      <c r="Z1055" s="39"/>
      <c r="AA1055" s="39"/>
      <c r="AB1055" s="39"/>
      <c r="AC1055" s="38"/>
      <c r="AD1055" s="38"/>
      <c r="AE1055" s="38"/>
      <c r="AF1055" s="38"/>
      <c r="AG1055" s="40"/>
      <c r="AH1055" s="38"/>
    </row>
    <row r="1056" spans="1:34" x14ac:dyDescent="0.2">
      <c r="A1056" s="38"/>
      <c r="B1056" s="38"/>
      <c r="C1056" s="38"/>
      <c r="D1056" s="38"/>
      <c r="E1056" s="177"/>
      <c r="F1056" s="177"/>
      <c r="G1056" s="269"/>
      <c r="H1056" s="179"/>
      <c r="I1056" s="177"/>
      <c r="J1056" s="177"/>
      <c r="K1056" s="177"/>
      <c r="L1056" s="177"/>
      <c r="M1056" s="177"/>
      <c r="N1056" s="70"/>
      <c r="O1056" s="38"/>
      <c r="P1056" s="38"/>
      <c r="Q1056" s="760"/>
      <c r="R1056" s="590"/>
      <c r="S1056" s="38"/>
      <c r="T1056" s="38"/>
      <c r="U1056" s="38"/>
      <c r="V1056" s="37"/>
      <c r="W1056" s="39">
        <f>IF(AC1056="Intr",0,G1056*Definitions!$B$53)</f>
        <v>0</v>
      </c>
      <c r="X1056" s="39">
        <f>IF(AC1056="Intr",0,G1056*Definitions!$B$54)</f>
        <v>0</v>
      </c>
      <c r="Y1056" s="39">
        <f>IF(AC1056="Intr",G1056,G1056*Definitions!$B$55)</f>
        <v>0</v>
      </c>
      <c r="Z1056" s="39"/>
      <c r="AA1056" s="39"/>
      <c r="AB1056" s="39"/>
      <c r="AC1056" s="38"/>
      <c r="AD1056" s="38"/>
      <c r="AE1056" s="38"/>
      <c r="AF1056" s="38"/>
      <c r="AG1056" s="40"/>
      <c r="AH1056" s="38"/>
    </row>
    <row r="1057" spans="1:34" x14ac:dyDescent="0.2">
      <c r="A1057" s="38"/>
      <c r="B1057" s="38"/>
      <c r="C1057" s="38"/>
      <c r="D1057" s="38"/>
      <c r="E1057" s="177"/>
      <c r="F1057" s="177"/>
      <c r="G1057" s="269"/>
      <c r="H1057" s="179"/>
      <c r="I1057" s="177"/>
      <c r="J1057" s="177"/>
      <c r="K1057" s="177"/>
      <c r="L1057" s="177"/>
      <c r="M1057" s="177"/>
      <c r="N1057" s="70"/>
      <c r="O1057" s="38"/>
      <c r="P1057" s="38"/>
      <c r="Q1057" s="760"/>
      <c r="R1057" s="590"/>
      <c r="S1057" s="38"/>
      <c r="T1057" s="38"/>
      <c r="U1057" s="38"/>
      <c r="V1057" s="37"/>
      <c r="W1057" s="39">
        <f>IF(AC1057="Intr",0,G1057*Definitions!$B$53)</f>
        <v>0</v>
      </c>
      <c r="X1057" s="39">
        <f>IF(AC1057="Intr",0,G1057*Definitions!$B$54)</f>
        <v>0</v>
      </c>
      <c r="Y1057" s="39">
        <f>IF(AC1057="Intr",G1057,G1057*Definitions!$B$55)</f>
        <v>0</v>
      </c>
      <c r="Z1057" s="39"/>
      <c r="AA1057" s="39"/>
      <c r="AB1057" s="39"/>
      <c r="AC1057" s="38"/>
      <c r="AD1057" s="38"/>
      <c r="AE1057" s="38"/>
      <c r="AF1057" s="38"/>
      <c r="AG1057" s="40"/>
      <c r="AH1057" s="38"/>
    </row>
    <row r="1058" spans="1:34" x14ac:dyDescent="0.2">
      <c r="A1058" s="38"/>
      <c r="B1058" s="38"/>
      <c r="C1058" s="38"/>
      <c r="D1058" s="38"/>
      <c r="E1058" s="177"/>
      <c r="F1058" s="177"/>
      <c r="G1058" s="269"/>
      <c r="H1058" s="179"/>
      <c r="I1058" s="177"/>
      <c r="J1058" s="177"/>
      <c r="K1058" s="177"/>
      <c r="L1058" s="177"/>
      <c r="M1058" s="177"/>
      <c r="N1058" s="70"/>
      <c r="O1058" s="38"/>
      <c r="P1058" s="38"/>
      <c r="Q1058" s="760"/>
      <c r="R1058" s="590"/>
      <c r="S1058" s="38"/>
      <c r="T1058" s="38"/>
      <c r="U1058" s="38"/>
      <c r="V1058" s="37"/>
      <c r="W1058" s="39">
        <f>IF(AC1058="Intr",0,G1058*Definitions!$B$53)</f>
        <v>0</v>
      </c>
      <c r="X1058" s="39">
        <f>IF(AC1058="Intr",0,G1058*Definitions!$B$54)</f>
        <v>0</v>
      </c>
      <c r="Y1058" s="39">
        <f>IF(AC1058="Intr",G1058,G1058*Definitions!$B$55)</f>
        <v>0</v>
      </c>
      <c r="Z1058" s="39"/>
      <c r="AA1058" s="39"/>
      <c r="AB1058" s="39"/>
      <c r="AC1058" s="38"/>
      <c r="AD1058" s="38"/>
      <c r="AE1058" s="38"/>
      <c r="AF1058" s="38"/>
      <c r="AG1058" s="40"/>
      <c r="AH1058" s="38"/>
    </row>
    <row r="1059" spans="1:34" x14ac:dyDescent="0.2">
      <c r="A1059" s="38"/>
      <c r="B1059" s="38"/>
      <c r="C1059" s="38"/>
      <c r="D1059" s="38"/>
      <c r="E1059" s="177"/>
      <c r="F1059" s="177"/>
      <c r="G1059" s="269"/>
      <c r="H1059" s="179"/>
      <c r="I1059" s="177"/>
      <c r="J1059" s="177"/>
      <c r="K1059" s="177"/>
      <c r="L1059" s="177"/>
      <c r="M1059" s="177"/>
      <c r="N1059" s="70"/>
      <c r="O1059" s="38"/>
      <c r="P1059" s="38"/>
      <c r="Q1059" s="760"/>
      <c r="R1059" s="590"/>
      <c r="S1059" s="38"/>
      <c r="T1059" s="38"/>
      <c r="U1059" s="38"/>
      <c r="V1059" s="37"/>
      <c r="W1059" s="39">
        <f>IF(AC1059="Intr",0,G1059*Definitions!$B$53)</f>
        <v>0</v>
      </c>
      <c r="X1059" s="39">
        <f>IF(AC1059="Intr",0,G1059*Definitions!$B$54)</f>
        <v>0</v>
      </c>
      <c r="Y1059" s="39">
        <f>IF(AC1059="Intr",G1059,G1059*Definitions!$B$55)</f>
        <v>0</v>
      </c>
      <c r="Z1059" s="39"/>
      <c r="AA1059" s="39"/>
      <c r="AB1059" s="39"/>
      <c r="AC1059" s="38"/>
      <c r="AD1059" s="38"/>
      <c r="AE1059" s="38"/>
      <c r="AF1059" s="38"/>
      <c r="AG1059" s="40"/>
      <c r="AH1059" s="38"/>
    </row>
    <row r="1060" spans="1:34" x14ac:dyDescent="0.2">
      <c r="A1060" s="38"/>
      <c r="B1060" s="38"/>
      <c r="C1060" s="38"/>
      <c r="D1060" s="38"/>
      <c r="E1060" s="177"/>
      <c r="F1060" s="177"/>
      <c r="G1060" s="269"/>
      <c r="H1060" s="179"/>
      <c r="I1060" s="177"/>
      <c r="J1060" s="177"/>
      <c r="K1060" s="177"/>
      <c r="L1060" s="177"/>
      <c r="M1060" s="177"/>
      <c r="N1060" s="70"/>
      <c r="O1060" s="38"/>
      <c r="P1060" s="38"/>
      <c r="Q1060" s="760"/>
      <c r="R1060" s="590"/>
      <c r="S1060" s="38"/>
      <c r="T1060" s="38"/>
      <c r="U1060" s="38"/>
      <c r="V1060" s="37"/>
      <c r="W1060" s="39">
        <f>IF(AC1060="Intr",0,G1060*Definitions!$B$53)</f>
        <v>0</v>
      </c>
      <c r="X1060" s="39">
        <f>IF(AC1060="Intr",0,G1060*Definitions!$B$54)</f>
        <v>0</v>
      </c>
      <c r="Y1060" s="39">
        <f>IF(AC1060="Intr",G1060,G1060*Definitions!$B$55)</f>
        <v>0</v>
      </c>
      <c r="Z1060" s="39"/>
      <c r="AA1060" s="39"/>
      <c r="AB1060" s="39"/>
      <c r="AC1060" s="38"/>
      <c r="AD1060" s="38"/>
      <c r="AE1060" s="38"/>
      <c r="AF1060" s="38"/>
      <c r="AG1060" s="40"/>
      <c r="AH1060" s="38"/>
    </row>
    <row r="1061" spans="1:34" x14ac:dyDescent="0.2">
      <c r="A1061" s="38"/>
      <c r="B1061" s="38"/>
      <c r="C1061" s="38"/>
      <c r="D1061" s="38"/>
      <c r="E1061" s="177"/>
      <c r="F1061" s="177"/>
      <c r="G1061" s="269"/>
      <c r="H1061" s="179"/>
      <c r="I1061" s="177"/>
      <c r="J1061" s="177"/>
      <c r="K1061" s="177"/>
      <c r="L1061" s="177"/>
      <c r="M1061" s="177"/>
      <c r="N1061" s="70"/>
      <c r="O1061" s="38"/>
      <c r="P1061" s="38"/>
      <c r="Q1061" s="760"/>
      <c r="R1061" s="590"/>
      <c r="S1061" s="38"/>
      <c r="T1061" s="38"/>
      <c r="U1061" s="38"/>
      <c r="V1061" s="37"/>
      <c r="W1061" s="39">
        <f>IF(AC1061="Intr",0,G1061*Definitions!$B$53)</f>
        <v>0</v>
      </c>
      <c r="X1061" s="39">
        <f>IF(AC1061="Intr",0,G1061*Definitions!$B$54)</f>
        <v>0</v>
      </c>
      <c r="Y1061" s="39">
        <f>IF(AC1061="Intr",G1061,G1061*Definitions!$B$55)</f>
        <v>0</v>
      </c>
      <c r="Z1061" s="39"/>
      <c r="AA1061" s="39"/>
      <c r="AB1061" s="39"/>
      <c r="AC1061" s="38"/>
      <c r="AD1061" s="38"/>
      <c r="AE1061" s="38"/>
      <c r="AF1061" s="38"/>
      <c r="AG1061" s="40"/>
      <c r="AH1061" s="38"/>
    </row>
    <row r="1062" spans="1:34" x14ac:dyDescent="0.2">
      <c r="A1062" s="38"/>
      <c r="B1062" s="38"/>
      <c r="C1062" s="38"/>
      <c r="D1062" s="38"/>
      <c r="E1062" s="177"/>
      <c r="F1062" s="177"/>
      <c r="G1062" s="269"/>
      <c r="H1062" s="179"/>
      <c r="I1062" s="177"/>
      <c r="J1062" s="177"/>
      <c r="K1062" s="177"/>
      <c r="L1062" s="177"/>
      <c r="M1062" s="177"/>
      <c r="N1062" s="70"/>
      <c r="O1062" s="38"/>
      <c r="P1062" s="38"/>
      <c r="Q1062" s="760"/>
      <c r="R1062" s="590"/>
      <c r="S1062" s="38"/>
      <c r="T1062" s="38"/>
      <c r="U1062" s="38"/>
      <c r="V1062" s="37"/>
      <c r="W1062" s="39">
        <f>IF(AC1062="Intr",0,G1062*Definitions!$B$53)</f>
        <v>0</v>
      </c>
      <c r="X1062" s="39">
        <f>IF(AC1062="Intr",0,G1062*Definitions!$B$54)</f>
        <v>0</v>
      </c>
      <c r="Y1062" s="39">
        <f>IF(AC1062="Intr",G1062,G1062*Definitions!$B$55)</f>
        <v>0</v>
      </c>
      <c r="Z1062" s="39"/>
      <c r="AA1062" s="39"/>
      <c r="AB1062" s="39"/>
      <c r="AC1062" s="38"/>
      <c r="AD1062" s="38"/>
      <c r="AE1062" s="38"/>
      <c r="AF1062" s="38"/>
      <c r="AG1062" s="40"/>
      <c r="AH1062" s="38"/>
    </row>
    <row r="1063" spans="1:34" x14ac:dyDescent="0.2">
      <c r="A1063" s="38"/>
      <c r="B1063" s="38"/>
      <c r="C1063" s="38"/>
      <c r="D1063" s="38"/>
      <c r="E1063" s="177"/>
      <c r="F1063" s="177"/>
      <c r="G1063" s="269"/>
      <c r="H1063" s="179"/>
      <c r="I1063" s="177"/>
      <c r="J1063" s="177"/>
      <c r="K1063" s="177"/>
      <c r="L1063" s="177"/>
      <c r="M1063" s="177"/>
      <c r="N1063" s="70"/>
      <c r="O1063" s="38"/>
      <c r="P1063" s="38"/>
      <c r="Q1063" s="760"/>
      <c r="R1063" s="590"/>
      <c r="S1063" s="38"/>
      <c r="T1063" s="38"/>
      <c r="U1063" s="38"/>
      <c r="V1063" s="37"/>
      <c r="W1063" s="39">
        <f>IF(AC1063="Intr",0,G1063*Definitions!$B$53)</f>
        <v>0</v>
      </c>
      <c r="X1063" s="39">
        <f>IF(AC1063="Intr",0,G1063*Definitions!$B$54)</f>
        <v>0</v>
      </c>
      <c r="Y1063" s="39">
        <f>IF(AC1063="Intr",G1063,G1063*Definitions!$B$55)</f>
        <v>0</v>
      </c>
      <c r="Z1063" s="39"/>
      <c r="AA1063" s="39"/>
      <c r="AB1063" s="39"/>
      <c r="AC1063" s="38"/>
      <c r="AD1063" s="38"/>
      <c r="AE1063" s="38"/>
      <c r="AF1063" s="38"/>
      <c r="AG1063" s="40"/>
      <c r="AH1063" s="38"/>
    </row>
    <row r="1064" spans="1:34" x14ac:dyDescent="0.2">
      <c r="A1064" s="38"/>
      <c r="B1064" s="38"/>
      <c r="C1064" s="38"/>
      <c r="D1064" s="38"/>
      <c r="E1064" s="177"/>
      <c r="F1064" s="177"/>
      <c r="G1064" s="269"/>
      <c r="H1064" s="179"/>
      <c r="I1064" s="177"/>
      <c r="J1064" s="177"/>
      <c r="K1064" s="177"/>
      <c r="L1064" s="177"/>
      <c r="M1064" s="177"/>
      <c r="N1064" s="70"/>
      <c r="O1064" s="38"/>
      <c r="P1064" s="38"/>
      <c r="Q1064" s="760"/>
      <c r="R1064" s="590"/>
      <c r="S1064" s="38"/>
      <c r="T1064" s="38"/>
      <c r="U1064" s="38"/>
      <c r="V1064" s="37"/>
      <c r="W1064" s="39">
        <f>IF(AC1064="Intr",0,G1064*Definitions!$B$53)</f>
        <v>0</v>
      </c>
      <c r="X1064" s="39">
        <f>IF(AC1064="Intr",0,G1064*Definitions!$B$54)</f>
        <v>0</v>
      </c>
      <c r="Y1064" s="39">
        <f>IF(AC1064="Intr",G1064,G1064*Definitions!$B$55)</f>
        <v>0</v>
      </c>
      <c r="Z1064" s="39"/>
      <c r="AA1064" s="39"/>
      <c r="AB1064" s="39"/>
      <c r="AC1064" s="38"/>
      <c r="AD1064" s="38"/>
      <c r="AE1064" s="38"/>
      <c r="AF1064" s="38"/>
      <c r="AG1064" s="40"/>
      <c r="AH1064" s="38"/>
    </row>
    <row r="1065" spans="1:34" x14ac:dyDescent="0.2">
      <c r="A1065" s="38"/>
      <c r="B1065" s="38"/>
      <c r="C1065" s="38"/>
      <c r="D1065" s="38"/>
      <c r="E1065" s="177"/>
      <c r="F1065" s="177"/>
      <c r="G1065" s="269"/>
      <c r="H1065" s="179"/>
      <c r="I1065" s="177"/>
      <c r="J1065" s="177"/>
      <c r="K1065" s="177"/>
      <c r="L1065" s="177"/>
      <c r="M1065" s="177"/>
      <c r="N1065" s="70"/>
      <c r="O1065" s="38"/>
      <c r="P1065" s="38"/>
      <c r="Q1065" s="760"/>
      <c r="R1065" s="590"/>
      <c r="S1065" s="38"/>
      <c r="T1065" s="38"/>
      <c r="U1065" s="38"/>
      <c r="V1065" s="37"/>
      <c r="W1065" s="39">
        <f>IF(AC1065="Intr",0,G1065*Definitions!$B$53)</f>
        <v>0</v>
      </c>
      <c r="X1065" s="39">
        <f>IF(AC1065="Intr",0,G1065*Definitions!$B$54)</f>
        <v>0</v>
      </c>
      <c r="Y1065" s="39">
        <f>IF(AC1065="Intr",G1065,G1065*Definitions!$B$55)</f>
        <v>0</v>
      </c>
      <c r="Z1065" s="39"/>
      <c r="AA1065" s="39"/>
      <c r="AB1065" s="39"/>
      <c r="AC1065" s="38"/>
      <c r="AD1065" s="38"/>
      <c r="AE1065" s="38"/>
      <c r="AF1065" s="38"/>
      <c r="AG1065" s="40"/>
      <c r="AH1065" s="38"/>
    </row>
    <row r="1066" spans="1:34" x14ac:dyDescent="0.2">
      <c r="A1066" s="38"/>
      <c r="B1066" s="38"/>
      <c r="C1066" s="38"/>
      <c r="D1066" s="38"/>
      <c r="E1066" s="177"/>
      <c r="F1066" s="177"/>
      <c r="G1066" s="269"/>
      <c r="H1066" s="179"/>
      <c r="I1066" s="177"/>
      <c r="J1066" s="177"/>
      <c r="K1066" s="177"/>
      <c r="L1066" s="177"/>
      <c r="M1066" s="177"/>
      <c r="N1066" s="70"/>
      <c r="O1066" s="38"/>
      <c r="P1066" s="38"/>
      <c r="Q1066" s="760"/>
      <c r="R1066" s="590"/>
      <c r="S1066" s="38"/>
      <c r="T1066" s="38"/>
      <c r="U1066" s="38"/>
      <c r="V1066" s="37"/>
      <c r="W1066" s="39">
        <f>IF(AC1066="Intr",0,G1066*Definitions!$B$53)</f>
        <v>0</v>
      </c>
      <c r="X1066" s="39">
        <f>IF(AC1066="Intr",0,G1066*Definitions!$B$54)</f>
        <v>0</v>
      </c>
      <c r="Y1066" s="39">
        <f>IF(AC1066="Intr",G1066,G1066*Definitions!$B$55)</f>
        <v>0</v>
      </c>
      <c r="Z1066" s="39"/>
      <c r="AA1066" s="39"/>
      <c r="AB1066" s="39"/>
      <c r="AC1066" s="38"/>
      <c r="AD1066" s="38"/>
      <c r="AE1066" s="38"/>
      <c r="AF1066" s="38"/>
      <c r="AG1066" s="40"/>
      <c r="AH1066" s="38"/>
    </row>
    <row r="1067" spans="1:34" x14ac:dyDescent="0.2">
      <c r="A1067" s="38"/>
      <c r="B1067" s="38"/>
      <c r="C1067" s="38"/>
      <c r="D1067" s="38"/>
      <c r="E1067" s="177"/>
      <c r="F1067" s="177"/>
      <c r="G1067" s="269"/>
      <c r="H1067" s="179"/>
      <c r="I1067" s="177"/>
      <c r="J1067" s="177"/>
      <c r="K1067" s="177"/>
      <c r="L1067" s="177"/>
      <c r="M1067" s="177"/>
      <c r="N1067" s="70"/>
      <c r="O1067" s="38"/>
      <c r="P1067" s="38"/>
      <c r="Q1067" s="760"/>
      <c r="R1067" s="590"/>
      <c r="S1067" s="38"/>
      <c r="T1067" s="38"/>
      <c r="U1067" s="38"/>
      <c r="V1067" s="37"/>
      <c r="W1067" s="39">
        <f>IF(AC1067="Intr",0,G1067*Definitions!$B$53)</f>
        <v>0</v>
      </c>
      <c r="X1067" s="39">
        <f>IF(AC1067="Intr",0,G1067*Definitions!$B$54)</f>
        <v>0</v>
      </c>
      <c r="Y1067" s="39">
        <f>IF(AC1067="Intr",G1067,G1067*Definitions!$B$55)</f>
        <v>0</v>
      </c>
      <c r="Z1067" s="39"/>
      <c r="AA1067" s="39"/>
      <c r="AB1067" s="39"/>
      <c r="AC1067" s="38"/>
      <c r="AD1067" s="38"/>
      <c r="AE1067" s="38"/>
      <c r="AF1067" s="38"/>
      <c r="AG1067" s="40"/>
      <c r="AH1067" s="38"/>
    </row>
    <row r="1068" spans="1:34" x14ac:dyDescent="0.2">
      <c r="A1068" s="38"/>
      <c r="B1068" s="38"/>
      <c r="C1068" s="38"/>
      <c r="D1068" s="38"/>
      <c r="E1068" s="177"/>
      <c r="F1068" s="177"/>
      <c r="G1068" s="269"/>
      <c r="H1068" s="179"/>
      <c r="I1068" s="177"/>
      <c r="J1068" s="177"/>
      <c r="K1068" s="177"/>
      <c r="L1068" s="177"/>
      <c r="M1068" s="177"/>
      <c r="N1068" s="70"/>
      <c r="O1068" s="38"/>
      <c r="P1068" s="38"/>
      <c r="Q1068" s="760"/>
      <c r="R1068" s="590"/>
      <c r="S1068" s="38"/>
      <c r="T1068" s="38"/>
      <c r="U1068" s="38"/>
      <c r="V1068" s="37"/>
      <c r="W1068" s="39">
        <f>IF(AC1068="Intr",0,G1068*Definitions!$B$53)</f>
        <v>0</v>
      </c>
      <c r="X1068" s="39">
        <f>IF(AC1068="Intr",0,G1068*Definitions!$B$54)</f>
        <v>0</v>
      </c>
      <c r="Y1068" s="39">
        <f>IF(AC1068="Intr",G1068,G1068*Definitions!$B$55)</f>
        <v>0</v>
      </c>
      <c r="Z1068" s="39"/>
      <c r="AA1068" s="39"/>
      <c r="AB1068" s="39"/>
      <c r="AC1068" s="38"/>
      <c r="AD1068" s="38"/>
      <c r="AE1068" s="38"/>
      <c r="AF1068" s="38"/>
      <c r="AG1068" s="40"/>
      <c r="AH1068" s="38"/>
    </row>
    <row r="1069" spans="1:34" x14ac:dyDescent="0.2">
      <c r="A1069" s="38"/>
      <c r="B1069" s="38"/>
      <c r="C1069" s="38"/>
      <c r="D1069" s="38"/>
      <c r="E1069" s="177"/>
      <c r="F1069" s="177"/>
      <c r="G1069" s="269"/>
      <c r="H1069" s="179"/>
      <c r="I1069" s="177"/>
      <c r="J1069" s="177"/>
      <c r="K1069" s="177"/>
      <c r="L1069" s="177"/>
      <c r="M1069" s="177"/>
      <c r="N1069" s="70"/>
      <c r="O1069" s="38"/>
      <c r="P1069" s="38"/>
      <c r="Q1069" s="760"/>
      <c r="R1069" s="590"/>
      <c r="S1069" s="38"/>
      <c r="T1069" s="38"/>
      <c r="U1069" s="38"/>
      <c r="V1069" s="37"/>
      <c r="W1069" s="39">
        <f>IF(AC1069="Intr",0,G1069*Definitions!$B$53)</f>
        <v>0</v>
      </c>
      <c r="X1069" s="39">
        <f>IF(AC1069="Intr",0,G1069*Definitions!$B$54)</f>
        <v>0</v>
      </c>
      <c r="Y1069" s="39">
        <f>IF(AC1069="Intr",G1069,G1069*Definitions!$B$55)</f>
        <v>0</v>
      </c>
      <c r="Z1069" s="39"/>
      <c r="AA1069" s="39"/>
      <c r="AB1069" s="39"/>
      <c r="AC1069" s="38"/>
      <c r="AD1069" s="38"/>
      <c r="AE1069" s="38"/>
      <c r="AF1069" s="38"/>
      <c r="AG1069" s="40"/>
      <c r="AH1069" s="38"/>
    </row>
    <row r="1070" spans="1:34" x14ac:dyDescent="0.2">
      <c r="A1070" s="38"/>
      <c r="B1070" s="38"/>
      <c r="C1070" s="38"/>
      <c r="D1070" s="38"/>
      <c r="E1070" s="177"/>
      <c r="F1070" s="177"/>
      <c r="G1070" s="269"/>
      <c r="H1070" s="179"/>
      <c r="I1070" s="177"/>
      <c r="J1070" s="177"/>
      <c r="K1070" s="177"/>
      <c r="L1070" s="177"/>
      <c r="M1070" s="177"/>
      <c r="N1070" s="70"/>
      <c r="O1070" s="38"/>
      <c r="P1070" s="38"/>
      <c r="Q1070" s="760"/>
      <c r="R1070" s="590"/>
      <c r="S1070" s="38"/>
      <c r="T1070" s="38"/>
      <c r="U1070" s="38"/>
      <c r="V1070" s="37"/>
      <c r="W1070" s="39">
        <f>IF(AC1070="Intr",0,G1070*Definitions!$B$53)</f>
        <v>0</v>
      </c>
      <c r="X1070" s="39">
        <f>IF(AC1070="Intr",0,G1070*Definitions!$B$54)</f>
        <v>0</v>
      </c>
      <c r="Y1070" s="39">
        <f>IF(AC1070="Intr",G1070,G1070*Definitions!$B$55)</f>
        <v>0</v>
      </c>
      <c r="Z1070" s="39"/>
      <c r="AA1070" s="39"/>
      <c r="AB1070" s="39"/>
      <c r="AC1070" s="38"/>
      <c r="AD1070" s="38"/>
      <c r="AE1070" s="38"/>
      <c r="AF1070" s="38"/>
      <c r="AG1070" s="40"/>
      <c r="AH1070" s="38"/>
    </row>
    <row r="1071" spans="1:34" x14ac:dyDescent="0.2">
      <c r="A1071" s="38"/>
      <c r="B1071" s="38"/>
      <c r="C1071" s="38"/>
      <c r="D1071" s="38"/>
      <c r="E1071" s="177"/>
      <c r="F1071" s="177"/>
      <c r="G1071" s="269"/>
      <c r="H1071" s="179"/>
      <c r="I1071" s="177"/>
      <c r="J1071" s="177"/>
      <c r="K1071" s="177"/>
      <c r="L1071" s="177"/>
      <c r="M1071" s="177"/>
      <c r="N1071" s="70"/>
      <c r="O1071" s="38"/>
      <c r="P1071" s="38"/>
      <c r="Q1071" s="760"/>
      <c r="R1071" s="590"/>
      <c r="S1071" s="38"/>
      <c r="T1071" s="38"/>
      <c r="U1071" s="38"/>
      <c r="V1071" s="37"/>
      <c r="W1071" s="39">
        <f>IF(AC1071="Intr",0,G1071*Definitions!$B$53)</f>
        <v>0</v>
      </c>
      <c r="X1071" s="39">
        <f>IF(AC1071="Intr",0,G1071*Definitions!$B$54)</f>
        <v>0</v>
      </c>
      <c r="Y1071" s="39">
        <f>IF(AC1071="Intr",G1071,G1071*Definitions!$B$55)</f>
        <v>0</v>
      </c>
      <c r="Z1071" s="39"/>
      <c r="AA1071" s="39"/>
      <c r="AB1071" s="39"/>
      <c r="AC1071" s="38"/>
      <c r="AD1071" s="38"/>
      <c r="AE1071" s="38"/>
      <c r="AF1071" s="38"/>
      <c r="AG1071" s="40"/>
      <c r="AH1071" s="38"/>
    </row>
    <row r="1072" spans="1:34" x14ac:dyDescent="0.2">
      <c r="A1072" s="38"/>
      <c r="B1072" s="38"/>
      <c r="C1072" s="38"/>
      <c r="D1072" s="38"/>
      <c r="E1072" s="177"/>
      <c r="F1072" s="177"/>
      <c r="G1072" s="269"/>
      <c r="H1072" s="179"/>
      <c r="I1072" s="177"/>
      <c r="J1072" s="177"/>
      <c r="K1072" s="177"/>
      <c r="L1072" s="177"/>
      <c r="M1072" s="177"/>
      <c r="N1072" s="70"/>
      <c r="O1072" s="38"/>
      <c r="P1072" s="38"/>
      <c r="Q1072" s="760"/>
      <c r="R1072" s="590"/>
      <c r="S1072" s="38"/>
      <c r="T1072" s="38"/>
      <c r="U1072" s="38"/>
      <c r="V1072" s="37"/>
      <c r="W1072" s="39">
        <f>IF(AC1072="Intr",0,G1072*Definitions!$B$53)</f>
        <v>0</v>
      </c>
      <c r="X1072" s="39">
        <f>IF(AC1072="Intr",0,G1072*Definitions!$B$54)</f>
        <v>0</v>
      </c>
      <c r="Y1072" s="39">
        <f>IF(AC1072="Intr",G1072,G1072*Definitions!$B$55)</f>
        <v>0</v>
      </c>
      <c r="Z1072" s="39"/>
      <c r="AA1072" s="39"/>
      <c r="AB1072" s="39"/>
      <c r="AC1072" s="38"/>
      <c r="AD1072" s="38"/>
      <c r="AE1072" s="38"/>
      <c r="AF1072" s="38"/>
      <c r="AG1072" s="40"/>
      <c r="AH1072" s="38"/>
    </row>
    <row r="1073" spans="1:34" x14ac:dyDescent="0.2">
      <c r="A1073" s="38"/>
      <c r="B1073" s="38"/>
      <c r="C1073" s="38"/>
      <c r="D1073" s="38"/>
      <c r="E1073" s="177"/>
      <c r="F1073" s="177"/>
      <c r="G1073" s="269"/>
      <c r="H1073" s="179"/>
      <c r="I1073" s="177"/>
      <c r="J1073" s="177"/>
      <c r="K1073" s="177"/>
      <c r="L1073" s="177"/>
      <c r="M1073" s="177"/>
      <c r="N1073" s="70"/>
      <c r="O1073" s="38"/>
      <c r="P1073" s="38"/>
      <c r="Q1073" s="760"/>
      <c r="R1073" s="590"/>
      <c r="S1073" s="38"/>
      <c r="T1073" s="38"/>
      <c r="U1073" s="38"/>
      <c r="V1073" s="37"/>
      <c r="W1073" s="39">
        <f>IF(AC1073="Intr",0,G1073*Definitions!$B$53)</f>
        <v>0</v>
      </c>
      <c r="X1073" s="39">
        <f>IF(AC1073="Intr",0,G1073*Definitions!$B$54)</f>
        <v>0</v>
      </c>
      <c r="Y1073" s="39">
        <f>IF(AC1073="Intr",G1073,G1073*Definitions!$B$55)</f>
        <v>0</v>
      </c>
      <c r="Z1073" s="39"/>
      <c r="AA1073" s="39"/>
      <c r="AB1073" s="39"/>
      <c r="AC1073" s="38"/>
      <c r="AD1073" s="38"/>
      <c r="AE1073" s="38"/>
      <c r="AF1073" s="38"/>
      <c r="AG1073" s="40"/>
      <c r="AH1073" s="38"/>
    </row>
    <row r="1074" spans="1:34" x14ac:dyDescent="0.2">
      <c r="A1074" s="38"/>
      <c r="B1074" s="38"/>
      <c r="C1074" s="38"/>
      <c r="D1074" s="38"/>
      <c r="E1074" s="177"/>
      <c r="F1074" s="177"/>
      <c r="G1074" s="269"/>
      <c r="H1074" s="179"/>
      <c r="I1074" s="177"/>
      <c r="J1074" s="177"/>
      <c r="K1074" s="177"/>
      <c r="L1074" s="177"/>
      <c r="M1074" s="177"/>
      <c r="N1074" s="70"/>
      <c r="O1074" s="38"/>
      <c r="P1074" s="38"/>
      <c r="Q1074" s="760"/>
      <c r="R1074" s="590"/>
      <c r="S1074" s="38"/>
      <c r="T1074" s="38"/>
      <c r="U1074" s="38"/>
      <c r="V1074" s="37"/>
      <c r="W1074" s="39">
        <f>IF(AC1074="Intr",0,G1074*Definitions!$B$53)</f>
        <v>0</v>
      </c>
      <c r="X1074" s="39">
        <f>IF(AC1074="Intr",0,G1074*Definitions!$B$54)</f>
        <v>0</v>
      </c>
      <c r="Y1074" s="39">
        <f>IF(AC1074="Intr",G1074,G1074*Definitions!$B$55)</f>
        <v>0</v>
      </c>
      <c r="Z1074" s="39"/>
      <c r="AA1074" s="39"/>
      <c r="AB1074" s="39"/>
      <c r="AC1074" s="38"/>
      <c r="AD1074" s="38"/>
      <c r="AE1074" s="38"/>
      <c r="AF1074" s="38"/>
      <c r="AG1074" s="40"/>
      <c r="AH1074" s="38"/>
    </row>
    <row r="1075" spans="1:34" x14ac:dyDescent="0.2">
      <c r="A1075" s="38"/>
      <c r="B1075" s="38"/>
      <c r="C1075" s="38"/>
      <c r="D1075" s="38"/>
      <c r="E1075" s="177"/>
      <c r="F1075" s="177"/>
      <c r="G1075" s="269"/>
      <c r="H1075" s="179"/>
      <c r="I1075" s="177"/>
      <c r="J1075" s="177"/>
      <c r="K1075" s="177"/>
      <c r="L1075" s="177"/>
      <c r="M1075" s="177"/>
      <c r="N1075" s="70"/>
      <c r="O1075" s="38"/>
      <c r="P1075" s="38"/>
      <c r="Q1075" s="760"/>
      <c r="R1075" s="590"/>
      <c r="S1075" s="38"/>
      <c r="T1075" s="38"/>
      <c r="U1075" s="38"/>
      <c r="V1075" s="37"/>
      <c r="W1075" s="39">
        <f>IF(AC1075="Intr",0,G1075*Definitions!$B$53)</f>
        <v>0</v>
      </c>
      <c r="X1075" s="39">
        <f>IF(AC1075="Intr",0,G1075*Definitions!$B$54)</f>
        <v>0</v>
      </c>
      <c r="Y1075" s="39">
        <f>IF(AC1075="Intr",G1075,G1075*Definitions!$B$55)</f>
        <v>0</v>
      </c>
      <c r="Z1075" s="39"/>
      <c r="AA1075" s="39"/>
      <c r="AB1075" s="39"/>
      <c r="AC1075" s="38"/>
      <c r="AD1075" s="38"/>
      <c r="AE1075" s="38"/>
      <c r="AF1075" s="38"/>
      <c r="AG1075" s="40"/>
      <c r="AH1075" s="38"/>
    </row>
    <row r="1076" spans="1:34" x14ac:dyDescent="0.2">
      <c r="A1076" s="38"/>
      <c r="B1076" s="38"/>
      <c r="C1076" s="38"/>
      <c r="D1076" s="38"/>
      <c r="E1076" s="177"/>
      <c r="F1076" s="177"/>
      <c r="G1076" s="269"/>
      <c r="H1076" s="179"/>
      <c r="I1076" s="177"/>
      <c r="J1076" s="177"/>
      <c r="K1076" s="177"/>
      <c r="L1076" s="177"/>
      <c r="M1076" s="177"/>
      <c r="N1076" s="70"/>
      <c r="O1076" s="38"/>
      <c r="P1076" s="38"/>
      <c r="Q1076" s="760"/>
      <c r="R1076" s="590"/>
      <c r="S1076" s="38"/>
      <c r="T1076" s="38"/>
      <c r="U1076" s="38"/>
      <c r="V1076" s="37"/>
      <c r="W1076" s="39">
        <f>IF(AC1076="Intr",0,G1076*Definitions!$B$53)</f>
        <v>0</v>
      </c>
      <c r="X1076" s="39">
        <f>IF(AC1076="Intr",0,G1076*Definitions!$B$54)</f>
        <v>0</v>
      </c>
      <c r="Y1076" s="39">
        <f>IF(AC1076="Intr",G1076,G1076*Definitions!$B$55)</f>
        <v>0</v>
      </c>
      <c r="Z1076" s="39"/>
      <c r="AA1076" s="39"/>
      <c r="AB1076" s="39"/>
      <c r="AC1076" s="38"/>
      <c r="AD1076" s="38"/>
      <c r="AE1076" s="38"/>
      <c r="AF1076" s="38"/>
      <c r="AG1076" s="40"/>
      <c r="AH1076" s="38"/>
    </row>
    <row r="1077" spans="1:34" x14ac:dyDescent="0.2">
      <c r="A1077" s="38"/>
      <c r="B1077" s="38"/>
      <c r="C1077" s="38"/>
      <c r="D1077" s="38"/>
      <c r="E1077" s="177"/>
      <c r="F1077" s="177"/>
      <c r="G1077" s="269"/>
      <c r="H1077" s="179"/>
      <c r="I1077" s="177"/>
      <c r="J1077" s="177"/>
      <c r="K1077" s="177"/>
      <c r="L1077" s="177"/>
      <c r="M1077" s="177"/>
      <c r="N1077" s="70"/>
      <c r="O1077" s="38"/>
      <c r="P1077" s="38"/>
      <c r="Q1077" s="760"/>
      <c r="R1077" s="590"/>
      <c r="S1077" s="38"/>
      <c r="T1077" s="38"/>
      <c r="U1077" s="38"/>
      <c r="V1077" s="37"/>
      <c r="W1077" s="39">
        <f>IF(AC1077="Intr",0,G1077*Definitions!$B$53)</f>
        <v>0</v>
      </c>
      <c r="X1077" s="39">
        <f>IF(AC1077="Intr",0,G1077*Definitions!$B$54)</f>
        <v>0</v>
      </c>
      <c r="Y1077" s="39">
        <f>IF(AC1077="Intr",G1077,G1077*Definitions!$B$55)</f>
        <v>0</v>
      </c>
      <c r="Z1077" s="39"/>
      <c r="AA1077" s="39"/>
      <c r="AB1077" s="39"/>
      <c r="AC1077" s="38"/>
      <c r="AD1077" s="38"/>
      <c r="AE1077" s="38"/>
      <c r="AF1077" s="38"/>
      <c r="AG1077" s="40"/>
      <c r="AH1077" s="38"/>
    </row>
    <row r="1078" spans="1:34" x14ac:dyDescent="0.2">
      <c r="A1078" s="38"/>
      <c r="B1078" s="38"/>
      <c r="C1078" s="38"/>
      <c r="D1078" s="38"/>
      <c r="E1078" s="177"/>
      <c r="F1078" s="177"/>
      <c r="G1078" s="269"/>
      <c r="H1078" s="179"/>
      <c r="I1078" s="177"/>
      <c r="J1078" s="177"/>
      <c r="K1078" s="177"/>
      <c r="L1078" s="177"/>
      <c r="M1078" s="177"/>
      <c r="N1078" s="70"/>
      <c r="O1078" s="38"/>
      <c r="P1078" s="38"/>
      <c r="Q1078" s="760"/>
      <c r="R1078" s="590"/>
      <c r="S1078" s="38"/>
      <c r="T1078" s="38"/>
      <c r="U1078" s="38"/>
      <c r="V1078" s="37"/>
      <c r="W1078" s="39">
        <f>IF(AC1078="Intr",0,G1078*Definitions!$B$53)</f>
        <v>0</v>
      </c>
      <c r="X1078" s="39">
        <f>IF(AC1078="Intr",0,G1078*Definitions!$B$54)</f>
        <v>0</v>
      </c>
      <c r="Y1078" s="39">
        <f>IF(AC1078="Intr",G1078,G1078*Definitions!$B$55)</f>
        <v>0</v>
      </c>
      <c r="Z1078" s="39"/>
      <c r="AA1078" s="39"/>
      <c r="AB1078" s="39"/>
      <c r="AC1078" s="38"/>
      <c r="AD1078" s="38"/>
      <c r="AE1078" s="38"/>
      <c r="AF1078" s="38"/>
      <c r="AG1078" s="40"/>
      <c r="AH1078" s="38"/>
    </row>
    <row r="1079" spans="1:34" x14ac:dyDescent="0.2">
      <c r="A1079" s="38"/>
      <c r="B1079" s="38"/>
      <c r="C1079" s="38"/>
      <c r="D1079" s="38"/>
      <c r="E1079" s="177"/>
      <c r="F1079" s="177"/>
      <c r="G1079" s="269"/>
      <c r="H1079" s="179"/>
      <c r="I1079" s="177"/>
      <c r="J1079" s="177"/>
      <c r="K1079" s="177"/>
      <c r="L1079" s="177"/>
      <c r="M1079" s="177"/>
      <c r="N1079" s="70"/>
      <c r="O1079" s="38"/>
      <c r="P1079" s="38"/>
      <c r="Q1079" s="760"/>
      <c r="R1079" s="590"/>
      <c r="S1079" s="38"/>
      <c r="T1079" s="38"/>
      <c r="U1079" s="38"/>
      <c r="V1079" s="37"/>
      <c r="W1079" s="39">
        <f>IF(AC1079="Intr",0,G1079*Definitions!$B$53)</f>
        <v>0</v>
      </c>
      <c r="X1079" s="39">
        <f>IF(AC1079="Intr",0,G1079*Definitions!$B$54)</f>
        <v>0</v>
      </c>
      <c r="Y1079" s="39">
        <f>IF(AC1079="Intr",G1079,G1079*Definitions!$B$55)</f>
        <v>0</v>
      </c>
      <c r="Z1079" s="39"/>
      <c r="AA1079" s="39"/>
      <c r="AB1079" s="39"/>
      <c r="AC1079" s="38"/>
      <c r="AD1079" s="38"/>
      <c r="AE1079" s="38"/>
      <c r="AF1079" s="38"/>
      <c r="AG1079" s="40"/>
      <c r="AH1079" s="38"/>
    </row>
    <row r="1080" spans="1:34" x14ac:dyDescent="0.2">
      <c r="A1080" s="38"/>
      <c r="B1080" s="38"/>
      <c r="C1080" s="38"/>
      <c r="D1080" s="38"/>
      <c r="E1080" s="177"/>
      <c r="F1080" s="177"/>
      <c r="G1080" s="269"/>
      <c r="H1080" s="179"/>
      <c r="I1080" s="177"/>
      <c r="J1080" s="177"/>
      <c r="K1080" s="177"/>
      <c r="L1080" s="177"/>
      <c r="M1080" s="177"/>
      <c r="N1080" s="70"/>
      <c r="O1080" s="38"/>
      <c r="P1080" s="38"/>
      <c r="Q1080" s="760"/>
      <c r="R1080" s="590"/>
      <c r="S1080" s="38"/>
      <c r="T1080" s="38"/>
      <c r="U1080" s="38"/>
      <c r="V1080" s="37"/>
      <c r="W1080" s="39">
        <f>IF(AC1080="Intr",0,G1080*Definitions!$B$53)</f>
        <v>0</v>
      </c>
      <c r="X1080" s="39">
        <f>IF(AC1080="Intr",0,G1080*Definitions!$B$54)</f>
        <v>0</v>
      </c>
      <c r="Y1080" s="39">
        <f>IF(AC1080="Intr",G1080,G1080*Definitions!$B$55)</f>
        <v>0</v>
      </c>
      <c r="Z1080" s="39"/>
      <c r="AA1080" s="39"/>
      <c r="AB1080" s="39"/>
      <c r="AC1080" s="38"/>
      <c r="AD1080" s="38"/>
      <c r="AE1080" s="38"/>
      <c r="AF1080" s="38"/>
      <c r="AG1080" s="40"/>
      <c r="AH1080" s="38"/>
    </row>
    <row r="1081" spans="1:34" x14ac:dyDescent="0.2">
      <c r="A1081" s="38"/>
      <c r="B1081" s="38"/>
      <c r="C1081" s="38"/>
      <c r="D1081" s="38"/>
      <c r="E1081" s="177"/>
      <c r="F1081" s="177"/>
      <c r="G1081" s="269"/>
      <c r="H1081" s="179"/>
      <c r="I1081" s="177"/>
      <c r="J1081" s="177"/>
      <c r="K1081" s="177"/>
      <c r="L1081" s="177"/>
      <c r="M1081" s="177"/>
      <c r="N1081" s="70"/>
      <c r="O1081" s="38"/>
      <c r="P1081" s="38"/>
      <c r="Q1081" s="760"/>
      <c r="R1081" s="590"/>
      <c r="S1081" s="38"/>
      <c r="T1081" s="38"/>
      <c r="U1081" s="38"/>
      <c r="V1081" s="37"/>
      <c r="W1081" s="39">
        <f>IF(AC1081="Intr",0,G1081*Definitions!$B$53)</f>
        <v>0</v>
      </c>
      <c r="X1081" s="39">
        <f>IF(AC1081="Intr",0,G1081*Definitions!$B$54)</f>
        <v>0</v>
      </c>
      <c r="Y1081" s="39">
        <f>IF(AC1081="Intr",G1081,G1081*Definitions!$B$55)</f>
        <v>0</v>
      </c>
      <c r="Z1081" s="39"/>
      <c r="AA1081" s="39"/>
      <c r="AB1081" s="39"/>
      <c r="AC1081" s="38"/>
      <c r="AD1081" s="38"/>
      <c r="AE1081" s="38"/>
      <c r="AF1081" s="38"/>
      <c r="AG1081" s="40"/>
      <c r="AH1081" s="38"/>
    </row>
    <row r="1082" spans="1:34" x14ac:dyDescent="0.2">
      <c r="A1082" s="38"/>
      <c r="B1082" s="38"/>
      <c r="C1082" s="38"/>
      <c r="D1082" s="38"/>
      <c r="E1082" s="177"/>
      <c r="F1082" s="177"/>
      <c r="G1082" s="269"/>
      <c r="H1082" s="179"/>
      <c r="I1082" s="177"/>
      <c r="J1082" s="177"/>
      <c r="K1082" s="177"/>
      <c r="L1082" s="177"/>
      <c r="M1082" s="177"/>
      <c r="N1082" s="70"/>
      <c r="O1082" s="38"/>
      <c r="P1082" s="38"/>
      <c r="Q1082" s="760"/>
      <c r="R1082" s="590"/>
      <c r="S1082" s="38"/>
      <c r="T1082" s="38"/>
      <c r="U1082" s="38"/>
      <c r="V1082" s="37"/>
      <c r="W1082" s="39">
        <f>IF(AC1082="Intr",0,G1082*Definitions!$B$53)</f>
        <v>0</v>
      </c>
      <c r="X1082" s="39">
        <f>IF(AC1082="Intr",0,G1082*Definitions!$B$54)</f>
        <v>0</v>
      </c>
      <c r="Y1082" s="39">
        <f>IF(AC1082="Intr",G1082,G1082*Definitions!$B$55)</f>
        <v>0</v>
      </c>
      <c r="Z1082" s="39"/>
      <c r="AA1082" s="39"/>
      <c r="AB1082" s="39"/>
      <c r="AC1082" s="38"/>
      <c r="AD1082" s="38"/>
      <c r="AE1082" s="38"/>
      <c r="AF1082" s="38"/>
      <c r="AG1082" s="40"/>
      <c r="AH1082" s="38"/>
    </row>
    <row r="1083" spans="1:34" x14ac:dyDescent="0.2">
      <c r="A1083" s="38"/>
      <c r="B1083" s="38"/>
      <c r="C1083" s="38"/>
      <c r="D1083" s="38"/>
      <c r="E1083" s="177"/>
      <c r="F1083" s="177"/>
      <c r="G1083" s="269"/>
      <c r="H1083" s="179"/>
      <c r="I1083" s="177"/>
      <c r="J1083" s="177"/>
      <c r="K1083" s="177"/>
      <c r="L1083" s="177"/>
      <c r="M1083" s="177"/>
      <c r="N1083" s="70"/>
      <c r="O1083" s="38"/>
      <c r="P1083" s="38"/>
      <c r="Q1083" s="760"/>
      <c r="R1083" s="590"/>
      <c r="S1083" s="38"/>
      <c r="T1083" s="38"/>
      <c r="U1083" s="38"/>
      <c r="V1083" s="37"/>
      <c r="W1083" s="39">
        <f>IF(AC1083="Intr",0,G1083*Definitions!$B$53)</f>
        <v>0</v>
      </c>
      <c r="X1083" s="39">
        <f>IF(AC1083="Intr",0,G1083*Definitions!$B$54)</f>
        <v>0</v>
      </c>
      <c r="Y1083" s="39">
        <f>IF(AC1083="Intr",G1083,G1083*Definitions!$B$55)</f>
        <v>0</v>
      </c>
      <c r="Z1083" s="39"/>
      <c r="AA1083" s="39"/>
      <c r="AB1083" s="39"/>
      <c r="AC1083" s="38"/>
      <c r="AD1083" s="38"/>
      <c r="AE1083" s="38"/>
      <c r="AF1083" s="38"/>
      <c r="AG1083" s="40"/>
      <c r="AH1083" s="38"/>
    </row>
    <row r="1084" spans="1:34" x14ac:dyDescent="0.2">
      <c r="A1084" s="38"/>
      <c r="B1084" s="38"/>
      <c r="C1084" s="38"/>
      <c r="D1084" s="38"/>
      <c r="E1084" s="177"/>
      <c r="F1084" s="177"/>
      <c r="G1084" s="269"/>
      <c r="H1084" s="179"/>
      <c r="I1084" s="177"/>
      <c r="J1084" s="177"/>
      <c r="K1084" s="177"/>
      <c r="L1084" s="177"/>
      <c r="M1084" s="177"/>
      <c r="N1084" s="70"/>
      <c r="O1084" s="38"/>
      <c r="P1084" s="38"/>
      <c r="Q1084" s="760"/>
      <c r="R1084" s="590"/>
      <c r="S1084" s="38"/>
      <c r="T1084" s="38"/>
      <c r="U1084" s="38"/>
      <c r="V1084" s="37"/>
      <c r="W1084" s="39">
        <f>IF(AC1084="Intr",0,G1084*Definitions!$B$53)</f>
        <v>0</v>
      </c>
      <c r="X1084" s="39">
        <f>IF(AC1084="Intr",0,G1084*Definitions!$B$54)</f>
        <v>0</v>
      </c>
      <c r="Y1084" s="39">
        <f>IF(AC1084="Intr",G1084,G1084*Definitions!$B$55)</f>
        <v>0</v>
      </c>
      <c r="Z1084" s="39"/>
      <c r="AA1084" s="39"/>
      <c r="AB1084" s="39"/>
      <c r="AC1084" s="38"/>
      <c r="AD1084" s="38"/>
      <c r="AE1084" s="38"/>
      <c r="AF1084" s="38"/>
      <c r="AG1084" s="40"/>
      <c r="AH1084" s="38"/>
    </row>
    <row r="1085" spans="1:34" x14ac:dyDescent="0.2">
      <c r="A1085" s="38"/>
      <c r="B1085" s="38"/>
      <c r="C1085" s="38"/>
      <c r="D1085" s="38"/>
      <c r="E1085" s="177"/>
      <c r="F1085" s="177"/>
      <c r="G1085" s="269"/>
      <c r="H1085" s="179"/>
      <c r="I1085" s="177"/>
      <c r="J1085" s="177"/>
      <c r="K1085" s="177"/>
      <c r="L1085" s="177"/>
      <c r="M1085" s="177"/>
      <c r="N1085" s="70"/>
      <c r="O1085" s="38"/>
      <c r="P1085" s="38"/>
      <c r="Q1085" s="760"/>
      <c r="R1085" s="590"/>
      <c r="S1085" s="38"/>
      <c r="T1085" s="38"/>
      <c r="U1085" s="38"/>
      <c r="V1085" s="37"/>
      <c r="W1085" s="39">
        <f>IF(AC1085="Intr",0,G1085*Definitions!$B$53)</f>
        <v>0</v>
      </c>
      <c r="X1085" s="39">
        <f>IF(AC1085="Intr",0,G1085*Definitions!$B$54)</f>
        <v>0</v>
      </c>
      <c r="Y1085" s="39">
        <f>IF(AC1085="Intr",G1085,G1085*Definitions!$B$55)</f>
        <v>0</v>
      </c>
      <c r="Z1085" s="39"/>
      <c r="AA1085" s="39"/>
      <c r="AB1085" s="39"/>
      <c r="AC1085" s="38"/>
      <c r="AD1085" s="38"/>
      <c r="AE1085" s="38"/>
      <c r="AF1085" s="38"/>
      <c r="AG1085" s="40"/>
      <c r="AH1085" s="38"/>
    </row>
    <row r="1086" spans="1:34" x14ac:dyDescent="0.2">
      <c r="A1086" s="38"/>
      <c r="B1086" s="38"/>
      <c r="C1086" s="38"/>
      <c r="D1086" s="38"/>
      <c r="E1086" s="177"/>
      <c r="F1086" s="177"/>
      <c r="G1086" s="269"/>
      <c r="H1086" s="179"/>
      <c r="I1086" s="177"/>
      <c r="J1086" s="177"/>
      <c r="K1086" s="177"/>
      <c r="L1086" s="177"/>
      <c r="M1086" s="177"/>
      <c r="N1086" s="70"/>
      <c r="O1086" s="38"/>
      <c r="P1086" s="38"/>
      <c r="Q1086" s="760"/>
      <c r="R1086" s="590"/>
      <c r="S1086" s="38"/>
      <c r="T1086" s="38"/>
      <c r="U1086" s="38"/>
      <c r="V1086" s="37"/>
      <c r="W1086" s="39">
        <f>IF(AC1086="Intr",0,G1086*Definitions!$B$53)</f>
        <v>0</v>
      </c>
      <c r="X1086" s="39">
        <f>IF(AC1086="Intr",0,G1086*Definitions!$B$54)</f>
        <v>0</v>
      </c>
      <c r="Y1086" s="39">
        <f>IF(AC1086="Intr",G1086,G1086*Definitions!$B$55)</f>
        <v>0</v>
      </c>
      <c r="Z1086" s="39"/>
      <c r="AA1086" s="39"/>
      <c r="AB1086" s="39"/>
      <c r="AC1086" s="38"/>
      <c r="AD1086" s="38"/>
      <c r="AE1086" s="38"/>
      <c r="AF1086" s="38"/>
      <c r="AG1086" s="40"/>
      <c r="AH1086" s="38"/>
    </row>
    <row r="1087" spans="1:34" x14ac:dyDescent="0.2">
      <c r="A1087" s="38"/>
      <c r="B1087" s="38"/>
      <c r="C1087" s="38"/>
      <c r="D1087" s="38"/>
      <c r="E1087" s="177"/>
      <c r="F1087" s="177"/>
      <c r="G1087" s="269"/>
      <c r="H1087" s="179"/>
      <c r="I1087" s="177"/>
      <c r="J1087" s="177"/>
      <c r="K1087" s="177"/>
      <c r="L1087" s="177"/>
      <c r="M1087" s="177"/>
      <c r="N1087" s="70"/>
      <c r="O1087" s="38"/>
      <c r="P1087" s="38"/>
      <c r="Q1087" s="760"/>
      <c r="R1087" s="590"/>
      <c r="S1087" s="38"/>
      <c r="T1087" s="38"/>
      <c r="U1087" s="38"/>
      <c r="V1087" s="37"/>
      <c r="W1087" s="39">
        <f>IF(AC1087="Intr",0,G1087*Definitions!$B$53)</f>
        <v>0</v>
      </c>
      <c r="X1087" s="39">
        <f>IF(AC1087="Intr",0,G1087*Definitions!$B$54)</f>
        <v>0</v>
      </c>
      <c r="Y1087" s="39">
        <f>IF(AC1087="Intr",G1087,G1087*Definitions!$B$55)</f>
        <v>0</v>
      </c>
      <c r="Z1087" s="39"/>
      <c r="AA1087" s="39"/>
      <c r="AB1087" s="39"/>
      <c r="AC1087" s="38"/>
      <c r="AD1087" s="38"/>
      <c r="AE1087" s="38"/>
      <c r="AF1087" s="38"/>
      <c r="AG1087" s="40"/>
      <c r="AH1087" s="38"/>
    </row>
    <row r="1088" spans="1:34" x14ac:dyDescent="0.2">
      <c r="A1088" s="38"/>
      <c r="B1088" s="38"/>
      <c r="C1088" s="38"/>
      <c r="D1088" s="38"/>
      <c r="E1088" s="177"/>
      <c r="F1088" s="177"/>
      <c r="G1088" s="269"/>
      <c r="H1088" s="179"/>
      <c r="I1088" s="177"/>
      <c r="J1088" s="177"/>
      <c r="K1088" s="177"/>
      <c r="L1088" s="177"/>
      <c r="M1088" s="177"/>
      <c r="N1088" s="70"/>
      <c r="O1088" s="38"/>
      <c r="P1088" s="38"/>
      <c r="Q1088" s="760"/>
      <c r="R1088" s="590"/>
      <c r="S1088" s="38"/>
      <c r="T1088" s="38"/>
      <c r="U1088" s="38"/>
      <c r="V1088" s="37"/>
      <c r="W1088" s="39">
        <f>IF(AC1088="Intr",0,G1088*Definitions!$B$53)</f>
        <v>0</v>
      </c>
      <c r="X1088" s="39">
        <f>IF(AC1088="Intr",0,G1088*Definitions!$B$54)</f>
        <v>0</v>
      </c>
      <c r="Y1088" s="39">
        <f>IF(AC1088="Intr",G1088,G1088*Definitions!$B$55)</f>
        <v>0</v>
      </c>
      <c r="Z1088" s="39"/>
      <c r="AA1088" s="39"/>
      <c r="AB1088" s="39"/>
      <c r="AC1088" s="38"/>
      <c r="AD1088" s="38"/>
      <c r="AE1088" s="38"/>
      <c r="AF1088" s="38"/>
      <c r="AG1088" s="40"/>
      <c r="AH1088" s="38"/>
    </row>
    <row r="1089" spans="1:34" x14ac:dyDescent="0.2">
      <c r="A1089" s="38"/>
      <c r="B1089" s="38"/>
      <c r="C1089" s="38"/>
      <c r="D1089" s="38"/>
      <c r="E1089" s="177"/>
      <c r="F1089" s="177"/>
      <c r="G1089" s="269"/>
      <c r="H1089" s="179"/>
      <c r="I1089" s="177"/>
      <c r="J1089" s="177"/>
      <c r="K1089" s="177"/>
      <c r="L1089" s="177"/>
      <c r="M1089" s="177"/>
      <c r="N1089" s="70"/>
      <c r="O1089" s="38"/>
      <c r="P1089" s="38"/>
      <c r="Q1089" s="760"/>
      <c r="R1089" s="590"/>
      <c r="S1089" s="38"/>
      <c r="T1089" s="38"/>
      <c r="U1089" s="38"/>
      <c r="V1089" s="37"/>
      <c r="W1089" s="39">
        <f>IF(AC1089="Intr",0,G1089*Definitions!$B$53)</f>
        <v>0</v>
      </c>
      <c r="X1089" s="39">
        <f>IF(AC1089="Intr",0,G1089*Definitions!$B$54)</f>
        <v>0</v>
      </c>
      <c r="Y1089" s="39">
        <f>IF(AC1089="Intr",G1089,G1089*Definitions!$B$55)</f>
        <v>0</v>
      </c>
      <c r="Z1089" s="39"/>
      <c r="AA1089" s="39"/>
      <c r="AB1089" s="39"/>
      <c r="AC1089" s="38"/>
      <c r="AD1089" s="38"/>
      <c r="AE1089" s="38"/>
      <c r="AF1089" s="38"/>
      <c r="AG1089" s="40"/>
      <c r="AH1089" s="38"/>
    </row>
    <row r="1090" spans="1:34" x14ac:dyDescent="0.2">
      <c r="A1090" s="38"/>
      <c r="B1090" s="38"/>
      <c r="C1090" s="38"/>
      <c r="D1090" s="38"/>
      <c r="E1090" s="177"/>
      <c r="F1090" s="177"/>
      <c r="G1090" s="269"/>
      <c r="H1090" s="179"/>
      <c r="I1090" s="177"/>
      <c r="J1090" s="177"/>
      <c r="K1090" s="177"/>
      <c r="L1090" s="177"/>
      <c r="M1090" s="177"/>
      <c r="N1090" s="70"/>
      <c r="O1090" s="38"/>
      <c r="P1090" s="38"/>
      <c r="Q1090" s="760"/>
      <c r="R1090" s="590"/>
      <c r="S1090" s="38"/>
      <c r="T1090" s="38"/>
      <c r="U1090" s="38"/>
      <c r="V1090" s="37"/>
      <c r="W1090" s="39">
        <f>IF(AC1090="Intr",0,G1090*Definitions!$B$53)</f>
        <v>0</v>
      </c>
      <c r="X1090" s="39">
        <f>IF(AC1090="Intr",0,G1090*Definitions!$B$54)</f>
        <v>0</v>
      </c>
      <c r="Y1090" s="39">
        <f>IF(AC1090="Intr",G1090,G1090*Definitions!$B$55)</f>
        <v>0</v>
      </c>
      <c r="Z1090" s="39"/>
      <c r="AA1090" s="39"/>
      <c r="AB1090" s="39"/>
      <c r="AC1090" s="38"/>
      <c r="AD1090" s="38"/>
      <c r="AE1090" s="38"/>
      <c r="AF1090" s="38"/>
      <c r="AG1090" s="40"/>
      <c r="AH1090" s="38"/>
    </row>
    <row r="1091" spans="1:34" x14ac:dyDescent="0.2">
      <c r="A1091" s="38"/>
      <c r="B1091" s="38"/>
      <c r="C1091" s="38"/>
      <c r="D1091" s="38"/>
      <c r="E1091" s="177"/>
      <c r="F1091" s="177"/>
      <c r="G1091" s="269"/>
      <c r="H1091" s="179"/>
      <c r="I1091" s="177"/>
      <c r="J1091" s="177"/>
      <c r="K1091" s="177"/>
      <c r="L1091" s="177"/>
      <c r="M1091" s="177"/>
      <c r="N1091" s="70"/>
      <c r="O1091" s="38"/>
      <c r="P1091" s="38"/>
      <c r="Q1091" s="760"/>
      <c r="R1091" s="590"/>
      <c r="S1091" s="38"/>
      <c r="T1091" s="38"/>
      <c r="U1091" s="38"/>
      <c r="V1091" s="37"/>
      <c r="W1091" s="39">
        <f>IF(AC1091="Intr",0,G1091*Definitions!$B$53)</f>
        <v>0</v>
      </c>
      <c r="X1091" s="39">
        <f>IF(AC1091="Intr",0,G1091*Definitions!$B$54)</f>
        <v>0</v>
      </c>
      <c r="Y1091" s="39">
        <f>IF(AC1091="Intr",G1091,G1091*Definitions!$B$55)</f>
        <v>0</v>
      </c>
      <c r="Z1091" s="39"/>
      <c r="AA1091" s="39"/>
      <c r="AB1091" s="39"/>
      <c r="AC1091" s="38"/>
      <c r="AD1091" s="38"/>
      <c r="AE1091" s="38"/>
      <c r="AF1091" s="38"/>
      <c r="AG1091" s="40"/>
      <c r="AH1091" s="38"/>
    </row>
    <row r="1092" spans="1:34" x14ac:dyDescent="0.2">
      <c r="A1092" s="38"/>
      <c r="B1092" s="38"/>
      <c r="C1092" s="38"/>
      <c r="D1092" s="38"/>
      <c r="E1092" s="177"/>
      <c r="F1092" s="177"/>
      <c r="G1092" s="269"/>
      <c r="H1092" s="179"/>
      <c r="I1092" s="177"/>
      <c r="J1092" s="177"/>
      <c r="K1092" s="177"/>
      <c r="L1092" s="177"/>
      <c r="M1092" s="177"/>
      <c r="N1092" s="70"/>
      <c r="O1092" s="38"/>
      <c r="P1092" s="38"/>
      <c r="Q1092" s="760"/>
      <c r="R1092" s="590"/>
      <c r="S1092" s="38"/>
      <c r="T1092" s="38"/>
      <c r="U1092" s="38"/>
      <c r="V1092" s="37"/>
      <c r="W1092" s="39">
        <f>IF(AC1092="Intr",0,G1092*Definitions!$B$53)</f>
        <v>0</v>
      </c>
      <c r="X1092" s="39">
        <f>IF(AC1092="Intr",0,G1092*Definitions!$B$54)</f>
        <v>0</v>
      </c>
      <c r="Y1092" s="39">
        <f>IF(AC1092="Intr",G1092,G1092*Definitions!$B$55)</f>
        <v>0</v>
      </c>
      <c r="Z1092" s="39"/>
      <c r="AA1092" s="39"/>
      <c r="AB1092" s="39"/>
      <c r="AC1092" s="38"/>
      <c r="AD1092" s="38"/>
      <c r="AE1092" s="38"/>
      <c r="AF1092" s="38"/>
      <c r="AG1092" s="40"/>
      <c r="AH1092" s="38"/>
    </row>
    <row r="1093" spans="1:34" x14ac:dyDescent="0.2">
      <c r="A1093" s="38"/>
      <c r="B1093" s="38"/>
      <c r="C1093" s="38"/>
      <c r="D1093" s="38"/>
      <c r="E1093" s="177"/>
      <c r="F1093" s="177"/>
      <c r="G1093" s="269"/>
      <c r="H1093" s="179"/>
      <c r="I1093" s="177"/>
      <c r="J1093" s="177"/>
      <c r="K1093" s="177"/>
      <c r="L1093" s="177"/>
      <c r="M1093" s="177"/>
      <c r="N1093" s="70"/>
      <c r="O1093" s="38"/>
      <c r="P1093" s="38"/>
      <c r="Q1093" s="760"/>
      <c r="R1093" s="590"/>
      <c r="S1093" s="38"/>
      <c r="T1093" s="38"/>
      <c r="U1093" s="38"/>
      <c r="V1093" s="37"/>
      <c r="W1093" s="39">
        <f>IF(AC1093="Intr",0,G1093*Definitions!$B$53)</f>
        <v>0</v>
      </c>
      <c r="X1093" s="39">
        <f>IF(AC1093="Intr",0,G1093*Definitions!$B$54)</f>
        <v>0</v>
      </c>
      <c r="Y1093" s="39">
        <f>IF(AC1093="Intr",G1093,G1093*Definitions!$B$55)</f>
        <v>0</v>
      </c>
      <c r="Z1093" s="39"/>
      <c r="AA1093" s="39"/>
      <c r="AB1093" s="39"/>
      <c r="AC1093" s="38"/>
      <c r="AD1093" s="38"/>
      <c r="AE1093" s="38"/>
      <c r="AF1093" s="38"/>
      <c r="AG1093" s="40"/>
      <c r="AH1093" s="38"/>
    </row>
    <row r="1094" spans="1:34" x14ac:dyDescent="0.2">
      <c r="A1094" s="38"/>
      <c r="B1094" s="38"/>
      <c r="C1094" s="38"/>
      <c r="D1094" s="38"/>
      <c r="E1094" s="177"/>
      <c r="F1094" s="177"/>
      <c r="G1094" s="269"/>
      <c r="H1094" s="179"/>
      <c r="I1094" s="177"/>
      <c r="J1094" s="177"/>
      <c r="K1094" s="177"/>
      <c r="L1094" s="177"/>
      <c r="M1094" s="177"/>
      <c r="N1094" s="70"/>
      <c r="O1094" s="38"/>
      <c r="P1094" s="38"/>
      <c r="Q1094" s="760"/>
      <c r="R1094" s="590"/>
      <c r="S1094" s="38"/>
      <c r="T1094" s="38"/>
      <c r="U1094" s="38"/>
      <c r="V1094" s="37"/>
      <c r="W1094" s="39">
        <f>IF(AC1094="Intr",0,G1094*Definitions!$B$53)</f>
        <v>0</v>
      </c>
      <c r="X1094" s="39">
        <f>IF(AC1094="Intr",0,G1094*Definitions!$B$54)</f>
        <v>0</v>
      </c>
      <c r="Y1094" s="39">
        <f>IF(AC1094="Intr",G1094,G1094*Definitions!$B$55)</f>
        <v>0</v>
      </c>
      <c r="Z1094" s="39"/>
      <c r="AA1094" s="39"/>
      <c r="AB1094" s="39"/>
      <c r="AC1094" s="38"/>
      <c r="AD1094" s="38"/>
      <c r="AE1094" s="38"/>
      <c r="AF1094" s="38"/>
      <c r="AG1094" s="40"/>
      <c r="AH1094" s="38"/>
    </row>
    <row r="1095" spans="1:34" x14ac:dyDescent="0.2">
      <c r="A1095" s="38"/>
      <c r="B1095" s="38"/>
      <c r="C1095" s="38"/>
      <c r="D1095" s="38"/>
      <c r="E1095" s="177"/>
      <c r="F1095" s="177"/>
      <c r="G1095" s="269"/>
      <c r="H1095" s="179"/>
      <c r="I1095" s="177"/>
      <c r="J1095" s="177"/>
      <c r="K1095" s="177"/>
      <c r="L1095" s="177"/>
      <c r="M1095" s="177"/>
      <c r="N1095" s="70"/>
      <c r="O1095" s="38"/>
      <c r="P1095" s="38"/>
      <c r="Q1095" s="760"/>
      <c r="R1095" s="590"/>
      <c r="S1095" s="38"/>
      <c r="T1095" s="38"/>
      <c r="U1095" s="38"/>
      <c r="V1095" s="37"/>
      <c r="W1095" s="39">
        <f>IF(AC1095="Intr",0,G1095*Definitions!$B$53)</f>
        <v>0</v>
      </c>
      <c r="X1095" s="39">
        <f>IF(AC1095="Intr",0,G1095*Definitions!$B$54)</f>
        <v>0</v>
      </c>
      <c r="Y1095" s="39">
        <f>IF(AC1095="Intr",G1095,G1095*Definitions!$B$55)</f>
        <v>0</v>
      </c>
      <c r="Z1095" s="39"/>
      <c r="AA1095" s="39"/>
      <c r="AB1095" s="39"/>
      <c r="AC1095" s="38"/>
      <c r="AD1095" s="38"/>
      <c r="AE1095" s="38"/>
      <c r="AF1095" s="38"/>
      <c r="AG1095" s="40"/>
      <c r="AH1095" s="38"/>
    </row>
    <row r="1096" spans="1:34" x14ac:dyDescent="0.2">
      <c r="A1096" s="38"/>
      <c r="B1096" s="38"/>
      <c r="C1096" s="38"/>
      <c r="D1096" s="38"/>
      <c r="E1096" s="177"/>
      <c r="F1096" s="177"/>
      <c r="G1096" s="269"/>
      <c r="H1096" s="179"/>
      <c r="I1096" s="177"/>
      <c r="J1096" s="177"/>
      <c r="K1096" s="177"/>
      <c r="L1096" s="177"/>
      <c r="M1096" s="177"/>
      <c r="N1096" s="70"/>
      <c r="O1096" s="38"/>
      <c r="P1096" s="38"/>
      <c r="Q1096" s="760"/>
      <c r="R1096" s="590"/>
      <c r="S1096" s="38"/>
      <c r="T1096" s="38"/>
      <c r="U1096" s="38"/>
      <c r="V1096" s="37"/>
      <c r="W1096" s="39">
        <f>IF(AC1096="Intr",0,G1096*Definitions!$B$53)</f>
        <v>0</v>
      </c>
      <c r="X1096" s="39">
        <f>IF(AC1096="Intr",0,G1096*Definitions!$B$54)</f>
        <v>0</v>
      </c>
      <c r="Y1096" s="39">
        <f>IF(AC1096="Intr",G1096,G1096*Definitions!$B$55)</f>
        <v>0</v>
      </c>
      <c r="Z1096" s="39"/>
      <c r="AA1096" s="39"/>
      <c r="AB1096" s="39"/>
      <c r="AC1096" s="38"/>
      <c r="AD1096" s="38"/>
      <c r="AE1096" s="38"/>
      <c r="AF1096" s="38"/>
      <c r="AG1096" s="40"/>
      <c r="AH1096" s="38"/>
    </row>
    <row r="1097" spans="1:34" x14ac:dyDescent="0.2">
      <c r="A1097" s="38"/>
      <c r="B1097" s="38"/>
      <c r="C1097" s="38"/>
      <c r="D1097" s="38"/>
      <c r="E1097" s="177"/>
      <c r="F1097" s="177"/>
      <c r="G1097" s="269"/>
      <c r="H1097" s="179"/>
      <c r="I1097" s="177"/>
      <c r="J1097" s="177"/>
      <c r="K1097" s="177"/>
      <c r="L1097" s="177"/>
      <c r="M1097" s="177"/>
      <c r="N1097" s="70"/>
      <c r="O1097" s="38"/>
      <c r="P1097" s="38"/>
      <c r="Q1097" s="760"/>
      <c r="R1097" s="590"/>
      <c r="S1097" s="38"/>
      <c r="T1097" s="38"/>
      <c r="U1097" s="38"/>
      <c r="V1097" s="37"/>
      <c r="W1097" s="39">
        <f>IF(AC1097="Intr",0,G1097*Definitions!$B$53)</f>
        <v>0</v>
      </c>
      <c r="X1097" s="39">
        <f>IF(AC1097="Intr",0,G1097*Definitions!$B$54)</f>
        <v>0</v>
      </c>
      <c r="Y1097" s="39">
        <f>IF(AC1097="Intr",G1097,G1097*Definitions!$B$55)</f>
        <v>0</v>
      </c>
      <c r="Z1097" s="39"/>
      <c r="AA1097" s="39"/>
      <c r="AB1097" s="39"/>
      <c r="AC1097" s="38"/>
      <c r="AD1097" s="38"/>
      <c r="AE1097" s="38"/>
      <c r="AF1097" s="38"/>
      <c r="AG1097" s="40"/>
      <c r="AH1097" s="38"/>
    </row>
    <row r="1098" spans="1:34" x14ac:dyDescent="0.2">
      <c r="A1098" s="38"/>
      <c r="B1098" s="38"/>
      <c r="C1098" s="38"/>
      <c r="D1098" s="38"/>
      <c r="E1098" s="177"/>
      <c r="F1098" s="177"/>
      <c r="G1098" s="269"/>
      <c r="H1098" s="179"/>
      <c r="I1098" s="177"/>
      <c r="J1098" s="177"/>
      <c r="K1098" s="177"/>
      <c r="L1098" s="177"/>
      <c r="M1098" s="177"/>
      <c r="N1098" s="70"/>
      <c r="O1098" s="38"/>
      <c r="P1098" s="38"/>
      <c r="Q1098" s="760"/>
      <c r="R1098" s="590"/>
      <c r="S1098" s="38"/>
      <c r="T1098" s="38"/>
      <c r="U1098" s="38"/>
      <c r="V1098" s="37"/>
      <c r="W1098" s="39">
        <f>IF(AC1098="Intr",0,G1098*Definitions!$B$53)</f>
        <v>0</v>
      </c>
      <c r="X1098" s="39">
        <f>IF(AC1098="Intr",0,G1098*Definitions!$B$54)</f>
        <v>0</v>
      </c>
      <c r="Y1098" s="39">
        <f>IF(AC1098="Intr",G1098,G1098*Definitions!$B$55)</f>
        <v>0</v>
      </c>
      <c r="Z1098" s="39"/>
      <c r="AA1098" s="39"/>
      <c r="AB1098" s="39"/>
      <c r="AC1098" s="38"/>
      <c r="AD1098" s="38"/>
      <c r="AE1098" s="38"/>
      <c r="AF1098" s="38"/>
      <c r="AG1098" s="40"/>
      <c r="AH1098" s="38"/>
    </row>
    <row r="1099" spans="1:34" x14ac:dyDescent="0.2">
      <c r="A1099" s="38"/>
      <c r="B1099" s="38"/>
      <c r="C1099" s="38"/>
      <c r="D1099" s="38"/>
      <c r="E1099" s="177"/>
      <c r="F1099" s="177"/>
      <c r="G1099" s="269"/>
      <c r="H1099" s="179"/>
      <c r="I1099" s="177"/>
      <c r="J1099" s="177"/>
      <c r="K1099" s="177"/>
      <c r="L1099" s="177"/>
      <c r="M1099" s="177"/>
      <c r="N1099" s="70"/>
      <c r="O1099" s="38"/>
      <c r="P1099" s="38"/>
      <c r="Q1099" s="760"/>
      <c r="R1099" s="590"/>
      <c r="S1099" s="38"/>
      <c r="T1099" s="38"/>
      <c r="U1099" s="38"/>
      <c r="V1099" s="37"/>
      <c r="W1099" s="39">
        <f>IF(AC1099="Intr",0,G1099*Definitions!$B$53)</f>
        <v>0</v>
      </c>
      <c r="X1099" s="39">
        <f>IF(AC1099="Intr",0,G1099*Definitions!$B$54)</f>
        <v>0</v>
      </c>
      <c r="Y1099" s="39">
        <f>IF(AC1099="Intr",G1099,G1099*Definitions!$B$55)</f>
        <v>0</v>
      </c>
      <c r="Z1099" s="39"/>
      <c r="AA1099" s="39"/>
      <c r="AB1099" s="39"/>
      <c r="AC1099" s="38"/>
      <c r="AD1099" s="38"/>
      <c r="AE1099" s="38"/>
      <c r="AF1099" s="38"/>
      <c r="AG1099" s="40"/>
      <c r="AH1099" s="38"/>
    </row>
    <row r="1100" spans="1:34" x14ac:dyDescent="0.2">
      <c r="A1100" s="38"/>
      <c r="B1100" s="38"/>
      <c r="C1100" s="38"/>
      <c r="D1100" s="38"/>
      <c r="E1100" s="177"/>
      <c r="F1100" s="177"/>
      <c r="G1100" s="269"/>
      <c r="H1100" s="179"/>
      <c r="I1100" s="177"/>
      <c r="J1100" s="177"/>
      <c r="K1100" s="177"/>
      <c r="L1100" s="177"/>
      <c r="M1100" s="177"/>
      <c r="N1100" s="70"/>
      <c r="O1100" s="38"/>
      <c r="P1100" s="38"/>
      <c r="Q1100" s="760"/>
      <c r="R1100" s="590"/>
      <c r="S1100" s="38"/>
      <c r="T1100" s="38"/>
      <c r="U1100" s="38"/>
      <c r="V1100" s="37"/>
      <c r="W1100" s="39">
        <f>IF(AC1100="Intr",0,G1100*Definitions!$B$53)</f>
        <v>0</v>
      </c>
      <c r="X1100" s="39">
        <f>IF(AC1100="Intr",0,G1100*Definitions!$B$54)</f>
        <v>0</v>
      </c>
      <c r="Y1100" s="39">
        <f>IF(AC1100="Intr",G1100,G1100*Definitions!$B$55)</f>
        <v>0</v>
      </c>
      <c r="Z1100" s="39"/>
      <c r="AA1100" s="39"/>
      <c r="AB1100" s="39"/>
      <c r="AC1100" s="38"/>
      <c r="AD1100" s="38"/>
      <c r="AE1100" s="38"/>
      <c r="AF1100" s="38"/>
      <c r="AG1100" s="40"/>
      <c r="AH1100" s="38"/>
    </row>
    <row r="1101" spans="1:34" x14ac:dyDescent="0.2">
      <c r="A1101" s="38"/>
      <c r="B1101" s="38"/>
      <c r="C1101" s="38"/>
      <c r="D1101" s="38"/>
      <c r="E1101" s="177"/>
      <c r="F1101" s="177"/>
      <c r="G1101" s="269"/>
      <c r="H1101" s="179"/>
      <c r="I1101" s="177"/>
      <c r="J1101" s="177"/>
      <c r="K1101" s="177"/>
      <c r="L1101" s="177"/>
      <c r="M1101" s="177"/>
      <c r="N1101" s="70"/>
      <c r="O1101" s="38"/>
      <c r="P1101" s="38"/>
      <c r="Q1101" s="760"/>
      <c r="R1101" s="590"/>
      <c r="S1101" s="38"/>
      <c r="T1101" s="38"/>
      <c r="U1101" s="38"/>
      <c r="V1101" s="37"/>
      <c r="W1101" s="39">
        <f>IF(AC1101="Intr",0,G1101*Definitions!$B$53)</f>
        <v>0</v>
      </c>
      <c r="X1101" s="39">
        <f>IF(AC1101="Intr",0,G1101*Definitions!$B$54)</f>
        <v>0</v>
      </c>
      <c r="Y1101" s="39">
        <f>IF(AC1101="Intr",G1101,G1101*Definitions!$B$55)</f>
        <v>0</v>
      </c>
      <c r="Z1101" s="39"/>
      <c r="AA1101" s="39"/>
      <c r="AB1101" s="39"/>
      <c r="AC1101" s="38"/>
      <c r="AD1101" s="38"/>
      <c r="AE1101" s="38"/>
      <c r="AF1101" s="38"/>
      <c r="AG1101" s="40"/>
      <c r="AH1101" s="38"/>
    </row>
    <row r="1102" spans="1:34" x14ac:dyDescent="0.2">
      <c r="A1102" s="38"/>
      <c r="B1102" s="38"/>
      <c r="C1102" s="38"/>
      <c r="D1102" s="38"/>
      <c r="E1102" s="177"/>
      <c r="F1102" s="177"/>
      <c r="G1102" s="269"/>
      <c r="H1102" s="179"/>
      <c r="I1102" s="177"/>
      <c r="J1102" s="177"/>
      <c r="K1102" s="177"/>
      <c r="L1102" s="177"/>
      <c r="M1102" s="177"/>
      <c r="N1102" s="70"/>
      <c r="O1102" s="38"/>
      <c r="P1102" s="38"/>
      <c r="Q1102" s="760"/>
      <c r="R1102" s="590"/>
      <c r="S1102" s="38"/>
      <c r="T1102" s="38"/>
      <c r="U1102" s="38"/>
      <c r="V1102" s="37"/>
      <c r="W1102" s="39">
        <f>IF(AC1102="Intr",0,G1102*Definitions!$B$53)</f>
        <v>0</v>
      </c>
      <c r="X1102" s="39">
        <f>IF(AC1102="Intr",0,G1102*Definitions!$B$54)</f>
        <v>0</v>
      </c>
      <c r="Y1102" s="39">
        <f>IF(AC1102="Intr",G1102,G1102*Definitions!$B$55)</f>
        <v>0</v>
      </c>
      <c r="Z1102" s="39"/>
      <c r="AA1102" s="39"/>
      <c r="AB1102" s="39"/>
      <c r="AC1102" s="38"/>
      <c r="AD1102" s="38"/>
      <c r="AE1102" s="38"/>
      <c r="AF1102" s="38"/>
      <c r="AG1102" s="40"/>
      <c r="AH1102" s="38"/>
    </row>
    <row r="1103" spans="1:34" x14ac:dyDescent="0.2">
      <c r="A1103" s="38"/>
      <c r="B1103" s="38"/>
      <c r="C1103" s="38"/>
      <c r="D1103" s="38"/>
      <c r="E1103" s="177"/>
      <c r="F1103" s="177"/>
      <c r="G1103" s="269"/>
      <c r="H1103" s="179"/>
      <c r="I1103" s="177"/>
      <c r="J1103" s="177"/>
      <c r="K1103" s="177"/>
      <c r="L1103" s="177"/>
      <c r="M1103" s="177"/>
      <c r="N1103" s="70"/>
      <c r="O1103" s="38"/>
      <c r="P1103" s="38"/>
      <c r="Q1103" s="760"/>
      <c r="R1103" s="590"/>
      <c r="S1103" s="38"/>
      <c r="T1103" s="38"/>
      <c r="U1103" s="38"/>
      <c r="V1103" s="37"/>
      <c r="W1103" s="39">
        <f>IF(AC1103="Intr",0,G1103*Definitions!$B$53)</f>
        <v>0</v>
      </c>
      <c r="X1103" s="39">
        <f>IF(AC1103="Intr",0,G1103*Definitions!$B$54)</f>
        <v>0</v>
      </c>
      <c r="Y1103" s="39">
        <f>IF(AC1103="Intr",G1103,G1103*Definitions!$B$55)</f>
        <v>0</v>
      </c>
      <c r="Z1103" s="39"/>
      <c r="AA1103" s="39"/>
      <c r="AB1103" s="39"/>
      <c r="AC1103" s="38"/>
      <c r="AD1103" s="38"/>
      <c r="AE1103" s="38"/>
      <c r="AF1103" s="38"/>
      <c r="AG1103" s="40"/>
      <c r="AH1103" s="38"/>
    </row>
    <row r="1104" spans="1:34" x14ac:dyDescent="0.2">
      <c r="A1104" s="38"/>
      <c r="B1104" s="38"/>
      <c r="C1104" s="38"/>
      <c r="D1104" s="38"/>
      <c r="E1104" s="177"/>
      <c r="F1104" s="177"/>
      <c r="G1104" s="269"/>
      <c r="H1104" s="179"/>
      <c r="I1104" s="177"/>
      <c r="J1104" s="177"/>
      <c r="K1104" s="177"/>
      <c r="L1104" s="177"/>
      <c r="M1104" s="177"/>
      <c r="N1104" s="70"/>
      <c r="O1104" s="38"/>
      <c r="P1104" s="38"/>
      <c r="Q1104" s="760"/>
      <c r="R1104" s="590"/>
      <c r="S1104" s="38"/>
      <c r="T1104" s="38"/>
      <c r="U1104" s="38"/>
      <c r="V1104" s="37"/>
      <c r="W1104" s="39">
        <f>IF(AC1104="Intr",0,G1104*Definitions!$B$53)</f>
        <v>0</v>
      </c>
      <c r="X1104" s="39">
        <f>IF(AC1104="Intr",0,G1104*Definitions!$B$54)</f>
        <v>0</v>
      </c>
      <c r="Y1104" s="39">
        <f>IF(AC1104="Intr",G1104,G1104*Definitions!$B$55)</f>
        <v>0</v>
      </c>
      <c r="Z1104" s="39"/>
      <c r="AA1104" s="39"/>
      <c r="AB1104" s="39"/>
      <c r="AC1104" s="38"/>
      <c r="AD1104" s="38"/>
      <c r="AE1104" s="38"/>
      <c r="AF1104" s="38"/>
      <c r="AG1104" s="40"/>
      <c r="AH1104" s="38"/>
    </row>
    <row r="1105" spans="1:34" x14ac:dyDescent="0.2">
      <c r="A1105" s="38"/>
      <c r="B1105" s="38"/>
      <c r="C1105" s="38"/>
      <c r="D1105" s="38"/>
      <c r="E1105" s="177"/>
      <c r="F1105" s="177"/>
      <c r="G1105" s="269"/>
      <c r="H1105" s="179"/>
      <c r="I1105" s="177"/>
      <c r="J1105" s="177"/>
      <c r="K1105" s="177"/>
      <c r="L1105" s="177"/>
      <c r="M1105" s="177"/>
      <c r="N1105" s="70"/>
      <c r="O1105" s="38"/>
      <c r="P1105" s="38"/>
      <c r="Q1105" s="760"/>
      <c r="R1105" s="590"/>
      <c r="S1105" s="38"/>
      <c r="T1105" s="38"/>
      <c r="U1105" s="38"/>
      <c r="V1105" s="37"/>
      <c r="W1105" s="39">
        <f>IF(AC1105="Intr",0,G1105*Definitions!$B$53)</f>
        <v>0</v>
      </c>
      <c r="X1105" s="39">
        <f>IF(AC1105="Intr",0,G1105*Definitions!$B$54)</f>
        <v>0</v>
      </c>
      <c r="Y1105" s="39">
        <f>IF(AC1105="Intr",G1105,G1105*Definitions!$B$55)</f>
        <v>0</v>
      </c>
      <c r="Z1105" s="39"/>
      <c r="AA1105" s="39"/>
      <c r="AB1105" s="39"/>
      <c r="AC1105" s="38"/>
      <c r="AD1105" s="38"/>
      <c r="AE1105" s="38"/>
      <c r="AF1105" s="38"/>
      <c r="AG1105" s="40"/>
      <c r="AH1105" s="38"/>
    </row>
    <row r="1106" spans="1:34" x14ac:dyDescent="0.2">
      <c r="A1106" s="38"/>
      <c r="B1106" s="38"/>
      <c r="C1106" s="38"/>
      <c r="D1106" s="38"/>
      <c r="E1106" s="177"/>
      <c r="F1106" s="177"/>
      <c r="G1106" s="269"/>
      <c r="H1106" s="179"/>
      <c r="I1106" s="177"/>
      <c r="J1106" s="177"/>
      <c r="K1106" s="177"/>
      <c r="L1106" s="177"/>
      <c r="M1106" s="177"/>
      <c r="N1106" s="70"/>
      <c r="O1106" s="38"/>
      <c r="P1106" s="38"/>
      <c r="Q1106" s="760"/>
      <c r="R1106" s="590"/>
      <c r="S1106" s="38"/>
      <c r="T1106" s="38"/>
      <c r="U1106" s="38"/>
      <c r="V1106" s="37"/>
      <c r="W1106" s="39">
        <f>IF(AC1106="Intr",0,G1106*Definitions!$B$53)</f>
        <v>0</v>
      </c>
      <c r="X1106" s="39">
        <f>IF(AC1106="Intr",0,G1106*Definitions!$B$54)</f>
        <v>0</v>
      </c>
      <c r="Y1106" s="39">
        <f>IF(AC1106="Intr",G1106,G1106*Definitions!$B$55)</f>
        <v>0</v>
      </c>
      <c r="Z1106" s="39"/>
      <c r="AA1106" s="39"/>
      <c r="AB1106" s="39"/>
      <c r="AC1106" s="38"/>
      <c r="AD1106" s="38"/>
      <c r="AE1106" s="38"/>
      <c r="AF1106" s="38"/>
      <c r="AG1106" s="40"/>
      <c r="AH1106" s="38"/>
    </row>
    <row r="1107" spans="1:34" x14ac:dyDescent="0.2">
      <c r="A1107" s="38"/>
      <c r="B1107" s="38"/>
      <c r="C1107" s="38"/>
      <c r="D1107" s="38"/>
      <c r="E1107" s="177"/>
      <c r="F1107" s="177"/>
      <c r="G1107" s="269"/>
      <c r="H1107" s="179"/>
      <c r="I1107" s="177"/>
      <c r="J1107" s="177"/>
      <c r="K1107" s="177"/>
      <c r="L1107" s="177"/>
      <c r="M1107" s="177"/>
      <c r="N1107" s="70"/>
      <c r="O1107" s="38"/>
      <c r="P1107" s="38"/>
      <c r="Q1107" s="760"/>
      <c r="R1107" s="590"/>
      <c r="S1107" s="38"/>
      <c r="T1107" s="38"/>
      <c r="U1107" s="38"/>
      <c r="V1107" s="37"/>
      <c r="W1107" s="39">
        <f>IF(AC1107="Intr",0,G1107*Definitions!$B$53)</f>
        <v>0</v>
      </c>
      <c r="X1107" s="39">
        <f>IF(AC1107="Intr",0,G1107*Definitions!$B$54)</f>
        <v>0</v>
      </c>
      <c r="Y1107" s="39">
        <f>IF(AC1107="Intr",G1107,G1107*Definitions!$B$55)</f>
        <v>0</v>
      </c>
      <c r="Z1107" s="39"/>
      <c r="AA1107" s="39"/>
      <c r="AB1107" s="39"/>
      <c r="AC1107" s="38"/>
      <c r="AD1107" s="38"/>
      <c r="AE1107" s="38"/>
      <c r="AF1107" s="38"/>
      <c r="AG1107" s="40"/>
      <c r="AH1107" s="38"/>
    </row>
    <row r="1108" spans="1:34" x14ac:dyDescent="0.2">
      <c r="A1108" s="38"/>
      <c r="B1108" s="38"/>
      <c r="C1108" s="38"/>
      <c r="D1108" s="38"/>
      <c r="E1108" s="177"/>
      <c r="F1108" s="177"/>
      <c r="G1108" s="269"/>
      <c r="H1108" s="179"/>
      <c r="I1108" s="177"/>
      <c r="J1108" s="177"/>
      <c r="K1108" s="177"/>
      <c r="L1108" s="177"/>
      <c r="M1108" s="177"/>
      <c r="N1108" s="70"/>
      <c r="O1108" s="38"/>
      <c r="P1108" s="38"/>
      <c r="Q1108" s="760"/>
      <c r="R1108" s="590"/>
      <c r="S1108" s="38"/>
      <c r="T1108" s="38"/>
      <c r="U1108" s="38"/>
      <c r="V1108" s="37"/>
      <c r="W1108" s="39">
        <f>IF(AC1108="Intr",0,G1108*Definitions!$B$53)</f>
        <v>0</v>
      </c>
      <c r="X1108" s="39">
        <f>IF(AC1108="Intr",0,G1108*Definitions!$B$54)</f>
        <v>0</v>
      </c>
      <c r="Y1108" s="39">
        <f>IF(AC1108="Intr",G1108,G1108*Definitions!$B$55)</f>
        <v>0</v>
      </c>
      <c r="Z1108" s="39"/>
      <c r="AA1108" s="39"/>
      <c r="AB1108" s="39"/>
      <c r="AC1108" s="38"/>
      <c r="AD1108" s="38"/>
      <c r="AE1108" s="38"/>
      <c r="AF1108" s="38"/>
      <c r="AG1108" s="40"/>
      <c r="AH1108" s="38"/>
    </row>
    <row r="1109" spans="1:34" x14ac:dyDescent="0.2">
      <c r="A1109" s="38"/>
      <c r="B1109" s="38"/>
      <c r="C1109" s="38"/>
      <c r="D1109" s="38"/>
      <c r="E1109" s="177"/>
      <c r="F1109" s="177"/>
      <c r="G1109" s="269"/>
      <c r="H1109" s="179"/>
      <c r="I1109" s="177"/>
      <c r="J1109" s="177"/>
      <c r="K1109" s="177"/>
      <c r="L1109" s="177"/>
      <c r="M1109" s="177"/>
      <c r="N1109" s="70"/>
      <c r="O1109" s="38"/>
      <c r="P1109" s="38"/>
      <c r="Q1109" s="760"/>
      <c r="R1109" s="590"/>
      <c r="S1109" s="38"/>
      <c r="T1109" s="38"/>
      <c r="U1109" s="38"/>
      <c r="V1109" s="37"/>
      <c r="W1109" s="39">
        <f>IF(AC1109="Intr",0,G1109*Definitions!$B$53)</f>
        <v>0</v>
      </c>
      <c r="X1109" s="39">
        <f>IF(AC1109="Intr",0,G1109*Definitions!$B$54)</f>
        <v>0</v>
      </c>
      <c r="Y1109" s="39">
        <f>IF(AC1109="Intr",G1109,G1109*Definitions!$B$55)</f>
        <v>0</v>
      </c>
      <c r="Z1109" s="39"/>
      <c r="AA1109" s="39"/>
      <c r="AB1109" s="39"/>
      <c r="AC1109" s="38"/>
      <c r="AD1109" s="38"/>
      <c r="AE1109" s="38"/>
      <c r="AF1109" s="38"/>
      <c r="AG1109" s="40"/>
      <c r="AH1109" s="38"/>
    </row>
    <row r="1110" spans="1:34" x14ac:dyDescent="0.2">
      <c r="A1110" s="38"/>
      <c r="B1110" s="38"/>
      <c r="C1110" s="38"/>
      <c r="D1110" s="38"/>
      <c r="E1110" s="177"/>
      <c r="F1110" s="177"/>
      <c r="G1110" s="269"/>
      <c r="H1110" s="179"/>
      <c r="I1110" s="177"/>
      <c r="J1110" s="177"/>
      <c r="K1110" s="177"/>
      <c r="L1110" s="177"/>
      <c r="M1110" s="177"/>
      <c r="N1110" s="70"/>
      <c r="O1110" s="38"/>
      <c r="P1110" s="38"/>
      <c r="Q1110" s="760"/>
      <c r="R1110" s="590"/>
      <c r="S1110" s="38"/>
      <c r="T1110" s="38"/>
      <c r="U1110" s="38"/>
      <c r="V1110" s="37"/>
      <c r="W1110" s="39">
        <f>IF(AC1110="Intr",0,G1110*Definitions!$B$53)</f>
        <v>0</v>
      </c>
      <c r="X1110" s="39">
        <f>IF(AC1110="Intr",0,G1110*Definitions!$B$54)</f>
        <v>0</v>
      </c>
      <c r="Y1110" s="39">
        <f>IF(AC1110="Intr",G1110,G1110*Definitions!$B$55)</f>
        <v>0</v>
      </c>
      <c r="Z1110" s="39"/>
      <c r="AA1110" s="39"/>
      <c r="AB1110" s="39"/>
      <c r="AC1110" s="38"/>
      <c r="AD1110" s="38"/>
      <c r="AE1110" s="38"/>
      <c r="AF1110" s="38"/>
      <c r="AG1110" s="40"/>
      <c r="AH1110" s="38"/>
    </row>
    <row r="1111" spans="1:34" x14ac:dyDescent="0.2">
      <c r="A1111" s="38"/>
      <c r="B1111" s="38"/>
      <c r="C1111" s="38"/>
      <c r="D1111" s="38"/>
      <c r="E1111" s="177"/>
      <c r="F1111" s="177"/>
      <c r="G1111" s="269"/>
      <c r="H1111" s="179"/>
      <c r="I1111" s="177"/>
      <c r="J1111" s="177"/>
      <c r="K1111" s="177"/>
      <c r="L1111" s="177"/>
      <c r="M1111" s="177"/>
      <c r="N1111" s="70"/>
      <c r="O1111" s="38"/>
      <c r="P1111" s="38"/>
      <c r="Q1111" s="760"/>
      <c r="R1111" s="590"/>
      <c r="S1111" s="38"/>
      <c r="T1111" s="38"/>
      <c r="U1111" s="38"/>
      <c r="V1111" s="37"/>
      <c r="W1111" s="39">
        <f>IF(AC1111="Intr",0,G1111*Definitions!$B$53)</f>
        <v>0</v>
      </c>
      <c r="X1111" s="39">
        <f>IF(AC1111="Intr",0,G1111*Definitions!$B$54)</f>
        <v>0</v>
      </c>
      <c r="Y1111" s="39">
        <f>IF(AC1111="Intr",G1111,G1111*Definitions!$B$55)</f>
        <v>0</v>
      </c>
      <c r="Z1111" s="39"/>
      <c r="AA1111" s="39"/>
      <c r="AB1111" s="39"/>
      <c r="AC1111" s="38"/>
      <c r="AD1111" s="38"/>
      <c r="AE1111" s="38"/>
      <c r="AF1111" s="38"/>
      <c r="AG1111" s="40"/>
      <c r="AH1111" s="38"/>
    </row>
    <row r="1112" spans="1:34" x14ac:dyDescent="0.2">
      <c r="A1112" s="38"/>
      <c r="B1112" s="38"/>
      <c r="C1112" s="38"/>
      <c r="D1112" s="38"/>
      <c r="E1112" s="177"/>
      <c r="F1112" s="177"/>
      <c r="G1112" s="269"/>
      <c r="H1112" s="179"/>
      <c r="I1112" s="177"/>
      <c r="J1112" s="177"/>
      <c r="K1112" s="177"/>
      <c r="L1112" s="177"/>
      <c r="M1112" s="177"/>
      <c r="N1112" s="70"/>
      <c r="O1112" s="38"/>
      <c r="P1112" s="38"/>
      <c r="Q1112" s="760"/>
      <c r="R1112" s="590"/>
      <c r="S1112" s="38"/>
      <c r="T1112" s="38"/>
      <c r="U1112" s="38"/>
      <c r="V1112" s="37"/>
      <c r="W1112" s="39">
        <f>IF(AC1112="Intr",0,G1112*Definitions!$B$53)</f>
        <v>0</v>
      </c>
      <c r="X1112" s="39">
        <f>IF(AC1112="Intr",0,G1112*Definitions!$B$54)</f>
        <v>0</v>
      </c>
      <c r="Y1112" s="39">
        <f>IF(AC1112="Intr",G1112,G1112*Definitions!$B$55)</f>
        <v>0</v>
      </c>
      <c r="Z1112" s="39"/>
      <c r="AA1112" s="39"/>
      <c r="AB1112" s="39"/>
      <c r="AC1112" s="38"/>
      <c r="AD1112" s="38"/>
      <c r="AE1112" s="38"/>
      <c r="AF1112" s="38"/>
      <c r="AG1112" s="40"/>
      <c r="AH1112" s="38"/>
    </row>
    <row r="1113" spans="1:34" x14ac:dyDescent="0.2">
      <c r="A1113" s="38"/>
      <c r="B1113" s="38"/>
      <c r="C1113" s="38"/>
      <c r="D1113" s="38"/>
      <c r="E1113" s="177"/>
      <c r="F1113" s="177"/>
      <c r="G1113" s="269"/>
      <c r="H1113" s="179"/>
      <c r="I1113" s="177"/>
      <c r="J1113" s="177"/>
      <c r="K1113" s="177"/>
      <c r="L1113" s="177"/>
      <c r="M1113" s="177"/>
      <c r="N1113" s="70"/>
      <c r="O1113" s="38"/>
      <c r="P1113" s="38"/>
      <c r="Q1113" s="760"/>
      <c r="R1113" s="590"/>
      <c r="S1113" s="38"/>
      <c r="T1113" s="38"/>
      <c r="U1113" s="38"/>
      <c r="V1113" s="37"/>
      <c r="W1113" s="39">
        <f>IF(AC1113="Intr",0,G1113*Definitions!$B$53)</f>
        <v>0</v>
      </c>
      <c r="X1113" s="39">
        <f>IF(AC1113="Intr",0,G1113*Definitions!$B$54)</f>
        <v>0</v>
      </c>
      <c r="Y1113" s="39">
        <f>IF(AC1113="Intr",G1113,G1113*Definitions!$B$55)</f>
        <v>0</v>
      </c>
      <c r="Z1113" s="39"/>
      <c r="AA1113" s="39"/>
      <c r="AB1113" s="39"/>
      <c r="AC1113" s="38"/>
      <c r="AD1113" s="38"/>
      <c r="AE1113" s="38"/>
      <c r="AF1113" s="38"/>
      <c r="AG1113" s="40"/>
      <c r="AH1113" s="38"/>
    </row>
    <row r="1114" spans="1:34" x14ac:dyDescent="0.2">
      <c r="A1114" s="38"/>
      <c r="B1114" s="38"/>
      <c r="C1114" s="38"/>
      <c r="D1114" s="38"/>
      <c r="E1114" s="177"/>
      <c r="F1114" s="177"/>
      <c r="G1114" s="269"/>
      <c r="H1114" s="179"/>
      <c r="I1114" s="177"/>
      <c r="J1114" s="177"/>
      <c r="K1114" s="177"/>
      <c r="L1114" s="177"/>
      <c r="M1114" s="177"/>
      <c r="N1114" s="70"/>
      <c r="O1114" s="38"/>
      <c r="P1114" s="38"/>
      <c r="Q1114" s="760"/>
      <c r="R1114" s="590"/>
      <c r="S1114" s="38"/>
      <c r="T1114" s="38"/>
      <c r="U1114" s="38"/>
      <c r="V1114" s="37"/>
      <c r="W1114" s="39">
        <f>IF(AC1114="Intr",0,G1114*Definitions!$B$53)</f>
        <v>0</v>
      </c>
      <c r="X1114" s="39">
        <f>IF(AC1114="Intr",0,G1114*Definitions!$B$54)</f>
        <v>0</v>
      </c>
      <c r="Y1114" s="39">
        <f>IF(AC1114="Intr",G1114,G1114*Definitions!$B$55)</f>
        <v>0</v>
      </c>
      <c r="Z1114" s="39"/>
      <c r="AA1114" s="39"/>
      <c r="AB1114" s="39"/>
      <c r="AC1114" s="38"/>
      <c r="AD1114" s="38"/>
      <c r="AE1114" s="38"/>
      <c r="AF1114" s="38"/>
      <c r="AG1114" s="40"/>
      <c r="AH1114" s="38"/>
    </row>
    <row r="1115" spans="1:34" x14ac:dyDescent="0.2">
      <c r="A1115" s="38"/>
      <c r="B1115" s="38"/>
      <c r="C1115" s="38"/>
      <c r="D1115" s="38"/>
      <c r="E1115" s="177"/>
      <c r="F1115" s="177"/>
      <c r="G1115" s="269"/>
      <c r="H1115" s="179"/>
      <c r="I1115" s="177"/>
      <c r="J1115" s="177"/>
      <c r="K1115" s="177"/>
      <c r="L1115" s="177"/>
      <c r="M1115" s="177"/>
      <c r="N1115" s="70"/>
      <c r="O1115" s="38"/>
      <c r="P1115" s="38"/>
      <c r="Q1115" s="760"/>
      <c r="R1115" s="590"/>
      <c r="S1115" s="38"/>
      <c r="T1115" s="38"/>
      <c r="U1115" s="38"/>
      <c r="V1115" s="37"/>
      <c r="W1115" s="39">
        <f>IF(AC1115="Intr",0,G1115*Definitions!$B$53)</f>
        <v>0</v>
      </c>
      <c r="X1115" s="39">
        <f>IF(AC1115="Intr",0,G1115*Definitions!$B$54)</f>
        <v>0</v>
      </c>
      <c r="Y1115" s="39">
        <f>IF(AC1115="Intr",G1115,G1115*Definitions!$B$55)</f>
        <v>0</v>
      </c>
      <c r="Z1115" s="39"/>
      <c r="AA1115" s="39"/>
      <c r="AB1115" s="39"/>
      <c r="AC1115" s="38"/>
      <c r="AD1115" s="38"/>
      <c r="AE1115" s="38"/>
      <c r="AF1115" s="38"/>
      <c r="AG1115" s="40"/>
      <c r="AH1115" s="38"/>
    </row>
    <row r="1116" spans="1:34" x14ac:dyDescent="0.2">
      <c r="A1116" s="38"/>
      <c r="B1116" s="38"/>
      <c r="C1116" s="38"/>
      <c r="D1116" s="38"/>
      <c r="E1116" s="177"/>
      <c r="F1116" s="177"/>
      <c r="G1116" s="269"/>
      <c r="H1116" s="179"/>
      <c r="I1116" s="177"/>
      <c r="J1116" s="177"/>
      <c r="K1116" s="177"/>
      <c r="L1116" s="177"/>
      <c r="M1116" s="177"/>
      <c r="N1116" s="70"/>
      <c r="O1116" s="38"/>
      <c r="P1116" s="38"/>
      <c r="Q1116" s="760"/>
      <c r="R1116" s="590"/>
      <c r="S1116" s="38"/>
      <c r="T1116" s="38"/>
      <c r="U1116" s="38"/>
      <c r="V1116" s="37"/>
      <c r="W1116" s="39">
        <f>IF(AC1116="Intr",0,G1116*Definitions!$B$53)</f>
        <v>0</v>
      </c>
      <c r="X1116" s="39">
        <f>IF(AC1116="Intr",0,G1116*Definitions!$B$54)</f>
        <v>0</v>
      </c>
      <c r="Y1116" s="39">
        <f>IF(AC1116="Intr",G1116,G1116*Definitions!$B$55)</f>
        <v>0</v>
      </c>
      <c r="Z1116" s="39"/>
      <c r="AA1116" s="39"/>
      <c r="AB1116" s="39"/>
      <c r="AC1116" s="38"/>
      <c r="AD1116" s="38"/>
      <c r="AE1116" s="38"/>
      <c r="AF1116" s="38"/>
      <c r="AG1116" s="40"/>
      <c r="AH1116" s="38"/>
    </row>
    <row r="1117" spans="1:34" x14ac:dyDescent="0.2">
      <c r="A1117" s="38"/>
      <c r="B1117" s="38"/>
      <c r="C1117" s="38"/>
      <c r="D1117" s="38"/>
      <c r="E1117" s="177"/>
      <c r="F1117" s="177"/>
      <c r="G1117" s="269"/>
      <c r="H1117" s="179"/>
      <c r="I1117" s="177"/>
      <c r="J1117" s="177"/>
      <c r="K1117" s="177"/>
      <c r="L1117" s="177"/>
      <c r="M1117" s="177"/>
      <c r="N1117" s="70"/>
      <c r="O1117" s="38"/>
      <c r="P1117" s="38"/>
      <c r="Q1117" s="760"/>
      <c r="R1117" s="590"/>
      <c r="S1117" s="38"/>
      <c r="T1117" s="38"/>
      <c r="U1117" s="38"/>
      <c r="V1117" s="37"/>
      <c r="W1117" s="39">
        <f>IF(AC1117="Intr",0,G1117*Definitions!$B$53)</f>
        <v>0</v>
      </c>
      <c r="X1117" s="39">
        <f>IF(AC1117="Intr",0,G1117*Definitions!$B$54)</f>
        <v>0</v>
      </c>
      <c r="Y1117" s="39">
        <f>IF(AC1117="Intr",G1117,G1117*Definitions!$B$55)</f>
        <v>0</v>
      </c>
      <c r="Z1117" s="39"/>
      <c r="AA1117" s="39"/>
      <c r="AB1117" s="39"/>
      <c r="AC1117" s="38"/>
      <c r="AD1117" s="38"/>
      <c r="AE1117" s="38"/>
      <c r="AF1117" s="38"/>
      <c r="AG1117" s="40"/>
      <c r="AH1117" s="38"/>
    </row>
    <row r="1118" spans="1:34" x14ac:dyDescent="0.2">
      <c r="A1118" s="38"/>
      <c r="B1118" s="38"/>
      <c r="C1118" s="38"/>
      <c r="D1118" s="38"/>
      <c r="E1118" s="177"/>
      <c r="F1118" s="177"/>
      <c r="G1118" s="269"/>
      <c r="H1118" s="179"/>
      <c r="I1118" s="177"/>
      <c r="J1118" s="177"/>
      <c r="K1118" s="177"/>
      <c r="L1118" s="177"/>
      <c r="M1118" s="177"/>
      <c r="N1118" s="70"/>
      <c r="O1118" s="38"/>
      <c r="P1118" s="38"/>
      <c r="Q1118" s="760"/>
      <c r="R1118" s="590"/>
      <c r="S1118" s="38"/>
      <c r="T1118" s="38"/>
      <c r="U1118" s="38"/>
      <c r="V1118" s="37"/>
      <c r="W1118" s="39">
        <f>IF(AC1118="Intr",0,G1118*Definitions!$B$53)</f>
        <v>0</v>
      </c>
      <c r="X1118" s="39">
        <f>IF(AC1118="Intr",0,G1118*Definitions!$B$54)</f>
        <v>0</v>
      </c>
      <c r="Y1118" s="39">
        <f>IF(AC1118="Intr",G1118,G1118*Definitions!$B$55)</f>
        <v>0</v>
      </c>
      <c r="Z1118" s="39"/>
      <c r="AA1118" s="39"/>
      <c r="AB1118" s="39"/>
      <c r="AC1118" s="38"/>
      <c r="AD1118" s="38"/>
      <c r="AE1118" s="38"/>
      <c r="AF1118" s="38"/>
      <c r="AG1118" s="40"/>
      <c r="AH1118" s="38"/>
    </row>
    <row r="1119" spans="1:34" x14ac:dyDescent="0.2">
      <c r="A1119" s="38"/>
      <c r="B1119" s="38"/>
      <c r="C1119" s="38"/>
      <c r="D1119" s="38"/>
      <c r="E1119" s="177"/>
      <c r="F1119" s="177"/>
      <c r="G1119" s="269"/>
      <c r="H1119" s="179"/>
      <c r="I1119" s="177"/>
      <c r="J1119" s="177"/>
      <c r="K1119" s="177"/>
      <c r="L1119" s="177"/>
      <c r="M1119" s="177"/>
      <c r="N1119" s="70"/>
      <c r="O1119" s="38"/>
      <c r="P1119" s="38"/>
      <c r="Q1119" s="760"/>
      <c r="R1119" s="590"/>
      <c r="S1119" s="38"/>
      <c r="T1119" s="38"/>
      <c r="U1119" s="38"/>
      <c r="V1119" s="37"/>
      <c r="W1119" s="39">
        <f>IF(AC1119="Intr",0,G1119*Definitions!$B$53)</f>
        <v>0</v>
      </c>
      <c r="X1119" s="39">
        <f>IF(AC1119="Intr",0,G1119*Definitions!$B$54)</f>
        <v>0</v>
      </c>
      <c r="Y1119" s="39">
        <f>IF(AC1119="Intr",G1119,G1119*Definitions!$B$55)</f>
        <v>0</v>
      </c>
      <c r="Z1119" s="39"/>
      <c r="AA1119" s="39"/>
      <c r="AB1119" s="39"/>
      <c r="AC1119" s="38"/>
      <c r="AD1119" s="38"/>
      <c r="AE1119" s="38"/>
      <c r="AF1119" s="38"/>
      <c r="AG1119" s="40"/>
      <c r="AH1119" s="38"/>
    </row>
    <row r="1120" spans="1:34" x14ac:dyDescent="0.2">
      <c r="A1120" s="38"/>
      <c r="B1120" s="38"/>
      <c r="C1120" s="38"/>
      <c r="D1120" s="38"/>
      <c r="E1120" s="177"/>
      <c r="F1120" s="177"/>
      <c r="G1120" s="269"/>
      <c r="H1120" s="179"/>
      <c r="I1120" s="177"/>
      <c r="J1120" s="177"/>
      <c r="K1120" s="177"/>
      <c r="L1120" s="177"/>
      <c r="M1120" s="177"/>
      <c r="N1120" s="70"/>
      <c r="O1120" s="38"/>
      <c r="P1120" s="38"/>
      <c r="Q1120" s="760"/>
      <c r="R1120" s="590"/>
      <c r="S1120" s="38"/>
      <c r="T1120" s="38"/>
      <c r="U1120" s="38"/>
      <c r="V1120" s="37"/>
      <c r="W1120" s="39">
        <f>IF(AC1120="Intr",0,G1120*Definitions!$B$53)</f>
        <v>0</v>
      </c>
      <c r="X1120" s="39">
        <f>IF(AC1120="Intr",0,G1120*Definitions!$B$54)</f>
        <v>0</v>
      </c>
      <c r="Y1120" s="39">
        <f>IF(AC1120="Intr",G1120,G1120*Definitions!$B$55)</f>
        <v>0</v>
      </c>
      <c r="Z1120" s="39"/>
      <c r="AA1120" s="39"/>
      <c r="AB1120" s="39"/>
      <c r="AC1120" s="38"/>
      <c r="AD1120" s="38"/>
      <c r="AE1120" s="38"/>
      <c r="AF1120" s="38"/>
      <c r="AG1120" s="40"/>
      <c r="AH1120" s="38"/>
    </row>
    <row r="1121" spans="1:34" x14ac:dyDescent="0.2">
      <c r="A1121" s="38"/>
      <c r="B1121" s="38"/>
      <c r="C1121" s="38"/>
      <c r="D1121" s="38"/>
      <c r="E1121" s="177"/>
      <c r="F1121" s="177"/>
      <c r="G1121" s="269"/>
      <c r="H1121" s="179"/>
      <c r="I1121" s="177"/>
      <c r="J1121" s="177"/>
      <c r="K1121" s="177"/>
      <c r="L1121" s="177"/>
      <c r="M1121" s="177"/>
      <c r="N1121" s="70"/>
      <c r="O1121" s="38"/>
      <c r="P1121" s="38"/>
      <c r="Q1121" s="760"/>
      <c r="R1121" s="590"/>
      <c r="S1121" s="38"/>
      <c r="T1121" s="38"/>
      <c r="U1121" s="38"/>
      <c r="V1121" s="37"/>
      <c r="W1121" s="39">
        <f>IF(AC1121="Intr",0,G1121*Definitions!$B$53)</f>
        <v>0</v>
      </c>
      <c r="X1121" s="39">
        <f>IF(AC1121="Intr",0,G1121*Definitions!$B$54)</f>
        <v>0</v>
      </c>
      <c r="Y1121" s="39">
        <f>IF(AC1121="Intr",G1121,G1121*Definitions!$B$55)</f>
        <v>0</v>
      </c>
      <c r="Z1121" s="39"/>
      <c r="AA1121" s="39"/>
      <c r="AB1121" s="39"/>
      <c r="AC1121" s="38"/>
      <c r="AD1121" s="38"/>
      <c r="AE1121" s="38"/>
      <c r="AF1121" s="38"/>
      <c r="AG1121" s="40"/>
      <c r="AH1121" s="38"/>
    </row>
    <row r="1122" spans="1:34" x14ac:dyDescent="0.2">
      <c r="A1122" s="38"/>
      <c r="B1122" s="38"/>
      <c r="C1122" s="38"/>
      <c r="D1122" s="38"/>
      <c r="E1122" s="177"/>
      <c r="F1122" s="177"/>
      <c r="G1122" s="269"/>
      <c r="H1122" s="179"/>
      <c r="I1122" s="177"/>
      <c r="J1122" s="177"/>
      <c r="K1122" s="177"/>
      <c r="L1122" s="177"/>
      <c r="M1122" s="177"/>
      <c r="N1122" s="70"/>
      <c r="O1122" s="38"/>
      <c r="P1122" s="38"/>
      <c r="Q1122" s="760"/>
      <c r="R1122" s="590"/>
      <c r="S1122" s="38"/>
      <c r="T1122" s="38"/>
      <c r="U1122" s="38"/>
      <c r="V1122" s="37"/>
      <c r="W1122" s="39">
        <f>IF(AC1122="Intr",0,G1122*Definitions!$B$53)</f>
        <v>0</v>
      </c>
      <c r="X1122" s="39">
        <f>IF(AC1122="Intr",0,G1122*Definitions!$B$54)</f>
        <v>0</v>
      </c>
      <c r="Y1122" s="39">
        <f>IF(AC1122="Intr",G1122,G1122*Definitions!$B$55)</f>
        <v>0</v>
      </c>
      <c r="Z1122" s="39"/>
      <c r="AA1122" s="39"/>
      <c r="AB1122" s="39"/>
      <c r="AC1122" s="38"/>
      <c r="AD1122" s="38"/>
      <c r="AE1122" s="38"/>
      <c r="AF1122" s="38"/>
      <c r="AG1122" s="40"/>
      <c r="AH1122" s="38"/>
    </row>
    <row r="1123" spans="1:34" x14ac:dyDescent="0.2">
      <c r="A1123" s="38"/>
      <c r="B1123" s="38"/>
      <c r="C1123" s="38"/>
      <c r="D1123" s="38"/>
      <c r="E1123" s="177"/>
      <c r="F1123" s="177"/>
      <c r="G1123" s="269"/>
      <c r="H1123" s="179"/>
      <c r="I1123" s="177"/>
      <c r="J1123" s="177"/>
      <c r="K1123" s="177"/>
      <c r="L1123" s="177"/>
      <c r="M1123" s="177"/>
      <c r="N1123" s="70"/>
      <c r="O1123" s="38"/>
      <c r="P1123" s="38"/>
      <c r="Q1123" s="760"/>
      <c r="R1123" s="590"/>
      <c r="S1123" s="38"/>
      <c r="T1123" s="38"/>
      <c r="U1123" s="38"/>
      <c r="V1123" s="37"/>
      <c r="W1123" s="39">
        <f>IF(AC1123="Intr",0,G1123*Definitions!$B$53)</f>
        <v>0</v>
      </c>
      <c r="X1123" s="39">
        <f>IF(AC1123="Intr",0,G1123*Definitions!$B$54)</f>
        <v>0</v>
      </c>
      <c r="Y1123" s="39">
        <f>IF(AC1123="Intr",G1123,G1123*Definitions!$B$55)</f>
        <v>0</v>
      </c>
      <c r="Z1123" s="39"/>
      <c r="AA1123" s="39"/>
      <c r="AB1123" s="39"/>
      <c r="AC1123" s="38"/>
      <c r="AD1123" s="38"/>
      <c r="AE1123" s="38"/>
      <c r="AF1123" s="38"/>
      <c r="AG1123" s="40"/>
      <c r="AH1123" s="38"/>
    </row>
    <row r="1124" spans="1:34" x14ac:dyDescent="0.2">
      <c r="A1124" s="38"/>
      <c r="B1124" s="38"/>
      <c r="C1124" s="38"/>
      <c r="D1124" s="38"/>
      <c r="E1124" s="177"/>
      <c r="F1124" s="177"/>
      <c r="G1124" s="269"/>
      <c r="H1124" s="179"/>
      <c r="I1124" s="177"/>
      <c r="J1124" s="177"/>
      <c r="K1124" s="177"/>
      <c r="L1124" s="177"/>
      <c r="M1124" s="177"/>
      <c r="N1124" s="70"/>
      <c r="O1124" s="38"/>
      <c r="P1124" s="38"/>
      <c r="Q1124" s="760"/>
      <c r="R1124" s="590"/>
      <c r="S1124" s="38"/>
      <c r="T1124" s="38"/>
      <c r="U1124" s="38"/>
      <c r="V1124" s="37"/>
      <c r="W1124" s="39">
        <f>IF(AC1124="Intr",0,G1124*Definitions!$B$53)</f>
        <v>0</v>
      </c>
      <c r="X1124" s="39">
        <f>IF(AC1124="Intr",0,G1124*Definitions!$B$54)</f>
        <v>0</v>
      </c>
      <c r="Y1124" s="39">
        <f>IF(AC1124="Intr",G1124,G1124*Definitions!$B$55)</f>
        <v>0</v>
      </c>
      <c r="Z1124" s="39"/>
      <c r="AA1124" s="39"/>
      <c r="AB1124" s="39"/>
      <c r="AC1124" s="38"/>
      <c r="AD1124" s="38"/>
      <c r="AE1124" s="38"/>
      <c r="AF1124" s="38"/>
      <c r="AG1124" s="40"/>
      <c r="AH1124" s="38"/>
    </row>
    <row r="1125" spans="1:34" x14ac:dyDescent="0.2">
      <c r="A1125" s="38"/>
      <c r="B1125" s="38"/>
      <c r="C1125" s="38"/>
      <c r="D1125" s="38"/>
      <c r="E1125" s="177"/>
      <c r="F1125" s="177"/>
      <c r="G1125" s="269"/>
      <c r="H1125" s="179"/>
      <c r="I1125" s="177"/>
      <c r="J1125" s="177"/>
      <c r="K1125" s="177"/>
      <c r="L1125" s="177"/>
      <c r="M1125" s="177"/>
      <c r="N1125" s="70"/>
      <c r="O1125" s="38"/>
      <c r="P1125" s="38"/>
      <c r="Q1125" s="760"/>
      <c r="R1125" s="590"/>
      <c r="S1125" s="38"/>
      <c r="T1125" s="38"/>
      <c r="U1125" s="38"/>
      <c r="V1125" s="37"/>
      <c r="W1125" s="39">
        <f>IF(AC1125="Intr",0,G1125*Definitions!$B$53)</f>
        <v>0</v>
      </c>
      <c r="X1125" s="39">
        <f>IF(AC1125="Intr",0,G1125*Definitions!$B$54)</f>
        <v>0</v>
      </c>
      <c r="Y1125" s="39">
        <f>IF(AC1125="Intr",G1125,G1125*Definitions!$B$55)</f>
        <v>0</v>
      </c>
      <c r="Z1125" s="39"/>
      <c r="AA1125" s="39"/>
      <c r="AB1125" s="39"/>
      <c r="AC1125" s="38"/>
      <c r="AD1125" s="38"/>
      <c r="AE1125" s="38"/>
      <c r="AF1125" s="38"/>
      <c r="AG1125" s="40"/>
      <c r="AH1125" s="38"/>
    </row>
    <row r="1126" spans="1:34" x14ac:dyDescent="0.2">
      <c r="A1126" s="38"/>
      <c r="B1126" s="38"/>
      <c r="C1126" s="38"/>
      <c r="D1126" s="38"/>
      <c r="E1126" s="177"/>
      <c r="F1126" s="177"/>
      <c r="G1126" s="269"/>
      <c r="H1126" s="179"/>
      <c r="I1126" s="177"/>
      <c r="J1126" s="177"/>
      <c r="K1126" s="177"/>
      <c r="L1126" s="177"/>
      <c r="M1126" s="177"/>
      <c r="N1126" s="70"/>
      <c r="O1126" s="38"/>
      <c r="P1126" s="38"/>
      <c r="Q1126" s="760"/>
      <c r="R1126" s="590"/>
      <c r="S1126" s="38"/>
      <c r="T1126" s="38"/>
      <c r="U1126" s="38"/>
      <c r="V1126" s="37"/>
      <c r="W1126" s="39">
        <f>IF(AC1126="Intr",0,G1126*Definitions!$B$53)</f>
        <v>0</v>
      </c>
      <c r="X1126" s="39">
        <f>IF(AC1126="Intr",0,G1126*Definitions!$B$54)</f>
        <v>0</v>
      </c>
      <c r="Y1126" s="39">
        <f>IF(AC1126="Intr",G1126,G1126*Definitions!$B$55)</f>
        <v>0</v>
      </c>
      <c r="Z1126" s="39"/>
      <c r="AA1126" s="39"/>
      <c r="AB1126" s="39"/>
      <c r="AC1126" s="38"/>
      <c r="AD1126" s="38"/>
      <c r="AE1126" s="38"/>
      <c r="AF1126" s="38"/>
      <c r="AG1126" s="40"/>
      <c r="AH1126" s="38"/>
    </row>
    <row r="1127" spans="1:34" x14ac:dyDescent="0.2">
      <c r="A1127" s="38"/>
      <c r="B1127" s="38"/>
      <c r="C1127" s="38"/>
      <c r="D1127" s="38"/>
      <c r="E1127" s="177"/>
      <c r="F1127" s="177"/>
      <c r="G1127" s="269"/>
      <c r="H1127" s="179"/>
      <c r="I1127" s="177"/>
      <c r="J1127" s="177"/>
      <c r="K1127" s="177"/>
      <c r="L1127" s="177"/>
      <c r="M1127" s="177"/>
      <c r="N1127" s="70"/>
      <c r="O1127" s="38"/>
      <c r="P1127" s="38"/>
      <c r="Q1127" s="760"/>
      <c r="R1127" s="590"/>
      <c r="S1127" s="38"/>
      <c r="T1127" s="38"/>
      <c r="U1127" s="38"/>
      <c r="V1127" s="37"/>
      <c r="W1127" s="39">
        <f>IF(AC1127="Intr",0,G1127*Definitions!$B$53)</f>
        <v>0</v>
      </c>
      <c r="X1127" s="39">
        <f>IF(AC1127="Intr",0,G1127*Definitions!$B$54)</f>
        <v>0</v>
      </c>
      <c r="Y1127" s="39">
        <f>IF(AC1127="Intr",G1127,G1127*Definitions!$B$55)</f>
        <v>0</v>
      </c>
      <c r="Z1127" s="39"/>
      <c r="AA1127" s="39"/>
      <c r="AB1127" s="39"/>
      <c r="AC1127" s="38"/>
      <c r="AD1127" s="38"/>
      <c r="AE1127" s="38"/>
      <c r="AF1127" s="38"/>
      <c r="AG1127" s="40"/>
      <c r="AH1127" s="38"/>
    </row>
    <row r="1128" spans="1:34" x14ac:dyDescent="0.2">
      <c r="A1128" s="38"/>
      <c r="B1128" s="38"/>
      <c r="C1128" s="38"/>
      <c r="D1128" s="38"/>
      <c r="E1128" s="177"/>
      <c r="F1128" s="177"/>
      <c r="G1128" s="269"/>
      <c r="H1128" s="179"/>
      <c r="I1128" s="177"/>
      <c r="J1128" s="177"/>
      <c r="K1128" s="177"/>
      <c r="L1128" s="177"/>
      <c r="M1128" s="177"/>
      <c r="N1128" s="70"/>
      <c r="O1128" s="38"/>
      <c r="P1128" s="38"/>
      <c r="Q1128" s="760"/>
      <c r="R1128" s="590"/>
      <c r="S1128" s="38"/>
      <c r="T1128" s="38"/>
      <c r="U1128" s="38"/>
      <c r="V1128" s="37"/>
      <c r="W1128" s="39">
        <f>IF(AC1128="Intr",0,G1128*Definitions!$B$53)</f>
        <v>0</v>
      </c>
      <c r="X1128" s="39">
        <f>IF(AC1128="Intr",0,G1128*Definitions!$B$54)</f>
        <v>0</v>
      </c>
      <c r="Y1128" s="39">
        <f>IF(AC1128="Intr",G1128,G1128*Definitions!$B$55)</f>
        <v>0</v>
      </c>
      <c r="Z1128" s="39"/>
      <c r="AA1128" s="39"/>
      <c r="AB1128" s="39"/>
      <c r="AC1128" s="38"/>
      <c r="AD1128" s="38"/>
      <c r="AE1128" s="38"/>
      <c r="AF1128" s="38"/>
      <c r="AG1128" s="40"/>
      <c r="AH1128" s="38"/>
    </row>
    <row r="1129" spans="1:34" x14ac:dyDescent="0.2">
      <c r="A1129" s="38"/>
      <c r="B1129" s="38"/>
      <c r="C1129" s="38"/>
      <c r="D1129" s="38"/>
      <c r="E1129" s="177"/>
      <c r="F1129" s="177"/>
      <c r="G1129" s="269"/>
      <c r="H1129" s="179"/>
      <c r="I1129" s="177"/>
      <c r="J1129" s="177"/>
      <c r="K1129" s="177"/>
      <c r="L1129" s="177"/>
      <c r="M1129" s="177"/>
      <c r="N1129" s="70"/>
      <c r="O1129" s="38"/>
      <c r="P1129" s="38"/>
      <c r="Q1129" s="760"/>
      <c r="R1129" s="590"/>
      <c r="S1129" s="38"/>
      <c r="T1129" s="38"/>
      <c r="U1129" s="38"/>
      <c r="V1129" s="37"/>
      <c r="W1129" s="39">
        <f>IF(AC1129="Intr",0,G1129*Definitions!$B$53)</f>
        <v>0</v>
      </c>
      <c r="X1129" s="39">
        <f>IF(AC1129="Intr",0,G1129*Definitions!$B$54)</f>
        <v>0</v>
      </c>
      <c r="Y1129" s="39">
        <f>IF(AC1129="Intr",G1129,G1129*Definitions!$B$55)</f>
        <v>0</v>
      </c>
      <c r="Z1129" s="39"/>
      <c r="AA1129" s="39"/>
      <c r="AB1129" s="39"/>
      <c r="AC1129" s="38"/>
      <c r="AD1129" s="38"/>
      <c r="AE1129" s="38"/>
      <c r="AF1129" s="38"/>
      <c r="AG1129" s="40"/>
      <c r="AH1129" s="38"/>
    </row>
    <row r="1130" spans="1:34" x14ac:dyDescent="0.2">
      <c r="A1130" s="38"/>
      <c r="B1130" s="38"/>
      <c r="C1130" s="38"/>
      <c r="D1130" s="38"/>
      <c r="E1130" s="177"/>
      <c r="F1130" s="177"/>
      <c r="G1130" s="269"/>
      <c r="H1130" s="179"/>
      <c r="I1130" s="177"/>
      <c r="J1130" s="177"/>
      <c r="K1130" s="177"/>
      <c r="L1130" s="177"/>
      <c r="M1130" s="177"/>
      <c r="N1130" s="70"/>
      <c r="O1130" s="38"/>
      <c r="P1130" s="38"/>
      <c r="Q1130" s="760"/>
      <c r="R1130" s="590"/>
      <c r="S1130" s="38"/>
      <c r="T1130" s="38"/>
      <c r="U1130" s="38"/>
      <c r="V1130" s="37"/>
      <c r="W1130" s="39">
        <f>IF(AC1130="Intr",0,G1130*Definitions!$B$53)</f>
        <v>0</v>
      </c>
      <c r="X1130" s="39">
        <f>IF(AC1130="Intr",0,G1130*Definitions!$B$54)</f>
        <v>0</v>
      </c>
      <c r="Y1130" s="39">
        <f>IF(AC1130="Intr",G1130,G1130*Definitions!$B$55)</f>
        <v>0</v>
      </c>
      <c r="Z1130" s="39"/>
      <c r="AA1130" s="39"/>
      <c r="AB1130" s="39"/>
      <c r="AC1130" s="38"/>
      <c r="AD1130" s="38"/>
      <c r="AE1130" s="38"/>
      <c r="AF1130" s="38"/>
      <c r="AG1130" s="40"/>
      <c r="AH1130" s="38"/>
    </row>
    <row r="1131" spans="1:34" x14ac:dyDescent="0.2">
      <c r="A1131" s="38"/>
      <c r="B1131" s="38"/>
      <c r="C1131" s="38"/>
      <c r="D1131" s="38"/>
      <c r="E1131" s="177"/>
      <c r="F1131" s="177"/>
      <c r="G1131" s="269"/>
      <c r="H1131" s="179"/>
      <c r="I1131" s="177"/>
      <c r="J1131" s="177"/>
      <c r="K1131" s="177"/>
      <c r="L1131" s="177"/>
      <c r="M1131" s="177"/>
      <c r="N1131" s="70"/>
      <c r="O1131" s="38"/>
      <c r="P1131" s="38"/>
      <c r="Q1131" s="760"/>
      <c r="R1131" s="590"/>
      <c r="S1131" s="38"/>
      <c r="T1131" s="38"/>
      <c r="U1131" s="38"/>
      <c r="V1131" s="37"/>
      <c r="W1131" s="39">
        <f>IF(AC1131="Intr",0,G1131*Definitions!$B$53)</f>
        <v>0</v>
      </c>
      <c r="X1131" s="39">
        <f>IF(AC1131="Intr",0,G1131*Definitions!$B$54)</f>
        <v>0</v>
      </c>
      <c r="Y1131" s="39">
        <f>IF(AC1131="Intr",G1131,G1131*Definitions!$B$55)</f>
        <v>0</v>
      </c>
      <c r="Z1131" s="39"/>
      <c r="AA1131" s="39"/>
      <c r="AB1131" s="39"/>
      <c r="AC1131" s="38"/>
      <c r="AD1131" s="38"/>
      <c r="AE1131" s="38"/>
      <c r="AF1131" s="38"/>
      <c r="AG1131" s="40"/>
      <c r="AH1131" s="38"/>
    </row>
    <row r="1132" spans="1:34" x14ac:dyDescent="0.2">
      <c r="A1132" s="38"/>
      <c r="B1132" s="38"/>
      <c r="C1132" s="38"/>
      <c r="D1132" s="38"/>
      <c r="E1132" s="177"/>
      <c r="F1132" s="177"/>
      <c r="G1132" s="269"/>
      <c r="H1132" s="179"/>
      <c r="I1132" s="177"/>
      <c r="J1132" s="177"/>
      <c r="K1132" s="177"/>
      <c r="L1132" s="177"/>
      <c r="M1132" s="177"/>
      <c r="N1132" s="70"/>
      <c r="O1132" s="38"/>
      <c r="P1132" s="38"/>
      <c r="Q1132" s="760"/>
      <c r="R1132" s="590"/>
      <c r="S1132" s="38"/>
      <c r="T1132" s="38"/>
      <c r="U1132" s="38"/>
      <c r="V1132" s="37"/>
      <c r="W1132" s="39">
        <f>IF(AC1132="Intr",0,G1132*Definitions!$B$53)</f>
        <v>0</v>
      </c>
      <c r="X1132" s="39">
        <f>IF(AC1132="Intr",0,G1132*Definitions!$B$54)</f>
        <v>0</v>
      </c>
      <c r="Y1132" s="39">
        <f>IF(AC1132="Intr",G1132,G1132*Definitions!$B$55)</f>
        <v>0</v>
      </c>
      <c r="Z1132" s="39"/>
      <c r="AA1132" s="39"/>
      <c r="AB1132" s="39"/>
      <c r="AC1132" s="38"/>
      <c r="AD1132" s="38"/>
      <c r="AE1132" s="38"/>
      <c r="AF1132" s="38"/>
      <c r="AG1132" s="40"/>
      <c r="AH1132" s="38"/>
    </row>
    <row r="1133" spans="1:34" x14ac:dyDescent="0.2">
      <c r="A1133" s="38"/>
      <c r="B1133" s="38"/>
      <c r="C1133" s="38"/>
      <c r="D1133" s="38"/>
      <c r="E1133" s="177"/>
      <c r="F1133" s="177"/>
      <c r="G1133" s="269"/>
      <c r="H1133" s="179"/>
      <c r="I1133" s="177"/>
      <c r="J1133" s="177"/>
      <c r="K1133" s="177"/>
      <c r="L1133" s="177"/>
      <c r="M1133" s="177"/>
      <c r="N1133" s="70"/>
      <c r="O1133" s="38"/>
      <c r="P1133" s="38"/>
      <c r="Q1133" s="760"/>
      <c r="R1133" s="590"/>
      <c r="S1133" s="38"/>
      <c r="T1133" s="38"/>
      <c r="U1133" s="38"/>
      <c r="V1133" s="37"/>
      <c r="W1133" s="39">
        <f>IF(AC1133="Intr",0,G1133*Definitions!$B$53)</f>
        <v>0</v>
      </c>
      <c r="X1133" s="39">
        <f>IF(AC1133="Intr",0,G1133*Definitions!$B$54)</f>
        <v>0</v>
      </c>
      <c r="Y1133" s="39">
        <f>IF(AC1133="Intr",G1133,G1133*Definitions!$B$55)</f>
        <v>0</v>
      </c>
      <c r="Z1133" s="39"/>
      <c r="AA1133" s="39"/>
      <c r="AB1133" s="39"/>
      <c r="AC1133" s="38"/>
      <c r="AD1133" s="38"/>
      <c r="AE1133" s="38"/>
      <c r="AF1133" s="38"/>
      <c r="AG1133" s="40"/>
      <c r="AH1133" s="38"/>
    </row>
    <row r="1134" spans="1:34" x14ac:dyDescent="0.2">
      <c r="A1134" s="38"/>
      <c r="B1134" s="38"/>
      <c r="C1134" s="38"/>
      <c r="D1134" s="38"/>
      <c r="E1134" s="177"/>
      <c r="F1134" s="177"/>
      <c r="G1134" s="269"/>
      <c r="H1134" s="179"/>
      <c r="I1134" s="177"/>
      <c r="J1134" s="177"/>
      <c r="K1134" s="177"/>
      <c r="L1134" s="177"/>
      <c r="M1134" s="177"/>
      <c r="N1134" s="70"/>
      <c r="O1134" s="38"/>
      <c r="P1134" s="38"/>
      <c r="Q1134" s="760"/>
      <c r="R1134" s="590"/>
      <c r="S1134" s="38"/>
      <c r="T1134" s="38"/>
      <c r="U1134" s="38"/>
      <c r="V1134" s="37"/>
      <c r="W1134" s="39">
        <f>IF(AC1134="Intr",0,G1134*Definitions!$B$53)</f>
        <v>0</v>
      </c>
      <c r="X1134" s="39">
        <f>IF(AC1134="Intr",0,G1134*Definitions!$B$54)</f>
        <v>0</v>
      </c>
      <c r="Y1134" s="39">
        <f>IF(AC1134="Intr",G1134,G1134*Definitions!$B$55)</f>
        <v>0</v>
      </c>
      <c r="Z1134" s="39"/>
      <c r="AA1134" s="39"/>
      <c r="AB1134" s="39"/>
      <c r="AC1134" s="38"/>
      <c r="AD1134" s="38"/>
      <c r="AE1134" s="38"/>
      <c r="AF1134" s="38"/>
      <c r="AG1134" s="40"/>
      <c r="AH1134" s="38"/>
    </row>
    <row r="1135" spans="1:34" x14ac:dyDescent="0.2">
      <c r="A1135" s="38"/>
      <c r="B1135" s="38"/>
      <c r="C1135" s="38"/>
      <c r="D1135" s="38"/>
      <c r="E1135" s="177"/>
      <c r="F1135" s="177"/>
      <c r="G1135" s="269"/>
      <c r="H1135" s="179"/>
      <c r="I1135" s="177"/>
      <c r="J1135" s="177"/>
      <c r="K1135" s="177"/>
      <c r="L1135" s="177"/>
      <c r="M1135" s="177"/>
      <c r="N1135" s="70"/>
      <c r="O1135" s="38"/>
      <c r="P1135" s="38"/>
      <c r="Q1135" s="760"/>
      <c r="R1135" s="590"/>
      <c r="S1135" s="38"/>
      <c r="T1135" s="38"/>
      <c r="U1135" s="38"/>
      <c r="V1135" s="37"/>
      <c r="W1135" s="39">
        <f>IF(AC1135="Intr",0,G1135*Definitions!$B$53)</f>
        <v>0</v>
      </c>
      <c r="X1135" s="39">
        <f>IF(AC1135="Intr",0,G1135*Definitions!$B$54)</f>
        <v>0</v>
      </c>
      <c r="Y1135" s="39">
        <f>IF(AC1135="Intr",G1135,G1135*Definitions!$B$55)</f>
        <v>0</v>
      </c>
      <c r="Z1135" s="39"/>
      <c r="AA1135" s="39"/>
      <c r="AB1135" s="39"/>
      <c r="AC1135" s="38"/>
      <c r="AD1135" s="38"/>
      <c r="AE1135" s="38"/>
      <c r="AF1135" s="38"/>
      <c r="AG1135" s="40"/>
      <c r="AH1135" s="38"/>
    </row>
    <row r="1136" spans="1:34" x14ac:dyDescent="0.2">
      <c r="A1136" s="38"/>
      <c r="B1136" s="38"/>
      <c r="C1136" s="38"/>
      <c r="D1136" s="38"/>
      <c r="E1136" s="177"/>
      <c r="F1136" s="177"/>
      <c r="G1136" s="269"/>
      <c r="H1136" s="179"/>
      <c r="I1136" s="177"/>
      <c r="J1136" s="177"/>
      <c r="K1136" s="177"/>
      <c r="L1136" s="177"/>
      <c r="M1136" s="177"/>
      <c r="N1136" s="70"/>
      <c r="O1136" s="38"/>
      <c r="P1136" s="38"/>
      <c r="Q1136" s="760"/>
      <c r="R1136" s="590"/>
      <c r="S1136" s="38"/>
      <c r="T1136" s="38"/>
      <c r="U1136" s="38"/>
      <c r="V1136" s="37"/>
      <c r="W1136" s="39">
        <f>IF(AC1136="Intr",0,G1136*Definitions!$B$53)</f>
        <v>0</v>
      </c>
      <c r="X1136" s="39">
        <f>IF(AC1136="Intr",0,G1136*Definitions!$B$54)</f>
        <v>0</v>
      </c>
      <c r="Y1136" s="39">
        <f>IF(AC1136="Intr",G1136,G1136*Definitions!$B$55)</f>
        <v>0</v>
      </c>
      <c r="Z1136" s="39"/>
      <c r="AA1136" s="39"/>
      <c r="AB1136" s="39"/>
      <c r="AC1136" s="38"/>
      <c r="AD1136" s="38"/>
      <c r="AE1136" s="38"/>
      <c r="AF1136" s="38"/>
      <c r="AG1136" s="40"/>
      <c r="AH1136" s="38"/>
    </row>
    <row r="1137" spans="1:34" x14ac:dyDescent="0.2">
      <c r="A1137" s="38"/>
      <c r="B1137" s="38"/>
      <c r="C1137" s="38"/>
      <c r="D1137" s="38"/>
      <c r="E1137" s="177"/>
      <c r="F1137" s="177"/>
      <c r="G1137" s="269"/>
      <c r="H1137" s="179"/>
      <c r="I1137" s="177"/>
      <c r="J1137" s="177"/>
      <c r="K1137" s="177"/>
      <c r="L1137" s="177"/>
      <c r="M1137" s="177"/>
      <c r="N1137" s="70"/>
      <c r="O1137" s="38"/>
      <c r="P1137" s="38"/>
      <c r="Q1137" s="760"/>
      <c r="R1137" s="590"/>
      <c r="S1137" s="38"/>
      <c r="T1137" s="38"/>
      <c r="U1137" s="38"/>
      <c r="V1137" s="37"/>
      <c r="W1137" s="39">
        <f>IF(AC1137="Intr",0,G1137*Definitions!$B$53)</f>
        <v>0</v>
      </c>
      <c r="X1137" s="39">
        <f>IF(AC1137="Intr",0,G1137*Definitions!$B$54)</f>
        <v>0</v>
      </c>
      <c r="Y1137" s="39">
        <f>IF(AC1137="Intr",G1137,G1137*Definitions!$B$55)</f>
        <v>0</v>
      </c>
      <c r="Z1137" s="39"/>
      <c r="AA1137" s="39"/>
      <c r="AB1137" s="39"/>
      <c r="AC1137" s="38"/>
      <c r="AD1137" s="38"/>
      <c r="AE1137" s="38"/>
      <c r="AF1137" s="38"/>
      <c r="AG1137" s="40"/>
      <c r="AH1137" s="38"/>
    </row>
    <row r="1138" spans="1:34" x14ac:dyDescent="0.2">
      <c r="A1138" s="38"/>
      <c r="B1138" s="38"/>
      <c r="C1138" s="38"/>
      <c r="D1138" s="38"/>
      <c r="E1138" s="177"/>
      <c r="F1138" s="177"/>
      <c r="G1138" s="269"/>
      <c r="H1138" s="179"/>
      <c r="I1138" s="177"/>
      <c r="J1138" s="177"/>
      <c r="K1138" s="177"/>
      <c r="L1138" s="177"/>
      <c r="M1138" s="177"/>
      <c r="N1138" s="70"/>
      <c r="O1138" s="38"/>
      <c r="P1138" s="38"/>
      <c r="Q1138" s="760"/>
      <c r="R1138" s="590"/>
      <c r="S1138" s="38"/>
      <c r="T1138" s="38"/>
      <c r="U1138" s="38"/>
      <c r="V1138" s="37"/>
      <c r="W1138" s="39">
        <f>IF(AC1138="Intr",0,G1138*Definitions!$B$53)</f>
        <v>0</v>
      </c>
      <c r="X1138" s="39">
        <f>IF(AC1138="Intr",0,G1138*Definitions!$B$54)</f>
        <v>0</v>
      </c>
      <c r="Y1138" s="39">
        <f>IF(AC1138="Intr",G1138,G1138*Definitions!$B$55)</f>
        <v>0</v>
      </c>
      <c r="Z1138" s="39"/>
      <c r="AA1138" s="39"/>
      <c r="AB1138" s="39"/>
      <c r="AC1138" s="38"/>
      <c r="AD1138" s="38"/>
      <c r="AE1138" s="38"/>
      <c r="AF1138" s="38"/>
      <c r="AG1138" s="40"/>
      <c r="AH1138" s="38"/>
    </row>
    <row r="1139" spans="1:34" x14ac:dyDescent="0.2">
      <c r="A1139" s="38"/>
      <c r="B1139" s="38"/>
      <c r="C1139" s="38"/>
      <c r="D1139" s="38"/>
      <c r="E1139" s="177"/>
      <c r="F1139" s="177"/>
      <c r="G1139" s="269"/>
      <c r="H1139" s="179"/>
      <c r="I1139" s="177"/>
      <c r="J1139" s="177"/>
      <c r="K1139" s="177"/>
      <c r="L1139" s="177"/>
      <c r="M1139" s="177"/>
      <c r="N1139" s="70"/>
      <c r="O1139" s="38"/>
      <c r="P1139" s="38"/>
      <c r="Q1139" s="760"/>
      <c r="R1139" s="590"/>
      <c r="S1139" s="38"/>
      <c r="T1139" s="38"/>
      <c r="U1139" s="38"/>
      <c r="V1139" s="37"/>
      <c r="W1139" s="39">
        <f>IF(AC1139="Intr",0,G1139*Definitions!$B$53)</f>
        <v>0</v>
      </c>
      <c r="X1139" s="39">
        <f>IF(AC1139="Intr",0,G1139*Definitions!$B$54)</f>
        <v>0</v>
      </c>
      <c r="Y1139" s="39">
        <f>IF(AC1139="Intr",G1139,G1139*Definitions!$B$55)</f>
        <v>0</v>
      </c>
      <c r="Z1139" s="39"/>
      <c r="AA1139" s="39"/>
      <c r="AB1139" s="39"/>
      <c r="AC1139" s="38"/>
      <c r="AD1139" s="38"/>
      <c r="AE1139" s="38"/>
      <c r="AF1139" s="38"/>
      <c r="AG1139" s="40"/>
      <c r="AH1139" s="38"/>
    </row>
    <row r="1140" spans="1:34" x14ac:dyDescent="0.2">
      <c r="A1140" s="38"/>
      <c r="B1140" s="38"/>
      <c r="C1140" s="38"/>
      <c r="D1140" s="38"/>
      <c r="E1140" s="177"/>
      <c r="F1140" s="177"/>
      <c r="G1140" s="269"/>
      <c r="H1140" s="179"/>
      <c r="I1140" s="177"/>
      <c r="J1140" s="177"/>
      <c r="K1140" s="177"/>
      <c r="L1140" s="177"/>
      <c r="M1140" s="177"/>
      <c r="N1140" s="70"/>
      <c r="O1140" s="38"/>
      <c r="P1140" s="38"/>
      <c r="Q1140" s="760"/>
      <c r="R1140" s="590"/>
      <c r="S1140" s="38"/>
      <c r="T1140" s="38"/>
      <c r="U1140" s="38"/>
      <c r="V1140" s="37"/>
      <c r="W1140" s="39">
        <f>IF(AC1140="Intr",0,G1140*Definitions!$B$53)</f>
        <v>0</v>
      </c>
      <c r="X1140" s="39">
        <f>IF(AC1140="Intr",0,G1140*Definitions!$B$54)</f>
        <v>0</v>
      </c>
      <c r="Y1140" s="39">
        <f>IF(AC1140="Intr",G1140,G1140*Definitions!$B$55)</f>
        <v>0</v>
      </c>
      <c r="Z1140" s="39"/>
      <c r="AA1140" s="39"/>
      <c r="AB1140" s="39"/>
      <c r="AC1140" s="38"/>
      <c r="AD1140" s="38"/>
      <c r="AE1140" s="38"/>
      <c r="AF1140" s="38"/>
      <c r="AG1140" s="40"/>
      <c r="AH1140" s="38"/>
    </row>
    <row r="1141" spans="1:34" x14ac:dyDescent="0.2">
      <c r="A1141" s="38"/>
      <c r="B1141" s="38"/>
      <c r="C1141" s="38"/>
      <c r="D1141" s="38"/>
      <c r="E1141" s="177"/>
      <c r="F1141" s="177"/>
      <c r="G1141" s="269"/>
      <c r="H1141" s="179"/>
      <c r="I1141" s="177"/>
      <c r="J1141" s="177"/>
      <c r="K1141" s="177"/>
      <c r="L1141" s="177"/>
      <c r="M1141" s="177"/>
      <c r="N1141" s="70"/>
      <c r="O1141" s="38"/>
      <c r="P1141" s="38"/>
      <c r="Q1141" s="760"/>
      <c r="R1141" s="590"/>
      <c r="S1141" s="38"/>
      <c r="T1141" s="38"/>
      <c r="U1141" s="38"/>
      <c r="V1141" s="37"/>
      <c r="W1141" s="39">
        <f>IF(AC1141="Intr",0,G1141*Definitions!$B$53)</f>
        <v>0</v>
      </c>
      <c r="X1141" s="39">
        <f>IF(AC1141="Intr",0,G1141*Definitions!$B$54)</f>
        <v>0</v>
      </c>
      <c r="Y1141" s="39">
        <f>IF(AC1141="Intr",G1141,G1141*Definitions!$B$55)</f>
        <v>0</v>
      </c>
      <c r="Z1141" s="39"/>
      <c r="AA1141" s="39"/>
      <c r="AB1141" s="39"/>
      <c r="AC1141" s="38"/>
      <c r="AD1141" s="38"/>
      <c r="AE1141" s="38"/>
      <c r="AF1141" s="38"/>
      <c r="AG1141" s="40"/>
      <c r="AH1141" s="38"/>
    </row>
    <row r="1142" spans="1:34" x14ac:dyDescent="0.2">
      <c r="A1142" s="38"/>
      <c r="B1142" s="38"/>
      <c r="C1142" s="38"/>
      <c r="D1142" s="38"/>
      <c r="E1142" s="177"/>
      <c r="F1142" s="177"/>
      <c r="G1142" s="269"/>
      <c r="H1142" s="179"/>
      <c r="I1142" s="177"/>
      <c r="J1142" s="177"/>
      <c r="K1142" s="177"/>
      <c r="L1142" s="177"/>
      <c r="M1142" s="177"/>
      <c r="N1142" s="70"/>
      <c r="O1142" s="38"/>
      <c r="P1142" s="38"/>
      <c r="Q1142" s="760"/>
      <c r="R1142" s="590"/>
      <c r="S1142" s="38"/>
      <c r="T1142" s="38"/>
      <c r="U1142" s="38"/>
      <c r="V1142" s="37"/>
      <c r="W1142" s="39">
        <f>IF(AC1142="Intr",0,G1142*Definitions!$B$53)</f>
        <v>0</v>
      </c>
      <c r="X1142" s="39">
        <f>IF(AC1142="Intr",0,G1142*Definitions!$B$54)</f>
        <v>0</v>
      </c>
      <c r="Y1142" s="39">
        <f>IF(AC1142="Intr",G1142,G1142*Definitions!$B$55)</f>
        <v>0</v>
      </c>
      <c r="Z1142" s="39"/>
      <c r="AA1142" s="39"/>
      <c r="AB1142" s="39"/>
      <c r="AC1142" s="38"/>
      <c r="AD1142" s="38"/>
      <c r="AE1142" s="38"/>
      <c r="AF1142" s="38"/>
      <c r="AG1142" s="40"/>
      <c r="AH1142" s="38"/>
    </row>
    <row r="1143" spans="1:34" x14ac:dyDescent="0.2">
      <c r="A1143" s="38"/>
      <c r="B1143" s="38"/>
      <c r="C1143" s="38"/>
      <c r="D1143" s="38"/>
      <c r="E1143" s="177"/>
      <c r="F1143" s="177"/>
      <c r="G1143" s="269"/>
      <c r="H1143" s="179"/>
      <c r="I1143" s="177"/>
      <c r="J1143" s="177"/>
      <c r="K1143" s="177"/>
      <c r="L1143" s="177"/>
      <c r="M1143" s="177"/>
      <c r="N1143" s="70"/>
      <c r="O1143" s="38"/>
      <c r="P1143" s="38"/>
      <c r="Q1143" s="760"/>
      <c r="R1143" s="590"/>
      <c r="S1143" s="38"/>
      <c r="T1143" s="38"/>
      <c r="U1143" s="38"/>
      <c r="V1143" s="37"/>
      <c r="W1143" s="39">
        <f>IF(AC1143="Intr",0,G1143*Definitions!$B$53)</f>
        <v>0</v>
      </c>
      <c r="X1143" s="39">
        <f>IF(AC1143="Intr",0,G1143*Definitions!$B$54)</f>
        <v>0</v>
      </c>
      <c r="Y1143" s="39">
        <f>IF(AC1143="Intr",G1143,G1143*Definitions!$B$55)</f>
        <v>0</v>
      </c>
      <c r="Z1143" s="39"/>
      <c r="AA1143" s="39"/>
      <c r="AB1143" s="39"/>
      <c r="AC1143" s="38"/>
      <c r="AD1143" s="38"/>
      <c r="AE1143" s="38"/>
      <c r="AF1143" s="38"/>
      <c r="AG1143" s="40"/>
      <c r="AH1143" s="38"/>
    </row>
    <row r="1144" spans="1:34" x14ac:dyDescent="0.2">
      <c r="A1144" s="38"/>
      <c r="B1144" s="38"/>
      <c r="C1144" s="38"/>
      <c r="D1144" s="38"/>
      <c r="E1144" s="177"/>
      <c r="F1144" s="177"/>
      <c r="G1144" s="269"/>
      <c r="H1144" s="179"/>
      <c r="I1144" s="177"/>
      <c r="J1144" s="177"/>
      <c r="K1144" s="177"/>
      <c r="L1144" s="177"/>
      <c r="M1144" s="177"/>
      <c r="N1144" s="70"/>
      <c r="O1144" s="38"/>
      <c r="P1144" s="38"/>
      <c r="Q1144" s="760"/>
      <c r="R1144" s="590"/>
      <c r="S1144" s="38"/>
      <c r="T1144" s="38"/>
      <c r="U1144" s="38"/>
      <c r="V1144" s="37"/>
      <c r="W1144" s="39">
        <f>IF(AC1144="Intr",0,G1144*Definitions!$B$53)</f>
        <v>0</v>
      </c>
      <c r="X1144" s="39">
        <f>IF(AC1144="Intr",0,G1144*Definitions!$B$54)</f>
        <v>0</v>
      </c>
      <c r="Y1144" s="39">
        <f>IF(AC1144="Intr",G1144,G1144*Definitions!$B$55)</f>
        <v>0</v>
      </c>
      <c r="Z1144" s="39"/>
      <c r="AA1144" s="39"/>
      <c r="AB1144" s="39"/>
      <c r="AC1144" s="38"/>
      <c r="AD1144" s="38"/>
      <c r="AE1144" s="38"/>
      <c r="AF1144" s="38"/>
      <c r="AG1144" s="40"/>
      <c r="AH1144" s="38"/>
    </row>
    <row r="1145" spans="1:34" x14ac:dyDescent="0.2">
      <c r="A1145" s="38"/>
      <c r="B1145" s="38"/>
      <c r="C1145" s="38"/>
      <c r="D1145" s="38"/>
      <c r="E1145" s="177"/>
      <c r="F1145" s="177"/>
      <c r="G1145" s="269"/>
      <c r="H1145" s="179"/>
      <c r="I1145" s="177"/>
      <c r="J1145" s="177"/>
      <c r="K1145" s="177"/>
      <c r="L1145" s="177"/>
      <c r="M1145" s="177"/>
      <c r="N1145" s="70"/>
      <c r="O1145" s="38"/>
      <c r="P1145" s="38"/>
      <c r="Q1145" s="760"/>
      <c r="R1145" s="590"/>
      <c r="S1145" s="38"/>
      <c r="T1145" s="38"/>
      <c r="U1145" s="38"/>
      <c r="V1145" s="37"/>
      <c r="W1145" s="39">
        <f>IF(AC1145="Intr",0,G1145*Definitions!$B$53)</f>
        <v>0</v>
      </c>
      <c r="X1145" s="39">
        <f>IF(AC1145="Intr",0,G1145*Definitions!$B$54)</f>
        <v>0</v>
      </c>
      <c r="Y1145" s="39">
        <f>IF(AC1145="Intr",G1145,G1145*Definitions!$B$55)</f>
        <v>0</v>
      </c>
      <c r="Z1145" s="39"/>
      <c r="AA1145" s="39"/>
      <c r="AB1145" s="39"/>
      <c r="AC1145" s="38"/>
      <c r="AD1145" s="38"/>
      <c r="AE1145" s="38"/>
      <c r="AF1145" s="38"/>
      <c r="AG1145" s="40"/>
      <c r="AH1145" s="38"/>
    </row>
    <row r="1146" spans="1:34" x14ac:dyDescent="0.2">
      <c r="A1146" s="38"/>
      <c r="B1146" s="38"/>
      <c r="C1146" s="38"/>
      <c r="D1146" s="38"/>
      <c r="E1146" s="177"/>
      <c r="F1146" s="177"/>
      <c r="G1146" s="269"/>
      <c r="H1146" s="179"/>
      <c r="I1146" s="177"/>
      <c r="J1146" s="177"/>
      <c r="K1146" s="177"/>
      <c r="L1146" s="177"/>
      <c r="M1146" s="177"/>
      <c r="N1146" s="70"/>
      <c r="O1146" s="38"/>
      <c r="P1146" s="38"/>
      <c r="Q1146" s="760"/>
      <c r="R1146" s="590"/>
      <c r="S1146" s="38"/>
      <c r="T1146" s="38"/>
      <c r="U1146" s="38"/>
      <c r="V1146" s="37"/>
      <c r="W1146" s="39">
        <f>IF(AC1146="Intr",0,G1146*Definitions!$B$53)</f>
        <v>0</v>
      </c>
      <c r="X1146" s="39">
        <f>IF(AC1146="Intr",0,G1146*Definitions!$B$54)</f>
        <v>0</v>
      </c>
      <c r="Y1146" s="39">
        <f>IF(AC1146="Intr",G1146,G1146*Definitions!$B$55)</f>
        <v>0</v>
      </c>
      <c r="Z1146" s="39"/>
      <c r="AA1146" s="39"/>
      <c r="AB1146" s="39"/>
      <c r="AC1146" s="38"/>
      <c r="AD1146" s="38"/>
      <c r="AE1146" s="38"/>
      <c r="AF1146" s="38"/>
      <c r="AG1146" s="40"/>
      <c r="AH1146" s="38"/>
    </row>
    <row r="1147" spans="1:34" x14ac:dyDescent="0.2">
      <c r="A1147" s="38"/>
      <c r="B1147" s="38"/>
      <c r="C1147" s="38"/>
      <c r="D1147" s="38"/>
      <c r="E1147" s="177"/>
      <c r="F1147" s="177"/>
      <c r="G1147" s="269"/>
      <c r="H1147" s="179"/>
      <c r="I1147" s="177"/>
      <c r="J1147" s="177"/>
      <c r="K1147" s="177"/>
      <c r="L1147" s="177"/>
      <c r="M1147" s="177"/>
      <c r="N1147" s="70"/>
      <c r="O1147" s="38"/>
      <c r="P1147" s="38"/>
      <c r="Q1147" s="760"/>
      <c r="R1147" s="590"/>
      <c r="S1147" s="38"/>
      <c r="T1147" s="38"/>
      <c r="U1147" s="38"/>
      <c r="V1147" s="37"/>
      <c r="W1147" s="39">
        <f>IF(AC1147="Intr",0,G1147*Definitions!$B$53)</f>
        <v>0</v>
      </c>
      <c r="X1147" s="39">
        <f>IF(AC1147="Intr",0,G1147*Definitions!$B$54)</f>
        <v>0</v>
      </c>
      <c r="Y1147" s="39">
        <f>IF(AC1147="Intr",G1147,G1147*Definitions!$B$55)</f>
        <v>0</v>
      </c>
      <c r="Z1147" s="39"/>
      <c r="AA1147" s="39"/>
      <c r="AB1147" s="39"/>
      <c r="AC1147" s="38"/>
      <c r="AD1147" s="38"/>
      <c r="AE1147" s="38"/>
      <c r="AF1147" s="38"/>
      <c r="AG1147" s="40"/>
      <c r="AH1147" s="38"/>
    </row>
    <row r="1148" spans="1:34" x14ac:dyDescent="0.2">
      <c r="A1148" s="38"/>
      <c r="B1148" s="38"/>
      <c r="C1148" s="38"/>
      <c r="D1148" s="38"/>
      <c r="E1148" s="177"/>
      <c r="F1148" s="177"/>
      <c r="G1148" s="269"/>
      <c r="H1148" s="179"/>
      <c r="I1148" s="177"/>
      <c r="J1148" s="177"/>
      <c r="K1148" s="177"/>
      <c r="L1148" s="177"/>
      <c r="M1148" s="177"/>
      <c r="N1148" s="70"/>
      <c r="O1148" s="38"/>
      <c r="P1148" s="38"/>
      <c r="Q1148" s="760"/>
      <c r="R1148" s="590"/>
      <c r="S1148" s="38"/>
      <c r="T1148" s="38"/>
      <c r="U1148" s="38"/>
      <c r="V1148" s="37"/>
      <c r="W1148" s="39">
        <f>IF(AC1148="Intr",0,G1148*Definitions!$B$53)</f>
        <v>0</v>
      </c>
      <c r="X1148" s="39">
        <f>IF(AC1148="Intr",0,G1148*Definitions!$B$54)</f>
        <v>0</v>
      </c>
      <c r="Y1148" s="39">
        <f>IF(AC1148="Intr",G1148,G1148*Definitions!$B$55)</f>
        <v>0</v>
      </c>
      <c r="Z1148" s="39"/>
      <c r="AA1148" s="39"/>
      <c r="AB1148" s="39"/>
      <c r="AC1148" s="38"/>
      <c r="AD1148" s="38"/>
      <c r="AE1148" s="38"/>
      <c r="AF1148" s="38"/>
      <c r="AG1148" s="40"/>
      <c r="AH1148" s="38"/>
    </row>
    <row r="1149" spans="1:34" x14ac:dyDescent="0.2">
      <c r="A1149" s="38"/>
      <c r="B1149" s="38"/>
      <c r="C1149" s="38"/>
      <c r="D1149" s="38"/>
      <c r="E1149" s="177"/>
      <c r="F1149" s="177"/>
      <c r="G1149" s="269"/>
      <c r="H1149" s="179"/>
      <c r="I1149" s="177"/>
      <c r="J1149" s="177"/>
      <c r="K1149" s="177"/>
      <c r="L1149" s="177"/>
      <c r="M1149" s="177"/>
      <c r="N1149" s="70"/>
      <c r="O1149" s="38"/>
      <c r="P1149" s="38"/>
      <c r="Q1149" s="760"/>
      <c r="R1149" s="590"/>
      <c r="S1149" s="38"/>
      <c r="T1149" s="38"/>
      <c r="U1149" s="38"/>
      <c r="V1149" s="37"/>
      <c r="W1149" s="39">
        <f>IF(AC1149="Intr",0,G1149*Definitions!$B$53)</f>
        <v>0</v>
      </c>
      <c r="X1149" s="39">
        <f>IF(AC1149="Intr",0,G1149*Definitions!$B$54)</f>
        <v>0</v>
      </c>
      <c r="Y1149" s="39">
        <f>IF(AC1149="Intr",G1149,G1149*Definitions!$B$55)</f>
        <v>0</v>
      </c>
      <c r="Z1149" s="39"/>
      <c r="AA1149" s="39"/>
      <c r="AB1149" s="39"/>
      <c r="AC1149" s="38"/>
      <c r="AD1149" s="38"/>
      <c r="AE1149" s="38"/>
      <c r="AF1149" s="38"/>
      <c r="AG1149" s="40"/>
      <c r="AH1149" s="38"/>
    </row>
    <row r="1150" spans="1:34" x14ac:dyDescent="0.2">
      <c r="A1150" s="38"/>
      <c r="B1150" s="38"/>
      <c r="C1150" s="38"/>
      <c r="D1150" s="38"/>
      <c r="E1150" s="177"/>
      <c r="F1150" s="177"/>
      <c r="G1150" s="269"/>
      <c r="H1150" s="179"/>
      <c r="I1150" s="177"/>
      <c r="J1150" s="177"/>
      <c r="K1150" s="177"/>
      <c r="L1150" s="177"/>
      <c r="M1150" s="177"/>
      <c r="N1150" s="70"/>
      <c r="O1150" s="38"/>
      <c r="P1150" s="38"/>
      <c r="Q1150" s="760"/>
      <c r="R1150" s="590"/>
      <c r="S1150" s="38"/>
      <c r="T1150" s="38"/>
      <c r="U1150" s="38"/>
      <c r="V1150" s="37"/>
      <c r="W1150" s="39">
        <f>IF(AC1150="Intr",0,G1150*Definitions!$B$53)</f>
        <v>0</v>
      </c>
      <c r="X1150" s="39">
        <f>IF(AC1150="Intr",0,G1150*Definitions!$B$54)</f>
        <v>0</v>
      </c>
      <c r="Y1150" s="39">
        <f>IF(AC1150="Intr",G1150,G1150*Definitions!$B$55)</f>
        <v>0</v>
      </c>
      <c r="Z1150" s="39"/>
      <c r="AA1150" s="39"/>
      <c r="AB1150" s="39"/>
      <c r="AC1150" s="38"/>
      <c r="AD1150" s="38"/>
      <c r="AE1150" s="38"/>
      <c r="AF1150" s="38"/>
      <c r="AG1150" s="40"/>
      <c r="AH1150" s="38"/>
    </row>
    <row r="1151" spans="1:34" x14ac:dyDescent="0.2">
      <c r="A1151" s="38"/>
      <c r="B1151" s="38"/>
      <c r="C1151" s="38"/>
      <c r="D1151" s="38"/>
      <c r="E1151" s="177"/>
      <c r="F1151" s="177"/>
      <c r="G1151" s="269"/>
      <c r="H1151" s="179"/>
      <c r="I1151" s="177"/>
      <c r="J1151" s="177"/>
      <c r="K1151" s="177"/>
      <c r="L1151" s="177"/>
      <c r="M1151" s="177"/>
      <c r="N1151" s="70"/>
      <c r="O1151" s="38"/>
      <c r="P1151" s="38"/>
      <c r="Q1151" s="760"/>
      <c r="R1151" s="590"/>
      <c r="S1151" s="38"/>
      <c r="T1151" s="38"/>
      <c r="U1151" s="38"/>
      <c r="V1151" s="37"/>
      <c r="W1151" s="39">
        <f>IF(AC1151="Intr",0,G1151*Definitions!$B$53)</f>
        <v>0</v>
      </c>
      <c r="X1151" s="39">
        <f>IF(AC1151="Intr",0,G1151*Definitions!$B$54)</f>
        <v>0</v>
      </c>
      <c r="Y1151" s="39">
        <f>IF(AC1151="Intr",G1151,G1151*Definitions!$B$55)</f>
        <v>0</v>
      </c>
      <c r="Z1151" s="39"/>
      <c r="AA1151" s="39"/>
      <c r="AB1151" s="39"/>
      <c r="AC1151" s="38"/>
      <c r="AD1151" s="38"/>
      <c r="AE1151" s="38"/>
      <c r="AF1151" s="38"/>
      <c r="AG1151" s="40"/>
      <c r="AH1151" s="38"/>
    </row>
    <row r="1152" spans="1:34" x14ac:dyDescent="0.2">
      <c r="A1152" s="38"/>
      <c r="B1152" s="38"/>
      <c r="C1152" s="38"/>
      <c r="D1152" s="38"/>
      <c r="E1152" s="177"/>
      <c r="F1152" s="177"/>
      <c r="G1152" s="269"/>
      <c r="H1152" s="179"/>
      <c r="I1152" s="177"/>
      <c r="J1152" s="177"/>
      <c r="K1152" s="177"/>
      <c r="L1152" s="177"/>
      <c r="M1152" s="177"/>
      <c r="N1152" s="70"/>
      <c r="O1152" s="38"/>
      <c r="P1152" s="38"/>
      <c r="Q1152" s="760"/>
      <c r="R1152" s="590"/>
      <c r="S1152" s="38"/>
      <c r="T1152" s="38"/>
      <c r="U1152" s="38"/>
      <c r="V1152" s="37"/>
      <c r="W1152" s="39">
        <f>IF(AC1152="Intr",0,G1152*Definitions!$B$53)</f>
        <v>0</v>
      </c>
      <c r="X1152" s="39">
        <f>IF(AC1152="Intr",0,G1152*Definitions!$B$54)</f>
        <v>0</v>
      </c>
      <c r="Y1152" s="39">
        <f>IF(AC1152="Intr",G1152,G1152*Definitions!$B$55)</f>
        <v>0</v>
      </c>
      <c r="Z1152" s="39"/>
      <c r="AA1152" s="39"/>
      <c r="AB1152" s="39"/>
      <c r="AC1152" s="38"/>
      <c r="AD1152" s="38"/>
      <c r="AE1152" s="38"/>
      <c r="AF1152" s="38"/>
      <c r="AG1152" s="40"/>
      <c r="AH1152" s="38"/>
    </row>
    <row r="1153" spans="1:34" x14ac:dyDescent="0.2">
      <c r="A1153" s="38"/>
      <c r="B1153" s="38"/>
      <c r="C1153" s="38"/>
      <c r="D1153" s="38"/>
      <c r="E1153" s="177"/>
      <c r="F1153" s="177"/>
      <c r="G1153" s="269"/>
      <c r="H1153" s="179"/>
      <c r="I1153" s="177"/>
      <c r="J1153" s="177"/>
      <c r="K1153" s="177"/>
      <c r="L1153" s="177"/>
      <c r="M1153" s="177"/>
      <c r="N1153" s="70"/>
      <c r="O1153" s="38"/>
      <c r="P1153" s="38"/>
      <c r="Q1153" s="760"/>
      <c r="R1153" s="590"/>
      <c r="S1153" s="38"/>
      <c r="T1153" s="38"/>
      <c r="U1153" s="38"/>
      <c r="V1153" s="37"/>
      <c r="W1153" s="39">
        <f>IF(AC1153="Intr",0,G1153*Definitions!$B$53)</f>
        <v>0</v>
      </c>
      <c r="X1153" s="39">
        <f>IF(AC1153="Intr",0,G1153*Definitions!$B$54)</f>
        <v>0</v>
      </c>
      <c r="Y1153" s="39">
        <f>IF(AC1153="Intr",G1153,G1153*Definitions!$B$55)</f>
        <v>0</v>
      </c>
      <c r="Z1153" s="39"/>
      <c r="AA1153" s="39"/>
      <c r="AB1153" s="39"/>
      <c r="AC1153" s="38"/>
      <c r="AD1153" s="38"/>
      <c r="AE1153" s="38"/>
      <c r="AF1153" s="38"/>
      <c r="AG1153" s="40"/>
      <c r="AH1153" s="38"/>
    </row>
    <row r="1154" spans="1:34" x14ac:dyDescent="0.2">
      <c r="A1154" s="38"/>
      <c r="B1154" s="38"/>
      <c r="C1154" s="38"/>
      <c r="D1154" s="38"/>
      <c r="E1154" s="177"/>
      <c r="F1154" s="177"/>
      <c r="G1154" s="269"/>
      <c r="H1154" s="179"/>
      <c r="I1154" s="177"/>
      <c r="J1154" s="177"/>
      <c r="K1154" s="177"/>
      <c r="L1154" s="177"/>
      <c r="M1154" s="177"/>
      <c r="N1154" s="70"/>
      <c r="O1154" s="38"/>
      <c r="P1154" s="38"/>
      <c r="Q1154" s="760"/>
      <c r="R1154" s="590"/>
      <c r="S1154" s="38"/>
      <c r="T1154" s="38"/>
      <c r="U1154" s="38"/>
      <c r="V1154" s="37"/>
      <c r="W1154" s="39">
        <f>IF(AC1154="Intr",0,G1154*Definitions!$B$53)</f>
        <v>0</v>
      </c>
      <c r="X1154" s="39">
        <f>IF(AC1154="Intr",0,G1154*Definitions!$B$54)</f>
        <v>0</v>
      </c>
      <c r="Y1154" s="39">
        <f>IF(AC1154="Intr",G1154,G1154*Definitions!$B$55)</f>
        <v>0</v>
      </c>
      <c r="Z1154" s="39"/>
      <c r="AA1154" s="39"/>
      <c r="AB1154" s="39"/>
      <c r="AC1154" s="38"/>
      <c r="AD1154" s="38"/>
      <c r="AE1154" s="38"/>
      <c r="AF1154" s="38"/>
      <c r="AG1154" s="40"/>
      <c r="AH1154" s="38"/>
    </row>
    <row r="1155" spans="1:34" x14ac:dyDescent="0.2">
      <c r="A1155" s="38"/>
      <c r="B1155" s="38"/>
      <c r="C1155" s="38"/>
      <c r="D1155" s="38"/>
      <c r="E1155" s="177"/>
      <c r="F1155" s="177"/>
      <c r="G1155" s="269"/>
      <c r="H1155" s="179"/>
      <c r="I1155" s="177"/>
      <c r="J1155" s="177"/>
      <c r="K1155" s="177"/>
      <c r="L1155" s="177"/>
      <c r="M1155" s="177"/>
      <c r="N1155" s="70"/>
      <c r="O1155" s="38"/>
      <c r="P1155" s="38"/>
      <c r="Q1155" s="760"/>
      <c r="R1155" s="590"/>
      <c r="S1155" s="38"/>
      <c r="T1155" s="38"/>
      <c r="U1155" s="38"/>
      <c r="V1155" s="37"/>
      <c r="W1155" s="39">
        <f>IF(AC1155="Intr",0,G1155*Definitions!$B$53)</f>
        <v>0</v>
      </c>
      <c r="X1155" s="39">
        <f>IF(AC1155="Intr",0,G1155*Definitions!$B$54)</f>
        <v>0</v>
      </c>
      <c r="Y1155" s="39">
        <f>IF(AC1155="Intr",G1155,G1155*Definitions!$B$55)</f>
        <v>0</v>
      </c>
      <c r="Z1155" s="39"/>
      <c r="AA1155" s="39"/>
      <c r="AB1155" s="39"/>
      <c r="AC1155" s="38"/>
      <c r="AD1155" s="38"/>
      <c r="AE1155" s="38"/>
      <c r="AF1155" s="38"/>
      <c r="AG1155" s="40"/>
      <c r="AH1155" s="38"/>
    </row>
    <row r="1156" spans="1:34" x14ac:dyDescent="0.2">
      <c r="A1156" s="38"/>
      <c r="B1156" s="38"/>
      <c r="C1156" s="38"/>
      <c r="D1156" s="38"/>
      <c r="E1156" s="177"/>
      <c r="F1156" s="177"/>
      <c r="G1156" s="269"/>
      <c r="H1156" s="179"/>
      <c r="I1156" s="177"/>
      <c r="J1156" s="177"/>
      <c r="K1156" s="177"/>
      <c r="L1156" s="177"/>
      <c r="M1156" s="177"/>
      <c r="N1156" s="70"/>
      <c r="O1156" s="38"/>
      <c r="P1156" s="38"/>
      <c r="Q1156" s="760"/>
      <c r="R1156" s="590"/>
      <c r="S1156" s="38"/>
      <c r="T1156" s="38"/>
      <c r="U1156" s="38"/>
      <c r="V1156" s="37"/>
      <c r="W1156" s="39">
        <f>IF(AC1156="Intr",0,G1156*Definitions!$B$53)</f>
        <v>0</v>
      </c>
      <c r="X1156" s="39">
        <f>IF(AC1156="Intr",0,G1156*Definitions!$B$54)</f>
        <v>0</v>
      </c>
      <c r="Y1156" s="39">
        <f>IF(AC1156="Intr",G1156,G1156*Definitions!$B$55)</f>
        <v>0</v>
      </c>
      <c r="Z1156" s="39"/>
      <c r="AA1156" s="39"/>
      <c r="AB1156" s="39"/>
      <c r="AC1156" s="38"/>
      <c r="AD1156" s="38"/>
      <c r="AE1156" s="38"/>
      <c r="AF1156" s="38"/>
      <c r="AG1156" s="40"/>
      <c r="AH1156" s="38"/>
    </row>
    <row r="1157" spans="1:34" x14ac:dyDescent="0.2">
      <c r="A1157" s="38"/>
      <c r="B1157" s="38"/>
      <c r="C1157" s="38"/>
      <c r="D1157" s="38"/>
      <c r="E1157" s="177"/>
      <c r="F1157" s="177"/>
      <c r="G1157" s="269"/>
      <c r="H1157" s="179"/>
      <c r="I1157" s="177"/>
      <c r="J1157" s="177"/>
      <c r="K1157" s="177"/>
      <c r="L1157" s="177"/>
      <c r="M1157" s="177"/>
      <c r="N1157" s="70"/>
      <c r="O1157" s="38"/>
      <c r="P1157" s="38"/>
      <c r="Q1157" s="760"/>
      <c r="R1157" s="590"/>
      <c r="S1157" s="38"/>
      <c r="T1157" s="38"/>
      <c r="U1157" s="38"/>
      <c r="V1157" s="37"/>
      <c r="W1157" s="39">
        <f>IF(AC1157="Intr",0,G1157*Definitions!$B$53)</f>
        <v>0</v>
      </c>
      <c r="X1157" s="39">
        <f>IF(AC1157="Intr",0,G1157*Definitions!$B$54)</f>
        <v>0</v>
      </c>
      <c r="Y1157" s="39">
        <f>IF(AC1157="Intr",G1157,G1157*Definitions!$B$55)</f>
        <v>0</v>
      </c>
      <c r="Z1157" s="39"/>
      <c r="AA1157" s="39"/>
      <c r="AB1157" s="39"/>
      <c r="AC1157" s="38"/>
      <c r="AD1157" s="38"/>
      <c r="AE1157" s="38"/>
      <c r="AF1157" s="38"/>
      <c r="AG1157" s="40"/>
      <c r="AH1157" s="38"/>
    </row>
    <row r="1158" spans="1:34" x14ac:dyDescent="0.2">
      <c r="A1158" s="38"/>
      <c r="B1158" s="38"/>
      <c r="C1158" s="38"/>
      <c r="D1158" s="38"/>
      <c r="E1158" s="177"/>
      <c r="F1158" s="177"/>
      <c r="G1158" s="269"/>
      <c r="H1158" s="179"/>
      <c r="I1158" s="177"/>
      <c r="J1158" s="177"/>
      <c r="K1158" s="177"/>
      <c r="L1158" s="177"/>
      <c r="M1158" s="177"/>
      <c r="N1158" s="70"/>
      <c r="O1158" s="38"/>
      <c r="P1158" s="38"/>
      <c r="Q1158" s="760"/>
      <c r="R1158" s="590"/>
      <c r="S1158" s="38"/>
      <c r="T1158" s="38"/>
      <c r="U1158" s="38"/>
      <c r="V1158" s="37"/>
      <c r="W1158" s="39">
        <f>IF(AC1158="Intr",0,G1158*Definitions!$B$53)</f>
        <v>0</v>
      </c>
      <c r="X1158" s="39">
        <f>IF(AC1158="Intr",0,G1158*Definitions!$B$54)</f>
        <v>0</v>
      </c>
      <c r="Y1158" s="39">
        <f>IF(AC1158="Intr",G1158,G1158*Definitions!$B$55)</f>
        <v>0</v>
      </c>
      <c r="Z1158" s="39"/>
      <c r="AA1158" s="39"/>
      <c r="AB1158" s="39"/>
      <c r="AC1158" s="38"/>
      <c r="AD1158" s="38"/>
      <c r="AE1158" s="38"/>
      <c r="AF1158" s="38"/>
      <c r="AG1158" s="40"/>
      <c r="AH1158" s="38"/>
    </row>
    <row r="1159" spans="1:34" x14ac:dyDescent="0.2">
      <c r="A1159" s="38"/>
      <c r="B1159" s="38"/>
      <c r="C1159" s="38"/>
      <c r="D1159" s="38"/>
      <c r="E1159" s="177"/>
      <c r="F1159" s="177"/>
      <c r="G1159" s="269"/>
      <c r="H1159" s="179"/>
      <c r="I1159" s="177"/>
      <c r="J1159" s="177"/>
      <c r="K1159" s="177"/>
      <c r="L1159" s="177"/>
      <c r="M1159" s="177"/>
      <c r="N1159" s="70"/>
      <c r="O1159" s="38"/>
      <c r="P1159" s="38"/>
      <c r="Q1159" s="760"/>
      <c r="R1159" s="590"/>
      <c r="S1159" s="38"/>
      <c r="T1159" s="38"/>
      <c r="U1159" s="38"/>
      <c r="V1159" s="37"/>
      <c r="W1159" s="39">
        <f>IF(AC1159="Intr",0,G1159*Definitions!$B$53)</f>
        <v>0</v>
      </c>
      <c r="X1159" s="39">
        <f>IF(AC1159="Intr",0,G1159*Definitions!$B$54)</f>
        <v>0</v>
      </c>
      <c r="Y1159" s="39">
        <f>IF(AC1159="Intr",G1159,G1159*Definitions!$B$55)</f>
        <v>0</v>
      </c>
      <c r="Z1159" s="39"/>
      <c r="AA1159" s="39"/>
      <c r="AB1159" s="39"/>
      <c r="AC1159" s="38"/>
      <c r="AD1159" s="38"/>
      <c r="AE1159" s="38"/>
      <c r="AF1159" s="38"/>
      <c r="AG1159" s="40"/>
      <c r="AH1159" s="38"/>
    </row>
    <row r="1160" spans="1:34" x14ac:dyDescent="0.2">
      <c r="A1160" s="38"/>
      <c r="B1160" s="38"/>
      <c r="C1160" s="38"/>
      <c r="D1160" s="38"/>
      <c r="E1160" s="177"/>
      <c r="F1160" s="177"/>
      <c r="G1160" s="269"/>
      <c r="H1160" s="179"/>
      <c r="I1160" s="177"/>
      <c r="J1160" s="177"/>
      <c r="K1160" s="177"/>
      <c r="L1160" s="177"/>
      <c r="M1160" s="177"/>
      <c r="N1160" s="70"/>
      <c r="O1160" s="38"/>
      <c r="P1160" s="38"/>
      <c r="Q1160" s="760"/>
      <c r="R1160" s="590"/>
      <c r="S1160" s="38"/>
      <c r="T1160" s="38"/>
      <c r="U1160" s="38"/>
      <c r="V1160" s="37"/>
      <c r="W1160" s="39">
        <f>IF(AC1160="Intr",0,G1160*Definitions!$B$53)</f>
        <v>0</v>
      </c>
      <c r="X1160" s="39">
        <f>IF(AC1160="Intr",0,G1160*Definitions!$B$54)</f>
        <v>0</v>
      </c>
      <c r="Y1160" s="39">
        <f>IF(AC1160="Intr",G1160,G1160*Definitions!$B$55)</f>
        <v>0</v>
      </c>
      <c r="Z1160" s="39"/>
      <c r="AA1160" s="39"/>
      <c r="AB1160" s="39"/>
      <c r="AC1160" s="38"/>
      <c r="AD1160" s="38"/>
      <c r="AE1160" s="38"/>
      <c r="AF1160" s="38"/>
      <c r="AG1160" s="40"/>
      <c r="AH1160" s="38"/>
    </row>
    <row r="1161" spans="1:34" x14ac:dyDescent="0.2">
      <c r="A1161" s="38"/>
      <c r="B1161" s="38"/>
      <c r="C1161" s="38"/>
      <c r="D1161" s="38"/>
      <c r="E1161" s="177"/>
      <c r="F1161" s="177"/>
      <c r="G1161" s="269"/>
      <c r="H1161" s="179"/>
      <c r="I1161" s="177"/>
      <c r="J1161" s="177"/>
      <c r="K1161" s="177"/>
      <c r="L1161" s="177"/>
      <c r="M1161" s="177"/>
      <c r="N1161" s="70"/>
      <c r="O1161" s="38"/>
      <c r="P1161" s="38"/>
      <c r="Q1161" s="760"/>
      <c r="R1161" s="590"/>
      <c r="S1161" s="38"/>
      <c r="T1161" s="38"/>
      <c r="U1161" s="38"/>
      <c r="V1161" s="37"/>
      <c r="W1161" s="39">
        <f>IF(AC1161="Intr",0,G1161*Definitions!$B$53)</f>
        <v>0</v>
      </c>
      <c r="X1161" s="39">
        <f>IF(AC1161="Intr",0,G1161*Definitions!$B$54)</f>
        <v>0</v>
      </c>
      <c r="Y1161" s="39">
        <f>IF(AC1161="Intr",G1161,G1161*Definitions!$B$55)</f>
        <v>0</v>
      </c>
      <c r="Z1161" s="39"/>
      <c r="AA1161" s="39"/>
      <c r="AB1161" s="39"/>
      <c r="AC1161" s="38"/>
      <c r="AD1161" s="38"/>
      <c r="AE1161" s="38"/>
      <c r="AF1161" s="38"/>
      <c r="AG1161" s="40"/>
      <c r="AH1161" s="38"/>
    </row>
    <row r="1162" spans="1:34" x14ac:dyDescent="0.2">
      <c r="A1162" s="38"/>
      <c r="B1162" s="38"/>
      <c r="C1162" s="38"/>
      <c r="D1162" s="38"/>
      <c r="E1162" s="177"/>
      <c r="F1162" s="177"/>
      <c r="G1162" s="269"/>
      <c r="H1162" s="179"/>
      <c r="I1162" s="177"/>
      <c r="J1162" s="177"/>
      <c r="K1162" s="177"/>
      <c r="L1162" s="177"/>
      <c r="M1162" s="177"/>
      <c r="N1162" s="70"/>
      <c r="O1162" s="38"/>
      <c r="P1162" s="38"/>
      <c r="Q1162" s="760"/>
      <c r="R1162" s="590"/>
      <c r="S1162" s="38"/>
      <c r="T1162" s="38"/>
      <c r="U1162" s="38"/>
      <c r="V1162" s="37"/>
      <c r="W1162" s="39">
        <f>IF(AC1162="Intr",0,G1162*Definitions!$B$53)</f>
        <v>0</v>
      </c>
      <c r="X1162" s="39">
        <f>IF(AC1162="Intr",0,G1162*Definitions!$B$54)</f>
        <v>0</v>
      </c>
      <c r="Y1162" s="39">
        <f>IF(AC1162="Intr",G1162,G1162*Definitions!$B$55)</f>
        <v>0</v>
      </c>
      <c r="Z1162" s="39"/>
      <c r="AA1162" s="39"/>
      <c r="AB1162" s="39"/>
      <c r="AC1162" s="38"/>
      <c r="AD1162" s="38"/>
      <c r="AE1162" s="38"/>
      <c r="AF1162" s="38"/>
      <c r="AG1162" s="40"/>
      <c r="AH1162" s="38"/>
    </row>
    <row r="1163" spans="1:34" x14ac:dyDescent="0.2">
      <c r="A1163" s="38"/>
      <c r="B1163" s="38"/>
      <c r="C1163" s="38"/>
      <c r="D1163" s="38"/>
      <c r="E1163" s="177"/>
      <c r="F1163" s="177"/>
      <c r="G1163" s="269"/>
      <c r="H1163" s="179"/>
      <c r="I1163" s="177"/>
      <c r="J1163" s="177"/>
      <c r="K1163" s="177"/>
      <c r="L1163" s="177"/>
      <c r="M1163" s="177"/>
      <c r="N1163" s="70"/>
      <c r="O1163" s="38"/>
      <c r="P1163" s="38"/>
      <c r="Q1163" s="760"/>
      <c r="R1163" s="590"/>
      <c r="S1163" s="38"/>
      <c r="T1163" s="38"/>
      <c r="U1163" s="38"/>
      <c r="V1163" s="37"/>
      <c r="W1163" s="39">
        <f>IF(AC1163="Intr",0,G1163*Definitions!$B$53)</f>
        <v>0</v>
      </c>
      <c r="X1163" s="39">
        <f>IF(AC1163="Intr",0,G1163*Definitions!$B$54)</f>
        <v>0</v>
      </c>
      <c r="Y1163" s="39">
        <f>IF(AC1163="Intr",G1163,G1163*Definitions!$B$55)</f>
        <v>0</v>
      </c>
      <c r="Z1163" s="39"/>
      <c r="AA1163" s="39"/>
      <c r="AB1163" s="39"/>
      <c r="AC1163" s="38"/>
      <c r="AD1163" s="38"/>
      <c r="AE1163" s="38"/>
      <c r="AF1163" s="38"/>
      <c r="AG1163" s="40"/>
      <c r="AH1163" s="38"/>
    </row>
    <row r="1164" spans="1:34" x14ac:dyDescent="0.2">
      <c r="A1164" s="38"/>
      <c r="B1164" s="38"/>
      <c r="C1164" s="38"/>
      <c r="D1164" s="38"/>
      <c r="E1164" s="177"/>
      <c r="F1164" s="177"/>
      <c r="G1164" s="269"/>
      <c r="H1164" s="179"/>
      <c r="I1164" s="177"/>
      <c r="J1164" s="177"/>
      <c r="K1164" s="177"/>
      <c r="L1164" s="177"/>
      <c r="M1164" s="177"/>
      <c r="N1164" s="70"/>
      <c r="O1164" s="38"/>
      <c r="P1164" s="38"/>
      <c r="Q1164" s="760"/>
      <c r="R1164" s="590"/>
      <c r="S1164" s="38"/>
      <c r="T1164" s="38"/>
      <c r="U1164" s="38"/>
      <c r="V1164" s="37"/>
      <c r="W1164" s="39">
        <f>IF(AC1164="Intr",0,G1164*Definitions!$B$53)</f>
        <v>0</v>
      </c>
      <c r="X1164" s="39">
        <f>IF(AC1164="Intr",0,G1164*Definitions!$B$54)</f>
        <v>0</v>
      </c>
      <c r="Y1164" s="39">
        <f>IF(AC1164="Intr",G1164,G1164*Definitions!$B$55)</f>
        <v>0</v>
      </c>
      <c r="Z1164" s="39"/>
      <c r="AA1164" s="39"/>
      <c r="AB1164" s="39"/>
      <c r="AC1164" s="38"/>
      <c r="AD1164" s="38"/>
      <c r="AE1164" s="38"/>
      <c r="AF1164" s="38"/>
      <c r="AG1164" s="40"/>
      <c r="AH1164" s="38"/>
    </row>
    <row r="1165" spans="1:34" x14ac:dyDescent="0.2">
      <c r="A1165" s="38"/>
      <c r="B1165" s="38"/>
      <c r="C1165" s="38"/>
      <c r="D1165" s="38"/>
      <c r="E1165" s="177"/>
      <c r="F1165" s="177"/>
      <c r="G1165" s="269"/>
      <c r="H1165" s="179"/>
      <c r="I1165" s="177"/>
      <c r="J1165" s="177"/>
      <c r="K1165" s="177"/>
      <c r="L1165" s="177"/>
      <c r="M1165" s="177"/>
      <c r="N1165" s="70"/>
      <c r="O1165" s="38"/>
      <c r="P1165" s="38"/>
      <c r="Q1165" s="760"/>
      <c r="R1165" s="590"/>
      <c r="S1165" s="38"/>
      <c r="T1165" s="38"/>
      <c r="U1165" s="38"/>
      <c r="V1165" s="37"/>
      <c r="W1165" s="39">
        <f>IF(AC1165="Intr",0,G1165*Definitions!$B$53)</f>
        <v>0</v>
      </c>
      <c r="X1165" s="39">
        <f>IF(AC1165="Intr",0,G1165*Definitions!$B$54)</f>
        <v>0</v>
      </c>
      <c r="Y1165" s="39">
        <f>IF(AC1165="Intr",G1165,G1165*Definitions!$B$55)</f>
        <v>0</v>
      </c>
      <c r="Z1165" s="39"/>
      <c r="AA1165" s="39"/>
      <c r="AB1165" s="39"/>
      <c r="AC1165" s="38"/>
      <c r="AD1165" s="38"/>
      <c r="AE1165" s="38"/>
      <c r="AF1165" s="38"/>
      <c r="AG1165" s="40"/>
      <c r="AH1165" s="38"/>
    </row>
    <row r="1166" spans="1:34" x14ac:dyDescent="0.2">
      <c r="A1166" s="38"/>
      <c r="B1166" s="38"/>
      <c r="C1166" s="38"/>
      <c r="D1166" s="38"/>
      <c r="E1166" s="177"/>
      <c r="F1166" s="177"/>
      <c r="G1166" s="269"/>
      <c r="H1166" s="179"/>
      <c r="I1166" s="177"/>
      <c r="J1166" s="177"/>
      <c r="K1166" s="177"/>
      <c r="L1166" s="177"/>
      <c r="M1166" s="177"/>
      <c r="N1166" s="70"/>
      <c r="O1166" s="38"/>
      <c r="P1166" s="38"/>
      <c r="Q1166" s="760"/>
      <c r="R1166" s="590"/>
      <c r="S1166" s="38"/>
      <c r="T1166" s="38"/>
      <c r="U1166" s="38"/>
      <c r="V1166" s="37"/>
      <c r="W1166" s="39">
        <f>IF(AC1166="Intr",0,G1166*Definitions!$B$53)</f>
        <v>0</v>
      </c>
      <c r="X1166" s="39">
        <f>IF(AC1166="Intr",0,G1166*Definitions!$B$54)</f>
        <v>0</v>
      </c>
      <c r="Y1166" s="39">
        <f>IF(AC1166="Intr",G1166,G1166*Definitions!$B$55)</f>
        <v>0</v>
      </c>
      <c r="Z1166" s="39"/>
      <c r="AA1166" s="39"/>
      <c r="AB1166" s="39"/>
      <c r="AC1166" s="38"/>
      <c r="AD1166" s="38"/>
      <c r="AE1166" s="38"/>
      <c r="AF1166" s="38"/>
      <c r="AG1166" s="40"/>
      <c r="AH1166" s="38"/>
    </row>
    <row r="1167" spans="1:34" x14ac:dyDescent="0.2">
      <c r="A1167" s="38"/>
      <c r="B1167" s="38"/>
      <c r="C1167" s="38"/>
      <c r="D1167" s="38"/>
      <c r="E1167" s="177"/>
      <c r="F1167" s="177"/>
      <c r="G1167" s="269"/>
      <c r="H1167" s="179"/>
      <c r="I1167" s="177"/>
      <c r="J1167" s="177"/>
      <c r="K1167" s="177"/>
      <c r="L1167" s="177"/>
      <c r="M1167" s="177"/>
      <c r="N1167" s="70"/>
      <c r="O1167" s="38"/>
      <c r="P1167" s="38"/>
      <c r="Q1167" s="760"/>
      <c r="R1167" s="590"/>
      <c r="S1167" s="38"/>
      <c r="T1167" s="38"/>
      <c r="U1167" s="38"/>
      <c r="V1167" s="37"/>
      <c r="W1167" s="39">
        <f>IF(AC1167="Intr",0,G1167*Definitions!$B$53)</f>
        <v>0</v>
      </c>
      <c r="X1167" s="39">
        <f>IF(AC1167="Intr",0,G1167*Definitions!$B$54)</f>
        <v>0</v>
      </c>
      <c r="Y1167" s="39">
        <f>IF(AC1167="Intr",G1167,G1167*Definitions!$B$55)</f>
        <v>0</v>
      </c>
      <c r="Z1167" s="39"/>
      <c r="AA1167" s="39"/>
      <c r="AB1167" s="39"/>
      <c r="AC1167" s="38"/>
      <c r="AD1167" s="38"/>
      <c r="AE1167" s="38"/>
      <c r="AF1167" s="38"/>
      <c r="AG1167" s="40"/>
      <c r="AH1167" s="38"/>
    </row>
    <row r="1168" spans="1:34" x14ac:dyDescent="0.2">
      <c r="A1168" s="38"/>
      <c r="B1168" s="38"/>
      <c r="C1168" s="38"/>
      <c r="D1168" s="38"/>
      <c r="E1168" s="177"/>
      <c r="F1168" s="177"/>
      <c r="G1168" s="269"/>
      <c r="H1168" s="179"/>
      <c r="I1168" s="177"/>
      <c r="J1168" s="177"/>
      <c r="K1168" s="177"/>
      <c r="L1168" s="177"/>
      <c r="M1168" s="177"/>
      <c r="N1168" s="70"/>
      <c r="O1168" s="38"/>
      <c r="P1168" s="38"/>
      <c r="Q1168" s="760"/>
      <c r="R1168" s="590"/>
      <c r="S1168" s="38"/>
      <c r="T1168" s="38"/>
      <c r="U1168" s="38"/>
      <c r="V1168" s="37"/>
      <c r="W1168" s="39">
        <f>IF(AC1168="Intr",0,G1168*Definitions!$B$53)</f>
        <v>0</v>
      </c>
      <c r="X1168" s="39">
        <f>IF(AC1168="Intr",0,G1168*Definitions!$B$54)</f>
        <v>0</v>
      </c>
      <c r="Y1168" s="39">
        <f>IF(AC1168="Intr",G1168,G1168*Definitions!$B$55)</f>
        <v>0</v>
      </c>
      <c r="Z1168" s="39"/>
      <c r="AA1168" s="39"/>
      <c r="AB1168" s="39"/>
      <c r="AC1168" s="38"/>
      <c r="AD1168" s="38"/>
      <c r="AE1168" s="38"/>
      <c r="AF1168" s="38"/>
      <c r="AG1168" s="40"/>
      <c r="AH1168" s="38"/>
    </row>
    <row r="1169" spans="1:34" x14ac:dyDescent="0.2">
      <c r="A1169" s="38"/>
      <c r="B1169" s="38"/>
      <c r="C1169" s="38"/>
      <c r="D1169" s="38"/>
      <c r="E1169" s="177"/>
      <c r="F1169" s="177"/>
      <c r="G1169" s="269"/>
      <c r="H1169" s="179"/>
      <c r="I1169" s="177"/>
      <c r="J1169" s="177"/>
      <c r="K1169" s="177"/>
      <c r="L1169" s="177"/>
      <c r="M1169" s="177"/>
      <c r="N1169" s="70"/>
      <c r="O1169" s="38"/>
      <c r="P1169" s="38"/>
      <c r="Q1169" s="760"/>
      <c r="R1169" s="590"/>
      <c r="S1169" s="38"/>
      <c r="T1169" s="38"/>
      <c r="U1169" s="38"/>
      <c r="V1169" s="37"/>
      <c r="W1169" s="39">
        <f>IF(AC1169="Intr",0,G1169*Definitions!$B$53)</f>
        <v>0</v>
      </c>
      <c r="X1169" s="39">
        <f>IF(AC1169="Intr",0,G1169*Definitions!$B$54)</f>
        <v>0</v>
      </c>
      <c r="Y1169" s="39">
        <f>IF(AC1169="Intr",G1169,G1169*Definitions!$B$55)</f>
        <v>0</v>
      </c>
      <c r="Z1169" s="39"/>
      <c r="AA1169" s="39"/>
      <c r="AB1169" s="39"/>
      <c r="AC1169" s="38"/>
      <c r="AD1169" s="38"/>
      <c r="AE1169" s="38"/>
      <c r="AF1169" s="38"/>
      <c r="AG1169" s="40"/>
      <c r="AH1169" s="38"/>
    </row>
    <row r="1170" spans="1:34" x14ac:dyDescent="0.2">
      <c r="A1170" s="38"/>
      <c r="B1170" s="38"/>
      <c r="C1170" s="38"/>
      <c r="D1170" s="38"/>
      <c r="E1170" s="177"/>
      <c r="F1170" s="177"/>
      <c r="G1170" s="269"/>
      <c r="H1170" s="179"/>
      <c r="I1170" s="177"/>
      <c r="J1170" s="177"/>
      <c r="K1170" s="177"/>
      <c r="L1170" s="177"/>
      <c r="M1170" s="177"/>
      <c r="N1170" s="70"/>
      <c r="O1170" s="38"/>
      <c r="P1170" s="38"/>
      <c r="Q1170" s="760"/>
      <c r="R1170" s="590"/>
      <c r="S1170" s="38"/>
      <c r="T1170" s="38"/>
      <c r="U1170" s="38"/>
      <c r="V1170" s="37"/>
      <c r="W1170" s="39">
        <f>IF(AC1170="Intr",0,G1170*Definitions!$B$53)</f>
        <v>0</v>
      </c>
      <c r="X1170" s="39">
        <f>IF(AC1170="Intr",0,G1170*Definitions!$B$54)</f>
        <v>0</v>
      </c>
      <c r="Y1170" s="39">
        <f>IF(AC1170="Intr",G1170,G1170*Definitions!$B$55)</f>
        <v>0</v>
      </c>
      <c r="Z1170" s="39"/>
      <c r="AA1170" s="39"/>
      <c r="AB1170" s="39"/>
      <c r="AC1170" s="38"/>
      <c r="AD1170" s="38"/>
      <c r="AE1170" s="38"/>
      <c r="AF1170" s="38"/>
      <c r="AG1170" s="40"/>
      <c r="AH1170" s="38"/>
    </row>
    <row r="1171" spans="1:34" x14ac:dyDescent="0.2">
      <c r="A1171" s="38"/>
      <c r="B1171" s="38"/>
      <c r="C1171" s="38"/>
      <c r="D1171" s="38"/>
      <c r="E1171" s="177"/>
      <c r="F1171" s="177"/>
      <c r="G1171" s="269"/>
      <c r="H1171" s="179"/>
      <c r="I1171" s="177"/>
      <c r="J1171" s="177"/>
      <c r="K1171" s="177"/>
      <c r="L1171" s="177"/>
      <c r="M1171" s="177"/>
      <c r="N1171" s="70"/>
      <c r="O1171" s="38"/>
      <c r="P1171" s="38"/>
      <c r="Q1171" s="760"/>
      <c r="R1171" s="590"/>
      <c r="S1171" s="38"/>
      <c r="T1171" s="38"/>
      <c r="U1171" s="38"/>
      <c r="V1171" s="37"/>
      <c r="W1171" s="39">
        <f>IF(AC1171="Intr",0,G1171*Definitions!$B$53)</f>
        <v>0</v>
      </c>
      <c r="X1171" s="39">
        <f>IF(AC1171="Intr",0,G1171*Definitions!$B$54)</f>
        <v>0</v>
      </c>
      <c r="Y1171" s="39">
        <f>IF(AC1171="Intr",G1171,G1171*Definitions!$B$55)</f>
        <v>0</v>
      </c>
      <c r="Z1171" s="39"/>
      <c r="AA1171" s="39"/>
      <c r="AB1171" s="39"/>
      <c r="AC1171" s="38"/>
      <c r="AD1171" s="38"/>
      <c r="AE1171" s="38"/>
      <c r="AF1171" s="38"/>
      <c r="AG1171" s="40"/>
      <c r="AH1171" s="38"/>
    </row>
    <row r="1172" spans="1:34" x14ac:dyDescent="0.2">
      <c r="A1172" s="38"/>
      <c r="B1172" s="38"/>
      <c r="C1172" s="38"/>
      <c r="D1172" s="38"/>
      <c r="E1172" s="177"/>
      <c r="F1172" s="177"/>
      <c r="G1172" s="269"/>
      <c r="H1172" s="179"/>
      <c r="I1172" s="177"/>
      <c r="J1172" s="177"/>
      <c r="K1172" s="177"/>
      <c r="L1172" s="177"/>
      <c r="M1172" s="177"/>
      <c r="N1172" s="70"/>
      <c r="O1172" s="38"/>
      <c r="P1172" s="38"/>
      <c r="Q1172" s="760"/>
      <c r="R1172" s="590"/>
      <c r="S1172" s="38"/>
      <c r="T1172" s="38"/>
      <c r="U1172" s="38"/>
      <c r="V1172" s="37"/>
      <c r="W1172" s="39">
        <f>IF(AC1172="Intr",0,G1172*Definitions!$B$53)</f>
        <v>0</v>
      </c>
      <c r="X1172" s="39">
        <f>IF(AC1172="Intr",0,G1172*Definitions!$B$54)</f>
        <v>0</v>
      </c>
      <c r="Y1172" s="39">
        <f>IF(AC1172="Intr",G1172,G1172*Definitions!$B$55)</f>
        <v>0</v>
      </c>
      <c r="Z1172" s="39"/>
      <c r="AA1172" s="39"/>
      <c r="AB1172" s="39"/>
      <c r="AC1172" s="38"/>
      <c r="AD1172" s="38"/>
      <c r="AE1172" s="38"/>
      <c r="AF1172" s="38"/>
      <c r="AG1172" s="40"/>
      <c r="AH1172" s="38"/>
    </row>
    <row r="1173" spans="1:34" x14ac:dyDescent="0.2">
      <c r="A1173" s="38"/>
      <c r="B1173" s="38"/>
      <c r="C1173" s="38"/>
      <c r="D1173" s="38"/>
      <c r="E1173" s="177"/>
      <c r="F1173" s="177"/>
      <c r="G1173" s="269"/>
      <c r="H1173" s="179"/>
      <c r="I1173" s="177"/>
      <c r="J1173" s="177"/>
      <c r="K1173" s="177"/>
      <c r="L1173" s="177"/>
      <c r="M1173" s="177"/>
      <c r="N1173" s="70"/>
      <c r="O1173" s="38"/>
      <c r="P1173" s="38"/>
      <c r="Q1173" s="760"/>
      <c r="R1173" s="590"/>
      <c r="S1173" s="38"/>
      <c r="T1173" s="38"/>
      <c r="U1173" s="38"/>
      <c r="V1173" s="37"/>
      <c r="W1173" s="39">
        <f>IF(AC1173="Intr",0,G1173*Definitions!$B$53)</f>
        <v>0</v>
      </c>
      <c r="X1173" s="39">
        <f>IF(AC1173="Intr",0,G1173*Definitions!$B$54)</f>
        <v>0</v>
      </c>
      <c r="Y1173" s="39">
        <f>IF(AC1173="Intr",G1173,G1173*Definitions!$B$55)</f>
        <v>0</v>
      </c>
      <c r="Z1173" s="39"/>
      <c r="AA1173" s="39"/>
      <c r="AB1173" s="39"/>
      <c r="AC1173" s="38"/>
      <c r="AD1173" s="38"/>
      <c r="AE1173" s="38"/>
      <c r="AF1173" s="38"/>
      <c r="AG1173" s="40"/>
      <c r="AH1173" s="38"/>
    </row>
    <row r="1174" spans="1:34" x14ac:dyDescent="0.2">
      <c r="A1174" s="38"/>
      <c r="B1174" s="38"/>
      <c r="C1174" s="38"/>
      <c r="D1174" s="38"/>
      <c r="E1174" s="177"/>
      <c r="F1174" s="177"/>
      <c r="G1174" s="269"/>
      <c r="H1174" s="179"/>
      <c r="I1174" s="177"/>
      <c r="J1174" s="177"/>
      <c r="K1174" s="177"/>
      <c r="L1174" s="177"/>
      <c r="M1174" s="177"/>
      <c r="N1174" s="70"/>
      <c r="O1174" s="38"/>
      <c r="P1174" s="38"/>
      <c r="Q1174" s="760"/>
      <c r="R1174" s="590"/>
      <c r="S1174" s="38"/>
      <c r="T1174" s="38"/>
      <c r="U1174" s="38"/>
      <c r="V1174" s="37"/>
      <c r="W1174" s="39">
        <f>IF(AC1174="Intr",0,G1174*Definitions!$B$53)</f>
        <v>0</v>
      </c>
      <c r="X1174" s="39">
        <f>IF(AC1174="Intr",0,G1174*Definitions!$B$54)</f>
        <v>0</v>
      </c>
      <c r="Y1174" s="39">
        <f>IF(AC1174="Intr",G1174,G1174*Definitions!$B$55)</f>
        <v>0</v>
      </c>
      <c r="Z1174" s="39"/>
      <c r="AA1174" s="39"/>
      <c r="AB1174" s="39"/>
      <c r="AC1174" s="38"/>
      <c r="AD1174" s="38"/>
      <c r="AE1174" s="38"/>
      <c r="AF1174" s="38"/>
      <c r="AG1174" s="40"/>
      <c r="AH1174" s="38"/>
    </row>
    <row r="1175" spans="1:34" x14ac:dyDescent="0.2">
      <c r="A1175" s="38"/>
      <c r="B1175" s="38"/>
      <c r="C1175" s="38"/>
      <c r="D1175" s="38"/>
      <c r="E1175" s="177"/>
      <c r="F1175" s="177"/>
      <c r="G1175" s="269"/>
      <c r="H1175" s="179"/>
      <c r="I1175" s="177"/>
      <c r="J1175" s="177"/>
      <c r="K1175" s="177"/>
      <c r="L1175" s="177"/>
      <c r="M1175" s="177"/>
      <c r="N1175" s="70"/>
      <c r="O1175" s="38"/>
      <c r="P1175" s="38"/>
      <c r="Q1175" s="760"/>
      <c r="R1175" s="590"/>
      <c r="S1175" s="38"/>
      <c r="T1175" s="38"/>
      <c r="U1175" s="38"/>
      <c r="V1175" s="37"/>
      <c r="W1175" s="39">
        <f>IF(AC1175="Intr",0,G1175*Definitions!$B$53)</f>
        <v>0</v>
      </c>
      <c r="X1175" s="39">
        <f>IF(AC1175="Intr",0,G1175*Definitions!$B$54)</f>
        <v>0</v>
      </c>
      <c r="Y1175" s="39">
        <f>IF(AC1175="Intr",G1175,G1175*Definitions!$B$55)</f>
        <v>0</v>
      </c>
      <c r="Z1175" s="39"/>
      <c r="AA1175" s="39"/>
      <c r="AB1175" s="39"/>
      <c r="AC1175" s="38"/>
      <c r="AD1175" s="38"/>
      <c r="AE1175" s="38"/>
      <c r="AF1175" s="38"/>
      <c r="AG1175" s="40"/>
      <c r="AH1175" s="38"/>
    </row>
    <row r="1176" spans="1:34" x14ac:dyDescent="0.2">
      <c r="A1176" s="38"/>
      <c r="B1176" s="38"/>
      <c r="C1176" s="38"/>
      <c r="D1176" s="38"/>
      <c r="E1176" s="177"/>
      <c r="F1176" s="177"/>
      <c r="G1176" s="269"/>
      <c r="H1176" s="179"/>
      <c r="I1176" s="177"/>
      <c r="J1176" s="177"/>
      <c r="K1176" s="177"/>
      <c r="L1176" s="177"/>
      <c r="M1176" s="177"/>
      <c r="N1176" s="70"/>
      <c r="O1176" s="38"/>
      <c r="P1176" s="38"/>
      <c r="Q1176" s="760"/>
      <c r="R1176" s="590"/>
      <c r="S1176" s="38"/>
      <c r="T1176" s="38"/>
      <c r="U1176" s="38"/>
      <c r="V1176" s="37"/>
      <c r="W1176" s="39">
        <f>IF(AC1176="Intr",0,G1176*Definitions!$B$53)</f>
        <v>0</v>
      </c>
      <c r="X1176" s="39">
        <f>IF(AC1176="Intr",0,G1176*Definitions!$B$54)</f>
        <v>0</v>
      </c>
      <c r="Y1176" s="39">
        <f>IF(AC1176="Intr",G1176,G1176*Definitions!$B$55)</f>
        <v>0</v>
      </c>
      <c r="Z1176" s="39"/>
      <c r="AA1176" s="39"/>
      <c r="AB1176" s="39"/>
      <c r="AC1176" s="38"/>
      <c r="AD1176" s="38"/>
      <c r="AE1176" s="38"/>
      <c r="AF1176" s="38"/>
      <c r="AG1176" s="40"/>
      <c r="AH1176" s="38"/>
    </row>
    <row r="1177" spans="1:34" x14ac:dyDescent="0.2">
      <c r="A1177" s="38"/>
      <c r="B1177" s="38"/>
      <c r="C1177" s="38"/>
      <c r="D1177" s="38"/>
      <c r="E1177" s="177"/>
      <c r="F1177" s="177"/>
      <c r="G1177" s="269"/>
      <c r="H1177" s="179"/>
      <c r="I1177" s="177"/>
      <c r="J1177" s="177"/>
      <c r="K1177" s="177"/>
      <c r="L1177" s="177"/>
      <c r="M1177" s="177"/>
      <c r="N1177" s="70"/>
      <c r="O1177" s="38"/>
      <c r="P1177" s="38"/>
      <c r="Q1177" s="760"/>
      <c r="R1177" s="590"/>
      <c r="S1177" s="38"/>
      <c r="T1177" s="38"/>
      <c r="U1177" s="38"/>
      <c r="V1177" s="37"/>
      <c r="W1177" s="39">
        <f>IF(AC1177="Intr",0,G1177*Definitions!$B$53)</f>
        <v>0</v>
      </c>
      <c r="X1177" s="39">
        <f>IF(AC1177="Intr",0,G1177*Definitions!$B$54)</f>
        <v>0</v>
      </c>
      <c r="Y1177" s="39">
        <f>IF(AC1177="Intr",G1177,G1177*Definitions!$B$55)</f>
        <v>0</v>
      </c>
      <c r="Z1177" s="39"/>
      <c r="AA1177" s="39"/>
      <c r="AB1177" s="39"/>
      <c r="AC1177" s="38"/>
      <c r="AD1177" s="38"/>
      <c r="AE1177" s="38"/>
      <c r="AF1177" s="38"/>
      <c r="AG1177" s="40"/>
      <c r="AH1177" s="38"/>
    </row>
    <row r="1178" spans="1:34" x14ac:dyDescent="0.2">
      <c r="A1178" s="38"/>
      <c r="B1178" s="38"/>
      <c r="C1178" s="38"/>
      <c r="D1178" s="38"/>
      <c r="E1178" s="177"/>
      <c r="F1178" s="177"/>
      <c r="G1178" s="269"/>
      <c r="H1178" s="179"/>
      <c r="I1178" s="177"/>
      <c r="J1178" s="177"/>
      <c r="K1178" s="177"/>
      <c r="L1178" s="177"/>
      <c r="M1178" s="177"/>
      <c r="N1178" s="70"/>
      <c r="O1178" s="38"/>
      <c r="P1178" s="38"/>
      <c r="Q1178" s="760"/>
      <c r="R1178" s="590"/>
      <c r="S1178" s="38"/>
      <c r="T1178" s="38"/>
      <c r="U1178" s="38"/>
      <c r="V1178" s="37"/>
      <c r="W1178" s="39">
        <f>IF(AC1178="Intr",0,G1178*Definitions!$B$53)</f>
        <v>0</v>
      </c>
      <c r="X1178" s="39">
        <f>IF(AC1178="Intr",0,G1178*Definitions!$B$54)</f>
        <v>0</v>
      </c>
      <c r="Y1178" s="39">
        <f>IF(AC1178="Intr",G1178,G1178*Definitions!$B$55)</f>
        <v>0</v>
      </c>
      <c r="Z1178" s="39"/>
      <c r="AA1178" s="39"/>
      <c r="AB1178" s="39"/>
      <c r="AC1178" s="38"/>
      <c r="AD1178" s="38"/>
      <c r="AE1178" s="38"/>
      <c r="AF1178" s="38"/>
      <c r="AG1178" s="40"/>
      <c r="AH1178" s="38"/>
    </row>
    <row r="1179" spans="1:34" x14ac:dyDescent="0.2">
      <c r="A1179" s="38"/>
      <c r="B1179" s="38"/>
      <c r="C1179" s="38"/>
      <c r="D1179" s="38"/>
      <c r="E1179" s="177"/>
      <c r="F1179" s="177"/>
      <c r="G1179" s="269"/>
      <c r="H1179" s="179"/>
      <c r="I1179" s="177"/>
      <c r="J1179" s="177"/>
      <c r="K1179" s="177"/>
      <c r="L1179" s="177"/>
      <c r="M1179" s="177"/>
      <c r="N1179" s="70"/>
      <c r="O1179" s="38"/>
      <c r="P1179" s="38"/>
      <c r="Q1179" s="760"/>
      <c r="R1179" s="590"/>
      <c r="S1179" s="38"/>
      <c r="T1179" s="38"/>
      <c r="U1179" s="38"/>
      <c r="V1179" s="37"/>
      <c r="W1179" s="39">
        <f>IF(AC1179="Intr",0,G1179*Definitions!$B$53)</f>
        <v>0</v>
      </c>
      <c r="X1179" s="39">
        <f>IF(AC1179="Intr",0,G1179*Definitions!$B$54)</f>
        <v>0</v>
      </c>
      <c r="Y1179" s="39">
        <f>IF(AC1179="Intr",G1179,G1179*Definitions!$B$55)</f>
        <v>0</v>
      </c>
      <c r="Z1179" s="39"/>
      <c r="AA1179" s="39"/>
      <c r="AB1179" s="39"/>
      <c r="AC1179" s="38"/>
      <c r="AD1179" s="38"/>
      <c r="AE1179" s="38"/>
      <c r="AF1179" s="38"/>
      <c r="AG1179" s="40"/>
      <c r="AH1179" s="38"/>
    </row>
    <row r="1180" spans="1:34" x14ac:dyDescent="0.2">
      <c r="A1180" s="38"/>
      <c r="B1180" s="38"/>
      <c r="C1180" s="38"/>
      <c r="D1180" s="38"/>
      <c r="E1180" s="177"/>
      <c r="F1180" s="177"/>
      <c r="G1180" s="269"/>
      <c r="H1180" s="179"/>
      <c r="I1180" s="177"/>
      <c r="J1180" s="177"/>
      <c r="K1180" s="177"/>
      <c r="L1180" s="177"/>
      <c r="M1180" s="177"/>
      <c r="N1180" s="70"/>
      <c r="O1180" s="38"/>
      <c r="P1180" s="38"/>
      <c r="Q1180" s="760"/>
      <c r="R1180" s="590"/>
      <c r="S1180" s="38"/>
      <c r="T1180" s="38"/>
      <c r="U1180" s="38"/>
      <c r="V1180" s="37"/>
      <c r="W1180" s="39">
        <f>IF(AC1180="Intr",0,G1180*Definitions!$B$53)</f>
        <v>0</v>
      </c>
      <c r="X1180" s="39">
        <f>IF(AC1180="Intr",0,G1180*Definitions!$B$54)</f>
        <v>0</v>
      </c>
      <c r="Y1180" s="39">
        <f>IF(AC1180="Intr",G1180,G1180*Definitions!$B$55)</f>
        <v>0</v>
      </c>
      <c r="Z1180" s="39"/>
      <c r="AA1180" s="39"/>
      <c r="AB1180" s="39"/>
      <c r="AC1180" s="38"/>
      <c r="AD1180" s="38"/>
      <c r="AE1180" s="38"/>
      <c r="AF1180" s="38"/>
      <c r="AG1180" s="40"/>
      <c r="AH1180" s="38"/>
    </row>
    <row r="1181" spans="1:34" x14ac:dyDescent="0.2">
      <c r="A1181" s="38"/>
      <c r="B1181" s="38"/>
      <c r="C1181" s="38"/>
      <c r="D1181" s="38"/>
      <c r="E1181" s="177"/>
      <c r="F1181" s="177"/>
      <c r="G1181" s="269"/>
      <c r="H1181" s="179"/>
      <c r="I1181" s="177"/>
      <c r="J1181" s="177"/>
      <c r="K1181" s="177"/>
      <c r="L1181" s="177"/>
      <c r="M1181" s="177"/>
      <c r="N1181" s="70"/>
      <c r="O1181" s="38"/>
      <c r="P1181" s="38"/>
      <c r="Q1181" s="760"/>
      <c r="R1181" s="590"/>
      <c r="S1181" s="38"/>
      <c r="T1181" s="38"/>
      <c r="U1181" s="38"/>
      <c r="V1181" s="37"/>
      <c r="W1181" s="39">
        <f>IF(AC1181="Intr",0,G1181*Definitions!$B$53)</f>
        <v>0</v>
      </c>
      <c r="X1181" s="39">
        <f>IF(AC1181="Intr",0,G1181*Definitions!$B$54)</f>
        <v>0</v>
      </c>
      <c r="Y1181" s="39">
        <f>IF(AC1181="Intr",G1181,G1181*Definitions!$B$55)</f>
        <v>0</v>
      </c>
      <c r="Z1181" s="39"/>
      <c r="AA1181" s="39"/>
      <c r="AB1181" s="39"/>
      <c r="AC1181" s="38"/>
      <c r="AD1181" s="38"/>
      <c r="AE1181" s="38"/>
      <c r="AF1181" s="38"/>
      <c r="AG1181" s="40"/>
      <c r="AH1181" s="38"/>
    </row>
    <row r="1182" spans="1:34" x14ac:dyDescent="0.2">
      <c r="A1182" s="38"/>
      <c r="B1182" s="38"/>
      <c r="C1182" s="38"/>
      <c r="D1182" s="38"/>
      <c r="E1182" s="177"/>
      <c r="F1182" s="177"/>
      <c r="G1182" s="269"/>
      <c r="H1182" s="179"/>
      <c r="I1182" s="177"/>
      <c r="J1182" s="177"/>
      <c r="K1182" s="177"/>
      <c r="L1182" s="177"/>
      <c r="M1182" s="177"/>
      <c r="N1182" s="70"/>
      <c r="O1182" s="38"/>
      <c r="P1182" s="38"/>
      <c r="Q1182" s="760"/>
      <c r="R1182" s="590"/>
      <c r="S1182" s="38"/>
      <c r="T1182" s="38"/>
      <c r="U1182" s="38"/>
      <c r="V1182" s="37"/>
      <c r="W1182" s="39">
        <f>IF(AC1182="Intr",0,G1182*Definitions!$B$53)</f>
        <v>0</v>
      </c>
      <c r="X1182" s="39">
        <f>IF(AC1182="Intr",0,G1182*Definitions!$B$54)</f>
        <v>0</v>
      </c>
      <c r="Y1182" s="39">
        <f>IF(AC1182="Intr",G1182,G1182*Definitions!$B$55)</f>
        <v>0</v>
      </c>
      <c r="Z1182" s="39"/>
      <c r="AA1182" s="39"/>
      <c r="AB1182" s="39"/>
      <c r="AC1182" s="38"/>
      <c r="AD1182" s="38"/>
      <c r="AE1182" s="38"/>
      <c r="AF1182" s="38"/>
      <c r="AG1182" s="40"/>
      <c r="AH1182" s="38"/>
    </row>
    <row r="1183" spans="1:34" x14ac:dyDescent="0.2">
      <c r="A1183" s="38"/>
      <c r="B1183" s="38"/>
      <c r="C1183" s="38"/>
      <c r="D1183" s="38"/>
      <c r="E1183" s="177"/>
      <c r="F1183" s="177"/>
      <c r="G1183" s="269"/>
      <c r="H1183" s="179"/>
      <c r="I1183" s="177"/>
      <c r="J1183" s="177"/>
      <c r="K1183" s="177"/>
      <c r="L1183" s="177"/>
      <c r="M1183" s="177"/>
      <c r="N1183" s="70"/>
      <c r="O1183" s="38"/>
      <c r="P1183" s="38"/>
      <c r="Q1183" s="760"/>
      <c r="R1183" s="590"/>
      <c r="S1183" s="38"/>
      <c r="T1183" s="38"/>
      <c r="U1183" s="38"/>
      <c r="V1183" s="37"/>
      <c r="W1183" s="39">
        <f>IF(AC1183="Intr",0,G1183*Definitions!$B$53)</f>
        <v>0</v>
      </c>
      <c r="X1183" s="39">
        <f>IF(AC1183="Intr",0,G1183*Definitions!$B$54)</f>
        <v>0</v>
      </c>
      <c r="Y1183" s="39">
        <f>IF(AC1183="Intr",G1183,G1183*Definitions!$B$55)</f>
        <v>0</v>
      </c>
      <c r="Z1183" s="39"/>
      <c r="AA1183" s="39"/>
      <c r="AB1183" s="39"/>
      <c r="AC1183" s="38"/>
      <c r="AD1183" s="38"/>
      <c r="AE1183" s="38"/>
      <c r="AF1183" s="38"/>
      <c r="AG1183" s="40"/>
      <c r="AH1183" s="38"/>
    </row>
    <row r="1184" spans="1:34" x14ac:dyDescent="0.2">
      <c r="A1184" s="38"/>
      <c r="B1184" s="38"/>
      <c r="C1184" s="38"/>
      <c r="D1184" s="38"/>
      <c r="E1184" s="177"/>
      <c r="F1184" s="177"/>
      <c r="G1184" s="269"/>
      <c r="H1184" s="179"/>
      <c r="I1184" s="177"/>
      <c r="J1184" s="177"/>
      <c r="K1184" s="177"/>
      <c r="L1184" s="177"/>
      <c r="M1184" s="177"/>
      <c r="N1184" s="70"/>
      <c r="O1184" s="38"/>
      <c r="P1184" s="38"/>
      <c r="Q1184" s="760"/>
      <c r="R1184" s="590"/>
      <c r="S1184" s="38"/>
      <c r="T1184" s="38"/>
      <c r="U1184" s="38"/>
      <c r="V1184" s="37"/>
      <c r="W1184" s="39">
        <f>IF(AC1184="Intr",0,G1184*Definitions!$B$53)</f>
        <v>0</v>
      </c>
      <c r="X1184" s="39">
        <f>IF(AC1184="Intr",0,G1184*Definitions!$B$54)</f>
        <v>0</v>
      </c>
      <c r="Y1184" s="39">
        <f>IF(AC1184="Intr",G1184,G1184*Definitions!$B$55)</f>
        <v>0</v>
      </c>
      <c r="Z1184" s="39"/>
      <c r="AA1184" s="39"/>
      <c r="AB1184" s="39"/>
      <c r="AC1184" s="38"/>
      <c r="AD1184" s="38"/>
      <c r="AE1184" s="38"/>
      <c r="AF1184" s="38"/>
      <c r="AG1184" s="40"/>
      <c r="AH1184" s="38"/>
    </row>
    <row r="1185" spans="1:34" x14ac:dyDescent="0.2">
      <c r="A1185" s="38"/>
      <c r="B1185" s="38"/>
      <c r="C1185" s="38"/>
      <c r="D1185" s="38"/>
      <c r="E1185" s="177"/>
      <c r="F1185" s="177"/>
      <c r="G1185" s="269"/>
      <c r="H1185" s="179"/>
      <c r="I1185" s="177"/>
      <c r="J1185" s="177"/>
      <c r="K1185" s="177"/>
      <c r="L1185" s="177"/>
      <c r="M1185" s="177"/>
      <c r="N1185" s="70"/>
      <c r="O1185" s="38"/>
      <c r="P1185" s="38"/>
      <c r="Q1185" s="760"/>
      <c r="R1185" s="590"/>
      <c r="S1185" s="38"/>
      <c r="T1185" s="38"/>
      <c r="U1185" s="38"/>
      <c r="V1185" s="37"/>
      <c r="W1185" s="39">
        <f>IF(AC1185="Intr",0,G1185*Definitions!$B$53)</f>
        <v>0</v>
      </c>
      <c r="X1185" s="39">
        <f>IF(AC1185="Intr",0,G1185*Definitions!$B$54)</f>
        <v>0</v>
      </c>
      <c r="Y1185" s="39">
        <f>IF(AC1185="Intr",G1185,G1185*Definitions!$B$55)</f>
        <v>0</v>
      </c>
      <c r="Z1185" s="39"/>
      <c r="AA1185" s="39"/>
      <c r="AB1185" s="39"/>
      <c r="AC1185" s="38"/>
      <c r="AD1185" s="38"/>
      <c r="AE1185" s="38"/>
      <c r="AF1185" s="38"/>
      <c r="AG1185" s="40"/>
      <c r="AH1185" s="38"/>
    </row>
    <row r="1186" spans="1:34" x14ac:dyDescent="0.2">
      <c r="A1186" s="38"/>
      <c r="B1186" s="38"/>
      <c r="C1186" s="38"/>
      <c r="D1186" s="38"/>
      <c r="E1186" s="177"/>
      <c r="F1186" s="177"/>
      <c r="G1186" s="269"/>
      <c r="H1186" s="179"/>
      <c r="I1186" s="177"/>
      <c r="J1186" s="177"/>
      <c r="K1186" s="177"/>
      <c r="L1186" s="177"/>
      <c r="M1186" s="177"/>
      <c r="N1186" s="70"/>
      <c r="O1186" s="38"/>
      <c r="P1186" s="38"/>
      <c r="Q1186" s="760"/>
      <c r="R1186" s="590"/>
      <c r="S1186" s="38"/>
      <c r="T1186" s="38"/>
      <c r="U1186" s="38"/>
      <c r="V1186" s="37"/>
      <c r="W1186" s="39">
        <f>IF(AC1186="Intr",0,G1186*Definitions!$B$53)</f>
        <v>0</v>
      </c>
      <c r="X1186" s="39">
        <f>IF(AC1186="Intr",0,G1186*Definitions!$B$54)</f>
        <v>0</v>
      </c>
      <c r="Y1186" s="39">
        <f>IF(AC1186="Intr",G1186,G1186*Definitions!$B$55)</f>
        <v>0</v>
      </c>
      <c r="Z1186" s="39"/>
      <c r="AA1186" s="39"/>
      <c r="AB1186" s="39"/>
      <c r="AC1186" s="38"/>
      <c r="AD1186" s="38"/>
      <c r="AE1186" s="38"/>
      <c r="AF1186" s="38"/>
      <c r="AG1186" s="40"/>
      <c r="AH1186" s="38"/>
    </row>
    <row r="1187" spans="1:34" x14ac:dyDescent="0.2">
      <c r="A1187" s="38"/>
      <c r="B1187" s="38"/>
      <c r="C1187" s="38"/>
      <c r="D1187" s="38"/>
      <c r="E1187" s="177"/>
      <c r="F1187" s="177"/>
      <c r="G1187" s="269"/>
      <c r="H1187" s="179"/>
      <c r="I1187" s="177"/>
      <c r="J1187" s="177"/>
      <c r="K1187" s="177"/>
      <c r="L1187" s="177"/>
      <c r="M1187" s="177"/>
      <c r="N1187" s="70"/>
      <c r="O1187" s="38"/>
      <c r="P1187" s="38"/>
      <c r="Q1187" s="760"/>
      <c r="R1187" s="590"/>
      <c r="S1187" s="38"/>
      <c r="T1187" s="38"/>
      <c r="U1187" s="38"/>
      <c r="V1187" s="37"/>
      <c r="W1187" s="39">
        <f>IF(AC1187="Intr",0,G1187*Definitions!$B$53)</f>
        <v>0</v>
      </c>
      <c r="X1187" s="39">
        <f>IF(AC1187="Intr",0,G1187*Definitions!$B$54)</f>
        <v>0</v>
      </c>
      <c r="Y1187" s="39">
        <f>IF(AC1187="Intr",G1187,G1187*Definitions!$B$55)</f>
        <v>0</v>
      </c>
      <c r="Z1187" s="39"/>
      <c r="AA1187" s="39"/>
      <c r="AB1187" s="39"/>
      <c r="AC1187" s="38"/>
      <c r="AD1187" s="38"/>
      <c r="AE1187" s="38"/>
      <c r="AF1187" s="38"/>
      <c r="AG1187" s="40"/>
      <c r="AH1187" s="38"/>
    </row>
    <row r="1188" spans="1:34" x14ac:dyDescent="0.2">
      <c r="A1188" s="38"/>
      <c r="B1188" s="38"/>
      <c r="C1188" s="38"/>
      <c r="D1188" s="38"/>
      <c r="E1188" s="177"/>
      <c r="F1188" s="177"/>
      <c r="G1188" s="269"/>
      <c r="H1188" s="179"/>
      <c r="I1188" s="177"/>
      <c r="J1188" s="177"/>
      <c r="K1188" s="177"/>
      <c r="L1188" s="177"/>
      <c r="M1188" s="177"/>
      <c r="N1188" s="70"/>
      <c r="O1188" s="38"/>
      <c r="P1188" s="38"/>
      <c r="Q1188" s="760"/>
      <c r="R1188" s="590"/>
      <c r="S1188" s="38"/>
      <c r="T1188" s="38"/>
      <c r="U1188" s="38"/>
      <c r="V1188" s="37"/>
      <c r="W1188" s="39">
        <f>IF(AC1188="Intr",0,G1188*Definitions!$B$53)</f>
        <v>0</v>
      </c>
      <c r="X1188" s="39">
        <f>IF(AC1188="Intr",0,G1188*Definitions!$B$54)</f>
        <v>0</v>
      </c>
      <c r="Y1188" s="39">
        <f>IF(AC1188="Intr",G1188,G1188*Definitions!$B$55)</f>
        <v>0</v>
      </c>
      <c r="Z1188" s="39"/>
      <c r="AA1188" s="39"/>
      <c r="AB1188" s="39"/>
      <c r="AC1188" s="38"/>
      <c r="AD1188" s="38"/>
      <c r="AE1188" s="38"/>
      <c r="AF1188" s="38"/>
      <c r="AG1188" s="40"/>
      <c r="AH1188" s="38"/>
    </row>
    <row r="1189" spans="1:34" x14ac:dyDescent="0.2">
      <c r="A1189" s="38"/>
      <c r="B1189" s="38"/>
      <c r="C1189" s="38"/>
      <c r="D1189" s="38"/>
      <c r="E1189" s="177"/>
      <c r="F1189" s="177"/>
      <c r="G1189" s="269"/>
      <c r="H1189" s="179"/>
      <c r="I1189" s="177"/>
      <c r="J1189" s="177"/>
      <c r="K1189" s="177"/>
      <c r="L1189" s="177"/>
      <c r="M1189" s="177"/>
      <c r="N1189" s="70"/>
      <c r="O1189" s="38"/>
      <c r="P1189" s="38"/>
      <c r="Q1189" s="760"/>
      <c r="R1189" s="590"/>
      <c r="S1189" s="38"/>
      <c r="T1189" s="38"/>
      <c r="U1189" s="38"/>
      <c r="V1189" s="37"/>
      <c r="W1189" s="39">
        <f>IF(AC1189="Intr",0,G1189*Definitions!$B$53)</f>
        <v>0</v>
      </c>
      <c r="X1189" s="39">
        <f>IF(AC1189="Intr",0,G1189*Definitions!$B$54)</f>
        <v>0</v>
      </c>
      <c r="Y1189" s="39">
        <f>IF(AC1189="Intr",G1189,G1189*Definitions!$B$55)</f>
        <v>0</v>
      </c>
      <c r="Z1189" s="39"/>
      <c r="AA1189" s="39"/>
      <c r="AB1189" s="39"/>
      <c r="AC1189" s="38"/>
      <c r="AD1189" s="38"/>
      <c r="AE1189" s="38"/>
      <c r="AF1189" s="38"/>
      <c r="AG1189" s="40"/>
      <c r="AH1189" s="38"/>
    </row>
    <row r="1190" spans="1:34" x14ac:dyDescent="0.2">
      <c r="A1190" s="38"/>
      <c r="B1190" s="38"/>
      <c r="C1190" s="38"/>
      <c r="D1190" s="38"/>
      <c r="E1190" s="177"/>
      <c r="F1190" s="177"/>
      <c r="G1190" s="269"/>
      <c r="H1190" s="179"/>
      <c r="I1190" s="177"/>
      <c r="J1190" s="177"/>
      <c r="K1190" s="177"/>
      <c r="L1190" s="177"/>
      <c r="M1190" s="177"/>
      <c r="N1190" s="70"/>
      <c r="O1190" s="38"/>
      <c r="P1190" s="38"/>
      <c r="Q1190" s="760"/>
      <c r="R1190" s="590"/>
      <c r="S1190" s="38"/>
      <c r="T1190" s="38"/>
      <c r="U1190" s="38"/>
      <c r="V1190" s="37"/>
      <c r="W1190" s="39">
        <f>IF(AC1190="Intr",0,G1190*Definitions!$B$53)</f>
        <v>0</v>
      </c>
      <c r="X1190" s="39">
        <f>IF(AC1190="Intr",0,G1190*Definitions!$B$54)</f>
        <v>0</v>
      </c>
      <c r="Y1190" s="39">
        <f>IF(AC1190="Intr",G1190,G1190*Definitions!$B$55)</f>
        <v>0</v>
      </c>
      <c r="Z1190" s="39"/>
      <c r="AA1190" s="39"/>
      <c r="AB1190" s="39"/>
      <c r="AC1190" s="38"/>
      <c r="AD1190" s="38"/>
      <c r="AE1190" s="38"/>
      <c r="AF1190" s="38"/>
      <c r="AG1190" s="40"/>
      <c r="AH1190" s="38"/>
    </row>
    <row r="1191" spans="1:34" x14ac:dyDescent="0.2">
      <c r="A1191" s="38"/>
      <c r="B1191" s="38"/>
      <c r="C1191" s="38"/>
      <c r="D1191" s="38"/>
      <c r="E1191" s="177"/>
      <c r="F1191" s="177"/>
      <c r="G1191" s="269"/>
      <c r="H1191" s="179"/>
      <c r="I1191" s="177"/>
      <c r="J1191" s="177"/>
      <c r="K1191" s="177"/>
      <c r="L1191" s="177"/>
      <c r="M1191" s="177"/>
      <c r="N1191" s="70"/>
      <c r="O1191" s="38"/>
      <c r="P1191" s="38"/>
      <c r="Q1191" s="760"/>
      <c r="R1191" s="590"/>
      <c r="S1191" s="38"/>
      <c r="T1191" s="38"/>
      <c r="U1191" s="38"/>
      <c r="V1191" s="37"/>
      <c r="W1191" s="39">
        <f>IF(AC1191="Intr",0,G1191*Definitions!$B$53)</f>
        <v>0</v>
      </c>
      <c r="X1191" s="39">
        <f>IF(AC1191="Intr",0,G1191*Definitions!$B$54)</f>
        <v>0</v>
      </c>
      <c r="Y1191" s="39">
        <f>IF(AC1191="Intr",G1191,G1191*Definitions!$B$55)</f>
        <v>0</v>
      </c>
      <c r="Z1191" s="39"/>
      <c r="AA1191" s="39"/>
      <c r="AB1191" s="39"/>
      <c r="AC1191" s="38"/>
      <c r="AD1191" s="38"/>
      <c r="AE1191" s="38"/>
      <c r="AF1191" s="38"/>
      <c r="AG1191" s="40"/>
      <c r="AH1191" s="38"/>
    </row>
    <row r="1192" spans="1:34" x14ac:dyDescent="0.2">
      <c r="A1192" s="38"/>
      <c r="B1192" s="38"/>
      <c r="C1192" s="38"/>
      <c r="D1192" s="38"/>
      <c r="E1192" s="177"/>
      <c r="F1192" s="177"/>
      <c r="G1192" s="269"/>
      <c r="H1192" s="179"/>
      <c r="I1192" s="177"/>
      <c r="J1192" s="177"/>
      <c r="K1192" s="177"/>
      <c r="L1192" s="177"/>
      <c r="M1192" s="177"/>
      <c r="N1192" s="70"/>
      <c r="O1192" s="38"/>
      <c r="P1192" s="38"/>
      <c r="Q1192" s="760"/>
      <c r="R1192" s="590"/>
      <c r="S1192" s="38"/>
      <c r="T1192" s="38"/>
      <c r="U1192" s="38"/>
      <c r="V1192" s="37"/>
      <c r="W1192" s="39">
        <f>IF(AC1192="Intr",0,G1192*Definitions!$B$53)</f>
        <v>0</v>
      </c>
      <c r="X1192" s="39">
        <f>IF(AC1192="Intr",0,G1192*Definitions!$B$54)</f>
        <v>0</v>
      </c>
      <c r="Y1192" s="39">
        <f>IF(AC1192="Intr",G1192,G1192*Definitions!$B$55)</f>
        <v>0</v>
      </c>
      <c r="Z1192" s="39"/>
      <c r="AA1192" s="39"/>
      <c r="AB1192" s="39"/>
      <c r="AC1192" s="38"/>
      <c r="AD1192" s="38"/>
      <c r="AE1192" s="38"/>
      <c r="AF1192" s="38"/>
      <c r="AG1192" s="40"/>
      <c r="AH1192" s="38"/>
    </row>
    <row r="1193" spans="1:34" x14ac:dyDescent="0.2">
      <c r="A1193" s="38"/>
      <c r="B1193" s="38"/>
      <c r="C1193" s="38"/>
      <c r="D1193" s="38"/>
      <c r="E1193" s="177"/>
      <c r="F1193" s="177"/>
      <c r="G1193" s="269"/>
      <c r="H1193" s="179"/>
      <c r="I1193" s="177"/>
      <c r="J1193" s="177"/>
      <c r="K1193" s="177"/>
      <c r="L1193" s="177"/>
      <c r="M1193" s="177"/>
      <c r="N1193" s="70"/>
      <c r="O1193" s="38"/>
      <c r="P1193" s="38"/>
      <c r="Q1193" s="760"/>
      <c r="R1193" s="590"/>
      <c r="S1193" s="38"/>
      <c r="T1193" s="38"/>
      <c r="U1193" s="38"/>
      <c r="V1193" s="37"/>
      <c r="W1193" s="39">
        <f>IF(AC1193="Intr",0,G1193*Definitions!$B$53)</f>
        <v>0</v>
      </c>
      <c r="X1193" s="39">
        <f>IF(AC1193="Intr",0,G1193*Definitions!$B$54)</f>
        <v>0</v>
      </c>
      <c r="Y1193" s="39">
        <f>IF(AC1193="Intr",G1193,G1193*Definitions!$B$55)</f>
        <v>0</v>
      </c>
      <c r="Z1193" s="39"/>
      <c r="AA1193" s="39"/>
      <c r="AB1193" s="39"/>
      <c r="AC1193" s="38"/>
      <c r="AD1193" s="38"/>
      <c r="AE1193" s="38"/>
      <c r="AF1193" s="38"/>
      <c r="AG1193" s="40"/>
      <c r="AH1193" s="38"/>
    </row>
    <row r="1194" spans="1:34" x14ac:dyDescent="0.2">
      <c r="A1194" s="38"/>
      <c r="B1194" s="38"/>
      <c r="C1194" s="38"/>
      <c r="D1194" s="38"/>
      <c r="E1194" s="177"/>
      <c r="F1194" s="177"/>
      <c r="G1194" s="269"/>
      <c r="H1194" s="179"/>
      <c r="I1194" s="177"/>
      <c r="J1194" s="177"/>
      <c r="K1194" s="177"/>
      <c r="L1194" s="177"/>
      <c r="M1194" s="177"/>
      <c r="N1194" s="70"/>
      <c r="O1194" s="38"/>
      <c r="P1194" s="38"/>
      <c r="Q1194" s="760"/>
      <c r="R1194" s="590"/>
      <c r="S1194" s="38"/>
      <c r="T1194" s="38"/>
      <c r="U1194" s="38"/>
      <c r="V1194" s="37"/>
      <c r="W1194" s="39">
        <f>IF(AC1194="Intr",0,G1194*Definitions!$B$53)</f>
        <v>0</v>
      </c>
      <c r="X1194" s="39">
        <f>IF(AC1194="Intr",0,G1194*Definitions!$B$54)</f>
        <v>0</v>
      </c>
      <c r="Y1194" s="39">
        <f>IF(AC1194="Intr",G1194,G1194*Definitions!$B$55)</f>
        <v>0</v>
      </c>
      <c r="Z1194" s="39"/>
      <c r="AA1194" s="39"/>
      <c r="AB1194" s="39"/>
      <c r="AC1194" s="38"/>
      <c r="AD1194" s="38"/>
      <c r="AE1194" s="38"/>
      <c r="AF1194" s="38"/>
      <c r="AG1194" s="40"/>
      <c r="AH1194" s="38"/>
    </row>
    <row r="1195" spans="1:34" x14ac:dyDescent="0.2">
      <c r="A1195" s="38"/>
      <c r="B1195" s="38"/>
      <c r="C1195" s="38"/>
      <c r="D1195" s="38"/>
      <c r="E1195" s="177"/>
      <c r="F1195" s="177"/>
      <c r="G1195" s="269"/>
      <c r="H1195" s="179"/>
      <c r="I1195" s="177"/>
      <c r="J1195" s="177"/>
      <c r="K1195" s="177"/>
      <c r="L1195" s="177"/>
      <c r="M1195" s="177"/>
      <c r="N1195" s="70"/>
      <c r="O1195" s="38"/>
      <c r="P1195" s="38"/>
      <c r="Q1195" s="760"/>
      <c r="R1195" s="590"/>
      <c r="S1195" s="38"/>
      <c r="T1195" s="38"/>
      <c r="U1195" s="38"/>
      <c r="V1195" s="37"/>
      <c r="W1195" s="39">
        <f>IF(AC1195="Intr",0,G1195*Definitions!$B$53)</f>
        <v>0</v>
      </c>
      <c r="X1195" s="39">
        <f>IF(AC1195="Intr",0,G1195*Definitions!$B$54)</f>
        <v>0</v>
      </c>
      <c r="Y1195" s="39">
        <f>IF(AC1195="Intr",G1195,G1195*Definitions!$B$55)</f>
        <v>0</v>
      </c>
      <c r="Z1195" s="39"/>
      <c r="AA1195" s="39"/>
      <c r="AB1195" s="39"/>
      <c r="AC1195" s="38"/>
      <c r="AD1195" s="38"/>
      <c r="AE1195" s="38"/>
      <c r="AF1195" s="38"/>
      <c r="AG1195" s="40"/>
      <c r="AH1195" s="38"/>
    </row>
    <row r="1196" spans="1:34" x14ac:dyDescent="0.2">
      <c r="A1196" s="38"/>
      <c r="B1196" s="38"/>
      <c r="C1196" s="38"/>
      <c r="D1196" s="38"/>
      <c r="E1196" s="177"/>
      <c r="F1196" s="177"/>
      <c r="G1196" s="269"/>
      <c r="H1196" s="179"/>
      <c r="I1196" s="177"/>
      <c r="J1196" s="177"/>
      <c r="K1196" s="177"/>
      <c r="L1196" s="177"/>
      <c r="M1196" s="177"/>
      <c r="N1196" s="70"/>
      <c r="O1196" s="38"/>
      <c r="P1196" s="38"/>
      <c r="Q1196" s="760"/>
      <c r="R1196" s="590"/>
      <c r="S1196" s="38"/>
      <c r="T1196" s="38"/>
      <c r="U1196" s="38"/>
      <c r="V1196" s="37"/>
      <c r="W1196" s="39">
        <f>IF(AC1196="Intr",0,G1196*Definitions!$B$53)</f>
        <v>0</v>
      </c>
      <c r="X1196" s="39">
        <f>IF(AC1196="Intr",0,G1196*Definitions!$B$54)</f>
        <v>0</v>
      </c>
      <c r="Y1196" s="39">
        <f>IF(AC1196="Intr",G1196,G1196*Definitions!$B$55)</f>
        <v>0</v>
      </c>
      <c r="Z1196" s="39"/>
      <c r="AA1196" s="39"/>
      <c r="AB1196" s="39"/>
      <c r="AC1196" s="38"/>
      <c r="AD1196" s="38"/>
      <c r="AE1196" s="38"/>
      <c r="AF1196" s="38"/>
      <c r="AG1196" s="40"/>
      <c r="AH1196" s="38"/>
    </row>
    <row r="1197" spans="1:34" x14ac:dyDescent="0.2">
      <c r="A1197" s="38"/>
      <c r="B1197" s="38"/>
      <c r="C1197" s="38"/>
      <c r="D1197" s="38"/>
      <c r="E1197" s="177"/>
      <c r="F1197" s="177"/>
      <c r="G1197" s="269"/>
      <c r="H1197" s="179"/>
      <c r="I1197" s="177"/>
      <c r="J1197" s="177"/>
      <c r="K1197" s="177"/>
      <c r="L1197" s="177"/>
      <c r="M1197" s="177"/>
      <c r="N1197" s="70"/>
      <c r="O1197" s="38"/>
      <c r="P1197" s="38"/>
      <c r="Q1197" s="760"/>
      <c r="R1197" s="590"/>
      <c r="S1197" s="38"/>
      <c r="T1197" s="38"/>
      <c r="U1197" s="38"/>
      <c r="V1197" s="37"/>
      <c r="W1197" s="39">
        <f>IF(AC1197="Intr",0,G1197*Definitions!$B$53)</f>
        <v>0</v>
      </c>
      <c r="X1197" s="39">
        <f>IF(AC1197="Intr",0,G1197*Definitions!$B$54)</f>
        <v>0</v>
      </c>
      <c r="Y1197" s="39">
        <f>IF(AC1197="Intr",G1197,G1197*Definitions!$B$55)</f>
        <v>0</v>
      </c>
      <c r="Z1197" s="39"/>
      <c r="AA1197" s="39"/>
      <c r="AB1197" s="39"/>
      <c r="AC1197" s="38"/>
      <c r="AD1197" s="38"/>
      <c r="AE1197" s="38"/>
      <c r="AF1197" s="38"/>
      <c r="AG1197" s="40"/>
      <c r="AH1197" s="38"/>
    </row>
    <row r="1198" spans="1:34" x14ac:dyDescent="0.2">
      <c r="A1198" s="38"/>
      <c r="B1198" s="38"/>
      <c r="C1198" s="38"/>
      <c r="D1198" s="38"/>
      <c r="E1198" s="177"/>
      <c r="F1198" s="177"/>
      <c r="G1198" s="269"/>
      <c r="H1198" s="179"/>
      <c r="I1198" s="177"/>
      <c r="J1198" s="177"/>
      <c r="K1198" s="177"/>
      <c r="L1198" s="177"/>
      <c r="M1198" s="177"/>
      <c r="N1198" s="70"/>
      <c r="O1198" s="38"/>
      <c r="P1198" s="38"/>
      <c r="Q1198" s="760"/>
      <c r="R1198" s="590"/>
      <c r="S1198" s="38"/>
      <c r="T1198" s="38"/>
      <c r="U1198" s="38"/>
      <c r="V1198" s="37"/>
      <c r="W1198" s="39">
        <f>IF(AC1198="Intr",0,G1198*Definitions!$B$53)</f>
        <v>0</v>
      </c>
      <c r="X1198" s="39">
        <f>IF(AC1198="Intr",0,G1198*Definitions!$B$54)</f>
        <v>0</v>
      </c>
      <c r="Y1198" s="39">
        <f>IF(AC1198="Intr",G1198,G1198*Definitions!$B$55)</f>
        <v>0</v>
      </c>
      <c r="Z1198" s="39"/>
      <c r="AA1198" s="39"/>
      <c r="AB1198" s="39"/>
      <c r="AC1198" s="38"/>
      <c r="AD1198" s="38"/>
      <c r="AE1198" s="38"/>
      <c r="AF1198" s="38"/>
      <c r="AG1198" s="40"/>
      <c r="AH1198" s="38"/>
    </row>
    <row r="1199" spans="1:34" x14ac:dyDescent="0.2">
      <c r="A1199" s="38"/>
      <c r="B1199" s="38"/>
      <c r="C1199" s="38"/>
      <c r="D1199" s="38"/>
      <c r="E1199" s="177"/>
      <c r="F1199" s="177"/>
      <c r="G1199" s="269"/>
      <c r="H1199" s="179"/>
      <c r="I1199" s="177"/>
      <c r="J1199" s="177"/>
      <c r="K1199" s="177"/>
      <c r="L1199" s="177"/>
      <c r="M1199" s="177"/>
      <c r="N1199" s="70"/>
      <c r="O1199" s="38"/>
      <c r="P1199" s="38"/>
      <c r="Q1199" s="760"/>
      <c r="R1199" s="590"/>
      <c r="S1199" s="38"/>
      <c r="T1199" s="38"/>
      <c r="U1199" s="38"/>
      <c r="V1199" s="37"/>
      <c r="W1199" s="39">
        <f>IF(AC1199="Intr",0,G1199*Definitions!$B$53)</f>
        <v>0</v>
      </c>
      <c r="X1199" s="39">
        <f>IF(AC1199="Intr",0,G1199*Definitions!$B$54)</f>
        <v>0</v>
      </c>
      <c r="Y1199" s="39">
        <f>IF(AC1199="Intr",G1199,G1199*Definitions!$B$55)</f>
        <v>0</v>
      </c>
      <c r="Z1199" s="39"/>
      <c r="AA1199" s="39"/>
      <c r="AB1199" s="39"/>
      <c r="AC1199" s="38"/>
      <c r="AD1199" s="38"/>
      <c r="AE1199" s="38"/>
      <c r="AF1199" s="38"/>
      <c r="AG1199" s="40"/>
      <c r="AH1199" s="38"/>
    </row>
    <row r="1200" spans="1:34" x14ac:dyDescent="0.2">
      <c r="A1200" s="38"/>
      <c r="B1200" s="38"/>
      <c r="C1200" s="38"/>
      <c r="D1200" s="38"/>
      <c r="E1200" s="177"/>
      <c r="F1200" s="177"/>
      <c r="G1200" s="269"/>
      <c r="H1200" s="179"/>
      <c r="I1200" s="177"/>
      <c r="J1200" s="177"/>
      <c r="K1200" s="177"/>
      <c r="L1200" s="177"/>
      <c r="M1200" s="177"/>
      <c r="N1200" s="70"/>
      <c r="O1200" s="38"/>
      <c r="P1200" s="38"/>
      <c r="Q1200" s="760"/>
      <c r="R1200" s="590"/>
      <c r="S1200" s="38"/>
      <c r="T1200" s="38"/>
      <c r="U1200" s="38"/>
      <c r="V1200" s="37"/>
      <c r="W1200" s="39">
        <f>IF(AC1200="Intr",0,G1200*Definitions!$B$53)</f>
        <v>0</v>
      </c>
      <c r="X1200" s="39">
        <f>IF(AC1200="Intr",0,G1200*Definitions!$B$54)</f>
        <v>0</v>
      </c>
      <c r="Y1200" s="39">
        <f>IF(AC1200="Intr",G1200,G1200*Definitions!$B$55)</f>
        <v>0</v>
      </c>
      <c r="Z1200" s="39"/>
      <c r="AA1200" s="39"/>
      <c r="AB1200" s="39"/>
      <c r="AC1200" s="38"/>
      <c r="AD1200" s="38"/>
      <c r="AE1200" s="38"/>
      <c r="AF1200" s="38"/>
      <c r="AG1200" s="40"/>
      <c r="AH1200" s="38"/>
    </row>
    <row r="1201" spans="1:34" x14ac:dyDescent="0.2">
      <c r="A1201" s="38"/>
      <c r="B1201" s="38"/>
      <c r="C1201" s="38"/>
      <c r="D1201" s="38"/>
      <c r="E1201" s="177"/>
      <c r="F1201" s="177"/>
      <c r="G1201" s="269"/>
      <c r="H1201" s="179"/>
      <c r="I1201" s="177"/>
      <c r="J1201" s="177"/>
      <c r="K1201" s="177"/>
      <c r="L1201" s="177"/>
      <c r="M1201" s="177"/>
      <c r="N1201" s="70"/>
      <c r="O1201" s="38"/>
      <c r="P1201" s="38"/>
      <c r="Q1201" s="760"/>
      <c r="R1201" s="590"/>
      <c r="S1201" s="38"/>
      <c r="T1201" s="38"/>
      <c r="U1201" s="38"/>
      <c r="V1201" s="37"/>
      <c r="W1201" s="39">
        <f>IF(AC1201="Intr",0,G1201*Definitions!$B$53)</f>
        <v>0</v>
      </c>
      <c r="X1201" s="39">
        <f>IF(AC1201="Intr",0,G1201*Definitions!$B$54)</f>
        <v>0</v>
      </c>
      <c r="Y1201" s="39">
        <f>IF(AC1201="Intr",G1201,G1201*Definitions!$B$55)</f>
        <v>0</v>
      </c>
      <c r="Z1201" s="39"/>
      <c r="AA1201" s="39"/>
      <c r="AB1201" s="39"/>
      <c r="AC1201" s="38"/>
      <c r="AD1201" s="38"/>
      <c r="AE1201" s="38"/>
      <c r="AF1201" s="38"/>
      <c r="AG1201" s="40"/>
      <c r="AH1201" s="38"/>
    </row>
    <row r="1202" spans="1:34" x14ac:dyDescent="0.2">
      <c r="A1202" s="38"/>
      <c r="B1202" s="38"/>
      <c r="C1202" s="38"/>
      <c r="D1202" s="38"/>
      <c r="E1202" s="177"/>
      <c r="F1202" s="177"/>
      <c r="G1202" s="269"/>
      <c r="H1202" s="179"/>
      <c r="I1202" s="177"/>
      <c r="J1202" s="177"/>
      <c r="K1202" s="177"/>
      <c r="L1202" s="177"/>
      <c r="M1202" s="177"/>
      <c r="N1202" s="70"/>
      <c r="O1202" s="38"/>
      <c r="P1202" s="38"/>
      <c r="Q1202" s="760"/>
      <c r="R1202" s="590"/>
      <c r="S1202" s="38"/>
      <c r="T1202" s="38"/>
      <c r="U1202" s="38"/>
      <c r="V1202" s="37"/>
      <c r="W1202" s="39">
        <f>IF(AC1202="Intr",0,G1202*Definitions!$B$53)</f>
        <v>0</v>
      </c>
      <c r="X1202" s="39">
        <f>IF(AC1202="Intr",0,G1202*Definitions!$B$54)</f>
        <v>0</v>
      </c>
      <c r="Y1202" s="39">
        <f>IF(AC1202="Intr",G1202,G1202*Definitions!$B$55)</f>
        <v>0</v>
      </c>
      <c r="Z1202" s="39"/>
      <c r="AA1202" s="39"/>
      <c r="AB1202" s="39"/>
      <c r="AC1202" s="38"/>
      <c r="AD1202" s="38"/>
      <c r="AE1202" s="38"/>
      <c r="AF1202" s="38"/>
      <c r="AG1202" s="40"/>
      <c r="AH1202" s="38"/>
    </row>
    <row r="1203" spans="1:34" x14ac:dyDescent="0.2">
      <c r="A1203" s="38"/>
      <c r="B1203" s="38"/>
      <c r="C1203" s="38"/>
      <c r="D1203" s="38"/>
      <c r="E1203" s="177"/>
      <c r="F1203" s="177"/>
      <c r="G1203" s="269"/>
      <c r="H1203" s="179"/>
      <c r="I1203" s="177"/>
      <c r="J1203" s="177"/>
      <c r="K1203" s="177"/>
      <c r="L1203" s="177"/>
      <c r="M1203" s="177"/>
      <c r="N1203" s="70"/>
      <c r="O1203" s="38"/>
      <c r="P1203" s="38"/>
      <c r="Q1203" s="760"/>
      <c r="R1203" s="590"/>
      <c r="S1203" s="38"/>
      <c r="T1203" s="38"/>
      <c r="U1203" s="38"/>
      <c r="V1203" s="37"/>
      <c r="W1203" s="39">
        <f>IF(AC1203="Intr",0,G1203*Definitions!$B$53)</f>
        <v>0</v>
      </c>
      <c r="X1203" s="39">
        <f>IF(AC1203="Intr",0,G1203*Definitions!$B$54)</f>
        <v>0</v>
      </c>
      <c r="Y1203" s="39">
        <f>IF(AC1203="Intr",G1203,G1203*Definitions!$B$55)</f>
        <v>0</v>
      </c>
      <c r="Z1203" s="39"/>
      <c r="AA1203" s="39"/>
      <c r="AB1203" s="39"/>
      <c r="AC1203" s="38"/>
      <c r="AD1203" s="38"/>
      <c r="AE1203" s="38"/>
      <c r="AF1203" s="38"/>
      <c r="AG1203" s="40"/>
      <c r="AH1203" s="38"/>
    </row>
    <row r="1204" spans="1:34" x14ac:dyDescent="0.2">
      <c r="A1204" s="38"/>
      <c r="B1204" s="38"/>
      <c r="C1204" s="38"/>
      <c r="D1204" s="38"/>
      <c r="E1204" s="177"/>
      <c r="F1204" s="177"/>
      <c r="G1204" s="269"/>
      <c r="H1204" s="179"/>
      <c r="I1204" s="177"/>
      <c r="J1204" s="177"/>
      <c r="K1204" s="177"/>
      <c r="L1204" s="177"/>
      <c r="M1204" s="177"/>
      <c r="N1204" s="70"/>
      <c r="O1204" s="38"/>
      <c r="P1204" s="38"/>
      <c r="Q1204" s="760"/>
      <c r="R1204" s="590"/>
      <c r="S1204" s="38"/>
      <c r="T1204" s="38"/>
      <c r="U1204" s="38"/>
      <c r="V1204" s="37"/>
      <c r="W1204" s="39">
        <f>IF(AC1204="Intr",0,G1204*Definitions!$B$53)</f>
        <v>0</v>
      </c>
      <c r="X1204" s="39">
        <f>IF(AC1204="Intr",0,G1204*Definitions!$B$54)</f>
        <v>0</v>
      </c>
      <c r="Y1204" s="39">
        <f>IF(AC1204="Intr",G1204,G1204*Definitions!$B$55)</f>
        <v>0</v>
      </c>
      <c r="Z1204" s="39"/>
      <c r="AA1204" s="39"/>
      <c r="AB1204" s="39"/>
      <c r="AC1204" s="38"/>
      <c r="AD1204" s="38"/>
      <c r="AE1204" s="38"/>
      <c r="AF1204" s="38"/>
      <c r="AG1204" s="40"/>
      <c r="AH1204" s="38"/>
    </row>
    <row r="1205" spans="1:34" x14ac:dyDescent="0.2">
      <c r="A1205" s="38"/>
      <c r="B1205" s="38"/>
      <c r="C1205" s="38"/>
      <c r="D1205" s="38"/>
      <c r="E1205" s="177"/>
      <c r="F1205" s="177"/>
      <c r="G1205" s="269"/>
      <c r="H1205" s="179"/>
      <c r="I1205" s="177"/>
      <c r="J1205" s="177"/>
      <c r="K1205" s="177"/>
      <c r="L1205" s="177"/>
      <c r="M1205" s="177"/>
      <c r="N1205" s="70"/>
      <c r="O1205" s="38"/>
      <c r="P1205" s="38"/>
      <c r="Q1205" s="760"/>
      <c r="R1205" s="590"/>
      <c r="S1205" s="38"/>
      <c r="T1205" s="38"/>
      <c r="U1205" s="38"/>
      <c r="V1205" s="37"/>
      <c r="W1205" s="39">
        <f>IF(AC1205="Intr",0,G1205*Definitions!$B$53)</f>
        <v>0</v>
      </c>
      <c r="X1205" s="39">
        <f>IF(AC1205="Intr",0,G1205*Definitions!$B$54)</f>
        <v>0</v>
      </c>
      <c r="Y1205" s="39">
        <f>IF(AC1205="Intr",G1205,G1205*Definitions!$B$55)</f>
        <v>0</v>
      </c>
      <c r="Z1205" s="39"/>
      <c r="AA1205" s="39"/>
      <c r="AB1205" s="39"/>
      <c r="AC1205" s="38"/>
      <c r="AD1205" s="38"/>
      <c r="AE1205" s="38"/>
      <c r="AF1205" s="38"/>
      <c r="AG1205" s="40"/>
      <c r="AH1205" s="38"/>
    </row>
    <row r="1206" spans="1:34" x14ac:dyDescent="0.2">
      <c r="A1206" s="38"/>
      <c r="B1206" s="38"/>
      <c r="C1206" s="38"/>
      <c r="D1206" s="38"/>
      <c r="E1206" s="177"/>
      <c r="F1206" s="177"/>
      <c r="G1206" s="269"/>
      <c r="H1206" s="179"/>
      <c r="I1206" s="177"/>
      <c r="J1206" s="177"/>
      <c r="K1206" s="177"/>
      <c r="L1206" s="177"/>
      <c r="M1206" s="177"/>
      <c r="N1206" s="70"/>
      <c r="O1206" s="38"/>
      <c r="P1206" s="38"/>
      <c r="Q1206" s="760"/>
      <c r="R1206" s="590"/>
      <c r="S1206" s="38"/>
      <c r="T1206" s="38"/>
      <c r="U1206" s="38"/>
      <c r="V1206" s="37"/>
      <c r="W1206" s="39">
        <f>IF(AC1206="Intr",0,G1206*Definitions!$B$53)</f>
        <v>0</v>
      </c>
      <c r="X1206" s="39">
        <f>IF(AC1206="Intr",0,G1206*Definitions!$B$54)</f>
        <v>0</v>
      </c>
      <c r="Y1206" s="39">
        <f>IF(AC1206="Intr",G1206,G1206*Definitions!$B$55)</f>
        <v>0</v>
      </c>
      <c r="Z1206" s="39"/>
      <c r="AA1206" s="39"/>
      <c r="AB1206" s="39"/>
      <c r="AC1206" s="38"/>
      <c r="AD1206" s="38"/>
      <c r="AE1206" s="38"/>
      <c r="AF1206" s="38"/>
      <c r="AG1206" s="40"/>
      <c r="AH1206" s="38"/>
    </row>
    <row r="1207" spans="1:34" x14ac:dyDescent="0.2">
      <c r="A1207" s="38"/>
      <c r="B1207" s="38"/>
      <c r="C1207" s="38"/>
      <c r="D1207" s="38"/>
      <c r="E1207" s="177"/>
      <c r="F1207" s="177"/>
      <c r="G1207" s="269"/>
      <c r="H1207" s="179"/>
      <c r="I1207" s="177"/>
      <c r="J1207" s="177"/>
      <c r="K1207" s="177"/>
      <c r="L1207" s="177"/>
      <c r="M1207" s="177"/>
      <c r="N1207" s="70"/>
      <c r="O1207" s="38"/>
      <c r="P1207" s="38"/>
      <c r="Q1207" s="760"/>
      <c r="R1207" s="590"/>
      <c r="S1207" s="38"/>
      <c r="T1207" s="38"/>
      <c r="U1207" s="38"/>
      <c r="V1207" s="37"/>
      <c r="W1207" s="39">
        <f>IF(AC1207="Intr",0,G1207*Definitions!$B$53)</f>
        <v>0</v>
      </c>
      <c r="X1207" s="39">
        <f>IF(AC1207="Intr",0,G1207*Definitions!$B$54)</f>
        <v>0</v>
      </c>
      <c r="Y1207" s="39">
        <f>IF(AC1207="Intr",G1207,G1207*Definitions!$B$55)</f>
        <v>0</v>
      </c>
      <c r="Z1207" s="39"/>
      <c r="AA1207" s="39"/>
      <c r="AB1207" s="39"/>
      <c r="AC1207" s="38"/>
      <c r="AD1207" s="38"/>
      <c r="AE1207" s="38"/>
      <c r="AF1207" s="38"/>
      <c r="AG1207" s="40"/>
      <c r="AH1207" s="38"/>
    </row>
    <row r="1208" spans="1:34" x14ac:dyDescent="0.2">
      <c r="A1208" s="38"/>
      <c r="B1208" s="38"/>
      <c r="C1208" s="38"/>
      <c r="D1208" s="38"/>
      <c r="E1208" s="177"/>
      <c r="F1208" s="177"/>
      <c r="G1208" s="269"/>
      <c r="H1208" s="179"/>
      <c r="I1208" s="177"/>
      <c r="J1208" s="177"/>
      <c r="K1208" s="177"/>
      <c r="L1208" s="177"/>
      <c r="M1208" s="177"/>
      <c r="N1208" s="70"/>
      <c r="O1208" s="38"/>
      <c r="P1208" s="38"/>
      <c r="Q1208" s="760"/>
      <c r="R1208" s="590"/>
      <c r="S1208" s="38"/>
      <c r="T1208" s="38"/>
      <c r="U1208" s="38"/>
      <c r="V1208" s="37"/>
      <c r="W1208" s="39">
        <f>IF(AC1208="Intr",0,G1208*Definitions!$B$53)</f>
        <v>0</v>
      </c>
      <c r="X1208" s="39">
        <f>IF(AC1208="Intr",0,G1208*Definitions!$B$54)</f>
        <v>0</v>
      </c>
      <c r="Y1208" s="39">
        <f>IF(AC1208="Intr",G1208,G1208*Definitions!$B$55)</f>
        <v>0</v>
      </c>
      <c r="Z1208" s="39"/>
      <c r="AA1208" s="39"/>
      <c r="AB1208" s="39"/>
      <c r="AC1208" s="38"/>
      <c r="AD1208" s="38"/>
      <c r="AE1208" s="38"/>
      <c r="AF1208" s="38"/>
      <c r="AG1208" s="40"/>
      <c r="AH1208" s="38"/>
    </row>
    <row r="1209" spans="1:34" x14ac:dyDescent="0.2">
      <c r="A1209" s="38"/>
      <c r="B1209" s="38"/>
      <c r="C1209" s="38"/>
      <c r="D1209" s="38"/>
      <c r="E1209" s="177"/>
      <c r="F1209" s="177"/>
      <c r="G1209" s="269"/>
      <c r="H1209" s="179"/>
      <c r="I1209" s="177"/>
      <c r="J1209" s="177"/>
      <c r="K1209" s="177"/>
      <c r="L1209" s="177"/>
      <c r="M1209" s="177"/>
      <c r="N1209" s="70"/>
      <c r="O1209" s="38"/>
      <c r="P1209" s="38"/>
      <c r="Q1209" s="760"/>
      <c r="R1209" s="590"/>
      <c r="S1209" s="38"/>
      <c r="T1209" s="38"/>
      <c r="U1209" s="38"/>
      <c r="V1209" s="37"/>
      <c r="W1209" s="39">
        <f>IF(AC1209="Intr",0,G1209*Definitions!$B$53)</f>
        <v>0</v>
      </c>
      <c r="X1209" s="39">
        <f>IF(AC1209="Intr",0,G1209*Definitions!$B$54)</f>
        <v>0</v>
      </c>
      <c r="Y1209" s="39">
        <f>IF(AC1209="Intr",G1209,G1209*Definitions!$B$55)</f>
        <v>0</v>
      </c>
      <c r="Z1209" s="39"/>
      <c r="AA1209" s="39"/>
      <c r="AB1209" s="39"/>
      <c r="AC1209" s="38"/>
      <c r="AD1209" s="38"/>
      <c r="AE1209" s="38"/>
      <c r="AF1209" s="38"/>
      <c r="AG1209" s="40"/>
      <c r="AH1209" s="38"/>
    </row>
    <row r="1210" spans="1:34" x14ac:dyDescent="0.2">
      <c r="A1210" s="38"/>
      <c r="B1210" s="38"/>
      <c r="C1210" s="38"/>
      <c r="D1210" s="38"/>
      <c r="E1210" s="177"/>
      <c r="F1210" s="177"/>
      <c r="G1210" s="269"/>
      <c r="H1210" s="179"/>
      <c r="I1210" s="177"/>
      <c r="J1210" s="177"/>
      <c r="K1210" s="177"/>
      <c r="L1210" s="177"/>
      <c r="M1210" s="177"/>
      <c r="N1210" s="70"/>
      <c r="O1210" s="38"/>
      <c r="P1210" s="38"/>
      <c r="Q1210" s="760"/>
      <c r="R1210" s="590"/>
      <c r="S1210" s="38"/>
      <c r="T1210" s="38"/>
      <c r="U1210" s="38"/>
      <c r="V1210" s="37"/>
      <c r="W1210" s="39">
        <f>IF(AC1210="Intr",0,G1210*Definitions!$B$53)</f>
        <v>0</v>
      </c>
      <c r="X1210" s="39">
        <f>IF(AC1210="Intr",0,G1210*Definitions!$B$54)</f>
        <v>0</v>
      </c>
      <c r="Y1210" s="39">
        <f>IF(AC1210="Intr",G1210,G1210*Definitions!$B$55)</f>
        <v>0</v>
      </c>
      <c r="Z1210" s="39"/>
      <c r="AA1210" s="39"/>
      <c r="AB1210" s="39"/>
      <c r="AC1210" s="38"/>
      <c r="AD1210" s="38"/>
      <c r="AE1210" s="38"/>
      <c r="AF1210" s="38"/>
      <c r="AG1210" s="40"/>
      <c r="AH1210" s="38"/>
    </row>
    <row r="1211" spans="1:34" x14ac:dyDescent="0.2">
      <c r="A1211" s="38"/>
      <c r="B1211" s="38"/>
      <c r="C1211" s="38"/>
      <c r="D1211" s="38"/>
      <c r="E1211" s="177"/>
      <c r="F1211" s="177"/>
      <c r="G1211" s="269"/>
      <c r="H1211" s="179"/>
      <c r="I1211" s="177"/>
      <c r="J1211" s="177"/>
      <c r="K1211" s="177"/>
      <c r="L1211" s="177"/>
      <c r="M1211" s="177"/>
      <c r="N1211" s="70"/>
      <c r="O1211" s="38"/>
      <c r="P1211" s="38"/>
      <c r="Q1211" s="760"/>
      <c r="R1211" s="590"/>
      <c r="S1211" s="38"/>
      <c r="T1211" s="38"/>
      <c r="U1211" s="38"/>
      <c r="V1211" s="37"/>
      <c r="W1211" s="39">
        <f>IF(AC1211="Intr",0,G1211*Definitions!$B$53)</f>
        <v>0</v>
      </c>
      <c r="X1211" s="39">
        <f>IF(AC1211="Intr",0,G1211*Definitions!$B$54)</f>
        <v>0</v>
      </c>
      <c r="Y1211" s="39">
        <f>IF(AC1211="Intr",G1211,G1211*Definitions!$B$55)</f>
        <v>0</v>
      </c>
      <c r="Z1211" s="39"/>
      <c r="AA1211" s="39"/>
      <c r="AB1211" s="39"/>
      <c r="AC1211" s="38"/>
      <c r="AD1211" s="38"/>
      <c r="AE1211" s="38"/>
      <c r="AF1211" s="38"/>
      <c r="AG1211" s="40"/>
      <c r="AH1211" s="38"/>
    </row>
    <row r="1212" spans="1:34" x14ac:dyDescent="0.2">
      <c r="A1212" s="38"/>
      <c r="B1212" s="38"/>
      <c r="C1212" s="38"/>
      <c r="D1212" s="38"/>
      <c r="E1212" s="177"/>
      <c r="F1212" s="177"/>
      <c r="G1212" s="269"/>
      <c r="H1212" s="179"/>
      <c r="I1212" s="177"/>
      <c r="J1212" s="177"/>
      <c r="K1212" s="177"/>
      <c r="L1212" s="177"/>
      <c r="M1212" s="177"/>
      <c r="N1212" s="70"/>
      <c r="O1212" s="38"/>
      <c r="P1212" s="38"/>
      <c r="Q1212" s="760"/>
      <c r="R1212" s="590"/>
      <c r="S1212" s="38"/>
      <c r="T1212" s="38"/>
      <c r="U1212" s="38"/>
      <c r="V1212" s="37"/>
      <c r="W1212" s="39">
        <f>IF(AC1212="Intr",0,G1212*Definitions!$B$53)</f>
        <v>0</v>
      </c>
      <c r="X1212" s="39">
        <f>IF(AC1212="Intr",0,G1212*Definitions!$B$54)</f>
        <v>0</v>
      </c>
      <c r="Y1212" s="39">
        <f>IF(AC1212="Intr",G1212,G1212*Definitions!$B$55)</f>
        <v>0</v>
      </c>
      <c r="Z1212" s="39"/>
      <c r="AA1212" s="39"/>
      <c r="AB1212" s="39"/>
      <c r="AC1212" s="38"/>
      <c r="AD1212" s="38"/>
      <c r="AE1212" s="38"/>
      <c r="AF1212" s="38"/>
      <c r="AG1212" s="40"/>
      <c r="AH1212" s="38"/>
    </row>
    <row r="1213" spans="1:34" x14ac:dyDescent="0.2">
      <c r="A1213" s="38"/>
      <c r="B1213" s="38"/>
      <c r="C1213" s="38"/>
      <c r="D1213" s="38"/>
      <c r="E1213" s="177"/>
      <c r="F1213" s="177"/>
      <c r="G1213" s="269"/>
      <c r="H1213" s="179"/>
      <c r="I1213" s="177"/>
      <c r="J1213" s="177"/>
      <c r="K1213" s="177"/>
      <c r="L1213" s="177"/>
      <c r="M1213" s="177"/>
      <c r="N1213" s="70"/>
      <c r="O1213" s="38"/>
      <c r="P1213" s="38"/>
      <c r="Q1213" s="760"/>
      <c r="R1213" s="590"/>
      <c r="S1213" s="38"/>
      <c r="T1213" s="38"/>
      <c r="U1213" s="38"/>
      <c r="V1213" s="37"/>
      <c r="W1213" s="39">
        <f>IF(AC1213="Intr",0,G1213*Definitions!$B$53)</f>
        <v>0</v>
      </c>
      <c r="X1213" s="39">
        <f>IF(AC1213="Intr",0,G1213*Definitions!$B$54)</f>
        <v>0</v>
      </c>
      <c r="Y1213" s="39">
        <f>IF(AC1213="Intr",G1213,G1213*Definitions!$B$55)</f>
        <v>0</v>
      </c>
      <c r="Z1213" s="39"/>
      <c r="AA1213" s="39"/>
      <c r="AB1213" s="39"/>
      <c r="AC1213" s="38"/>
      <c r="AD1213" s="38"/>
      <c r="AE1213" s="38"/>
      <c r="AF1213" s="38"/>
      <c r="AG1213" s="40"/>
      <c r="AH1213" s="38"/>
    </row>
    <row r="1214" spans="1:34" x14ac:dyDescent="0.2">
      <c r="A1214" s="38"/>
      <c r="B1214" s="38"/>
      <c r="C1214" s="38"/>
      <c r="D1214" s="38"/>
      <c r="E1214" s="177"/>
      <c r="F1214" s="177"/>
      <c r="G1214" s="269"/>
      <c r="H1214" s="179"/>
      <c r="I1214" s="177"/>
      <c r="J1214" s="177"/>
      <c r="K1214" s="177"/>
      <c r="L1214" s="177"/>
      <c r="M1214" s="177"/>
      <c r="N1214" s="70"/>
      <c r="O1214" s="38"/>
      <c r="P1214" s="38"/>
      <c r="Q1214" s="760"/>
      <c r="R1214" s="590"/>
      <c r="S1214" s="38"/>
      <c r="T1214" s="38"/>
      <c r="U1214" s="38"/>
      <c r="V1214" s="37"/>
      <c r="W1214" s="39">
        <f>IF(AC1214="Intr",0,G1214*Definitions!$B$53)</f>
        <v>0</v>
      </c>
      <c r="X1214" s="39">
        <f>IF(AC1214="Intr",0,G1214*Definitions!$B$54)</f>
        <v>0</v>
      </c>
      <c r="Y1214" s="39">
        <f>IF(AC1214="Intr",G1214,G1214*Definitions!$B$55)</f>
        <v>0</v>
      </c>
      <c r="Z1214" s="39"/>
      <c r="AA1214" s="39"/>
      <c r="AB1214" s="39"/>
      <c r="AC1214" s="38"/>
      <c r="AD1214" s="38"/>
      <c r="AE1214" s="38"/>
      <c r="AF1214" s="38"/>
      <c r="AG1214" s="40"/>
      <c r="AH1214" s="38"/>
    </row>
    <row r="1215" spans="1:34" x14ac:dyDescent="0.2">
      <c r="A1215" s="38"/>
      <c r="B1215" s="38"/>
      <c r="C1215" s="38"/>
      <c r="D1215" s="38"/>
      <c r="E1215" s="177"/>
      <c r="F1215" s="177"/>
      <c r="G1215" s="269"/>
      <c r="H1215" s="179"/>
      <c r="I1215" s="177"/>
      <c r="J1215" s="177"/>
      <c r="K1215" s="177"/>
      <c r="L1215" s="177"/>
      <c r="M1215" s="177"/>
      <c r="N1215" s="70"/>
      <c r="O1215" s="38"/>
      <c r="P1215" s="38"/>
      <c r="Q1215" s="760"/>
      <c r="R1215" s="590"/>
      <c r="S1215" s="38"/>
      <c r="T1215" s="38"/>
      <c r="U1215" s="38"/>
      <c r="V1215" s="37"/>
      <c r="W1215" s="39">
        <f>IF(AC1215="Intr",0,G1215*Definitions!$B$53)</f>
        <v>0</v>
      </c>
      <c r="X1215" s="39">
        <f>IF(AC1215="Intr",0,G1215*Definitions!$B$54)</f>
        <v>0</v>
      </c>
      <c r="Y1215" s="39">
        <f>IF(AC1215="Intr",G1215,G1215*Definitions!$B$55)</f>
        <v>0</v>
      </c>
      <c r="Z1215" s="39"/>
      <c r="AA1215" s="39"/>
      <c r="AB1215" s="39"/>
      <c r="AC1215" s="38"/>
      <c r="AD1215" s="38"/>
      <c r="AE1215" s="38"/>
      <c r="AF1215" s="38"/>
      <c r="AG1215" s="40"/>
      <c r="AH1215" s="38"/>
    </row>
    <row r="1216" spans="1:34" x14ac:dyDescent="0.2">
      <c r="A1216" s="38"/>
      <c r="B1216" s="38"/>
      <c r="C1216" s="38"/>
      <c r="D1216" s="38"/>
      <c r="E1216" s="177"/>
      <c r="F1216" s="177"/>
      <c r="G1216" s="269"/>
      <c r="H1216" s="179"/>
      <c r="I1216" s="177"/>
      <c r="J1216" s="177"/>
      <c r="K1216" s="177"/>
      <c r="L1216" s="177"/>
      <c r="M1216" s="177"/>
      <c r="N1216" s="70"/>
      <c r="O1216" s="38"/>
      <c r="P1216" s="38"/>
      <c r="Q1216" s="760"/>
      <c r="R1216" s="590"/>
      <c r="S1216" s="38"/>
      <c r="T1216" s="38"/>
      <c r="U1216" s="38"/>
      <c r="V1216" s="37"/>
      <c r="W1216" s="39">
        <f>IF(AC1216="Intr",0,G1216*Definitions!$B$53)</f>
        <v>0</v>
      </c>
      <c r="X1216" s="39">
        <f>IF(AC1216="Intr",0,G1216*Definitions!$B$54)</f>
        <v>0</v>
      </c>
      <c r="Y1216" s="39">
        <f>IF(AC1216="Intr",G1216,G1216*Definitions!$B$55)</f>
        <v>0</v>
      </c>
      <c r="Z1216" s="39"/>
      <c r="AA1216" s="39"/>
      <c r="AB1216" s="39"/>
      <c r="AC1216" s="38"/>
      <c r="AD1216" s="38"/>
      <c r="AE1216" s="38"/>
      <c r="AF1216" s="38"/>
      <c r="AG1216" s="40"/>
      <c r="AH1216" s="38"/>
    </row>
    <row r="1217" spans="1:34" x14ac:dyDescent="0.2">
      <c r="A1217" s="38"/>
      <c r="B1217" s="38"/>
      <c r="C1217" s="38"/>
      <c r="D1217" s="38"/>
      <c r="E1217" s="177"/>
      <c r="F1217" s="177"/>
      <c r="G1217" s="269"/>
      <c r="H1217" s="179"/>
      <c r="I1217" s="177"/>
      <c r="J1217" s="177"/>
      <c r="K1217" s="177"/>
      <c r="L1217" s="177"/>
      <c r="M1217" s="177"/>
      <c r="N1217" s="70"/>
      <c r="O1217" s="38"/>
      <c r="P1217" s="38"/>
      <c r="Q1217" s="760"/>
      <c r="R1217" s="590"/>
      <c r="S1217" s="38"/>
      <c r="T1217" s="38"/>
      <c r="U1217" s="38"/>
      <c r="V1217" s="37"/>
      <c r="W1217" s="39">
        <f>IF(AC1217="Intr",0,G1217*Definitions!$B$53)</f>
        <v>0</v>
      </c>
      <c r="X1217" s="39">
        <f>IF(AC1217="Intr",0,G1217*Definitions!$B$54)</f>
        <v>0</v>
      </c>
      <c r="Y1217" s="39">
        <f>IF(AC1217="Intr",G1217,G1217*Definitions!$B$55)</f>
        <v>0</v>
      </c>
      <c r="Z1217" s="39"/>
      <c r="AA1217" s="39"/>
      <c r="AB1217" s="39"/>
      <c r="AC1217" s="38"/>
      <c r="AD1217" s="38"/>
      <c r="AE1217" s="38"/>
      <c r="AF1217" s="38"/>
      <c r="AG1217" s="40"/>
      <c r="AH1217" s="38"/>
    </row>
    <row r="1218" spans="1:34" x14ac:dyDescent="0.2">
      <c r="A1218" s="38"/>
      <c r="B1218" s="38"/>
      <c r="C1218" s="38"/>
      <c r="D1218" s="38"/>
      <c r="E1218" s="177"/>
      <c r="F1218" s="177"/>
      <c r="G1218" s="269"/>
      <c r="H1218" s="179"/>
      <c r="I1218" s="177"/>
      <c r="J1218" s="177"/>
      <c r="K1218" s="177"/>
      <c r="L1218" s="177"/>
      <c r="M1218" s="177"/>
      <c r="N1218" s="70"/>
      <c r="O1218" s="38"/>
      <c r="P1218" s="38"/>
      <c r="Q1218" s="760"/>
      <c r="R1218" s="590"/>
      <c r="S1218" s="38"/>
      <c r="T1218" s="38"/>
      <c r="U1218" s="38"/>
      <c r="V1218" s="37"/>
      <c r="W1218" s="39">
        <f>IF(AC1218="Intr",0,G1218*Definitions!$B$53)</f>
        <v>0</v>
      </c>
      <c r="X1218" s="39">
        <f>IF(AC1218="Intr",0,G1218*Definitions!$B$54)</f>
        <v>0</v>
      </c>
      <c r="Y1218" s="39">
        <f>IF(AC1218="Intr",G1218,G1218*Definitions!$B$55)</f>
        <v>0</v>
      </c>
      <c r="Z1218" s="39"/>
      <c r="AA1218" s="39"/>
      <c r="AB1218" s="39"/>
      <c r="AC1218" s="38"/>
      <c r="AD1218" s="38"/>
      <c r="AE1218" s="38"/>
      <c r="AF1218" s="38"/>
      <c r="AG1218" s="40"/>
      <c r="AH1218" s="38"/>
    </row>
    <row r="1219" spans="1:34" x14ac:dyDescent="0.2">
      <c r="A1219" s="38"/>
      <c r="B1219" s="38"/>
      <c r="C1219" s="38"/>
      <c r="D1219" s="38"/>
      <c r="E1219" s="177"/>
      <c r="F1219" s="177"/>
      <c r="G1219" s="269"/>
      <c r="H1219" s="179"/>
      <c r="I1219" s="177"/>
      <c r="J1219" s="177"/>
      <c r="K1219" s="177"/>
      <c r="L1219" s="177"/>
      <c r="M1219" s="177"/>
      <c r="N1219" s="70"/>
      <c r="O1219" s="38"/>
      <c r="P1219" s="38"/>
      <c r="Q1219" s="760"/>
      <c r="R1219" s="590"/>
      <c r="S1219" s="38"/>
      <c r="T1219" s="38"/>
      <c r="U1219" s="38"/>
      <c r="V1219" s="37"/>
      <c r="W1219" s="39">
        <f>IF(AC1219="Intr",0,G1219*Definitions!$B$53)</f>
        <v>0</v>
      </c>
      <c r="X1219" s="39">
        <f>IF(AC1219="Intr",0,G1219*Definitions!$B$54)</f>
        <v>0</v>
      </c>
      <c r="Y1219" s="39">
        <f>IF(AC1219="Intr",G1219,G1219*Definitions!$B$55)</f>
        <v>0</v>
      </c>
      <c r="Z1219" s="39"/>
      <c r="AA1219" s="39"/>
      <c r="AB1219" s="39"/>
      <c r="AC1219" s="38"/>
      <c r="AD1219" s="38"/>
      <c r="AE1219" s="38"/>
      <c r="AF1219" s="38"/>
      <c r="AG1219" s="40"/>
      <c r="AH1219" s="38"/>
    </row>
    <row r="1220" spans="1:34" x14ac:dyDescent="0.2">
      <c r="A1220" s="38"/>
      <c r="B1220" s="38"/>
      <c r="C1220" s="38"/>
      <c r="D1220" s="38"/>
      <c r="E1220" s="177"/>
      <c r="F1220" s="177"/>
      <c r="G1220" s="269"/>
      <c r="H1220" s="179"/>
      <c r="I1220" s="177"/>
      <c r="J1220" s="177"/>
      <c r="K1220" s="177"/>
      <c r="L1220" s="177"/>
      <c r="M1220" s="177"/>
      <c r="N1220" s="70"/>
      <c r="O1220" s="38"/>
      <c r="P1220" s="38"/>
      <c r="Q1220" s="760"/>
      <c r="R1220" s="590"/>
      <c r="S1220" s="38"/>
      <c r="T1220" s="38"/>
      <c r="U1220" s="38"/>
      <c r="V1220" s="37"/>
      <c r="W1220" s="39">
        <f>IF(AC1220="Intr",0,G1220*Definitions!$B$53)</f>
        <v>0</v>
      </c>
      <c r="X1220" s="39">
        <f>IF(AC1220="Intr",0,G1220*Definitions!$B$54)</f>
        <v>0</v>
      </c>
      <c r="Y1220" s="39">
        <f>IF(AC1220="Intr",G1220,G1220*Definitions!$B$55)</f>
        <v>0</v>
      </c>
      <c r="Z1220" s="39"/>
      <c r="AA1220" s="39"/>
      <c r="AB1220" s="39"/>
      <c r="AC1220" s="38"/>
      <c r="AD1220" s="38"/>
      <c r="AE1220" s="38"/>
      <c r="AF1220" s="38"/>
      <c r="AG1220" s="40"/>
      <c r="AH1220" s="38"/>
    </row>
    <row r="1221" spans="1:34" x14ac:dyDescent="0.2">
      <c r="A1221" s="38"/>
      <c r="B1221" s="38"/>
      <c r="C1221" s="38"/>
      <c r="D1221" s="38"/>
      <c r="E1221" s="177"/>
      <c r="F1221" s="177"/>
      <c r="G1221" s="269"/>
      <c r="H1221" s="179"/>
      <c r="I1221" s="177"/>
      <c r="J1221" s="177"/>
      <c r="K1221" s="177"/>
      <c r="L1221" s="177"/>
      <c r="M1221" s="177"/>
      <c r="N1221" s="70"/>
      <c r="O1221" s="38"/>
      <c r="P1221" s="38"/>
      <c r="Q1221" s="760"/>
      <c r="R1221" s="590"/>
      <c r="S1221" s="38"/>
      <c r="T1221" s="38"/>
      <c r="U1221" s="38"/>
      <c r="V1221" s="37"/>
      <c r="W1221" s="39">
        <f>IF(AC1221="Intr",0,G1221*Definitions!$B$53)</f>
        <v>0</v>
      </c>
      <c r="X1221" s="39">
        <f>IF(AC1221="Intr",0,G1221*Definitions!$B$54)</f>
        <v>0</v>
      </c>
      <c r="Y1221" s="39">
        <f>IF(AC1221="Intr",G1221,G1221*Definitions!$B$55)</f>
        <v>0</v>
      </c>
      <c r="Z1221" s="39"/>
      <c r="AA1221" s="39"/>
      <c r="AB1221" s="39"/>
      <c r="AC1221" s="38"/>
      <c r="AD1221" s="38"/>
      <c r="AE1221" s="38"/>
      <c r="AF1221" s="38"/>
      <c r="AG1221" s="40"/>
      <c r="AH1221" s="38"/>
    </row>
    <row r="1222" spans="1:34" x14ac:dyDescent="0.2">
      <c r="A1222" s="38"/>
      <c r="B1222" s="38"/>
      <c r="C1222" s="38"/>
      <c r="D1222" s="38"/>
      <c r="E1222" s="177"/>
      <c r="F1222" s="177"/>
      <c r="G1222" s="269"/>
      <c r="H1222" s="179"/>
      <c r="I1222" s="177"/>
      <c r="J1222" s="177"/>
      <c r="K1222" s="177"/>
      <c r="L1222" s="177"/>
      <c r="M1222" s="177"/>
      <c r="N1222" s="70"/>
      <c r="O1222" s="38"/>
      <c r="P1222" s="38"/>
      <c r="Q1222" s="760"/>
      <c r="R1222" s="590"/>
      <c r="S1222" s="38"/>
      <c r="T1222" s="38"/>
      <c r="U1222" s="38"/>
      <c r="V1222" s="37"/>
      <c r="W1222" s="39">
        <f>IF(AC1222="Intr",0,G1222*Definitions!$B$53)</f>
        <v>0</v>
      </c>
      <c r="X1222" s="39">
        <f>IF(AC1222="Intr",0,G1222*Definitions!$B$54)</f>
        <v>0</v>
      </c>
      <c r="Y1222" s="39">
        <f>IF(AC1222="Intr",G1222,G1222*Definitions!$B$55)</f>
        <v>0</v>
      </c>
      <c r="Z1222" s="39"/>
      <c r="AA1222" s="39"/>
      <c r="AB1222" s="39"/>
      <c r="AC1222" s="38"/>
      <c r="AD1222" s="38"/>
      <c r="AE1222" s="38"/>
      <c r="AF1222" s="38"/>
      <c r="AG1222" s="40"/>
      <c r="AH1222" s="38"/>
    </row>
    <row r="1223" spans="1:34" x14ac:dyDescent="0.2">
      <c r="A1223" s="38"/>
      <c r="B1223" s="38"/>
      <c r="C1223" s="38"/>
      <c r="D1223" s="38"/>
      <c r="E1223" s="177"/>
      <c r="F1223" s="177"/>
      <c r="G1223" s="269"/>
      <c r="H1223" s="179"/>
      <c r="I1223" s="177"/>
      <c r="J1223" s="177"/>
      <c r="K1223" s="177"/>
      <c r="L1223" s="177"/>
      <c r="M1223" s="177"/>
      <c r="N1223" s="70"/>
      <c r="O1223" s="38"/>
      <c r="P1223" s="38"/>
      <c r="Q1223" s="760"/>
      <c r="R1223" s="590"/>
      <c r="S1223" s="38"/>
      <c r="T1223" s="38"/>
      <c r="U1223" s="38"/>
      <c r="V1223" s="37"/>
      <c r="W1223" s="39">
        <f>IF(AC1223="Intr",0,G1223*Definitions!$B$53)</f>
        <v>0</v>
      </c>
      <c r="X1223" s="39">
        <f>IF(AC1223="Intr",0,G1223*Definitions!$B$54)</f>
        <v>0</v>
      </c>
      <c r="Y1223" s="39">
        <f>IF(AC1223="Intr",G1223,G1223*Definitions!$B$55)</f>
        <v>0</v>
      </c>
      <c r="Z1223" s="39"/>
      <c r="AA1223" s="39"/>
      <c r="AB1223" s="39"/>
      <c r="AC1223" s="38"/>
      <c r="AD1223" s="38"/>
      <c r="AE1223" s="38"/>
      <c r="AF1223" s="38"/>
      <c r="AG1223" s="40"/>
      <c r="AH1223" s="38"/>
    </row>
    <row r="1224" spans="1:34" x14ac:dyDescent="0.2">
      <c r="A1224" s="38"/>
      <c r="B1224" s="38"/>
      <c r="C1224" s="38"/>
      <c r="D1224" s="38"/>
      <c r="E1224" s="177"/>
      <c r="F1224" s="177"/>
      <c r="G1224" s="269"/>
      <c r="H1224" s="179"/>
      <c r="I1224" s="177"/>
      <c r="J1224" s="177"/>
      <c r="K1224" s="177"/>
      <c r="L1224" s="177"/>
      <c r="M1224" s="177"/>
      <c r="N1224" s="70"/>
      <c r="O1224" s="38"/>
      <c r="P1224" s="38"/>
      <c r="Q1224" s="760"/>
      <c r="R1224" s="590"/>
      <c r="S1224" s="38"/>
      <c r="T1224" s="38"/>
      <c r="U1224" s="38"/>
      <c r="V1224" s="37"/>
      <c r="W1224" s="39">
        <f>IF(AC1224="Intr",0,G1224*Definitions!$B$53)</f>
        <v>0</v>
      </c>
      <c r="X1224" s="39">
        <f>IF(AC1224="Intr",0,G1224*Definitions!$B$54)</f>
        <v>0</v>
      </c>
      <c r="Y1224" s="39">
        <f>IF(AC1224="Intr",G1224,G1224*Definitions!$B$55)</f>
        <v>0</v>
      </c>
      <c r="Z1224" s="39"/>
      <c r="AA1224" s="39"/>
      <c r="AB1224" s="39"/>
      <c r="AC1224" s="38"/>
      <c r="AD1224" s="38"/>
      <c r="AE1224" s="38"/>
      <c r="AF1224" s="38"/>
      <c r="AG1224" s="40"/>
      <c r="AH1224" s="38"/>
    </row>
    <row r="1225" spans="1:34" x14ac:dyDescent="0.2">
      <c r="A1225" s="38"/>
      <c r="B1225" s="38"/>
      <c r="C1225" s="38"/>
      <c r="D1225" s="38"/>
      <c r="E1225" s="177"/>
      <c r="F1225" s="177"/>
      <c r="G1225" s="269"/>
      <c r="H1225" s="179"/>
      <c r="I1225" s="177"/>
      <c r="J1225" s="177"/>
      <c r="K1225" s="177"/>
      <c r="L1225" s="177"/>
      <c r="M1225" s="177"/>
      <c r="N1225" s="70"/>
      <c r="O1225" s="38"/>
      <c r="P1225" s="38"/>
      <c r="Q1225" s="760"/>
      <c r="R1225" s="590"/>
      <c r="S1225" s="38"/>
      <c r="T1225" s="38"/>
      <c r="U1225" s="38"/>
      <c r="V1225" s="37"/>
      <c r="W1225" s="39">
        <f>IF(AC1225="Intr",0,G1225*Definitions!$B$53)</f>
        <v>0</v>
      </c>
      <c r="X1225" s="39">
        <f>IF(AC1225="Intr",0,G1225*Definitions!$B$54)</f>
        <v>0</v>
      </c>
      <c r="Y1225" s="39">
        <f>IF(AC1225="Intr",G1225,G1225*Definitions!$B$55)</f>
        <v>0</v>
      </c>
      <c r="Z1225" s="39"/>
      <c r="AA1225" s="39"/>
      <c r="AB1225" s="39"/>
      <c r="AC1225" s="38"/>
      <c r="AD1225" s="38"/>
      <c r="AE1225" s="38"/>
      <c r="AF1225" s="38"/>
      <c r="AG1225" s="40"/>
      <c r="AH1225" s="38"/>
    </row>
    <row r="1226" spans="1:34" x14ac:dyDescent="0.2">
      <c r="A1226" s="38"/>
      <c r="B1226" s="38"/>
      <c r="C1226" s="38"/>
      <c r="D1226" s="38"/>
      <c r="E1226" s="177"/>
      <c r="F1226" s="177"/>
      <c r="G1226" s="269"/>
      <c r="H1226" s="179"/>
      <c r="I1226" s="177"/>
      <c r="J1226" s="177"/>
      <c r="K1226" s="177"/>
      <c r="L1226" s="177"/>
      <c r="M1226" s="177"/>
      <c r="N1226" s="70"/>
      <c r="O1226" s="38"/>
      <c r="P1226" s="38"/>
      <c r="Q1226" s="760"/>
      <c r="R1226" s="590"/>
      <c r="S1226" s="38"/>
      <c r="T1226" s="38"/>
      <c r="U1226" s="38"/>
      <c r="V1226" s="37"/>
      <c r="W1226" s="39">
        <f>IF(AC1226="Intr",0,G1226*Definitions!$B$53)</f>
        <v>0</v>
      </c>
      <c r="X1226" s="39">
        <f>IF(AC1226="Intr",0,G1226*Definitions!$B$54)</f>
        <v>0</v>
      </c>
      <c r="Y1226" s="39">
        <f>IF(AC1226="Intr",G1226,G1226*Definitions!$B$55)</f>
        <v>0</v>
      </c>
      <c r="Z1226" s="39"/>
      <c r="AA1226" s="39"/>
      <c r="AB1226" s="39"/>
      <c r="AC1226" s="38"/>
      <c r="AD1226" s="38"/>
      <c r="AE1226" s="38"/>
      <c r="AF1226" s="38"/>
      <c r="AG1226" s="40"/>
      <c r="AH1226" s="38"/>
    </row>
    <row r="1227" spans="1:34" x14ac:dyDescent="0.2">
      <c r="A1227" s="38"/>
      <c r="B1227" s="38"/>
      <c r="C1227" s="38"/>
      <c r="D1227" s="38"/>
      <c r="E1227" s="177"/>
      <c r="F1227" s="177"/>
      <c r="G1227" s="269"/>
      <c r="H1227" s="179"/>
      <c r="I1227" s="177"/>
      <c r="J1227" s="177"/>
      <c r="K1227" s="177"/>
      <c r="L1227" s="177"/>
      <c r="M1227" s="177"/>
      <c r="N1227" s="70"/>
      <c r="O1227" s="38"/>
      <c r="P1227" s="38"/>
      <c r="Q1227" s="760"/>
      <c r="R1227" s="590"/>
      <c r="S1227" s="38"/>
      <c r="T1227" s="38"/>
      <c r="U1227" s="38"/>
      <c r="V1227" s="37"/>
      <c r="W1227" s="39">
        <f>IF(AC1227="Intr",0,G1227*Definitions!$B$53)</f>
        <v>0</v>
      </c>
      <c r="X1227" s="39">
        <f>IF(AC1227="Intr",0,G1227*Definitions!$B$54)</f>
        <v>0</v>
      </c>
      <c r="Y1227" s="39">
        <f>IF(AC1227="Intr",G1227,G1227*Definitions!$B$55)</f>
        <v>0</v>
      </c>
      <c r="Z1227" s="39"/>
      <c r="AA1227" s="39"/>
      <c r="AB1227" s="39"/>
      <c r="AC1227" s="38"/>
      <c r="AD1227" s="38"/>
      <c r="AE1227" s="38"/>
      <c r="AF1227" s="38"/>
      <c r="AG1227" s="40"/>
      <c r="AH1227" s="38"/>
    </row>
    <row r="1228" spans="1:34" x14ac:dyDescent="0.2">
      <c r="A1228" s="38"/>
      <c r="B1228" s="38"/>
      <c r="C1228" s="38"/>
      <c r="D1228" s="38"/>
      <c r="E1228" s="177"/>
      <c r="F1228" s="177"/>
      <c r="G1228" s="269"/>
      <c r="H1228" s="179"/>
      <c r="I1228" s="177"/>
      <c r="J1228" s="177"/>
      <c r="K1228" s="177"/>
      <c r="L1228" s="177"/>
      <c r="M1228" s="177"/>
      <c r="N1228" s="70"/>
      <c r="O1228" s="38"/>
      <c r="P1228" s="38"/>
      <c r="Q1228" s="760"/>
      <c r="R1228" s="590"/>
      <c r="S1228" s="38"/>
      <c r="T1228" s="38"/>
      <c r="U1228" s="38"/>
      <c r="V1228" s="37"/>
      <c r="W1228" s="39">
        <f>IF(AC1228="Intr",0,G1228*Definitions!$B$53)</f>
        <v>0</v>
      </c>
      <c r="X1228" s="39">
        <f>IF(AC1228="Intr",0,G1228*Definitions!$B$54)</f>
        <v>0</v>
      </c>
      <c r="Y1228" s="39">
        <f>IF(AC1228="Intr",G1228,G1228*Definitions!$B$55)</f>
        <v>0</v>
      </c>
      <c r="Z1228" s="39"/>
      <c r="AA1228" s="39"/>
      <c r="AB1228" s="39"/>
      <c r="AC1228" s="38"/>
      <c r="AD1228" s="38"/>
      <c r="AE1228" s="38"/>
      <c r="AF1228" s="38"/>
      <c r="AG1228" s="40"/>
      <c r="AH1228" s="38"/>
    </row>
    <row r="1229" spans="1:34" x14ac:dyDescent="0.2">
      <c r="A1229" s="38"/>
      <c r="B1229" s="38"/>
      <c r="C1229" s="38"/>
      <c r="D1229" s="38"/>
      <c r="E1229" s="177"/>
      <c r="F1229" s="177"/>
      <c r="G1229" s="269"/>
      <c r="H1229" s="179"/>
      <c r="I1229" s="177"/>
      <c r="J1229" s="177"/>
      <c r="K1229" s="177"/>
      <c r="L1229" s="177"/>
      <c r="M1229" s="177"/>
      <c r="N1229" s="70"/>
      <c r="O1229" s="38"/>
      <c r="P1229" s="38"/>
      <c r="Q1229" s="760"/>
      <c r="R1229" s="590"/>
      <c r="S1229" s="38"/>
      <c r="T1229" s="38"/>
      <c r="U1229" s="38"/>
      <c r="V1229" s="37"/>
      <c r="W1229" s="39">
        <f>IF(AC1229="Intr",0,G1229*Definitions!$B$53)</f>
        <v>0</v>
      </c>
      <c r="X1229" s="39">
        <f>IF(AC1229="Intr",0,G1229*Definitions!$B$54)</f>
        <v>0</v>
      </c>
      <c r="Y1229" s="39">
        <f>IF(AC1229="Intr",G1229,G1229*Definitions!$B$55)</f>
        <v>0</v>
      </c>
      <c r="Z1229" s="39"/>
      <c r="AA1229" s="39"/>
      <c r="AB1229" s="39"/>
      <c r="AC1229" s="38"/>
      <c r="AD1229" s="38"/>
      <c r="AE1229" s="38"/>
      <c r="AF1229" s="38"/>
      <c r="AG1229" s="40"/>
      <c r="AH1229" s="38"/>
    </row>
    <row r="1230" spans="1:34" x14ac:dyDescent="0.2">
      <c r="A1230" s="38"/>
      <c r="B1230" s="38"/>
      <c r="C1230" s="38"/>
      <c r="D1230" s="38"/>
      <c r="E1230" s="177"/>
      <c r="F1230" s="177"/>
      <c r="G1230" s="269"/>
      <c r="H1230" s="179"/>
      <c r="I1230" s="177"/>
      <c r="J1230" s="177"/>
      <c r="K1230" s="177"/>
      <c r="L1230" s="177"/>
      <c r="M1230" s="177"/>
      <c r="N1230" s="70"/>
      <c r="O1230" s="38"/>
      <c r="P1230" s="38"/>
      <c r="Q1230" s="760"/>
      <c r="R1230" s="590"/>
      <c r="S1230" s="38"/>
      <c r="T1230" s="38"/>
      <c r="U1230" s="38"/>
      <c r="V1230" s="37"/>
      <c r="W1230" s="39">
        <f>IF(AC1230="Intr",0,G1230*Definitions!$B$53)</f>
        <v>0</v>
      </c>
      <c r="X1230" s="39">
        <f>IF(AC1230="Intr",0,G1230*Definitions!$B$54)</f>
        <v>0</v>
      </c>
      <c r="Y1230" s="39">
        <f>IF(AC1230="Intr",G1230,G1230*Definitions!$B$55)</f>
        <v>0</v>
      </c>
      <c r="Z1230" s="39"/>
      <c r="AA1230" s="39"/>
      <c r="AB1230" s="39"/>
      <c r="AC1230" s="38"/>
      <c r="AD1230" s="38"/>
      <c r="AE1230" s="38"/>
      <c r="AF1230" s="38"/>
      <c r="AG1230" s="40"/>
      <c r="AH1230" s="38"/>
    </row>
    <row r="1231" spans="1:34" x14ac:dyDescent="0.2">
      <c r="A1231" s="38"/>
      <c r="B1231" s="38"/>
      <c r="C1231" s="38"/>
      <c r="D1231" s="38"/>
      <c r="E1231" s="177"/>
      <c r="F1231" s="177"/>
      <c r="G1231" s="269"/>
      <c r="H1231" s="179"/>
      <c r="I1231" s="177"/>
      <c r="J1231" s="177"/>
      <c r="K1231" s="177"/>
      <c r="L1231" s="177"/>
      <c r="M1231" s="177"/>
      <c r="N1231" s="70"/>
      <c r="O1231" s="38"/>
      <c r="P1231" s="38"/>
      <c r="Q1231" s="760"/>
      <c r="R1231" s="590"/>
      <c r="S1231" s="38"/>
      <c r="T1231" s="38"/>
      <c r="U1231" s="38"/>
      <c r="V1231" s="37"/>
      <c r="W1231" s="39">
        <f>IF(AC1231="Intr",0,G1231*Definitions!$B$53)</f>
        <v>0</v>
      </c>
      <c r="X1231" s="39">
        <f>IF(AC1231="Intr",0,G1231*Definitions!$B$54)</f>
        <v>0</v>
      </c>
      <c r="Y1231" s="39">
        <f>IF(AC1231="Intr",G1231,G1231*Definitions!$B$55)</f>
        <v>0</v>
      </c>
      <c r="Z1231" s="39"/>
      <c r="AA1231" s="39"/>
      <c r="AB1231" s="39"/>
      <c r="AC1231" s="38"/>
      <c r="AD1231" s="38"/>
      <c r="AE1231" s="38"/>
      <c r="AF1231" s="38"/>
      <c r="AG1231" s="40"/>
      <c r="AH1231" s="38"/>
    </row>
    <row r="1232" spans="1:34" x14ac:dyDescent="0.2">
      <c r="A1232" s="38"/>
      <c r="B1232" s="38"/>
      <c r="C1232" s="38"/>
      <c r="D1232" s="38"/>
      <c r="E1232" s="177"/>
      <c r="F1232" s="177"/>
      <c r="G1232" s="269"/>
      <c r="H1232" s="179"/>
      <c r="I1232" s="177"/>
      <c r="J1232" s="177"/>
      <c r="K1232" s="177"/>
      <c r="L1232" s="177"/>
      <c r="M1232" s="177"/>
      <c r="N1232" s="70"/>
      <c r="O1232" s="38"/>
      <c r="P1232" s="38"/>
      <c r="Q1232" s="760"/>
      <c r="R1232" s="590"/>
      <c r="S1232" s="38"/>
      <c r="T1232" s="38"/>
      <c r="U1232" s="38"/>
      <c r="V1232" s="37"/>
      <c r="W1232" s="39">
        <f>IF(AC1232="Intr",0,G1232*Definitions!$B$53)</f>
        <v>0</v>
      </c>
      <c r="X1232" s="39">
        <f>IF(AC1232="Intr",0,G1232*Definitions!$B$54)</f>
        <v>0</v>
      </c>
      <c r="Y1232" s="39">
        <f>IF(AC1232="Intr",G1232,G1232*Definitions!$B$55)</f>
        <v>0</v>
      </c>
      <c r="Z1232" s="39"/>
      <c r="AA1232" s="39"/>
      <c r="AB1232" s="39"/>
      <c r="AC1232" s="38"/>
      <c r="AD1232" s="38"/>
      <c r="AE1232" s="38"/>
      <c r="AF1232" s="38"/>
      <c r="AG1232" s="40"/>
      <c r="AH1232" s="38"/>
    </row>
    <row r="1233" spans="1:34" x14ac:dyDescent="0.2">
      <c r="A1233" s="38"/>
      <c r="B1233" s="38"/>
      <c r="C1233" s="38"/>
      <c r="D1233" s="38"/>
      <c r="E1233" s="177"/>
      <c r="F1233" s="177"/>
      <c r="G1233" s="269"/>
      <c r="H1233" s="179"/>
      <c r="I1233" s="177"/>
      <c r="J1233" s="177"/>
      <c r="K1233" s="177"/>
      <c r="L1233" s="177"/>
      <c r="M1233" s="177"/>
      <c r="N1233" s="70"/>
      <c r="O1233" s="38"/>
      <c r="P1233" s="38"/>
      <c r="Q1233" s="760"/>
      <c r="R1233" s="590"/>
      <c r="S1233" s="38"/>
      <c r="T1233" s="38"/>
      <c r="U1233" s="38"/>
      <c r="V1233" s="37"/>
      <c r="W1233" s="39">
        <f>IF(AC1233="Intr",0,G1233*Definitions!$B$53)</f>
        <v>0</v>
      </c>
      <c r="X1233" s="39">
        <f>IF(AC1233="Intr",0,G1233*Definitions!$B$54)</f>
        <v>0</v>
      </c>
      <c r="Y1233" s="39">
        <f>IF(AC1233="Intr",G1233,G1233*Definitions!$B$55)</f>
        <v>0</v>
      </c>
      <c r="Z1233" s="39"/>
      <c r="AA1233" s="39"/>
      <c r="AB1233" s="39"/>
      <c r="AC1233" s="38"/>
      <c r="AD1233" s="38"/>
      <c r="AE1233" s="38"/>
      <c r="AF1233" s="38"/>
      <c r="AG1233" s="40"/>
      <c r="AH1233" s="38"/>
    </row>
    <row r="1234" spans="1:34" x14ac:dyDescent="0.2">
      <c r="A1234" s="38"/>
      <c r="B1234" s="38"/>
      <c r="C1234" s="38"/>
      <c r="D1234" s="38"/>
      <c r="E1234" s="177"/>
      <c r="F1234" s="177"/>
      <c r="G1234" s="269"/>
      <c r="H1234" s="179"/>
      <c r="I1234" s="177"/>
      <c r="J1234" s="177"/>
      <c r="K1234" s="177"/>
      <c r="L1234" s="177"/>
      <c r="M1234" s="177"/>
      <c r="N1234" s="70"/>
      <c r="O1234" s="38"/>
      <c r="P1234" s="38"/>
      <c r="Q1234" s="760"/>
      <c r="R1234" s="590"/>
      <c r="S1234" s="38"/>
      <c r="T1234" s="38"/>
      <c r="U1234" s="38"/>
      <c r="V1234" s="37"/>
      <c r="W1234" s="39">
        <f>IF(AC1234="Intr",0,G1234*Definitions!$B$53)</f>
        <v>0</v>
      </c>
      <c r="X1234" s="39">
        <f>IF(AC1234="Intr",0,G1234*Definitions!$B$54)</f>
        <v>0</v>
      </c>
      <c r="Y1234" s="39">
        <f>IF(AC1234="Intr",G1234,G1234*Definitions!$B$55)</f>
        <v>0</v>
      </c>
      <c r="Z1234" s="39"/>
      <c r="AA1234" s="39"/>
      <c r="AB1234" s="39"/>
      <c r="AC1234" s="38"/>
      <c r="AD1234" s="38"/>
      <c r="AE1234" s="38"/>
      <c r="AF1234" s="38"/>
      <c r="AG1234" s="40"/>
      <c r="AH1234" s="38"/>
    </row>
    <row r="1235" spans="1:34" x14ac:dyDescent="0.2">
      <c r="A1235" s="38"/>
      <c r="B1235" s="38"/>
      <c r="C1235" s="38"/>
      <c r="D1235" s="38"/>
      <c r="E1235" s="177"/>
      <c r="F1235" s="177"/>
      <c r="G1235" s="269"/>
      <c r="H1235" s="179"/>
      <c r="I1235" s="177"/>
      <c r="J1235" s="177"/>
      <c r="K1235" s="177"/>
      <c r="L1235" s="177"/>
      <c r="M1235" s="177"/>
      <c r="N1235" s="70"/>
      <c r="O1235" s="38"/>
      <c r="P1235" s="38"/>
      <c r="Q1235" s="760"/>
      <c r="R1235" s="590"/>
      <c r="S1235" s="38"/>
      <c r="T1235" s="38"/>
      <c r="U1235" s="38"/>
      <c r="V1235" s="37"/>
      <c r="W1235" s="39">
        <f>IF(AC1235="Intr",0,G1235*Definitions!$B$53)</f>
        <v>0</v>
      </c>
      <c r="X1235" s="39">
        <f>IF(AC1235="Intr",0,G1235*Definitions!$B$54)</f>
        <v>0</v>
      </c>
      <c r="Y1235" s="39">
        <f>IF(AC1235="Intr",G1235,G1235*Definitions!$B$55)</f>
        <v>0</v>
      </c>
      <c r="Z1235" s="39"/>
      <c r="AA1235" s="39"/>
      <c r="AB1235" s="39"/>
      <c r="AC1235" s="38"/>
      <c r="AD1235" s="38"/>
      <c r="AE1235" s="38"/>
      <c r="AF1235" s="38"/>
      <c r="AG1235" s="40"/>
      <c r="AH1235" s="38"/>
    </row>
    <row r="1236" spans="1:34" x14ac:dyDescent="0.2">
      <c r="A1236" s="38"/>
      <c r="B1236" s="38"/>
      <c r="C1236" s="38"/>
      <c r="D1236" s="38"/>
      <c r="E1236" s="177"/>
      <c r="F1236" s="177"/>
      <c r="G1236" s="269"/>
      <c r="H1236" s="179"/>
      <c r="I1236" s="177"/>
      <c r="J1236" s="177"/>
      <c r="K1236" s="177"/>
      <c r="L1236" s="177"/>
      <c r="M1236" s="177"/>
      <c r="N1236" s="70"/>
      <c r="O1236" s="38"/>
      <c r="P1236" s="38"/>
      <c r="Q1236" s="760"/>
      <c r="R1236" s="590"/>
      <c r="S1236" s="38"/>
      <c r="T1236" s="38"/>
      <c r="U1236" s="38"/>
      <c r="V1236" s="37"/>
      <c r="W1236" s="39">
        <f>IF(AC1236="Intr",0,G1236*Definitions!$B$53)</f>
        <v>0</v>
      </c>
      <c r="X1236" s="39">
        <f>IF(AC1236="Intr",0,G1236*Definitions!$B$54)</f>
        <v>0</v>
      </c>
      <c r="Y1236" s="39">
        <f>IF(AC1236="Intr",G1236,G1236*Definitions!$B$55)</f>
        <v>0</v>
      </c>
      <c r="Z1236" s="39"/>
      <c r="AA1236" s="39"/>
      <c r="AB1236" s="39"/>
      <c r="AC1236" s="38"/>
      <c r="AD1236" s="38"/>
      <c r="AE1236" s="38"/>
      <c r="AF1236" s="38"/>
      <c r="AG1236" s="40"/>
      <c r="AH1236" s="38"/>
    </row>
    <row r="1237" spans="1:34" x14ac:dyDescent="0.2">
      <c r="A1237" s="38"/>
      <c r="B1237" s="38"/>
      <c r="C1237" s="38"/>
      <c r="D1237" s="38"/>
      <c r="E1237" s="177"/>
      <c r="F1237" s="177"/>
      <c r="G1237" s="269"/>
      <c r="H1237" s="179"/>
      <c r="I1237" s="177"/>
      <c r="J1237" s="177"/>
      <c r="K1237" s="177"/>
      <c r="L1237" s="177"/>
      <c r="M1237" s="177"/>
      <c r="N1237" s="70"/>
      <c r="O1237" s="38"/>
      <c r="P1237" s="38"/>
      <c r="Q1237" s="760"/>
      <c r="R1237" s="590"/>
      <c r="S1237" s="38"/>
      <c r="T1237" s="38"/>
      <c r="U1237" s="38"/>
      <c r="V1237" s="37"/>
      <c r="W1237" s="39">
        <f>IF(AC1237="Intr",0,G1237*Definitions!$B$53)</f>
        <v>0</v>
      </c>
      <c r="X1237" s="39">
        <f>IF(AC1237="Intr",0,G1237*Definitions!$B$54)</f>
        <v>0</v>
      </c>
      <c r="Y1237" s="39">
        <f>IF(AC1237="Intr",G1237,G1237*Definitions!$B$55)</f>
        <v>0</v>
      </c>
      <c r="Z1237" s="39"/>
      <c r="AA1237" s="39"/>
      <c r="AB1237" s="39"/>
      <c r="AC1237" s="38"/>
      <c r="AD1237" s="38"/>
      <c r="AE1237" s="38"/>
      <c r="AF1237" s="38"/>
      <c r="AG1237" s="40"/>
      <c r="AH1237" s="38"/>
    </row>
    <row r="1238" spans="1:34" x14ac:dyDescent="0.2">
      <c r="A1238" s="38"/>
      <c r="B1238" s="38"/>
      <c r="C1238" s="38"/>
      <c r="D1238" s="38"/>
      <c r="E1238" s="177"/>
      <c r="F1238" s="177"/>
      <c r="G1238" s="269"/>
      <c r="H1238" s="179"/>
      <c r="I1238" s="177"/>
      <c r="J1238" s="177"/>
      <c r="K1238" s="177"/>
      <c r="L1238" s="177"/>
      <c r="M1238" s="177"/>
      <c r="N1238" s="70"/>
      <c r="O1238" s="38"/>
      <c r="P1238" s="38"/>
      <c r="Q1238" s="760"/>
      <c r="R1238" s="590"/>
      <c r="S1238" s="38"/>
      <c r="T1238" s="38"/>
      <c r="U1238" s="38"/>
      <c r="V1238" s="37"/>
      <c r="W1238" s="39">
        <f>IF(AC1238="Intr",0,G1238*Definitions!$B$53)</f>
        <v>0</v>
      </c>
      <c r="X1238" s="39">
        <f>IF(AC1238="Intr",0,G1238*Definitions!$B$54)</f>
        <v>0</v>
      </c>
      <c r="Y1238" s="39">
        <f>IF(AC1238="Intr",G1238,G1238*Definitions!$B$55)</f>
        <v>0</v>
      </c>
      <c r="Z1238" s="39"/>
      <c r="AA1238" s="39"/>
      <c r="AB1238" s="39"/>
      <c r="AC1238" s="38"/>
      <c r="AD1238" s="38"/>
      <c r="AE1238" s="38"/>
      <c r="AF1238" s="38"/>
      <c r="AG1238" s="40"/>
      <c r="AH1238" s="38"/>
    </row>
    <row r="1239" spans="1:34" x14ac:dyDescent="0.2">
      <c r="A1239" s="38"/>
      <c r="B1239" s="38"/>
      <c r="C1239" s="38"/>
      <c r="D1239" s="38"/>
      <c r="E1239" s="177"/>
      <c r="F1239" s="177"/>
      <c r="G1239" s="269"/>
      <c r="H1239" s="179"/>
      <c r="I1239" s="177"/>
      <c r="J1239" s="177"/>
      <c r="K1239" s="177"/>
      <c r="L1239" s="177"/>
      <c r="M1239" s="177"/>
      <c r="N1239" s="70"/>
      <c r="O1239" s="38"/>
      <c r="P1239" s="38"/>
      <c r="Q1239" s="760"/>
      <c r="R1239" s="590"/>
      <c r="S1239" s="38"/>
      <c r="T1239" s="38"/>
      <c r="U1239" s="38"/>
      <c r="V1239" s="37"/>
      <c r="W1239" s="39">
        <f>IF(AC1239="Intr",0,G1239*Definitions!$B$53)</f>
        <v>0</v>
      </c>
      <c r="X1239" s="39">
        <f>IF(AC1239="Intr",0,G1239*Definitions!$B$54)</f>
        <v>0</v>
      </c>
      <c r="Y1239" s="39">
        <f>IF(AC1239="Intr",G1239,G1239*Definitions!$B$55)</f>
        <v>0</v>
      </c>
      <c r="Z1239" s="39"/>
      <c r="AA1239" s="39"/>
      <c r="AB1239" s="39"/>
      <c r="AC1239" s="38"/>
      <c r="AD1239" s="38"/>
      <c r="AE1239" s="38"/>
      <c r="AF1239" s="38"/>
      <c r="AG1239" s="40"/>
      <c r="AH1239" s="38"/>
    </row>
    <row r="1240" spans="1:34" x14ac:dyDescent="0.2">
      <c r="A1240" s="38"/>
      <c r="B1240" s="38"/>
      <c r="C1240" s="38"/>
      <c r="D1240" s="38"/>
      <c r="E1240" s="177"/>
      <c r="F1240" s="177"/>
      <c r="G1240" s="269"/>
      <c r="H1240" s="179"/>
      <c r="I1240" s="177"/>
      <c r="J1240" s="177"/>
      <c r="K1240" s="177"/>
      <c r="L1240" s="177"/>
      <c r="M1240" s="177"/>
      <c r="N1240" s="70"/>
      <c r="O1240" s="38"/>
      <c r="P1240" s="38"/>
      <c r="Q1240" s="760"/>
      <c r="R1240" s="590"/>
      <c r="S1240" s="38"/>
      <c r="T1240" s="38"/>
      <c r="U1240" s="38"/>
      <c r="V1240" s="37"/>
      <c r="W1240" s="39">
        <f>IF(AC1240="Intr",0,G1240*Definitions!$B$53)</f>
        <v>0</v>
      </c>
      <c r="X1240" s="39">
        <f>IF(AC1240="Intr",0,G1240*Definitions!$B$54)</f>
        <v>0</v>
      </c>
      <c r="Y1240" s="39">
        <f>IF(AC1240="Intr",G1240,G1240*Definitions!$B$55)</f>
        <v>0</v>
      </c>
      <c r="Z1240" s="39"/>
      <c r="AA1240" s="39"/>
      <c r="AB1240" s="39"/>
      <c r="AC1240" s="38"/>
      <c r="AD1240" s="38"/>
      <c r="AE1240" s="38"/>
      <c r="AF1240" s="38"/>
      <c r="AG1240" s="40"/>
      <c r="AH1240" s="38"/>
    </row>
    <row r="1241" spans="1:34" x14ac:dyDescent="0.2">
      <c r="A1241" s="38"/>
      <c r="B1241" s="38"/>
      <c r="C1241" s="38"/>
      <c r="D1241" s="38"/>
      <c r="E1241" s="177"/>
      <c r="F1241" s="177"/>
      <c r="G1241" s="269"/>
      <c r="H1241" s="179"/>
      <c r="I1241" s="177"/>
      <c r="J1241" s="177"/>
      <c r="K1241" s="177"/>
      <c r="L1241" s="177"/>
      <c r="M1241" s="177"/>
      <c r="N1241" s="70"/>
      <c r="O1241" s="38"/>
      <c r="P1241" s="38"/>
      <c r="Q1241" s="760"/>
      <c r="R1241" s="590"/>
      <c r="S1241" s="38"/>
      <c r="T1241" s="38"/>
      <c r="U1241" s="38"/>
      <c r="V1241" s="37"/>
      <c r="W1241" s="39">
        <f>IF(AC1241="Intr",0,G1241*Definitions!$B$53)</f>
        <v>0</v>
      </c>
      <c r="X1241" s="39">
        <f>IF(AC1241="Intr",0,G1241*Definitions!$B$54)</f>
        <v>0</v>
      </c>
      <c r="Y1241" s="39">
        <f>IF(AC1241="Intr",G1241,G1241*Definitions!$B$55)</f>
        <v>0</v>
      </c>
      <c r="Z1241" s="39"/>
      <c r="AA1241" s="39"/>
      <c r="AB1241" s="39"/>
      <c r="AC1241" s="38"/>
      <c r="AD1241" s="38"/>
      <c r="AE1241" s="38"/>
      <c r="AF1241" s="38"/>
      <c r="AG1241" s="40"/>
      <c r="AH1241" s="38"/>
    </row>
    <row r="1242" spans="1:34" x14ac:dyDescent="0.2">
      <c r="A1242" s="38"/>
      <c r="B1242" s="38"/>
      <c r="C1242" s="38"/>
      <c r="D1242" s="38"/>
      <c r="E1242" s="177"/>
      <c r="F1242" s="177"/>
      <c r="G1242" s="269"/>
      <c r="H1242" s="179"/>
      <c r="I1242" s="177"/>
      <c r="J1242" s="177"/>
      <c r="K1242" s="177"/>
      <c r="L1242" s="177"/>
      <c r="M1242" s="177"/>
      <c r="N1242" s="70"/>
      <c r="O1242" s="38"/>
      <c r="P1242" s="38"/>
      <c r="Q1242" s="760"/>
      <c r="R1242" s="590"/>
      <c r="S1242" s="38"/>
      <c r="T1242" s="38"/>
      <c r="U1242" s="38"/>
      <c r="V1242" s="37"/>
      <c r="W1242" s="39">
        <f>IF(AC1242="Intr",0,G1242*Definitions!$B$53)</f>
        <v>0</v>
      </c>
      <c r="X1242" s="39">
        <f>IF(AC1242="Intr",0,G1242*Definitions!$B$54)</f>
        <v>0</v>
      </c>
      <c r="Y1242" s="39">
        <f>IF(AC1242="Intr",G1242,G1242*Definitions!$B$55)</f>
        <v>0</v>
      </c>
      <c r="Z1242" s="39"/>
      <c r="AA1242" s="39"/>
      <c r="AB1242" s="39"/>
      <c r="AC1242" s="38"/>
      <c r="AD1242" s="38"/>
      <c r="AE1242" s="38"/>
      <c r="AF1242" s="38"/>
      <c r="AG1242" s="40"/>
      <c r="AH1242" s="38"/>
    </row>
    <row r="1243" spans="1:34" x14ac:dyDescent="0.2">
      <c r="A1243" s="38"/>
      <c r="B1243" s="38"/>
      <c r="C1243" s="38"/>
      <c r="D1243" s="38"/>
      <c r="E1243" s="177"/>
      <c r="F1243" s="177"/>
      <c r="G1243" s="269"/>
      <c r="H1243" s="179"/>
      <c r="I1243" s="177"/>
      <c r="J1243" s="177"/>
      <c r="K1243" s="177"/>
      <c r="L1243" s="177"/>
      <c r="M1243" s="177"/>
      <c r="N1243" s="70"/>
      <c r="O1243" s="38"/>
      <c r="P1243" s="38"/>
      <c r="Q1243" s="760"/>
      <c r="R1243" s="590"/>
      <c r="S1243" s="38"/>
      <c r="T1243" s="38"/>
      <c r="U1243" s="38"/>
      <c r="V1243" s="37"/>
      <c r="W1243" s="39">
        <f>IF(AC1243="Intr",0,G1243*Definitions!$B$53)</f>
        <v>0</v>
      </c>
      <c r="X1243" s="39">
        <f>IF(AC1243="Intr",0,G1243*Definitions!$B$54)</f>
        <v>0</v>
      </c>
      <c r="Y1243" s="39">
        <f>IF(AC1243="Intr",G1243,G1243*Definitions!$B$55)</f>
        <v>0</v>
      </c>
      <c r="Z1243" s="39"/>
      <c r="AA1243" s="39"/>
      <c r="AB1243" s="39"/>
      <c r="AC1243" s="38"/>
      <c r="AD1243" s="38"/>
      <c r="AE1243" s="38"/>
      <c r="AF1243" s="38"/>
      <c r="AG1243" s="40"/>
      <c r="AH1243" s="38"/>
    </row>
    <row r="1244" spans="1:34" x14ac:dyDescent="0.2">
      <c r="A1244" s="38"/>
      <c r="B1244" s="38"/>
      <c r="C1244" s="38"/>
      <c r="D1244" s="38"/>
      <c r="E1244" s="177"/>
      <c r="F1244" s="177"/>
      <c r="G1244" s="269"/>
      <c r="H1244" s="179"/>
      <c r="I1244" s="177"/>
      <c r="J1244" s="177"/>
      <c r="K1244" s="177"/>
      <c r="L1244" s="177"/>
      <c r="M1244" s="177"/>
      <c r="N1244" s="70"/>
      <c r="O1244" s="38"/>
      <c r="P1244" s="38"/>
      <c r="Q1244" s="760"/>
      <c r="R1244" s="590"/>
      <c r="S1244" s="38"/>
      <c r="T1244" s="38"/>
      <c r="U1244" s="38"/>
      <c r="V1244" s="37"/>
      <c r="W1244" s="39">
        <f>IF(AC1244="Intr",0,G1244*Definitions!$B$53)</f>
        <v>0</v>
      </c>
      <c r="X1244" s="39">
        <f>IF(AC1244="Intr",0,G1244*Definitions!$B$54)</f>
        <v>0</v>
      </c>
      <c r="Y1244" s="39">
        <f>IF(AC1244="Intr",G1244,G1244*Definitions!$B$55)</f>
        <v>0</v>
      </c>
      <c r="Z1244" s="39"/>
      <c r="AA1244" s="39"/>
      <c r="AB1244" s="39"/>
      <c r="AC1244" s="38"/>
      <c r="AD1244" s="38"/>
      <c r="AE1244" s="38"/>
      <c r="AF1244" s="38"/>
      <c r="AG1244" s="40"/>
      <c r="AH1244" s="38"/>
    </row>
    <row r="1245" spans="1:34" x14ac:dyDescent="0.2">
      <c r="A1245" s="38"/>
      <c r="B1245" s="38"/>
      <c r="C1245" s="38"/>
      <c r="D1245" s="38"/>
      <c r="E1245" s="177"/>
      <c r="F1245" s="177"/>
      <c r="G1245" s="269"/>
      <c r="H1245" s="179"/>
      <c r="I1245" s="177"/>
      <c r="J1245" s="177"/>
      <c r="K1245" s="177"/>
      <c r="L1245" s="177"/>
      <c r="M1245" s="177"/>
      <c r="N1245" s="70"/>
      <c r="O1245" s="38"/>
      <c r="P1245" s="38"/>
      <c r="Q1245" s="760"/>
      <c r="R1245" s="590"/>
      <c r="S1245" s="38"/>
      <c r="T1245" s="38"/>
      <c r="U1245" s="38"/>
      <c r="V1245" s="37"/>
      <c r="W1245" s="39">
        <f>IF(AC1245="Intr",0,G1245*Definitions!$B$53)</f>
        <v>0</v>
      </c>
      <c r="X1245" s="39">
        <f>IF(AC1245="Intr",0,G1245*Definitions!$B$54)</f>
        <v>0</v>
      </c>
      <c r="Y1245" s="39">
        <f>IF(AC1245="Intr",G1245,G1245*Definitions!$B$55)</f>
        <v>0</v>
      </c>
      <c r="Z1245" s="39"/>
      <c r="AA1245" s="39"/>
      <c r="AB1245" s="39"/>
      <c r="AC1245" s="38"/>
      <c r="AD1245" s="38"/>
      <c r="AE1245" s="38"/>
      <c r="AF1245" s="38"/>
      <c r="AG1245" s="40"/>
      <c r="AH1245" s="38"/>
    </row>
    <row r="1246" spans="1:34" x14ac:dyDescent="0.2">
      <c r="A1246" s="38"/>
      <c r="B1246" s="38"/>
      <c r="C1246" s="38"/>
      <c r="D1246" s="38"/>
      <c r="E1246" s="177"/>
      <c r="F1246" s="177"/>
      <c r="G1246" s="269"/>
      <c r="H1246" s="179"/>
      <c r="I1246" s="177"/>
      <c r="J1246" s="177"/>
      <c r="K1246" s="177"/>
      <c r="L1246" s="177"/>
      <c r="M1246" s="177"/>
      <c r="N1246" s="70"/>
      <c r="O1246" s="38"/>
      <c r="P1246" s="38"/>
      <c r="Q1246" s="760"/>
      <c r="R1246" s="590"/>
      <c r="S1246" s="38"/>
      <c r="T1246" s="38"/>
      <c r="U1246" s="38"/>
      <c r="V1246" s="37"/>
      <c r="W1246" s="39">
        <f>IF(AC1246="Intr",0,G1246*Definitions!$B$53)</f>
        <v>0</v>
      </c>
      <c r="X1246" s="39">
        <f>IF(AC1246="Intr",0,G1246*Definitions!$B$54)</f>
        <v>0</v>
      </c>
      <c r="Y1246" s="39">
        <f>IF(AC1246="Intr",G1246,G1246*Definitions!$B$55)</f>
        <v>0</v>
      </c>
      <c r="Z1246" s="39"/>
      <c r="AA1246" s="39"/>
      <c r="AB1246" s="39"/>
      <c r="AC1246" s="38"/>
      <c r="AD1246" s="38"/>
      <c r="AE1246" s="38"/>
      <c r="AF1246" s="38"/>
      <c r="AG1246" s="40"/>
      <c r="AH1246" s="38"/>
    </row>
    <row r="1247" spans="1:34" x14ac:dyDescent="0.2">
      <c r="A1247" s="38"/>
      <c r="B1247" s="38"/>
      <c r="C1247" s="38"/>
      <c r="D1247" s="38"/>
      <c r="E1247" s="177"/>
      <c r="F1247" s="177"/>
      <c r="G1247" s="269"/>
      <c r="H1247" s="179"/>
      <c r="I1247" s="177"/>
      <c r="J1247" s="177"/>
      <c r="K1247" s="177"/>
      <c r="L1247" s="177"/>
      <c r="M1247" s="177"/>
      <c r="N1247" s="70"/>
      <c r="O1247" s="38"/>
      <c r="P1247" s="38"/>
      <c r="Q1247" s="760"/>
      <c r="R1247" s="590"/>
      <c r="S1247" s="38"/>
      <c r="T1247" s="38"/>
      <c r="U1247" s="38"/>
      <c r="V1247" s="37"/>
      <c r="W1247" s="39">
        <f>IF(AC1247="Intr",0,G1247*Definitions!$B$53)</f>
        <v>0</v>
      </c>
      <c r="X1247" s="39">
        <f>IF(AC1247="Intr",0,G1247*Definitions!$B$54)</f>
        <v>0</v>
      </c>
      <c r="Y1247" s="39">
        <f>IF(AC1247="Intr",G1247,G1247*Definitions!$B$55)</f>
        <v>0</v>
      </c>
      <c r="Z1247" s="39"/>
      <c r="AA1247" s="39"/>
      <c r="AB1247" s="39"/>
      <c r="AC1247" s="38"/>
      <c r="AD1247" s="38"/>
      <c r="AE1247" s="38"/>
      <c r="AF1247" s="38"/>
      <c r="AG1247" s="40"/>
      <c r="AH1247" s="38"/>
    </row>
    <row r="1248" spans="1:34" x14ac:dyDescent="0.2">
      <c r="A1248" s="38"/>
      <c r="B1248" s="38"/>
      <c r="C1248" s="38"/>
      <c r="D1248" s="38"/>
      <c r="E1248" s="177"/>
      <c r="F1248" s="177"/>
      <c r="G1248" s="269"/>
      <c r="H1248" s="179"/>
      <c r="I1248" s="177"/>
      <c r="J1248" s="177"/>
      <c r="K1248" s="177"/>
      <c r="L1248" s="177"/>
      <c r="M1248" s="177"/>
      <c r="N1248" s="70"/>
      <c r="O1248" s="38"/>
      <c r="P1248" s="38"/>
      <c r="Q1248" s="760"/>
      <c r="R1248" s="590"/>
      <c r="S1248" s="38"/>
      <c r="T1248" s="38"/>
      <c r="U1248" s="38"/>
      <c r="V1248" s="37"/>
      <c r="W1248" s="39">
        <f>IF(AC1248="Intr",0,G1248*Definitions!$B$53)</f>
        <v>0</v>
      </c>
      <c r="X1248" s="39">
        <f>IF(AC1248="Intr",0,G1248*Definitions!$B$54)</f>
        <v>0</v>
      </c>
      <c r="Y1248" s="39">
        <f>IF(AC1248="Intr",G1248,G1248*Definitions!$B$55)</f>
        <v>0</v>
      </c>
      <c r="Z1248" s="39"/>
      <c r="AA1248" s="39"/>
      <c r="AB1248" s="39"/>
      <c r="AC1248" s="38"/>
      <c r="AD1248" s="38"/>
      <c r="AE1248" s="38"/>
      <c r="AF1248" s="38"/>
      <c r="AG1248" s="40"/>
      <c r="AH1248" s="38"/>
    </row>
    <row r="1249" spans="1:34" x14ac:dyDescent="0.2">
      <c r="A1249" s="38"/>
      <c r="B1249" s="38"/>
      <c r="C1249" s="38"/>
      <c r="D1249" s="38"/>
      <c r="E1249" s="177"/>
      <c r="F1249" s="177"/>
      <c r="G1249" s="269"/>
      <c r="H1249" s="179"/>
      <c r="I1249" s="177"/>
      <c r="J1249" s="177"/>
      <c r="K1249" s="177"/>
      <c r="L1249" s="177"/>
      <c r="M1249" s="177"/>
      <c r="N1249" s="70"/>
      <c r="O1249" s="38"/>
      <c r="P1249" s="38"/>
      <c r="Q1249" s="760"/>
      <c r="R1249" s="590"/>
      <c r="S1249" s="38"/>
      <c r="T1249" s="38"/>
      <c r="U1249" s="38"/>
      <c r="V1249" s="37"/>
      <c r="W1249" s="39">
        <f>IF(AC1249="Intr",0,G1249*Definitions!$B$53)</f>
        <v>0</v>
      </c>
      <c r="X1249" s="39">
        <f>IF(AC1249="Intr",0,G1249*Definitions!$B$54)</f>
        <v>0</v>
      </c>
      <c r="Y1249" s="39">
        <f>IF(AC1249="Intr",G1249,G1249*Definitions!$B$55)</f>
        <v>0</v>
      </c>
      <c r="Z1249" s="39"/>
      <c r="AA1249" s="39"/>
      <c r="AB1249" s="39"/>
      <c r="AC1249" s="38"/>
      <c r="AD1249" s="38"/>
      <c r="AE1249" s="38"/>
      <c r="AF1249" s="38"/>
      <c r="AG1249" s="40"/>
      <c r="AH1249" s="38"/>
    </row>
    <row r="1250" spans="1:34" x14ac:dyDescent="0.2">
      <c r="A1250" s="38"/>
      <c r="B1250" s="38"/>
      <c r="C1250" s="38"/>
      <c r="D1250" s="38"/>
      <c r="E1250" s="177"/>
      <c r="F1250" s="177"/>
      <c r="G1250" s="269"/>
      <c r="H1250" s="179"/>
      <c r="I1250" s="177"/>
      <c r="J1250" s="177"/>
      <c r="K1250" s="177"/>
      <c r="L1250" s="177"/>
      <c r="M1250" s="177"/>
      <c r="N1250" s="70"/>
      <c r="O1250" s="38"/>
      <c r="P1250" s="38"/>
      <c r="Q1250" s="760"/>
      <c r="R1250" s="590"/>
      <c r="S1250" s="38"/>
      <c r="T1250" s="38"/>
      <c r="U1250" s="38"/>
      <c r="V1250" s="37"/>
      <c r="W1250" s="39">
        <f>IF(AC1250="Intr",0,G1250*Definitions!$B$53)</f>
        <v>0</v>
      </c>
      <c r="X1250" s="39">
        <f>IF(AC1250="Intr",0,G1250*Definitions!$B$54)</f>
        <v>0</v>
      </c>
      <c r="Y1250" s="39">
        <f>IF(AC1250="Intr",G1250,G1250*Definitions!$B$55)</f>
        <v>0</v>
      </c>
      <c r="Z1250" s="39"/>
      <c r="AA1250" s="39"/>
      <c r="AB1250" s="39"/>
      <c r="AC1250" s="38"/>
      <c r="AD1250" s="38"/>
      <c r="AE1250" s="38"/>
      <c r="AF1250" s="38"/>
      <c r="AG1250" s="40"/>
      <c r="AH1250" s="38"/>
    </row>
    <row r="1251" spans="1:34" x14ac:dyDescent="0.2">
      <c r="A1251" s="38"/>
      <c r="B1251" s="38"/>
      <c r="C1251" s="38"/>
      <c r="D1251" s="38"/>
      <c r="E1251" s="177"/>
      <c r="F1251" s="177"/>
      <c r="G1251" s="269"/>
      <c r="H1251" s="179"/>
      <c r="I1251" s="177"/>
      <c r="J1251" s="177"/>
      <c r="K1251" s="177"/>
      <c r="L1251" s="177"/>
      <c r="M1251" s="177"/>
      <c r="N1251" s="70"/>
      <c r="O1251" s="38"/>
      <c r="P1251" s="38"/>
      <c r="Q1251" s="760"/>
      <c r="R1251" s="590"/>
      <c r="S1251" s="38"/>
      <c r="T1251" s="38"/>
      <c r="U1251" s="38"/>
      <c r="V1251" s="37"/>
      <c r="W1251" s="39">
        <f>IF(AC1251="Intr",0,G1251*Definitions!$B$53)</f>
        <v>0</v>
      </c>
      <c r="X1251" s="39">
        <f>IF(AC1251="Intr",0,G1251*Definitions!$B$54)</f>
        <v>0</v>
      </c>
      <c r="Y1251" s="39">
        <f>IF(AC1251="Intr",G1251,G1251*Definitions!$B$55)</f>
        <v>0</v>
      </c>
      <c r="Z1251" s="39"/>
      <c r="AA1251" s="39"/>
      <c r="AB1251" s="39"/>
      <c r="AC1251" s="38"/>
      <c r="AD1251" s="38"/>
      <c r="AE1251" s="38"/>
      <c r="AF1251" s="38"/>
      <c r="AG1251" s="40"/>
      <c r="AH1251" s="38"/>
    </row>
    <row r="1252" spans="1:34" x14ac:dyDescent="0.2">
      <c r="A1252" s="38"/>
      <c r="B1252" s="38"/>
      <c r="C1252" s="38"/>
      <c r="D1252" s="38"/>
      <c r="E1252" s="177"/>
      <c r="F1252" s="177"/>
      <c r="G1252" s="269"/>
      <c r="H1252" s="179"/>
      <c r="I1252" s="177"/>
      <c r="J1252" s="177"/>
      <c r="K1252" s="177"/>
      <c r="L1252" s="177"/>
      <c r="M1252" s="177"/>
      <c r="N1252" s="70"/>
      <c r="O1252" s="38"/>
      <c r="P1252" s="38"/>
      <c r="Q1252" s="760"/>
      <c r="R1252" s="590"/>
      <c r="S1252" s="38"/>
      <c r="T1252" s="38"/>
      <c r="U1252" s="38"/>
      <c r="V1252" s="37"/>
      <c r="W1252" s="39">
        <f>IF(AC1252="Intr",0,G1252*Definitions!$B$53)</f>
        <v>0</v>
      </c>
      <c r="X1252" s="39">
        <f>IF(AC1252="Intr",0,G1252*Definitions!$B$54)</f>
        <v>0</v>
      </c>
      <c r="Y1252" s="39">
        <f>IF(AC1252="Intr",G1252,G1252*Definitions!$B$55)</f>
        <v>0</v>
      </c>
      <c r="Z1252" s="39"/>
      <c r="AA1252" s="39"/>
      <c r="AB1252" s="39"/>
      <c r="AC1252" s="38"/>
      <c r="AD1252" s="38"/>
      <c r="AE1252" s="38"/>
      <c r="AF1252" s="38"/>
      <c r="AG1252" s="40"/>
      <c r="AH1252" s="38"/>
    </row>
    <row r="1253" spans="1:34" x14ac:dyDescent="0.2">
      <c r="A1253" s="38"/>
      <c r="B1253" s="38"/>
      <c r="C1253" s="38"/>
      <c r="D1253" s="38"/>
      <c r="E1253" s="177"/>
      <c r="F1253" s="177"/>
      <c r="G1253" s="269"/>
      <c r="H1253" s="179"/>
      <c r="I1253" s="177"/>
      <c r="J1253" s="177"/>
      <c r="K1253" s="177"/>
      <c r="L1253" s="177"/>
      <c r="M1253" s="177"/>
      <c r="N1253" s="70"/>
      <c r="O1253" s="38"/>
      <c r="P1253" s="38"/>
      <c r="Q1253" s="760"/>
      <c r="R1253" s="590"/>
      <c r="S1253" s="38"/>
      <c r="T1253" s="38"/>
      <c r="U1253" s="38"/>
      <c r="V1253" s="37"/>
      <c r="W1253" s="39">
        <f>IF(AC1253="Intr",0,G1253*Definitions!$B$53)</f>
        <v>0</v>
      </c>
      <c r="X1253" s="39">
        <f>IF(AC1253="Intr",0,G1253*Definitions!$B$54)</f>
        <v>0</v>
      </c>
      <c r="Y1253" s="39">
        <f>IF(AC1253="Intr",G1253,G1253*Definitions!$B$55)</f>
        <v>0</v>
      </c>
      <c r="Z1253" s="39"/>
      <c r="AA1253" s="39"/>
      <c r="AB1253" s="39"/>
      <c r="AC1253" s="38"/>
      <c r="AD1253" s="38"/>
      <c r="AE1253" s="38"/>
      <c r="AF1253" s="38"/>
      <c r="AG1253" s="40"/>
      <c r="AH1253" s="38"/>
    </row>
    <row r="1254" spans="1:34" x14ac:dyDescent="0.2">
      <c r="A1254" s="38"/>
      <c r="B1254" s="38"/>
      <c r="C1254" s="38"/>
      <c r="D1254" s="38"/>
      <c r="E1254" s="177"/>
      <c r="F1254" s="177"/>
      <c r="G1254" s="269"/>
      <c r="H1254" s="179"/>
      <c r="I1254" s="177"/>
      <c r="J1254" s="177"/>
      <c r="K1254" s="177"/>
      <c r="L1254" s="177"/>
      <c r="M1254" s="177"/>
      <c r="N1254" s="70"/>
      <c r="O1254" s="38"/>
      <c r="P1254" s="38"/>
      <c r="Q1254" s="760"/>
      <c r="R1254" s="590"/>
      <c r="S1254" s="38"/>
      <c r="T1254" s="38"/>
      <c r="U1254" s="38"/>
      <c r="V1254" s="37"/>
      <c r="W1254" s="39">
        <f>IF(AC1254="Intr",0,G1254*Definitions!$B$53)</f>
        <v>0</v>
      </c>
      <c r="X1254" s="39">
        <f>IF(AC1254="Intr",0,G1254*Definitions!$B$54)</f>
        <v>0</v>
      </c>
      <c r="Y1254" s="39">
        <f>IF(AC1254="Intr",G1254,G1254*Definitions!$B$55)</f>
        <v>0</v>
      </c>
      <c r="Z1254" s="39"/>
      <c r="AA1254" s="39"/>
      <c r="AB1254" s="39"/>
      <c r="AC1254" s="38"/>
      <c r="AD1254" s="38"/>
      <c r="AE1254" s="38"/>
      <c r="AF1254" s="38"/>
      <c r="AG1254" s="40"/>
      <c r="AH1254" s="38"/>
    </row>
    <row r="1255" spans="1:34" x14ac:dyDescent="0.2">
      <c r="A1255" s="38"/>
      <c r="B1255" s="38"/>
      <c r="C1255" s="38"/>
      <c r="D1255" s="38"/>
      <c r="E1255" s="177"/>
      <c r="F1255" s="177"/>
      <c r="G1255" s="269"/>
      <c r="H1255" s="179"/>
      <c r="I1255" s="177"/>
      <c r="J1255" s="177"/>
      <c r="K1255" s="177"/>
      <c r="L1255" s="177"/>
      <c r="M1255" s="177"/>
      <c r="N1255" s="70"/>
      <c r="O1255" s="38"/>
      <c r="P1255" s="38"/>
      <c r="Q1255" s="760"/>
      <c r="R1255" s="590"/>
      <c r="S1255" s="38"/>
      <c r="T1255" s="38"/>
      <c r="U1255" s="38"/>
      <c r="V1255" s="37"/>
      <c r="W1255" s="39">
        <f>IF(AC1255="Intr",0,G1255*Definitions!$B$53)</f>
        <v>0</v>
      </c>
      <c r="X1255" s="39">
        <f>IF(AC1255="Intr",0,G1255*Definitions!$B$54)</f>
        <v>0</v>
      </c>
      <c r="Y1255" s="39">
        <f>IF(AC1255="Intr",G1255,G1255*Definitions!$B$55)</f>
        <v>0</v>
      </c>
      <c r="Z1255" s="39"/>
      <c r="AA1255" s="39"/>
      <c r="AB1255" s="39"/>
      <c r="AC1255" s="38"/>
      <c r="AD1255" s="38"/>
      <c r="AE1255" s="38"/>
      <c r="AF1255" s="38"/>
      <c r="AG1255" s="40"/>
      <c r="AH1255" s="38"/>
    </row>
    <row r="1256" spans="1:34" x14ac:dyDescent="0.2">
      <c r="A1256" s="38"/>
      <c r="B1256" s="38"/>
      <c r="C1256" s="38"/>
      <c r="D1256" s="38"/>
      <c r="E1256" s="177"/>
      <c r="F1256" s="177"/>
      <c r="G1256" s="269"/>
      <c r="H1256" s="179"/>
      <c r="I1256" s="177"/>
      <c r="J1256" s="177"/>
      <c r="K1256" s="177"/>
      <c r="L1256" s="177"/>
      <c r="M1256" s="177"/>
      <c r="N1256" s="70"/>
      <c r="O1256" s="38"/>
      <c r="P1256" s="38"/>
      <c r="Q1256" s="760"/>
      <c r="R1256" s="590"/>
      <c r="S1256" s="38"/>
      <c r="T1256" s="38"/>
      <c r="U1256" s="38"/>
      <c r="V1256" s="37"/>
      <c r="W1256" s="39">
        <f>IF(AC1256="Intr",0,G1256*Definitions!$B$53)</f>
        <v>0</v>
      </c>
      <c r="X1256" s="39">
        <f>IF(AC1256="Intr",0,G1256*Definitions!$B$54)</f>
        <v>0</v>
      </c>
      <c r="Y1256" s="39">
        <f>IF(AC1256="Intr",G1256,G1256*Definitions!$B$55)</f>
        <v>0</v>
      </c>
      <c r="Z1256" s="39"/>
      <c r="AA1256" s="39"/>
      <c r="AB1256" s="39"/>
      <c r="AC1256" s="38"/>
      <c r="AD1256" s="38"/>
      <c r="AE1256" s="38"/>
      <c r="AF1256" s="38"/>
      <c r="AG1256" s="40"/>
      <c r="AH1256" s="38"/>
    </row>
    <row r="1257" spans="1:34" x14ac:dyDescent="0.2">
      <c r="A1257" s="38"/>
      <c r="B1257" s="38"/>
      <c r="C1257" s="38"/>
      <c r="D1257" s="38"/>
      <c r="E1257" s="177"/>
      <c r="F1257" s="177"/>
      <c r="G1257" s="269"/>
      <c r="H1257" s="179"/>
      <c r="I1257" s="177"/>
      <c r="J1257" s="177"/>
      <c r="K1257" s="177"/>
      <c r="L1257" s="177"/>
      <c r="M1257" s="177"/>
      <c r="N1257" s="70"/>
      <c r="O1257" s="38"/>
      <c r="P1257" s="38"/>
      <c r="Q1257" s="760"/>
      <c r="R1257" s="590"/>
      <c r="S1257" s="38"/>
      <c r="T1257" s="38"/>
      <c r="U1257" s="38"/>
      <c r="V1257" s="37"/>
      <c r="W1257" s="39">
        <f>IF(AC1257="Intr",0,G1257*Definitions!$B$53)</f>
        <v>0</v>
      </c>
      <c r="X1257" s="39">
        <f>IF(AC1257="Intr",0,G1257*Definitions!$B$54)</f>
        <v>0</v>
      </c>
      <c r="Y1257" s="39">
        <f>IF(AC1257="Intr",G1257,G1257*Definitions!$B$55)</f>
        <v>0</v>
      </c>
      <c r="Z1257" s="39"/>
      <c r="AA1257" s="39"/>
      <c r="AB1257" s="39"/>
      <c r="AC1257" s="38"/>
      <c r="AD1257" s="38"/>
      <c r="AE1257" s="38"/>
      <c r="AF1257" s="38"/>
      <c r="AG1257" s="40"/>
      <c r="AH1257" s="38"/>
    </row>
    <row r="1258" spans="1:34" x14ac:dyDescent="0.2">
      <c r="A1258" s="38"/>
      <c r="B1258" s="38"/>
      <c r="C1258" s="38"/>
      <c r="D1258" s="38"/>
      <c r="E1258" s="177"/>
      <c r="F1258" s="177"/>
      <c r="G1258" s="269"/>
      <c r="H1258" s="179"/>
      <c r="I1258" s="177"/>
      <c r="J1258" s="177"/>
      <c r="K1258" s="177"/>
      <c r="L1258" s="177"/>
      <c r="M1258" s="177"/>
      <c r="N1258" s="70"/>
      <c r="O1258" s="38"/>
      <c r="P1258" s="38"/>
      <c r="Q1258" s="760"/>
      <c r="R1258" s="590"/>
      <c r="S1258" s="38"/>
      <c r="T1258" s="38"/>
      <c r="U1258" s="38"/>
      <c r="V1258" s="37"/>
      <c r="W1258" s="39">
        <f>IF(AC1258="Intr",0,G1258*Definitions!$B$53)</f>
        <v>0</v>
      </c>
      <c r="X1258" s="39">
        <f>IF(AC1258="Intr",0,G1258*Definitions!$B$54)</f>
        <v>0</v>
      </c>
      <c r="Y1258" s="39">
        <f>IF(AC1258="Intr",G1258,G1258*Definitions!$B$55)</f>
        <v>0</v>
      </c>
      <c r="Z1258" s="39"/>
      <c r="AA1258" s="39"/>
      <c r="AB1258" s="39"/>
      <c r="AC1258" s="38"/>
      <c r="AD1258" s="38"/>
      <c r="AE1258" s="38"/>
      <c r="AF1258" s="38"/>
      <c r="AG1258" s="40"/>
      <c r="AH1258" s="38"/>
    </row>
    <row r="1259" spans="1:34" x14ac:dyDescent="0.2">
      <c r="A1259" s="38"/>
      <c r="B1259" s="38"/>
      <c r="C1259" s="38"/>
      <c r="D1259" s="38"/>
      <c r="E1259" s="177"/>
      <c r="F1259" s="177"/>
      <c r="G1259" s="269"/>
      <c r="H1259" s="179"/>
      <c r="I1259" s="177"/>
      <c r="J1259" s="177"/>
      <c r="K1259" s="177"/>
      <c r="L1259" s="177"/>
      <c r="M1259" s="177"/>
      <c r="N1259" s="70"/>
      <c r="O1259" s="38"/>
      <c r="P1259" s="38"/>
      <c r="Q1259" s="760"/>
      <c r="R1259" s="590"/>
      <c r="S1259" s="38"/>
      <c r="T1259" s="38"/>
      <c r="U1259" s="38"/>
      <c r="V1259" s="37"/>
      <c r="W1259" s="39">
        <f>IF(AC1259="Intr",0,G1259*Definitions!$B$53)</f>
        <v>0</v>
      </c>
      <c r="X1259" s="39">
        <f>IF(AC1259="Intr",0,G1259*Definitions!$B$54)</f>
        <v>0</v>
      </c>
      <c r="Y1259" s="39">
        <f>IF(AC1259="Intr",G1259,G1259*Definitions!$B$55)</f>
        <v>0</v>
      </c>
      <c r="Z1259" s="39"/>
      <c r="AA1259" s="39"/>
      <c r="AB1259" s="39"/>
      <c r="AC1259" s="38"/>
      <c r="AD1259" s="38"/>
      <c r="AE1259" s="38"/>
      <c r="AF1259" s="38"/>
      <c r="AG1259" s="40"/>
      <c r="AH1259" s="38"/>
    </row>
    <row r="1260" spans="1:34" x14ac:dyDescent="0.2">
      <c r="A1260" s="38"/>
      <c r="B1260" s="38"/>
      <c r="C1260" s="38"/>
      <c r="D1260" s="38"/>
      <c r="E1260" s="177"/>
      <c r="F1260" s="177"/>
      <c r="G1260" s="269"/>
      <c r="H1260" s="179"/>
      <c r="I1260" s="177"/>
      <c r="J1260" s="177"/>
      <c r="K1260" s="177"/>
      <c r="L1260" s="177"/>
      <c r="M1260" s="177"/>
      <c r="N1260" s="70"/>
      <c r="O1260" s="38"/>
      <c r="P1260" s="38"/>
      <c r="Q1260" s="760"/>
      <c r="R1260" s="590"/>
      <c r="S1260" s="38"/>
      <c r="T1260" s="38"/>
      <c r="U1260" s="38"/>
      <c r="V1260" s="37"/>
      <c r="W1260" s="39">
        <f>IF(AC1260="Intr",0,G1260*Definitions!$B$53)</f>
        <v>0</v>
      </c>
      <c r="X1260" s="39">
        <f>IF(AC1260="Intr",0,G1260*Definitions!$B$54)</f>
        <v>0</v>
      </c>
      <c r="Y1260" s="39">
        <f>IF(AC1260="Intr",G1260,G1260*Definitions!$B$55)</f>
        <v>0</v>
      </c>
      <c r="Z1260" s="39"/>
      <c r="AA1260" s="39"/>
      <c r="AB1260" s="39"/>
      <c r="AC1260" s="38"/>
      <c r="AD1260" s="38"/>
      <c r="AE1260" s="38"/>
      <c r="AF1260" s="38"/>
      <c r="AG1260" s="40"/>
      <c r="AH1260" s="38"/>
    </row>
    <row r="1261" spans="1:34" x14ac:dyDescent="0.2">
      <c r="A1261" s="38"/>
      <c r="B1261" s="38"/>
      <c r="C1261" s="38"/>
      <c r="D1261" s="38"/>
      <c r="E1261" s="177"/>
      <c r="F1261" s="177"/>
      <c r="G1261" s="269"/>
      <c r="H1261" s="179"/>
      <c r="I1261" s="177"/>
      <c r="J1261" s="177"/>
      <c r="K1261" s="177"/>
      <c r="L1261" s="177"/>
      <c r="M1261" s="177"/>
      <c r="N1261" s="70"/>
      <c r="O1261" s="38"/>
      <c r="P1261" s="38"/>
      <c r="Q1261" s="760"/>
      <c r="R1261" s="590"/>
      <c r="S1261" s="38"/>
      <c r="T1261" s="38"/>
      <c r="U1261" s="38"/>
      <c r="V1261" s="37"/>
      <c r="W1261" s="39">
        <f>IF(AC1261="Intr",0,G1261*Definitions!$B$53)</f>
        <v>0</v>
      </c>
      <c r="X1261" s="39">
        <f>IF(AC1261="Intr",0,G1261*Definitions!$B$54)</f>
        <v>0</v>
      </c>
      <c r="Y1261" s="39">
        <f>IF(AC1261="Intr",G1261,G1261*Definitions!$B$55)</f>
        <v>0</v>
      </c>
      <c r="Z1261" s="39"/>
      <c r="AA1261" s="39"/>
      <c r="AB1261" s="39"/>
      <c r="AC1261" s="38"/>
      <c r="AD1261" s="38"/>
      <c r="AE1261" s="38"/>
      <c r="AF1261" s="38"/>
      <c r="AG1261" s="40"/>
      <c r="AH1261" s="38"/>
    </row>
    <row r="1262" spans="1:34" x14ac:dyDescent="0.2">
      <c r="A1262" s="38"/>
      <c r="B1262" s="38"/>
      <c r="C1262" s="38"/>
      <c r="D1262" s="38"/>
      <c r="E1262" s="177"/>
      <c r="F1262" s="177"/>
      <c r="G1262" s="269"/>
      <c r="H1262" s="179"/>
      <c r="I1262" s="177"/>
      <c r="J1262" s="177"/>
      <c r="K1262" s="177"/>
      <c r="L1262" s="177"/>
      <c r="M1262" s="177"/>
      <c r="N1262" s="70"/>
      <c r="O1262" s="38"/>
      <c r="P1262" s="38"/>
      <c r="Q1262" s="760"/>
      <c r="R1262" s="590"/>
      <c r="S1262" s="38"/>
      <c r="T1262" s="38"/>
      <c r="U1262" s="38"/>
      <c r="V1262" s="37"/>
      <c r="W1262" s="39">
        <f>IF(AC1262="Intr",0,G1262*Definitions!$B$53)</f>
        <v>0</v>
      </c>
      <c r="X1262" s="39">
        <f>IF(AC1262="Intr",0,G1262*Definitions!$B$54)</f>
        <v>0</v>
      </c>
      <c r="Y1262" s="39">
        <f>IF(AC1262="Intr",G1262,G1262*Definitions!$B$55)</f>
        <v>0</v>
      </c>
      <c r="Z1262" s="39"/>
      <c r="AA1262" s="39"/>
      <c r="AB1262" s="39"/>
      <c r="AC1262" s="38"/>
      <c r="AD1262" s="38"/>
      <c r="AE1262" s="38"/>
      <c r="AF1262" s="38"/>
      <c r="AG1262" s="40"/>
      <c r="AH1262" s="38"/>
    </row>
    <row r="1263" spans="1:34" x14ac:dyDescent="0.2">
      <c r="A1263" s="38"/>
      <c r="B1263" s="38"/>
      <c r="C1263" s="38"/>
      <c r="D1263" s="38"/>
      <c r="E1263" s="177"/>
      <c r="F1263" s="177"/>
      <c r="G1263" s="269"/>
      <c r="H1263" s="179"/>
      <c r="I1263" s="177"/>
      <c r="J1263" s="177"/>
      <c r="K1263" s="177"/>
      <c r="L1263" s="177"/>
      <c r="M1263" s="177"/>
      <c r="N1263" s="70"/>
      <c r="O1263" s="38"/>
      <c r="P1263" s="38"/>
      <c r="Q1263" s="760"/>
      <c r="R1263" s="590"/>
      <c r="S1263" s="38"/>
      <c r="T1263" s="38"/>
      <c r="U1263" s="38"/>
      <c r="V1263" s="37"/>
      <c r="W1263" s="39">
        <f>IF(AC1263="Intr",0,G1263*Definitions!$B$53)</f>
        <v>0</v>
      </c>
      <c r="X1263" s="39">
        <f>IF(AC1263="Intr",0,G1263*Definitions!$B$54)</f>
        <v>0</v>
      </c>
      <c r="Y1263" s="39">
        <f>IF(AC1263="Intr",G1263,G1263*Definitions!$B$55)</f>
        <v>0</v>
      </c>
      <c r="Z1263" s="39"/>
      <c r="AA1263" s="39"/>
      <c r="AB1263" s="39"/>
      <c r="AC1263" s="38"/>
      <c r="AD1263" s="38"/>
      <c r="AE1263" s="38"/>
      <c r="AF1263" s="38"/>
      <c r="AG1263" s="40"/>
      <c r="AH1263" s="38"/>
    </row>
    <row r="1264" spans="1:34" x14ac:dyDescent="0.2">
      <c r="A1264" s="38"/>
      <c r="B1264" s="38"/>
      <c r="C1264" s="38"/>
      <c r="D1264" s="38"/>
      <c r="E1264" s="177"/>
      <c r="F1264" s="177"/>
      <c r="G1264" s="269"/>
      <c r="H1264" s="179"/>
      <c r="I1264" s="177"/>
      <c r="J1264" s="177"/>
      <c r="K1264" s="177"/>
      <c r="L1264" s="177"/>
      <c r="M1264" s="177"/>
      <c r="N1264" s="70"/>
      <c r="O1264" s="38"/>
      <c r="P1264" s="38"/>
      <c r="Q1264" s="760"/>
      <c r="R1264" s="590"/>
      <c r="S1264" s="38"/>
      <c r="T1264" s="38"/>
      <c r="U1264" s="38"/>
      <c r="V1264" s="37"/>
      <c r="W1264" s="39">
        <f>IF(AC1264="Intr",0,G1264*Definitions!$B$53)</f>
        <v>0</v>
      </c>
      <c r="X1264" s="39">
        <f>IF(AC1264="Intr",0,G1264*Definitions!$B$54)</f>
        <v>0</v>
      </c>
      <c r="Y1264" s="39">
        <f>IF(AC1264="Intr",G1264,G1264*Definitions!$B$55)</f>
        <v>0</v>
      </c>
      <c r="Z1264" s="39"/>
      <c r="AA1264" s="39"/>
      <c r="AB1264" s="39"/>
      <c r="AC1264" s="38"/>
      <c r="AD1264" s="38"/>
      <c r="AE1264" s="38"/>
      <c r="AF1264" s="38"/>
      <c r="AG1264" s="40"/>
      <c r="AH1264" s="38"/>
    </row>
    <row r="1265" spans="1:34" x14ac:dyDescent="0.2">
      <c r="A1265" s="38"/>
      <c r="B1265" s="38"/>
      <c r="C1265" s="38"/>
      <c r="D1265" s="38"/>
      <c r="E1265" s="177"/>
      <c r="F1265" s="177"/>
      <c r="G1265" s="269"/>
      <c r="H1265" s="179"/>
      <c r="I1265" s="177"/>
      <c r="J1265" s="177"/>
      <c r="K1265" s="177"/>
      <c r="L1265" s="177"/>
      <c r="M1265" s="177"/>
      <c r="N1265" s="70"/>
      <c r="O1265" s="38"/>
      <c r="P1265" s="38"/>
      <c r="Q1265" s="760"/>
      <c r="R1265" s="590"/>
      <c r="S1265" s="38"/>
      <c r="T1265" s="38"/>
      <c r="U1265" s="38"/>
      <c r="V1265" s="37"/>
      <c r="W1265" s="39">
        <f>IF(AC1265="Intr",0,G1265*Definitions!$B$53)</f>
        <v>0</v>
      </c>
      <c r="X1265" s="39">
        <f>IF(AC1265="Intr",0,G1265*Definitions!$B$54)</f>
        <v>0</v>
      </c>
      <c r="Y1265" s="39">
        <f>IF(AC1265="Intr",G1265,G1265*Definitions!$B$55)</f>
        <v>0</v>
      </c>
      <c r="Z1265" s="39"/>
      <c r="AA1265" s="39"/>
      <c r="AB1265" s="39"/>
      <c r="AC1265" s="38"/>
      <c r="AD1265" s="38"/>
      <c r="AE1265" s="38"/>
      <c r="AF1265" s="38"/>
      <c r="AG1265" s="40"/>
      <c r="AH1265" s="38"/>
    </row>
    <row r="1266" spans="1:34" x14ac:dyDescent="0.2">
      <c r="A1266" s="38"/>
      <c r="B1266" s="38"/>
      <c r="C1266" s="38"/>
      <c r="D1266" s="38"/>
      <c r="E1266" s="177"/>
      <c r="F1266" s="177"/>
      <c r="G1266" s="269"/>
      <c r="H1266" s="179"/>
      <c r="I1266" s="177"/>
      <c r="J1266" s="177"/>
      <c r="K1266" s="177"/>
      <c r="L1266" s="177"/>
      <c r="M1266" s="177"/>
      <c r="N1266" s="70"/>
      <c r="O1266" s="38"/>
      <c r="P1266" s="38"/>
      <c r="Q1266" s="760"/>
      <c r="R1266" s="590"/>
      <c r="S1266" s="38"/>
      <c r="T1266" s="38"/>
      <c r="U1266" s="38"/>
      <c r="V1266" s="37"/>
      <c r="W1266" s="39">
        <f>IF(AC1266="Intr",0,G1266*Definitions!$B$53)</f>
        <v>0</v>
      </c>
      <c r="X1266" s="39">
        <f>IF(AC1266="Intr",0,G1266*Definitions!$B$54)</f>
        <v>0</v>
      </c>
      <c r="Y1266" s="39">
        <f>IF(AC1266="Intr",G1266,G1266*Definitions!$B$55)</f>
        <v>0</v>
      </c>
      <c r="Z1266" s="39"/>
      <c r="AA1266" s="39"/>
      <c r="AB1266" s="39"/>
      <c r="AC1266" s="38"/>
      <c r="AD1266" s="38"/>
      <c r="AE1266" s="38"/>
      <c r="AF1266" s="38"/>
      <c r="AG1266" s="40"/>
      <c r="AH1266" s="38"/>
    </row>
    <row r="1267" spans="1:34" x14ac:dyDescent="0.2">
      <c r="A1267" s="38"/>
      <c r="B1267" s="38"/>
      <c r="C1267" s="38"/>
      <c r="D1267" s="38"/>
      <c r="E1267" s="177"/>
      <c r="F1267" s="177"/>
      <c r="G1267" s="269"/>
      <c r="H1267" s="179"/>
      <c r="I1267" s="177"/>
      <c r="J1267" s="177"/>
      <c r="K1267" s="177"/>
      <c r="L1267" s="177"/>
      <c r="M1267" s="177"/>
      <c r="N1267" s="70"/>
      <c r="O1267" s="38"/>
      <c r="P1267" s="38"/>
      <c r="Q1267" s="760"/>
      <c r="R1267" s="590"/>
      <c r="S1267" s="38"/>
      <c r="T1267" s="38"/>
      <c r="U1267" s="38"/>
      <c r="V1267" s="37"/>
      <c r="W1267" s="39">
        <f>IF(AC1267="Intr",0,G1267*Definitions!$B$53)</f>
        <v>0</v>
      </c>
      <c r="X1267" s="39">
        <f>IF(AC1267="Intr",0,G1267*Definitions!$B$54)</f>
        <v>0</v>
      </c>
      <c r="Y1267" s="39">
        <f>IF(AC1267="Intr",G1267,G1267*Definitions!$B$55)</f>
        <v>0</v>
      </c>
      <c r="Z1267" s="39"/>
      <c r="AA1267" s="39"/>
      <c r="AB1267" s="39"/>
      <c r="AC1267" s="38"/>
      <c r="AD1267" s="38"/>
      <c r="AE1267" s="38"/>
      <c r="AF1267" s="38"/>
      <c r="AG1267" s="40"/>
      <c r="AH1267" s="38"/>
    </row>
    <row r="1268" spans="1:34" x14ac:dyDescent="0.2">
      <c r="A1268" s="38"/>
      <c r="B1268" s="38"/>
      <c r="C1268" s="38"/>
      <c r="D1268" s="38"/>
      <c r="E1268" s="177"/>
      <c r="F1268" s="177"/>
      <c r="G1268" s="269"/>
      <c r="H1268" s="179"/>
      <c r="I1268" s="177"/>
      <c r="J1268" s="177"/>
      <c r="K1268" s="177"/>
      <c r="L1268" s="177"/>
      <c r="M1268" s="177"/>
      <c r="N1268" s="70"/>
      <c r="O1268" s="38"/>
      <c r="P1268" s="38"/>
      <c r="Q1268" s="760"/>
      <c r="R1268" s="590"/>
      <c r="S1268" s="38"/>
      <c r="T1268" s="38"/>
      <c r="U1268" s="38"/>
      <c r="V1268" s="37"/>
      <c r="W1268" s="39">
        <f>IF(AC1268="Intr",0,G1268*Definitions!$B$53)</f>
        <v>0</v>
      </c>
      <c r="X1268" s="39">
        <f>IF(AC1268="Intr",0,G1268*Definitions!$B$54)</f>
        <v>0</v>
      </c>
      <c r="Y1268" s="39">
        <f>IF(AC1268="Intr",G1268,G1268*Definitions!$B$55)</f>
        <v>0</v>
      </c>
      <c r="Z1268" s="39"/>
      <c r="AA1268" s="39"/>
      <c r="AB1268" s="39"/>
      <c r="AC1268" s="38"/>
      <c r="AD1268" s="38"/>
      <c r="AE1268" s="38"/>
      <c r="AF1268" s="38"/>
      <c r="AG1268" s="40"/>
      <c r="AH1268" s="38"/>
    </row>
    <row r="1269" spans="1:34" x14ac:dyDescent="0.2">
      <c r="A1269" s="38"/>
      <c r="B1269" s="38"/>
      <c r="C1269" s="38"/>
      <c r="D1269" s="38"/>
      <c r="E1269" s="177"/>
      <c r="F1269" s="177"/>
      <c r="G1269" s="269"/>
      <c r="H1269" s="179"/>
      <c r="I1269" s="177"/>
      <c r="J1269" s="177"/>
      <c r="K1269" s="177"/>
      <c r="L1269" s="177"/>
      <c r="M1269" s="177"/>
      <c r="N1269" s="70"/>
      <c r="O1269" s="38"/>
      <c r="P1269" s="38"/>
      <c r="Q1269" s="760"/>
      <c r="R1269" s="590"/>
      <c r="S1269" s="38"/>
      <c r="T1269" s="38"/>
      <c r="U1269" s="38"/>
      <c r="V1269" s="37"/>
      <c r="W1269" s="39">
        <f>IF(AC1269="Intr",0,G1269*Definitions!$B$53)</f>
        <v>0</v>
      </c>
      <c r="X1269" s="39">
        <f>IF(AC1269="Intr",0,G1269*Definitions!$B$54)</f>
        <v>0</v>
      </c>
      <c r="Y1269" s="39">
        <f>IF(AC1269="Intr",G1269,G1269*Definitions!$B$55)</f>
        <v>0</v>
      </c>
      <c r="Z1269" s="39"/>
      <c r="AA1269" s="39"/>
      <c r="AB1269" s="39"/>
      <c r="AC1269" s="38"/>
      <c r="AD1269" s="38"/>
      <c r="AE1269" s="38"/>
      <c r="AF1269" s="38"/>
      <c r="AG1269" s="40"/>
      <c r="AH1269" s="38"/>
    </row>
    <row r="1270" spans="1:34" x14ac:dyDescent="0.2">
      <c r="A1270" s="38"/>
      <c r="B1270" s="38"/>
      <c r="C1270" s="38"/>
      <c r="D1270" s="38"/>
      <c r="E1270" s="177"/>
      <c r="F1270" s="177"/>
      <c r="G1270" s="269"/>
      <c r="H1270" s="179"/>
      <c r="I1270" s="177"/>
      <c r="J1270" s="177"/>
      <c r="K1270" s="177"/>
      <c r="L1270" s="177"/>
      <c r="M1270" s="177"/>
      <c r="N1270" s="70"/>
      <c r="O1270" s="38"/>
      <c r="P1270" s="38"/>
      <c r="Q1270" s="760"/>
      <c r="R1270" s="590"/>
      <c r="S1270" s="38"/>
      <c r="T1270" s="38"/>
      <c r="U1270" s="38"/>
      <c r="V1270" s="37"/>
      <c r="W1270" s="39">
        <f>IF(AC1270="Intr",0,G1270*Definitions!$B$53)</f>
        <v>0</v>
      </c>
      <c r="X1270" s="39">
        <f>IF(AC1270="Intr",0,G1270*Definitions!$B$54)</f>
        <v>0</v>
      </c>
      <c r="Y1270" s="39">
        <f>IF(AC1270="Intr",G1270,G1270*Definitions!$B$55)</f>
        <v>0</v>
      </c>
      <c r="Z1270" s="39"/>
      <c r="AA1270" s="39"/>
      <c r="AB1270" s="39"/>
      <c r="AC1270" s="38"/>
      <c r="AD1270" s="38"/>
      <c r="AE1270" s="38"/>
      <c r="AF1270" s="38"/>
      <c r="AG1270" s="40"/>
      <c r="AH1270" s="38"/>
    </row>
    <row r="1271" spans="1:34" x14ac:dyDescent="0.2">
      <c r="A1271" s="38"/>
      <c r="B1271" s="38"/>
      <c r="C1271" s="38"/>
      <c r="D1271" s="38"/>
      <c r="E1271" s="177"/>
      <c r="F1271" s="177"/>
      <c r="G1271" s="269"/>
      <c r="H1271" s="179"/>
      <c r="I1271" s="177"/>
      <c r="J1271" s="177"/>
      <c r="K1271" s="177"/>
      <c r="L1271" s="177"/>
      <c r="M1271" s="177"/>
      <c r="N1271" s="70"/>
      <c r="O1271" s="38"/>
      <c r="P1271" s="38"/>
      <c r="Q1271" s="760"/>
      <c r="R1271" s="590"/>
      <c r="S1271" s="38"/>
      <c r="T1271" s="38"/>
      <c r="U1271" s="38"/>
      <c r="V1271" s="37"/>
      <c r="W1271" s="39">
        <f>IF(AC1271="Intr",0,G1271*Definitions!$B$53)</f>
        <v>0</v>
      </c>
      <c r="X1271" s="39">
        <f>IF(AC1271="Intr",0,G1271*Definitions!$B$54)</f>
        <v>0</v>
      </c>
      <c r="Y1271" s="39">
        <f>IF(AC1271="Intr",G1271,G1271*Definitions!$B$55)</f>
        <v>0</v>
      </c>
      <c r="Z1271" s="39"/>
      <c r="AA1271" s="39"/>
      <c r="AB1271" s="39"/>
      <c r="AC1271" s="38"/>
      <c r="AD1271" s="38"/>
      <c r="AE1271" s="38"/>
      <c r="AF1271" s="38"/>
      <c r="AG1271" s="40"/>
      <c r="AH1271" s="38"/>
    </row>
    <row r="1272" spans="1:34" x14ac:dyDescent="0.2">
      <c r="A1272" s="38"/>
      <c r="B1272" s="38"/>
      <c r="C1272" s="38"/>
      <c r="D1272" s="38"/>
      <c r="E1272" s="177"/>
      <c r="F1272" s="177"/>
      <c r="G1272" s="269"/>
      <c r="H1272" s="179"/>
      <c r="I1272" s="177"/>
      <c r="J1272" s="177"/>
      <c r="K1272" s="177"/>
      <c r="L1272" s="177"/>
      <c r="M1272" s="177"/>
      <c r="N1272" s="70"/>
      <c r="O1272" s="38"/>
      <c r="P1272" s="38"/>
      <c r="Q1272" s="760"/>
      <c r="R1272" s="590"/>
      <c r="S1272" s="38"/>
      <c r="T1272" s="38"/>
      <c r="U1272" s="38"/>
      <c r="V1272" s="37"/>
      <c r="W1272" s="39">
        <f>IF(AC1272="Intr",0,G1272*Definitions!$B$53)</f>
        <v>0</v>
      </c>
      <c r="X1272" s="39">
        <f>IF(AC1272="Intr",0,G1272*Definitions!$B$54)</f>
        <v>0</v>
      </c>
      <c r="Y1272" s="39">
        <f>IF(AC1272="Intr",G1272,G1272*Definitions!$B$55)</f>
        <v>0</v>
      </c>
      <c r="Z1272" s="39"/>
      <c r="AA1272" s="39"/>
      <c r="AB1272" s="39"/>
      <c r="AC1272" s="38"/>
      <c r="AD1272" s="38"/>
      <c r="AE1272" s="38"/>
      <c r="AF1272" s="38"/>
      <c r="AG1272" s="40"/>
      <c r="AH1272" s="38"/>
    </row>
    <row r="1273" spans="1:34" x14ac:dyDescent="0.2">
      <c r="A1273" s="38"/>
      <c r="B1273" s="38"/>
      <c r="C1273" s="38"/>
      <c r="D1273" s="38"/>
      <c r="E1273" s="177"/>
      <c r="F1273" s="177"/>
      <c r="G1273" s="269"/>
      <c r="H1273" s="179"/>
      <c r="I1273" s="177"/>
      <c r="J1273" s="177"/>
      <c r="K1273" s="177"/>
      <c r="L1273" s="177"/>
      <c r="M1273" s="177"/>
      <c r="N1273" s="70"/>
      <c r="O1273" s="38"/>
      <c r="P1273" s="38"/>
      <c r="Q1273" s="760"/>
      <c r="R1273" s="590"/>
      <c r="S1273" s="38"/>
      <c r="T1273" s="38"/>
      <c r="U1273" s="38"/>
      <c r="V1273" s="37"/>
      <c r="W1273" s="39">
        <f>IF(AC1273="Intr",0,G1273*Definitions!$B$53)</f>
        <v>0</v>
      </c>
      <c r="X1273" s="39">
        <f>IF(AC1273="Intr",0,G1273*Definitions!$B$54)</f>
        <v>0</v>
      </c>
      <c r="Y1273" s="39">
        <f>IF(AC1273="Intr",G1273,G1273*Definitions!$B$55)</f>
        <v>0</v>
      </c>
      <c r="Z1273" s="39"/>
      <c r="AA1273" s="39"/>
      <c r="AB1273" s="39"/>
      <c r="AC1273" s="38"/>
      <c r="AD1273" s="38"/>
      <c r="AE1273" s="38"/>
      <c r="AF1273" s="38"/>
      <c r="AG1273" s="40"/>
      <c r="AH1273" s="38"/>
    </row>
    <row r="1274" spans="1:34" x14ac:dyDescent="0.2">
      <c r="A1274" s="38"/>
      <c r="B1274" s="38"/>
      <c r="C1274" s="38"/>
      <c r="D1274" s="38"/>
      <c r="E1274" s="177"/>
      <c r="F1274" s="177"/>
      <c r="G1274" s="269"/>
      <c r="H1274" s="179"/>
      <c r="I1274" s="177"/>
      <c r="J1274" s="177"/>
      <c r="K1274" s="177"/>
      <c r="L1274" s="177"/>
      <c r="M1274" s="177"/>
      <c r="N1274" s="70"/>
      <c r="O1274" s="38"/>
      <c r="P1274" s="38"/>
      <c r="Q1274" s="760"/>
      <c r="R1274" s="590"/>
      <c r="S1274" s="38"/>
      <c r="T1274" s="38"/>
      <c r="U1274" s="38"/>
      <c r="V1274" s="37"/>
      <c r="W1274" s="39">
        <f>IF(AC1274="Intr",0,G1274*Definitions!$B$53)</f>
        <v>0</v>
      </c>
      <c r="X1274" s="39">
        <f>IF(AC1274="Intr",0,G1274*Definitions!$B$54)</f>
        <v>0</v>
      </c>
      <c r="Y1274" s="39">
        <f>IF(AC1274="Intr",G1274,G1274*Definitions!$B$55)</f>
        <v>0</v>
      </c>
      <c r="Z1274" s="39"/>
      <c r="AA1274" s="39"/>
      <c r="AB1274" s="39"/>
      <c r="AC1274" s="38"/>
      <c r="AD1274" s="38"/>
      <c r="AE1274" s="38"/>
      <c r="AF1274" s="38"/>
      <c r="AG1274" s="40"/>
      <c r="AH1274" s="38"/>
    </row>
    <row r="1275" spans="1:34" x14ac:dyDescent="0.2">
      <c r="A1275" s="38"/>
      <c r="B1275" s="38"/>
      <c r="C1275" s="38"/>
      <c r="D1275" s="38"/>
      <c r="E1275" s="177"/>
      <c r="F1275" s="177"/>
      <c r="G1275" s="269"/>
      <c r="H1275" s="179"/>
      <c r="I1275" s="177"/>
      <c r="J1275" s="177"/>
      <c r="K1275" s="177"/>
      <c r="L1275" s="177"/>
      <c r="M1275" s="177"/>
      <c r="N1275" s="70"/>
      <c r="O1275" s="38"/>
      <c r="P1275" s="38"/>
      <c r="Q1275" s="760"/>
      <c r="R1275" s="590"/>
      <c r="S1275" s="38"/>
      <c r="T1275" s="38"/>
      <c r="U1275" s="38"/>
      <c r="V1275" s="37"/>
      <c r="W1275" s="39">
        <f>IF(AC1275="Intr",0,G1275*Definitions!$B$53)</f>
        <v>0</v>
      </c>
      <c r="X1275" s="39">
        <f>IF(AC1275="Intr",0,G1275*Definitions!$B$54)</f>
        <v>0</v>
      </c>
      <c r="Y1275" s="39">
        <f>IF(AC1275="Intr",G1275,G1275*Definitions!$B$55)</f>
        <v>0</v>
      </c>
      <c r="Z1275" s="39"/>
      <c r="AA1275" s="39"/>
      <c r="AB1275" s="39"/>
      <c r="AC1275" s="38"/>
      <c r="AD1275" s="38"/>
      <c r="AE1275" s="38"/>
      <c r="AF1275" s="38"/>
      <c r="AG1275" s="40"/>
      <c r="AH1275" s="38"/>
    </row>
    <row r="1276" spans="1:34" x14ac:dyDescent="0.2">
      <c r="A1276" s="38"/>
      <c r="B1276" s="38"/>
      <c r="C1276" s="38"/>
      <c r="D1276" s="38"/>
      <c r="E1276" s="177"/>
      <c r="F1276" s="177"/>
      <c r="G1276" s="269"/>
      <c r="H1276" s="179"/>
      <c r="I1276" s="177"/>
      <c r="J1276" s="177"/>
      <c r="K1276" s="177"/>
      <c r="L1276" s="177"/>
      <c r="M1276" s="177"/>
      <c r="N1276" s="70"/>
      <c r="O1276" s="38"/>
      <c r="P1276" s="38"/>
      <c r="Q1276" s="760"/>
      <c r="R1276" s="590"/>
      <c r="S1276" s="38"/>
      <c r="T1276" s="38"/>
      <c r="U1276" s="38"/>
      <c r="V1276" s="37"/>
      <c r="W1276" s="39">
        <f>IF(AC1276="Intr",0,G1276*Definitions!$B$53)</f>
        <v>0</v>
      </c>
      <c r="X1276" s="39">
        <f>IF(AC1276="Intr",0,G1276*Definitions!$B$54)</f>
        <v>0</v>
      </c>
      <c r="Y1276" s="39">
        <f>IF(AC1276="Intr",G1276,G1276*Definitions!$B$55)</f>
        <v>0</v>
      </c>
      <c r="Z1276" s="39"/>
      <c r="AA1276" s="39"/>
      <c r="AB1276" s="39"/>
      <c r="AC1276" s="38"/>
      <c r="AD1276" s="38"/>
      <c r="AE1276" s="38"/>
      <c r="AF1276" s="38"/>
      <c r="AG1276" s="40"/>
      <c r="AH1276" s="38"/>
    </row>
    <row r="1277" spans="1:34" x14ac:dyDescent="0.2">
      <c r="A1277" s="38"/>
      <c r="B1277" s="38"/>
      <c r="C1277" s="38"/>
      <c r="D1277" s="38"/>
      <c r="E1277" s="177"/>
      <c r="F1277" s="177"/>
      <c r="G1277" s="269"/>
      <c r="H1277" s="179"/>
      <c r="I1277" s="177"/>
      <c r="J1277" s="177"/>
      <c r="K1277" s="177"/>
      <c r="L1277" s="177"/>
      <c r="M1277" s="177"/>
      <c r="N1277" s="70"/>
      <c r="O1277" s="38"/>
      <c r="P1277" s="38"/>
      <c r="Q1277" s="760"/>
      <c r="R1277" s="590"/>
      <c r="S1277" s="38"/>
      <c r="T1277" s="38"/>
      <c r="U1277" s="38"/>
      <c r="V1277" s="37"/>
      <c r="W1277" s="39">
        <f>IF(AC1277="Intr",0,G1277*Definitions!$B$53)</f>
        <v>0</v>
      </c>
      <c r="X1277" s="39">
        <f>IF(AC1277="Intr",0,G1277*Definitions!$B$54)</f>
        <v>0</v>
      </c>
      <c r="Y1277" s="39">
        <f>IF(AC1277="Intr",G1277,G1277*Definitions!$B$55)</f>
        <v>0</v>
      </c>
      <c r="Z1277" s="39"/>
      <c r="AA1277" s="39"/>
      <c r="AB1277" s="39"/>
      <c r="AC1277" s="38"/>
      <c r="AD1277" s="38"/>
      <c r="AE1277" s="38"/>
      <c r="AF1277" s="38"/>
      <c r="AG1277" s="40"/>
      <c r="AH1277" s="38"/>
    </row>
    <row r="1278" spans="1:34" x14ac:dyDescent="0.2">
      <c r="A1278" s="38"/>
      <c r="B1278" s="38"/>
      <c r="C1278" s="38"/>
      <c r="D1278" s="38"/>
      <c r="E1278" s="177"/>
      <c r="F1278" s="177"/>
      <c r="G1278" s="269"/>
      <c r="H1278" s="179"/>
      <c r="I1278" s="177"/>
      <c r="J1278" s="177"/>
      <c r="K1278" s="177"/>
      <c r="L1278" s="177"/>
      <c r="M1278" s="177"/>
      <c r="N1278" s="70"/>
      <c r="O1278" s="38"/>
      <c r="P1278" s="38"/>
      <c r="Q1278" s="760"/>
      <c r="R1278" s="590"/>
      <c r="S1278" s="38"/>
      <c r="T1278" s="38"/>
      <c r="U1278" s="38"/>
      <c r="V1278" s="37"/>
      <c r="W1278" s="39">
        <f>IF(AC1278="Intr",0,G1278*Definitions!$B$53)</f>
        <v>0</v>
      </c>
      <c r="X1278" s="39">
        <f>IF(AC1278="Intr",0,G1278*Definitions!$B$54)</f>
        <v>0</v>
      </c>
      <c r="Y1278" s="39">
        <f>IF(AC1278="Intr",G1278,G1278*Definitions!$B$55)</f>
        <v>0</v>
      </c>
      <c r="Z1278" s="39"/>
      <c r="AA1278" s="39"/>
      <c r="AB1278" s="39"/>
      <c r="AC1278" s="38"/>
      <c r="AD1278" s="38"/>
      <c r="AE1278" s="38"/>
      <c r="AF1278" s="38"/>
      <c r="AG1278" s="40"/>
      <c r="AH1278" s="38"/>
    </row>
    <row r="1279" spans="1:34" x14ac:dyDescent="0.2">
      <c r="A1279" s="38"/>
      <c r="B1279" s="38"/>
      <c r="C1279" s="38"/>
      <c r="D1279" s="38"/>
      <c r="E1279" s="177"/>
      <c r="F1279" s="177"/>
      <c r="G1279" s="269"/>
      <c r="H1279" s="179"/>
      <c r="I1279" s="177"/>
      <c r="J1279" s="177"/>
      <c r="K1279" s="177"/>
      <c r="L1279" s="177"/>
      <c r="M1279" s="177"/>
      <c r="N1279" s="70"/>
      <c r="O1279" s="38"/>
      <c r="P1279" s="38"/>
      <c r="Q1279" s="760"/>
      <c r="R1279" s="590"/>
      <c r="S1279" s="38"/>
      <c r="T1279" s="38"/>
      <c r="U1279" s="38"/>
      <c r="V1279" s="37"/>
      <c r="W1279" s="39">
        <f>IF(AC1279="Intr",0,G1279*Definitions!$B$53)</f>
        <v>0</v>
      </c>
      <c r="X1279" s="39">
        <f>IF(AC1279="Intr",0,G1279*Definitions!$B$54)</f>
        <v>0</v>
      </c>
      <c r="Y1279" s="39">
        <f>IF(AC1279="Intr",G1279,G1279*Definitions!$B$55)</f>
        <v>0</v>
      </c>
      <c r="Z1279" s="39"/>
      <c r="AA1279" s="39"/>
      <c r="AB1279" s="39"/>
      <c r="AC1279" s="38"/>
      <c r="AD1279" s="38"/>
      <c r="AE1279" s="38"/>
      <c r="AF1279" s="38"/>
      <c r="AG1279" s="40"/>
      <c r="AH1279" s="38"/>
    </row>
    <row r="1280" spans="1:34" x14ac:dyDescent="0.2">
      <c r="A1280" s="38"/>
      <c r="B1280" s="38"/>
      <c r="C1280" s="38"/>
      <c r="D1280" s="38"/>
      <c r="E1280" s="177"/>
      <c r="F1280" s="177"/>
      <c r="G1280" s="269"/>
      <c r="H1280" s="179"/>
      <c r="I1280" s="177"/>
      <c r="J1280" s="177"/>
      <c r="K1280" s="177"/>
      <c r="L1280" s="177"/>
      <c r="M1280" s="177"/>
      <c r="N1280" s="70"/>
      <c r="O1280" s="38"/>
      <c r="P1280" s="38"/>
      <c r="Q1280" s="760"/>
      <c r="R1280" s="590"/>
      <c r="S1280" s="38"/>
      <c r="T1280" s="38"/>
      <c r="U1280" s="38"/>
      <c r="V1280" s="37"/>
      <c r="W1280" s="39">
        <f>IF(AC1280="Intr",0,G1280*Definitions!$B$53)</f>
        <v>0</v>
      </c>
      <c r="X1280" s="39">
        <f>IF(AC1280="Intr",0,G1280*Definitions!$B$54)</f>
        <v>0</v>
      </c>
      <c r="Y1280" s="39">
        <f>IF(AC1280="Intr",G1280,G1280*Definitions!$B$55)</f>
        <v>0</v>
      </c>
      <c r="Z1280" s="39"/>
      <c r="AA1280" s="39"/>
      <c r="AB1280" s="39"/>
      <c r="AC1280" s="38"/>
      <c r="AD1280" s="38"/>
      <c r="AE1280" s="38"/>
      <c r="AF1280" s="38"/>
      <c r="AG1280" s="40"/>
      <c r="AH1280" s="38"/>
    </row>
    <row r="1281" spans="1:34" x14ac:dyDescent="0.2">
      <c r="A1281" s="38"/>
      <c r="B1281" s="38"/>
      <c r="C1281" s="38"/>
      <c r="D1281" s="38"/>
      <c r="E1281" s="177"/>
      <c r="F1281" s="177"/>
      <c r="G1281" s="269"/>
      <c r="H1281" s="179"/>
      <c r="I1281" s="177"/>
      <c r="J1281" s="177"/>
      <c r="K1281" s="177"/>
      <c r="L1281" s="177"/>
      <c r="M1281" s="177"/>
      <c r="N1281" s="70"/>
      <c r="O1281" s="38"/>
      <c r="P1281" s="38"/>
      <c r="Q1281" s="760"/>
      <c r="R1281" s="590"/>
      <c r="S1281" s="38"/>
      <c r="T1281" s="38"/>
      <c r="U1281" s="38"/>
      <c r="V1281" s="37"/>
      <c r="W1281" s="39">
        <f>IF(AC1281="Intr",0,G1281*Definitions!$B$53)</f>
        <v>0</v>
      </c>
      <c r="X1281" s="39">
        <f>IF(AC1281="Intr",0,G1281*Definitions!$B$54)</f>
        <v>0</v>
      </c>
      <c r="Y1281" s="39">
        <f>IF(AC1281="Intr",G1281,G1281*Definitions!$B$55)</f>
        <v>0</v>
      </c>
      <c r="Z1281" s="39"/>
      <c r="AA1281" s="39"/>
      <c r="AB1281" s="39"/>
      <c r="AC1281" s="38"/>
      <c r="AD1281" s="38"/>
      <c r="AE1281" s="38"/>
      <c r="AF1281" s="38"/>
      <c r="AG1281" s="40"/>
      <c r="AH1281" s="38"/>
    </row>
    <row r="1282" spans="1:34" x14ac:dyDescent="0.2">
      <c r="A1282" s="38"/>
      <c r="B1282" s="38"/>
      <c r="C1282" s="38"/>
      <c r="D1282" s="38"/>
      <c r="E1282" s="177"/>
      <c r="F1282" s="177"/>
      <c r="G1282" s="269"/>
      <c r="H1282" s="179"/>
      <c r="I1282" s="177"/>
      <c r="J1282" s="177"/>
      <c r="K1282" s="177"/>
      <c r="L1282" s="177"/>
      <c r="M1282" s="177"/>
      <c r="N1282" s="70"/>
      <c r="O1282" s="38"/>
      <c r="P1282" s="38"/>
      <c r="Q1282" s="760"/>
      <c r="R1282" s="590"/>
      <c r="S1282" s="38"/>
      <c r="T1282" s="38"/>
      <c r="U1282" s="38"/>
      <c r="V1282" s="37"/>
      <c r="W1282" s="39">
        <f>IF(AC1282="Intr",0,G1282*Definitions!$B$53)</f>
        <v>0</v>
      </c>
      <c r="X1282" s="39">
        <f>IF(AC1282="Intr",0,G1282*Definitions!$B$54)</f>
        <v>0</v>
      </c>
      <c r="Y1282" s="39">
        <f>IF(AC1282="Intr",G1282,G1282*Definitions!$B$55)</f>
        <v>0</v>
      </c>
      <c r="Z1282" s="39"/>
      <c r="AA1282" s="39"/>
      <c r="AB1282" s="39"/>
      <c r="AC1282" s="38"/>
      <c r="AD1282" s="38"/>
      <c r="AE1282" s="38"/>
      <c r="AF1282" s="38"/>
      <c r="AG1282" s="40"/>
      <c r="AH1282" s="38"/>
    </row>
    <row r="1283" spans="1:34" x14ac:dyDescent="0.2">
      <c r="A1283" s="38"/>
      <c r="B1283" s="38"/>
      <c r="C1283" s="38"/>
      <c r="D1283" s="38"/>
      <c r="E1283" s="177"/>
      <c r="F1283" s="177"/>
      <c r="G1283" s="269"/>
      <c r="H1283" s="179"/>
      <c r="I1283" s="177"/>
      <c r="J1283" s="177"/>
      <c r="K1283" s="177"/>
      <c r="L1283" s="177"/>
      <c r="M1283" s="177"/>
      <c r="N1283" s="70"/>
      <c r="O1283" s="38"/>
      <c r="P1283" s="38"/>
      <c r="Q1283" s="760"/>
      <c r="R1283" s="590"/>
      <c r="S1283" s="38"/>
      <c r="T1283" s="38"/>
      <c r="U1283" s="38"/>
      <c r="V1283" s="37"/>
      <c r="W1283" s="39">
        <f>IF(AC1283="Intr",0,G1283*Definitions!$B$53)</f>
        <v>0</v>
      </c>
      <c r="X1283" s="39">
        <f>IF(AC1283="Intr",0,G1283*Definitions!$B$54)</f>
        <v>0</v>
      </c>
      <c r="Y1283" s="39">
        <f>IF(AC1283="Intr",G1283,G1283*Definitions!$B$55)</f>
        <v>0</v>
      </c>
      <c r="Z1283" s="39"/>
      <c r="AA1283" s="39"/>
      <c r="AB1283" s="39"/>
      <c r="AC1283" s="38"/>
      <c r="AD1283" s="38"/>
      <c r="AE1283" s="38"/>
      <c r="AF1283" s="38"/>
      <c r="AG1283" s="40"/>
      <c r="AH1283" s="38"/>
    </row>
    <row r="1284" spans="1:34" x14ac:dyDescent="0.2">
      <c r="A1284" s="38"/>
      <c r="B1284" s="38"/>
      <c r="C1284" s="38"/>
      <c r="D1284" s="38"/>
      <c r="E1284" s="177"/>
      <c r="F1284" s="177"/>
      <c r="G1284" s="269"/>
      <c r="H1284" s="179"/>
      <c r="I1284" s="177"/>
      <c r="J1284" s="177"/>
      <c r="K1284" s="177"/>
      <c r="L1284" s="177"/>
      <c r="M1284" s="177"/>
      <c r="N1284" s="70"/>
      <c r="O1284" s="38"/>
      <c r="P1284" s="38"/>
      <c r="Q1284" s="760"/>
      <c r="R1284" s="590"/>
      <c r="S1284" s="38"/>
      <c r="T1284" s="38"/>
      <c r="U1284" s="38"/>
      <c r="V1284" s="37"/>
      <c r="W1284" s="39">
        <f>IF(AC1284="Intr",0,G1284*Definitions!$B$53)</f>
        <v>0</v>
      </c>
      <c r="X1284" s="39">
        <f>IF(AC1284="Intr",0,G1284*Definitions!$B$54)</f>
        <v>0</v>
      </c>
      <c r="Y1284" s="39">
        <f>IF(AC1284="Intr",G1284,G1284*Definitions!$B$55)</f>
        <v>0</v>
      </c>
      <c r="Z1284" s="39"/>
      <c r="AA1284" s="39"/>
      <c r="AB1284" s="39"/>
      <c r="AC1284" s="38"/>
      <c r="AD1284" s="38"/>
      <c r="AE1284" s="38"/>
      <c r="AF1284" s="38"/>
      <c r="AG1284" s="40"/>
      <c r="AH1284" s="38"/>
    </row>
    <row r="1285" spans="1:34" x14ac:dyDescent="0.2">
      <c r="A1285" s="38"/>
      <c r="B1285" s="38"/>
      <c r="C1285" s="38"/>
      <c r="D1285" s="38"/>
      <c r="E1285" s="177"/>
      <c r="F1285" s="177"/>
      <c r="G1285" s="269"/>
      <c r="H1285" s="179"/>
      <c r="I1285" s="177"/>
      <c r="J1285" s="177"/>
      <c r="K1285" s="177"/>
      <c r="L1285" s="177"/>
      <c r="M1285" s="177"/>
      <c r="N1285" s="70"/>
      <c r="O1285" s="38"/>
      <c r="P1285" s="38"/>
      <c r="Q1285" s="760"/>
      <c r="R1285" s="590"/>
      <c r="S1285" s="38"/>
      <c r="T1285" s="38"/>
      <c r="U1285" s="38"/>
      <c r="V1285" s="37"/>
      <c r="W1285" s="39">
        <f>IF(AC1285="Intr",0,G1285*Definitions!$B$53)</f>
        <v>0</v>
      </c>
      <c r="X1285" s="39">
        <f>IF(AC1285="Intr",0,G1285*Definitions!$B$54)</f>
        <v>0</v>
      </c>
      <c r="Y1285" s="39">
        <f>IF(AC1285="Intr",G1285,G1285*Definitions!$B$55)</f>
        <v>0</v>
      </c>
      <c r="Z1285" s="39"/>
      <c r="AA1285" s="39"/>
      <c r="AB1285" s="39"/>
      <c r="AC1285" s="38"/>
      <c r="AD1285" s="38"/>
      <c r="AE1285" s="38"/>
      <c r="AF1285" s="38"/>
      <c r="AG1285" s="40"/>
      <c r="AH1285" s="38"/>
    </row>
    <row r="1286" spans="1:34" x14ac:dyDescent="0.2">
      <c r="A1286" s="38"/>
      <c r="B1286" s="38"/>
      <c r="C1286" s="38"/>
      <c r="D1286" s="38"/>
      <c r="E1286" s="177"/>
      <c r="F1286" s="177"/>
      <c r="G1286" s="269"/>
      <c r="H1286" s="179"/>
      <c r="I1286" s="177"/>
      <c r="J1286" s="177"/>
      <c r="K1286" s="177"/>
      <c r="L1286" s="177"/>
      <c r="M1286" s="177"/>
      <c r="N1286" s="70"/>
      <c r="O1286" s="38"/>
      <c r="P1286" s="38"/>
      <c r="Q1286" s="760"/>
      <c r="R1286" s="590"/>
      <c r="S1286" s="38"/>
      <c r="T1286" s="38"/>
      <c r="U1286" s="38"/>
      <c r="V1286" s="37"/>
      <c r="W1286" s="39">
        <f>IF(AC1286="Intr",0,G1286*Definitions!$B$53)</f>
        <v>0</v>
      </c>
      <c r="X1286" s="39">
        <f>IF(AC1286="Intr",0,G1286*Definitions!$B$54)</f>
        <v>0</v>
      </c>
      <c r="Y1286" s="39">
        <f>IF(AC1286="Intr",G1286,G1286*Definitions!$B$55)</f>
        <v>0</v>
      </c>
      <c r="Z1286" s="39"/>
      <c r="AA1286" s="39"/>
      <c r="AB1286" s="39"/>
      <c r="AC1286" s="38"/>
      <c r="AD1286" s="38"/>
      <c r="AE1286" s="38"/>
      <c r="AF1286" s="38"/>
      <c r="AG1286" s="40"/>
      <c r="AH1286" s="38"/>
    </row>
    <row r="1287" spans="1:34" x14ac:dyDescent="0.2">
      <c r="A1287" s="38"/>
      <c r="B1287" s="38"/>
      <c r="C1287" s="38"/>
      <c r="D1287" s="38"/>
      <c r="E1287" s="177"/>
      <c r="F1287" s="177"/>
      <c r="G1287" s="269"/>
      <c r="H1287" s="179"/>
      <c r="I1287" s="177"/>
      <c r="J1287" s="177"/>
      <c r="K1287" s="177"/>
      <c r="L1287" s="177"/>
      <c r="M1287" s="177"/>
      <c r="N1287" s="70"/>
      <c r="O1287" s="38"/>
      <c r="P1287" s="38"/>
      <c r="Q1287" s="760"/>
      <c r="R1287" s="590"/>
      <c r="S1287" s="38"/>
      <c r="T1287" s="38"/>
      <c r="U1287" s="38"/>
      <c r="V1287" s="37"/>
      <c r="W1287" s="39">
        <f>IF(AC1287="Intr",0,G1287*Definitions!$B$53)</f>
        <v>0</v>
      </c>
      <c r="X1287" s="39">
        <f>IF(AC1287="Intr",0,G1287*Definitions!$B$54)</f>
        <v>0</v>
      </c>
      <c r="Y1287" s="39">
        <f>IF(AC1287="Intr",G1287,G1287*Definitions!$B$55)</f>
        <v>0</v>
      </c>
      <c r="Z1287" s="39"/>
      <c r="AA1287" s="39"/>
      <c r="AB1287" s="39"/>
      <c r="AC1287" s="38"/>
      <c r="AD1287" s="38"/>
      <c r="AE1287" s="38"/>
      <c r="AF1287" s="38"/>
      <c r="AG1287" s="40"/>
      <c r="AH1287" s="38"/>
    </row>
    <row r="1288" spans="1:34" x14ac:dyDescent="0.2">
      <c r="A1288" s="38"/>
      <c r="B1288" s="38"/>
      <c r="C1288" s="38"/>
      <c r="D1288" s="38"/>
      <c r="E1288" s="177"/>
      <c r="F1288" s="177"/>
      <c r="G1288" s="269"/>
      <c r="H1288" s="179"/>
      <c r="I1288" s="177"/>
      <c r="J1288" s="177"/>
      <c r="K1288" s="177"/>
      <c r="L1288" s="177"/>
      <c r="M1288" s="177"/>
      <c r="N1288" s="70"/>
      <c r="O1288" s="38"/>
      <c r="P1288" s="38"/>
      <c r="Q1288" s="760"/>
      <c r="R1288" s="590"/>
      <c r="S1288" s="38"/>
      <c r="T1288" s="38"/>
      <c r="U1288" s="38"/>
      <c r="V1288" s="37"/>
      <c r="W1288" s="39">
        <f>IF(AC1288="Intr",0,G1288*Definitions!$B$53)</f>
        <v>0</v>
      </c>
      <c r="X1288" s="39">
        <f>IF(AC1288="Intr",0,G1288*Definitions!$B$54)</f>
        <v>0</v>
      </c>
      <c r="Y1288" s="39">
        <f>IF(AC1288="Intr",G1288,G1288*Definitions!$B$55)</f>
        <v>0</v>
      </c>
      <c r="Z1288" s="39"/>
      <c r="AA1288" s="39"/>
      <c r="AB1288" s="39"/>
      <c r="AC1288" s="38"/>
      <c r="AD1288" s="38"/>
      <c r="AE1288" s="38"/>
      <c r="AF1288" s="38"/>
      <c r="AG1288" s="40"/>
      <c r="AH1288" s="38"/>
    </row>
    <row r="1289" spans="1:34" x14ac:dyDescent="0.2">
      <c r="A1289" s="38"/>
      <c r="B1289" s="38"/>
      <c r="C1289" s="38"/>
      <c r="D1289" s="38"/>
      <c r="E1289" s="177"/>
      <c r="F1289" s="177"/>
      <c r="G1289" s="269"/>
      <c r="H1289" s="179"/>
      <c r="I1289" s="177"/>
      <c r="J1289" s="177"/>
      <c r="K1289" s="177"/>
      <c r="L1289" s="177"/>
      <c r="M1289" s="177"/>
      <c r="N1289" s="70"/>
      <c r="O1289" s="38"/>
      <c r="P1289" s="38"/>
      <c r="Q1289" s="760"/>
      <c r="R1289" s="590"/>
      <c r="S1289" s="38"/>
      <c r="T1289" s="38"/>
      <c r="U1289" s="38"/>
      <c r="V1289" s="37"/>
      <c r="W1289" s="39">
        <f>IF(AC1289="Intr",0,G1289*Definitions!$B$53)</f>
        <v>0</v>
      </c>
      <c r="X1289" s="39">
        <f>IF(AC1289="Intr",0,G1289*Definitions!$B$54)</f>
        <v>0</v>
      </c>
      <c r="Y1289" s="39">
        <f>IF(AC1289="Intr",G1289,G1289*Definitions!$B$55)</f>
        <v>0</v>
      </c>
      <c r="Z1289" s="39"/>
      <c r="AA1289" s="39"/>
      <c r="AB1289" s="39"/>
      <c r="AC1289" s="38"/>
      <c r="AD1289" s="38"/>
      <c r="AE1289" s="38"/>
      <c r="AF1289" s="38"/>
      <c r="AG1289" s="40"/>
      <c r="AH1289" s="38"/>
    </row>
    <row r="1290" spans="1:34" x14ac:dyDescent="0.2">
      <c r="A1290" s="38"/>
      <c r="B1290" s="38"/>
      <c r="C1290" s="38"/>
      <c r="D1290" s="38"/>
      <c r="E1290" s="177"/>
      <c r="F1290" s="177"/>
      <c r="G1290" s="269"/>
      <c r="H1290" s="179"/>
      <c r="I1290" s="177"/>
      <c r="J1290" s="177"/>
      <c r="K1290" s="177"/>
      <c r="L1290" s="177"/>
      <c r="M1290" s="177"/>
      <c r="N1290" s="70"/>
      <c r="O1290" s="38"/>
      <c r="P1290" s="38"/>
      <c r="Q1290" s="760"/>
      <c r="R1290" s="590"/>
      <c r="S1290" s="38"/>
      <c r="T1290" s="38"/>
      <c r="U1290" s="38"/>
      <c r="V1290" s="37"/>
      <c r="W1290" s="39">
        <f>IF(AC1290="Intr",0,G1290*Definitions!$B$53)</f>
        <v>0</v>
      </c>
      <c r="X1290" s="39">
        <f>IF(AC1290="Intr",0,G1290*Definitions!$B$54)</f>
        <v>0</v>
      </c>
      <c r="Y1290" s="39">
        <f>IF(AC1290="Intr",G1290,G1290*Definitions!$B$55)</f>
        <v>0</v>
      </c>
      <c r="Z1290" s="39"/>
      <c r="AA1290" s="39"/>
      <c r="AB1290" s="39"/>
      <c r="AC1290" s="38"/>
      <c r="AD1290" s="38"/>
      <c r="AE1290" s="38"/>
      <c r="AF1290" s="38"/>
      <c r="AG1290" s="40"/>
      <c r="AH1290" s="38"/>
    </row>
    <row r="1291" spans="1:34" x14ac:dyDescent="0.2">
      <c r="A1291" s="38"/>
      <c r="B1291" s="38"/>
      <c r="C1291" s="38"/>
      <c r="D1291" s="38"/>
      <c r="E1291" s="177"/>
      <c r="F1291" s="177"/>
      <c r="G1291" s="269"/>
      <c r="H1291" s="179"/>
      <c r="I1291" s="177"/>
      <c r="J1291" s="177"/>
      <c r="K1291" s="177"/>
      <c r="L1291" s="177"/>
      <c r="M1291" s="177"/>
      <c r="N1291" s="70"/>
      <c r="O1291" s="38"/>
      <c r="P1291" s="38"/>
      <c r="Q1291" s="760"/>
      <c r="R1291" s="590"/>
      <c r="S1291" s="38"/>
      <c r="T1291" s="38"/>
      <c r="U1291" s="38"/>
      <c r="V1291" s="37"/>
      <c r="W1291" s="39">
        <f>IF(AC1291="Intr",0,G1291*Definitions!$B$53)</f>
        <v>0</v>
      </c>
      <c r="X1291" s="39">
        <f>IF(AC1291="Intr",0,G1291*Definitions!$B$54)</f>
        <v>0</v>
      </c>
      <c r="Y1291" s="39">
        <f>IF(AC1291="Intr",G1291,G1291*Definitions!$B$55)</f>
        <v>0</v>
      </c>
      <c r="Z1291" s="39"/>
      <c r="AA1291" s="39"/>
      <c r="AB1291" s="39"/>
      <c r="AC1291" s="38"/>
      <c r="AD1291" s="38"/>
      <c r="AE1291" s="38"/>
      <c r="AF1291" s="38"/>
      <c r="AG1291" s="40"/>
      <c r="AH1291" s="38"/>
    </row>
    <row r="1292" spans="1:34" x14ac:dyDescent="0.2">
      <c r="A1292" s="38"/>
      <c r="B1292" s="38"/>
      <c r="C1292" s="38"/>
      <c r="D1292" s="38"/>
      <c r="E1292" s="177"/>
      <c r="F1292" s="177"/>
      <c r="G1292" s="269"/>
      <c r="H1292" s="179"/>
      <c r="I1292" s="177"/>
      <c r="J1292" s="177"/>
      <c r="K1292" s="177"/>
      <c r="L1292" s="177"/>
      <c r="M1292" s="177"/>
      <c r="N1292" s="70"/>
      <c r="O1292" s="38"/>
      <c r="P1292" s="38"/>
      <c r="Q1292" s="760"/>
      <c r="R1292" s="590"/>
      <c r="S1292" s="38"/>
      <c r="T1292" s="38"/>
      <c r="U1292" s="38"/>
      <c r="V1292" s="37"/>
      <c r="W1292" s="39">
        <f>IF(AC1292="Intr",0,G1292*Definitions!$B$53)</f>
        <v>0</v>
      </c>
      <c r="X1292" s="39">
        <f>IF(AC1292="Intr",0,G1292*Definitions!$B$54)</f>
        <v>0</v>
      </c>
      <c r="Y1292" s="39">
        <f>IF(AC1292="Intr",G1292,G1292*Definitions!$B$55)</f>
        <v>0</v>
      </c>
      <c r="Z1292" s="39"/>
      <c r="AA1292" s="39"/>
      <c r="AB1292" s="39"/>
      <c r="AC1292" s="38"/>
      <c r="AD1292" s="38"/>
      <c r="AE1292" s="38"/>
      <c r="AF1292" s="38"/>
      <c r="AG1292" s="40"/>
      <c r="AH1292" s="38"/>
    </row>
    <row r="1293" spans="1:34" x14ac:dyDescent="0.2">
      <c r="A1293" s="38"/>
      <c r="B1293" s="38"/>
      <c r="C1293" s="38"/>
      <c r="D1293" s="38"/>
      <c r="E1293" s="177"/>
      <c r="F1293" s="177"/>
      <c r="G1293" s="269"/>
      <c r="H1293" s="179"/>
      <c r="I1293" s="177"/>
      <c r="J1293" s="177"/>
      <c r="K1293" s="177"/>
      <c r="L1293" s="177"/>
      <c r="M1293" s="177"/>
      <c r="N1293" s="70"/>
      <c r="O1293" s="38"/>
      <c r="P1293" s="38"/>
      <c r="Q1293" s="760"/>
      <c r="R1293" s="590"/>
      <c r="S1293" s="38"/>
      <c r="T1293" s="38"/>
      <c r="U1293" s="38"/>
      <c r="V1293" s="37"/>
      <c r="W1293" s="39">
        <f>IF(AC1293="Intr",0,G1293*Definitions!$B$53)</f>
        <v>0</v>
      </c>
      <c r="X1293" s="39">
        <f>IF(AC1293="Intr",0,G1293*Definitions!$B$54)</f>
        <v>0</v>
      </c>
      <c r="Y1293" s="39">
        <f>IF(AC1293="Intr",G1293,G1293*Definitions!$B$55)</f>
        <v>0</v>
      </c>
      <c r="Z1293" s="39"/>
      <c r="AA1293" s="39"/>
      <c r="AB1293" s="39"/>
      <c r="AC1293" s="38"/>
      <c r="AD1293" s="38"/>
      <c r="AE1293" s="38"/>
      <c r="AF1293" s="38"/>
      <c r="AG1293" s="40"/>
      <c r="AH1293" s="38"/>
    </row>
    <row r="1294" spans="1:34" x14ac:dyDescent="0.2">
      <c r="A1294" s="38"/>
      <c r="B1294" s="38"/>
      <c r="C1294" s="38"/>
      <c r="D1294" s="38"/>
      <c r="E1294" s="177"/>
      <c r="F1294" s="177"/>
      <c r="G1294" s="269"/>
      <c r="H1294" s="179"/>
      <c r="I1294" s="177"/>
      <c r="J1294" s="177"/>
      <c r="K1294" s="177"/>
      <c r="L1294" s="177"/>
      <c r="M1294" s="177"/>
      <c r="N1294" s="70"/>
      <c r="O1294" s="38"/>
      <c r="P1294" s="38"/>
      <c r="Q1294" s="760"/>
      <c r="R1294" s="590"/>
      <c r="S1294" s="38"/>
      <c r="T1294" s="38"/>
      <c r="U1294" s="38"/>
      <c r="V1294" s="37"/>
      <c r="W1294" s="39">
        <f>IF(AC1294="Intr",0,G1294*Definitions!$B$53)</f>
        <v>0</v>
      </c>
      <c r="X1294" s="39">
        <f>IF(AC1294="Intr",0,G1294*Definitions!$B$54)</f>
        <v>0</v>
      </c>
      <c r="Y1294" s="39">
        <f>IF(AC1294="Intr",G1294,G1294*Definitions!$B$55)</f>
        <v>0</v>
      </c>
      <c r="Z1294" s="39"/>
      <c r="AA1294" s="39"/>
      <c r="AB1294" s="39"/>
      <c r="AC1294" s="38"/>
      <c r="AD1294" s="38"/>
      <c r="AE1294" s="38"/>
      <c r="AF1294" s="38"/>
      <c r="AG1294" s="40"/>
      <c r="AH1294" s="38"/>
    </row>
    <row r="1295" spans="1:34" x14ac:dyDescent="0.2">
      <c r="A1295" s="38"/>
      <c r="B1295" s="38"/>
      <c r="C1295" s="38"/>
      <c r="D1295" s="38"/>
      <c r="E1295" s="177"/>
      <c r="F1295" s="177"/>
      <c r="G1295" s="269"/>
      <c r="H1295" s="179"/>
      <c r="I1295" s="177"/>
      <c r="J1295" s="177"/>
      <c r="K1295" s="177"/>
      <c r="L1295" s="177"/>
      <c r="M1295" s="177"/>
      <c r="N1295" s="70"/>
      <c r="O1295" s="38"/>
      <c r="P1295" s="38"/>
      <c r="Q1295" s="760"/>
      <c r="R1295" s="590"/>
      <c r="S1295" s="38"/>
      <c r="T1295" s="38"/>
      <c r="U1295" s="38"/>
      <c r="V1295" s="37"/>
      <c r="W1295" s="39">
        <f>IF(AC1295="Intr",0,G1295*Definitions!$B$53)</f>
        <v>0</v>
      </c>
      <c r="X1295" s="39">
        <f>IF(AC1295="Intr",0,G1295*Definitions!$B$54)</f>
        <v>0</v>
      </c>
      <c r="Y1295" s="39">
        <f>IF(AC1295="Intr",G1295,G1295*Definitions!$B$55)</f>
        <v>0</v>
      </c>
      <c r="Z1295" s="39"/>
      <c r="AA1295" s="39"/>
      <c r="AB1295" s="39"/>
      <c r="AC1295" s="38"/>
      <c r="AD1295" s="38"/>
      <c r="AE1295" s="38"/>
      <c r="AF1295" s="38"/>
      <c r="AG1295" s="40"/>
      <c r="AH1295" s="38"/>
    </row>
    <row r="1296" spans="1:34" x14ac:dyDescent="0.2">
      <c r="A1296" s="38"/>
      <c r="B1296" s="38"/>
      <c r="C1296" s="38"/>
      <c r="D1296" s="38"/>
      <c r="E1296" s="177"/>
      <c r="F1296" s="177"/>
      <c r="G1296" s="269"/>
      <c r="H1296" s="179"/>
      <c r="I1296" s="177"/>
      <c r="J1296" s="177"/>
      <c r="K1296" s="177"/>
      <c r="L1296" s="177"/>
      <c r="M1296" s="177"/>
      <c r="N1296" s="70"/>
      <c r="O1296" s="38"/>
      <c r="P1296" s="38"/>
      <c r="Q1296" s="760"/>
      <c r="R1296" s="590"/>
      <c r="S1296" s="38"/>
      <c r="T1296" s="38"/>
      <c r="U1296" s="38"/>
      <c r="V1296" s="37"/>
      <c r="W1296" s="39">
        <f>IF(AC1296="Intr",0,G1296*Definitions!$B$53)</f>
        <v>0</v>
      </c>
      <c r="X1296" s="39">
        <f>IF(AC1296="Intr",0,G1296*Definitions!$B$54)</f>
        <v>0</v>
      </c>
      <c r="Y1296" s="39">
        <f>IF(AC1296="Intr",G1296,G1296*Definitions!$B$55)</f>
        <v>0</v>
      </c>
      <c r="Z1296" s="39"/>
      <c r="AA1296" s="39"/>
      <c r="AB1296" s="39"/>
      <c r="AC1296" s="38"/>
      <c r="AD1296" s="38"/>
      <c r="AE1296" s="38"/>
      <c r="AF1296" s="38"/>
      <c r="AG1296" s="40"/>
      <c r="AH1296" s="38"/>
    </row>
    <row r="1297" spans="1:34" x14ac:dyDescent="0.2">
      <c r="A1297" s="38"/>
      <c r="B1297" s="38"/>
      <c r="C1297" s="38"/>
      <c r="D1297" s="38"/>
      <c r="E1297" s="177"/>
      <c r="F1297" s="177"/>
      <c r="G1297" s="269"/>
      <c r="H1297" s="179"/>
      <c r="I1297" s="177"/>
      <c r="J1297" s="177"/>
      <c r="K1297" s="177"/>
      <c r="L1297" s="177"/>
      <c r="M1297" s="177"/>
      <c r="N1297" s="70"/>
      <c r="O1297" s="38"/>
      <c r="P1297" s="38"/>
      <c r="Q1297" s="760"/>
      <c r="R1297" s="590"/>
      <c r="S1297" s="38"/>
      <c r="T1297" s="38"/>
      <c r="U1297" s="38"/>
      <c r="V1297" s="37"/>
      <c r="W1297" s="39">
        <f>IF(AC1297="Intr",0,G1297*Definitions!$B$53)</f>
        <v>0</v>
      </c>
      <c r="X1297" s="39">
        <f>IF(AC1297="Intr",0,G1297*Definitions!$B$54)</f>
        <v>0</v>
      </c>
      <c r="Y1297" s="39">
        <f>IF(AC1297="Intr",G1297,G1297*Definitions!$B$55)</f>
        <v>0</v>
      </c>
      <c r="Z1297" s="39"/>
      <c r="AA1297" s="39"/>
      <c r="AB1297" s="39"/>
      <c r="AC1297" s="38"/>
      <c r="AD1297" s="38"/>
      <c r="AE1297" s="38"/>
      <c r="AF1297" s="38"/>
      <c r="AG1297" s="40"/>
      <c r="AH1297" s="38"/>
    </row>
    <row r="1298" spans="1:34" x14ac:dyDescent="0.2">
      <c r="A1298" s="38"/>
      <c r="B1298" s="38"/>
      <c r="C1298" s="38"/>
      <c r="D1298" s="38"/>
      <c r="E1298" s="177"/>
      <c r="F1298" s="177"/>
      <c r="G1298" s="269"/>
      <c r="H1298" s="179"/>
      <c r="I1298" s="177"/>
      <c r="J1298" s="177"/>
      <c r="K1298" s="177"/>
      <c r="L1298" s="177"/>
      <c r="M1298" s="177"/>
      <c r="N1298" s="70"/>
      <c r="O1298" s="38"/>
      <c r="P1298" s="38"/>
      <c r="Q1298" s="760"/>
      <c r="R1298" s="590"/>
      <c r="S1298" s="38"/>
      <c r="T1298" s="38"/>
      <c r="U1298" s="38"/>
      <c r="V1298" s="37"/>
      <c r="W1298" s="39">
        <f>IF(AC1298="Intr",0,G1298*Definitions!$B$53)</f>
        <v>0</v>
      </c>
      <c r="X1298" s="39">
        <f>IF(AC1298="Intr",0,G1298*Definitions!$B$54)</f>
        <v>0</v>
      </c>
      <c r="Y1298" s="39">
        <f>IF(AC1298="Intr",G1298,G1298*Definitions!$B$55)</f>
        <v>0</v>
      </c>
      <c r="Z1298" s="39"/>
      <c r="AA1298" s="39"/>
      <c r="AB1298" s="39"/>
      <c r="AC1298" s="38"/>
      <c r="AD1298" s="38"/>
      <c r="AE1298" s="38"/>
      <c r="AF1298" s="38"/>
      <c r="AG1298" s="40"/>
      <c r="AH1298" s="38"/>
    </row>
    <row r="1299" spans="1:34" x14ac:dyDescent="0.2">
      <c r="A1299" s="38"/>
      <c r="B1299" s="38"/>
      <c r="C1299" s="38"/>
      <c r="D1299" s="38"/>
      <c r="E1299" s="177"/>
      <c r="F1299" s="177"/>
      <c r="G1299" s="269"/>
      <c r="H1299" s="179"/>
      <c r="I1299" s="177"/>
      <c r="J1299" s="177"/>
      <c r="K1299" s="177"/>
      <c r="L1299" s="177"/>
      <c r="M1299" s="177"/>
      <c r="N1299" s="70"/>
      <c r="O1299" s="38"/>
      <c r="P1299" s="38"/>
      <c r="Q1299" s="760"/>
      <c r="R1299" s="590"/>
      <c r="S1299" s="38"/>
      <c r="T1299" s="38"/>
      <c r="U1299" s="38"/>
      <c r="V1299" s="37"/>
      <c r="W1299" s="39">
        <f>IF(AC1299="Intr",0,G1299*Definitions!$B$53)</f>
        <v>0</v>
      </c>
      <c r="X1299" s="39">
        <f>IF(AC1299="Intr",0,G1299*Definitions!$B$54)</f>
        <v>0</v>
      </c>
      <c r="Y1299" s="39">
        <f>IF(AC1299="Intr",G1299,G1299*Definitions!$B$55)</f>
        <v>0</v>
      </c>
      <c r="Z1299" s="39"/>
      <c r="AA1299" s="39"/>
      <c r="AB1299" s="39"/>
      <c r="AC1299" s="38"/>
      <c r="AD1299" s="38"/>
      <c r="AE1299" s="38"/>
      <c r="AF1299" s="38"/>
      <c r="AG1299" s="40"/>
      <c r="AH1299" s="38"/>
    </row>
    <row r="1300" spans="1:34" x14ac:dyDescent="0.2">
      <c r="A1300" s="38"/>
      <c r="B1300" s="38"/>
      <c r="C1300" s="38"/>
      <c r="D1300" s="38"/>
      <c r="E1300" s="177"/>
      <c r="F1300" s="177"/>
      <c r="G1300" s="269"/>
      <c r="H1300" s="179"/>
      <c r="I1300" s="177"/>
      <c r="J1300" s="177"/>
      <c r="K1300" s="177"/>
      <c r="L1300" s="177"/>
      <c r="M1300" s="177"/>
      <c r="N1300" s="70"/>
      <c r="O1300" s="38"/>
      <c r="P1300" s="38"/>
      <c r="Q1300" s="760"/>
      <c r="R1300" s="590"/>
      <c r="S1300" s="38"/>
      <c r="T1300" s="38"/>
      <c r="U1300" s="38"/>
      <c r="V1300" s="37"/>
      <c r="W1300" s="39">
        <f>IF(AC1300="Intr",0,G1300*Definitions!$B$53)</f>
        <v>0</v>
      </c>
      <c r="X1300" s="39">
        <f>IF(AC1300="Intr",0,G1300*Definitions!$B$54)</f>
        <v>0</v>
      </c>
      <c r="Y1300" s="39">
        <f>IF(AC1300="Intr",G1300,G1300*Definitions!$B$55)</f>
        <v>0</v>
      </c>
      <c r="Z1300" s="39"/>
      <c r="AA1300" s="39"/>
      <c r="AB1300" s="39"/>
      <c r="AC1300" s="38"/>
      <c r="AD1300" s="38"/>
      <c r="AE1300" s="38"/>
      <c r="AF1300" s="38"/>
      <c r="AG1300" s="40"/>
      <c r="AH1300" s="38"/>
    </row>
    <row r="1301" spans="1:34" x14ac:dyDescent="0.2">
      <c r="A1301" s="38"/>
      <c r="B1301" s="38"/>
      <c r="C1301" s="38"/>
      <c r="D1301" s="38"/>
      <c r="E1301" s="177"/>
      <c r="F1301" s="177"/>
      <c r="G1301" s="269"/>
      <c r="H1301" s="179"/>
      <c r="I1301" s="177"/>
      <c r="J1301" s="177"/>
      <c r="K1301" s="177"/>
      <c r="L1301" s="177"/>
      <c r="M1301" s="177"/>
      <c r="N1301" s="70"/>
      <c r="O1301" s="38"/>
      <c r="P1301" s="38"/>
      <c r="Q1301" s="760"/>
      <c r="R1301" s="590"/>
      <c r="S1301" s="38"/>
      <c r="T1301" s="38"/>
      <c r="U1301" s="38"/>
      <c r="V1301" s="37"/>
      <c r="W1301" s="39">
        <f>IF(AC1301="Intr",0,G1301*Definitions!$B$53)</f>
        <v>0</v>
      </c>
      <c r="X1301" s="39">
        <f>IF(AC1301="Intr",0,G1301*Definitions!$B$54)</f>
        <v>0</v>
      </c>
      <c r="Y1301" s="39">
        <f>IF(AC1301="Intr",G1301,G1301*Definitions!$B$55)</f>
        <v>0</v>
      </c>
      <c r="Z1301" s="39"/>
      <c r="AA1301" s="39"/>
      <c r="AB1301" s="39"/>
      <c r="AC1301" s="38"/>
      <c r="AD1301" s="38"/>
      <c r="AE1301" s="38"/>
      <c r="AF1301" s="38"/>
      <c r="AG1301" s="40"/>
      <c r="AH1301" s="38"/>
    </row>
    <row r="1302" spans="1:34" x14ac:dyDescent="0.2">
      <c r="A1302" s="38"/>
      <c r="B1302" s="38"/>
      <c r="C1302" s="38"/>
      <c r="D1302" s="38"/>
      <c r="E1302" s="177"/>
      <c r="F1302" s="177"/>
      <c r="G1302" s="269"/>
      <c r="H1302" s="179"/>
      <c r="I1302" s="177"/>
      <c r="J1302" s="177"/>
      <c r="K1302" s="177"/>
      <c r="L1302" s="177"/>
      <c r="M1302" s="177"/>
      <c r="N1302" s="70"/>
      <c r="O1302" s="38"/>
      <c r="P1302" s="38"/>
      <c r="Q1302" s="760"/>
      <c r="R1302" s="590"/>
      <c r="S1302" s="38"/>
      <c r="T1302" s="38"/>
      <c r="U1302" s="38"/>
      <c r="V1302" s="37"/>
      <c r="W1302" s="39">
        <f>IF(AC1302="Intr",0,G1302*Definitions!$B$53)</f>
        <v>0</v>
      </c>
      <c r="X1302" s="39">
        <f>IF(AC1302="Intr",0,G1302*Definitions!$B$54)</f>
        <v>0</v>
      </c>
      <c r="Y1302" s="39">
        <f>IF(AC1302="Intr",G1302,G1302*Definitions!$B$55)</f>
        <v>0</v>
      </c>
      <c r="Z1302" s="39"/>
      <c r="AA1302" s="39"/>
      <c r="AB1302" s="39"/>
      <c r="AC1302" s="38"/>
      <c r="AD1302" s="38"/>
      <c r="AE1302" s="38"/>
      <c r="AF1302" s="38"/>
      <c r="AG1302" s="40"/>
      <c r="AH1302" s="38"/>
    </row>
    <row r="1303" spans="1:34" x14ac:dyDescent="0.2">
      <c r="A1303" s="38"/>
      <c r="B1303" s="38"/>
      <c r="C1303" s="38"/>
      <c r="D1303" s="38"/>
      <c r="E1303" s="177"/>
      <c r="F1303" s="177"/>
      <c r="G1303" s="269"/>
      <c r="H1303" s="179"/>
      <c r="I1303" s="177"/>
      <c r="J1303" s="177"/>
      <c r="K1303" s="177"/>
      <c r="L1303" s="177"/>
      <c r="M1303" s="177"/>
      <c r="N1303" s="70"/>
      <c r="O1303" s="38"/>
      <c r="P1303" s="38"/>
      <c r="Q1303" s="760"/>
      <c r="R1303" s="590"/>
      <c r="S1303" s="38"/>
      <c r="T1303" s="38"/>
      <c r="U1303" s="38"/>
      <c r="V1303" s="37"/>
      <c r="W1303" s="39">
        <f>IF(AC1303="Intr",0,G1303*Definitions!$B$53)</f>
        <v>0</v>
      </c>
      <c r="X1303" s="39">
        <f>IF(AC1303="Intr",0,G1303*Definitions!$B$54)</f>
        <v>0</v>
      </c>
      <c r="Y1303" s="39">
        <f>IF(AC1303="Intr",G1303,G1303*Definitions!$B$55)</f>
        <v>0</v>
      </c>
      <c r="Z1303" s="39"/>
      <c r="AA1303" s="39"/>
      <c r="AB1303" s="39"/>
      <c r="AC1303" s="38"/>
      <c r="AD1303" s="38"/>
      <c r="AE1303" s="38"/>
      <c r="AF1303" s="38"/>
      <c r="AG1303" s="40"/>
      <c r="AH1303" s="38"/>
    </row>
    <row r="1304" spans="1:34" x14ac:dyDescent="0.2">
      <c r="A1304" s="38"/>
      <c r="B1304" s="38"/>
      <c r="C1304" s="38"/>
      <c r="D1304" s="38"/>
      <c r="E1304" s="177"/>
      <c r="F1304" s="177"/>
      <c r="G1304" s="269"/>
      <c r="H1304" s="179"/>
      <c r="I1304" s="177"/>
      <c r="J1304" s="177"/>
      <c r="K1304" s="177"/>
      <c r="L1304" s="177"/>
      <c r="M1304" s="177"/>
      <c r="N1304" s="70"/>
      <c r="O1304" s="38"/>
      <c r="P1304" s="38"/>
      <c r="Q1304" s="760"/>
      <c r="R1304" s="590"/>
      <c r="S1304" s="38"/>
      <c r="T1304" s="38"/>
      <c r="U1304" s="38"/>
      <c r="V1304" s="37"/>
      <c r="W1304" s="39">
        <f>IF(AC1304="Intr",0,G1304*Definitions!$B$53)</f>
        <v>0</v>
      </c>
      <c r="X1304" s="39">
        <f>IF(AC1304="Intr",0,G1304*Definitions!$B$54)</f>
        <v>0</v>
      </c>
      <c r="Y1304" s="39">
        <f>IF(AC1304="Intr",G1304,G1304*Definitions!$B$55)</f>
        <v>0</v>
      </c>
      <c r="Z1304" s="39"/>
      <c r="AA1304" s="39"/>
      <c r="AB1304" s="39"/>
      <c r="AC1304" s="38"/>
      <c r="AD1304" s="38"/>
      <c r="AE1304" s="38"/>
      <c r="AF1304" s="38"/>
      <c r="AG1304" s="40"/>
      <c r="AH1304" s="38"/>
    </row>
    <row r="1305" spans="1:34" x14ac:dyDescent="0.2">
      <c r="A1305" s="38"/>
      <c r="B1305" s="38"/>
      <c r="C1305" s="38"/>
      <c r="D1305" s="38"/>
      <c r="E1305" s="177"/>
      <c r="F1305" s="177"/>
      <c r="G1305" s="269"/>
      <c r="H1305" s="179"/>
      <c r="I1305" s="177"/>
      <c r="J1305" s="177"/>
      <c r="K1305" s="177"/>
      <c r="L1305" s="177"/>
      <c r="M1305" s="177"/>
      <c r="N1305" s="70"/>
      <c r="O1305" s="38"/>
      <c r="P1305" s="38"/>
      <c r="Q1305" s="760"/>
      <c r="R1305" s="590"/>
      <c r="S1305" s="38"/>
      <c r="T1305" s="38"/>
      <c r="U1305" s="38"/>
      <c r="V1305" s="37"/>
      <c r="W1305" s="39">
        <f>IF(AC1305="Intr",0,G1305*Definitions!$B$53)</f>
        <v>0</v>
      </c>
      <c r="X1305" s="39">
        <f>IF(AC1305="Intr",0,G1305*Definitions!$B$54)</f>
        <v>0</v>
      </c>
      <c r="Y1305" s="39">
        <f>IF(AC1305="Intr",G1305,G1305*Definitions!$B$55)</f>
        <v>0</v>
      </c>
      <c r="Z1305" s="39"/>
      <c r="AA1305" s="39"/>
      <c r="AB1305" s="39"/>
      <c r="AC1305" s="38"/>
      <c r="AD1305" s="38"/>
      <c r="AE1305" s="38"/>
      <c r="AF1305" s="38"/>
      <c r="AG1305" s="40"/>
      <c r="AH1305" s="38"/>
    </row>
    <row r="1306" spans="1:34" x14ac:dyDescent="0.2">
      <c r="A1306" s="38"/>
      <c r="B1306" s="38"/>
      <c r="C1306" s="38"/>
      <c r="D1306" s="38"/>
      <c r="E1306" s="177"/>
      <c r="F1306" s="177"/>
      <c r="G1306" s="269"/>
      <c r="H1306" s="179"/>
      <c r="I1306" s="177"/>
      <c r="J1306" s="177"/>
      <c r="K1306" s="177"/>
      <c r="L1306" s="177"/>
      <c r="M1306" s="177"/>
      <c r="N1306" s="70"/>
      <c r="O1306" s="38"/>
      <c r="P1306" s="38"/>
      <c r="Q1306" s="760"/>
      <c r="R1306" s="590"/>
      <c r="S1306" s="38"/>
      <c r="T1306" s="38"/>
      <c r="U1306" s="38"/>
      <c r="V1306" s="37"/>
      <c r="W1306" s="39">
        <f>IF(AC1306="Intr",0,G1306*Definitions!$B$53)</f>
        <v>0</v>
      </c>
      <c r="X1306" s="39">
        <f>IF(AC1306="Intr",0,G1306*Definitions!$B$54)</f>
        <v>0</v>
      </c>
      <c r="Y1306" s="39">
        <f>IF(AC1306="Intr",G1306,G1306*Definitions!$B$55)</f>
        <v>0</v>
      </c>
      <c r="Z1306" s="39"/>
      <c r="AA1306" s="39"/>
      <c r="AB1306" s="39"/>
      <c r="AC1306" s="38"/>
      <c r="AD1306" s="38"/>
      <c r="AE1306" s="38"/>
      <c r="AF1306" s="38"/>
      <c r="AG1306" s="40"/>
      <c r="AH1306" s="38"/>
    </row>
    <row r="1307" spans="1:34" x14ac:dyDescent="0.2">
      <c r="A1307" s="38"/>
      <c r="B1307" s="38"/>
      <c r="C1307" s="38"/>
      <c r="D1307" s="38"/>
      <c r="E1307" s="177"/>
      <c r="F1307" s="177"/>
      <c r="G1307" s="269"/>
      <c r="H1307" s="179"/>
      <c r="I1307" s="177"/>
      <c r="J1307" s="177"/>
      <c r="K1307" s="177"/>
      <c r="L1307" s="177"/>
      <c r="M1307" s="177"/>
      <c r="N1307" s="70"/>
      <c r="O1307" s="38"/>
      <c r="P1307" s="38"/>
      <c r="Q1307" s="760"/>
      <c r="R1307" s="590"/>
      <c r="S1307" s="38"/>
      <c r="T1307" s="38"/>
      <c r="U1307" s="38"/>
      <c r="V1307" s="37"/>
      <c r="W1307" s="39">
        <f>IF(AC1307="Intr",0,G1307*Definitions!$B$53)</f>
        <v>0</v>
      </c>
      <c r="X1307" s="39">
        <f>IF(AC1307="Intr",0,G1307*Definitions!$B$54)</f>
        <v>0</v>
      </c>
      <c r="Y1307" s="39">
        <f>IF(AC1307="Intr",G1307,G1307*Definitions!$B$55)</f>
        <v>0</v>
      </c>
      <c r="Z1307" s="39"/>
      <c r="AA1307" s="39"/>
      <c r="AB1307" s="39"/>
      <c r="AC1307" s="38"/>
      <c r="AD1307" s="38"/>
      <c r="AE1307" s="38"/>
      <c r="AF1307" s="38"/>
      <c r="AG1307" s="40"/>
      <c r="AH1307" s="38"/>
    </row>
    <row r="1308" spans="1:34" x14ac:dyDescent="0.2">
      <c r="A1308" s="38"/>
      <c r="B1308" s="38"/>
      <c r="C1308" s="38"/>
      <c r="D1308" s="38"/>
      <c r="E1308" s="177"/>
      <c r="F1308" s="177"/>
      <c r="G1308" s="269"/>
      <c r="H1308" s="179"/>
      <c r="I1308" s="177"/>
      <c r="J1308" s="177"/>
      <c r="K1308" s="177"/>
      <c r="L1308" s="177"/>
      <c r="M1308" s="177"/>
      <c r="N1308" s="70"/>
      <c r="O1308" s="38"/>
      <c r="P1308" s="38"/>
      <c r="Q1308" s="760"/>
      <c r="R1308" s="590"/>
      <c r="S1308" s="38"/>
      <c r="T1308" s="38"/>
      <c r="U1308" s="38"/>
      <c r="V1308" s="37"/>
      <c r="W1308" s="39">
        <f>IF(AC1308="Intr",0,G1308*Definitions!$B$53)</f>
        <v>0</v>
      </c>
      <c r="X1308" s="39">
        <f>IF(AC1308="Intr",0,G1308*Definitions!$B$54)</f>
        <v>0</v>
      </c>
      <c r="Y1308" s="39">
        <f>IF(AC1308="Intr",G1308,G1308*Definitions!$B$55)</f>
        <v>0</v>
      </c>
      <c r="Z1308" s="39"/>
      <c r="AA1308" s="39"/>
      <c r="AB1308" s="39"/>
      <c r="AC1308" s="38"/>
      <c r="AD1308" s="38"/>
      <c r="AE1308" s="38"/>
      <c r="AF1308" s="38"/>
      <c r="AG1308" s="40"/>
      <c r="AH1308" s="38"/>
    </row>
    <row r="1309" spans="1:34" x14ac:dyDescent="0.2">
      <c r="A1309" s="38"/>
      <c r="B1309" s="38"/>
      <c r="C1309" s="38"/>
      <c r="D1309" s="38"/>
      <c r="E1309" s="177"/>
      <c r="F1309" s="177"/>
      <c r="G1309" s="269"/>
      <c r="H1309" s="179"/>
      <c r="I1309" s="177"/>
      <c r="J1309" s="177"/>
      <c r="K1309" s="177"/>
      <c r="L1309" s="177"/>
      <c r="M1309" s="177"/>
      <c r="N1309" s="70"/>
      <c r="O1309" s="38"/>
      <c r="P1309" s="38"/>
      <c r="Q1309" s="760"/>
      <c r="R1309" s="590"/>
      <c r="S1309" s="38"/>
      <c r="T1309" s="38"/>
      <c r="U1309" s="38"/>
      <c r="V1309" s="37"/>
      <c r="W1309" s="39">
        <f>IF(AC1309="Intr",0,G1309*Definitions!$B$53)</f>
        <v>0</v>
      </c>
      <c r="X1309" s="39">
        <f>IF(AC1309="Intr",0,G1309*Definitions!$B$54)</f>
        <v>0</v>
      </c>
      <c r="Y1309" s="39">
        <f>IF(AC1309="Intr",G1309,G1309*Definitions!$B$55)</f>
        <v>0</v>
      </c>
      <c r="Z1309" s="39"/>
      <c r="AA1309" s="39"/>
      <c r="AB1309" s="39"/>
      <c r="AC1309" s="38"/>
      <c r="AD1309" s="38"/>
      <c r="AE1309" s="38"/>
      <c r="AF1309" s="38"/>
      <c r="AG1309" s="40"/>
      <c r="AH1309" s="38"/>
    </row>
    <row r="1310" spans="1:34" x14ac:dyDescent="0.2">
      <c r="A1310" s="38"/>
      <c r="B1310" s="38"/>
      <c r="C1310" s="38"/>
      <c r="D1310" s="38"/>
      <c r="E1310" s="177"/>
      <c r="F1310" s="177"/>
      <c r="G1310" s="269"/>
      <c r="H1310" s="179"/>
      <c r="I1310" s="177"/>
      <c r="J1310" s="177"/>
      <c r="K1310" s="177"/>
      <c r="L1310" s="177"/>
      <c r="M1310" s="177"/>
      <c r="N1310" s="70"/>
      <c r="O1310" s="38"/>
      <c r="P1310" s="38"/>
      <c r="Q1310" s="760"/>
      <c r="R1310" s="590"/>
      <c r="S1310" s="38"/>
      <c r="T1310" s="38"/>
      <c r="U1310" s="38"/>
      <c r="V1310" s="37"/>
      <c r="W1310" s="39">
        <f>IF(AC1310="Intr",0,G1310*Definitions!$B$53)</f>
        <v>0</v>
      </c>
      <c r="X1310" s="39">
        <f>IF(AC1310="Intr",0,G1310*Definitions!$B$54)</f>
        <v>0</v>
      </c>
      <c r="Y1310" s="39">
        <f>IF(AC1310="Intr",G1310,G1310*Definitions!$B$55)</f>
        <v>0</v>
      </c>
      <c r="Z1310" s="39"/>
      <c r="AA1310" s="39"/>
      <c r="AB1310" s="39"/>
      <c r="AC1310" s="38"/>
      <c r="AD1310" s="38"/>
      <c r="AE1310" s="38"/>
      <c r="AF1310" s="38"/>
      <c r="AG1310" s="40"/>
      <c r="AH1310" s="38"/>
    </row>
    <row r="1311" spans="1:34" x14ac:dyDescent="0.2">
      <c r="A1311" s="38"/>
      <c r="B1311" s="38"/>
      <c r="C1311" s="38"/>
      <c r="D1311" s="38"/>
      <c r="E1311" s="177"/>
      <c r="F1311" s="177"/>
      <c r="G1311" s="269"/>
      <c r="H1311" s="179"/>
      <c r="I1311" s="177"/>
      <c r="J1311" s="177"/>
      <c r="K1311" s="177"/>
      <c r="L1311" s="177"/>
      <c r="M1311" s="177"/>
      <c r="N1311" s="70"/>
      <c r="O1311" s="38"/>
      <c r="P1311" s="38"/>
      <c r="Q1311" s="760"/>
      <c r="R1311" s="590"/>
      <c r="S1311" s="38"/>
      <c r="T1311" s="38"/>
      <c r="U1311" s="38"/>
      <c r="V1311" s="37"/>
      <c r="W1311" s="39">
        <f>IF(AC1311="Intr",0,G1311*Definitions!$B$53)</f>
        <v>0</v>
      </c>
      <c r="X1311" s="39">
        <f>IF(AC1311="Intr",0,G1311*Definitions!$B$54)</f>
        <v>0</v>
      </c>
      <c r="Y1311" s="39">
        <f>IF(AC1311="Intr",G1311,G1311*Definitions!$B$55)</f>
        <v>0</v>
      </c>
      <c r="Z1311" s="39"/>
      <c r="AA1311" s="39"/>
      <c r="AB1311" s="39"/>
      <c r="AC1311" s="38"/>
      <c r="AD1311" s="38"/>
      <c r="AE1311" s="38"/>
      <c r="AF1311" s="38"/>
      <c r="AG1311" s="40"/>
      <c r="AH1311" s="38"/>
    </row>
    <row r="1312" spans="1:34" x14ac:dyDescent="0.2">
      <c r="A1312" s="38"/>
      <c r="B1312" s="38"/>
      <c r="C1312" s="38"/>
      <c r="D1312" s="38"/>
      <c r="E1312" s="177"/>
      <c r="F1312" s="177"/>
      <c r="G1312" s="269"/>
      <c r="H1312" s="179"/>
      <c r="I1312" s="177"/>
      <c r="J1312" s="177"/>
      <c r="K1312" s="177"/>
      <c r="L1312" s="177"/>
      <c r="M1312" s="177"/>
      <c r="N1312" s="70"/>
      <c r="O1312" s="38"/>
      <c r="P1312" s="38"/>
      <c r="Q1312" s="760"/>
      <c r="R1312" s="590"/>
      <c r="S1312" s="38"/>
      <c r="T1312" s="38"/>
      <c r="U1312" s="38"/>
      <c r="V1312" s="37"/>
      <c r="W1312" s="39">
        <f>IF(AC1312="Intr",0,G1312*Definitions!$B$53)</f>
        <v>0</v>
      </c>
      <c r="X1312" s="39">
        <f>IF(AC1312="Intr",0,G1312*Definitions!$B$54)</f>
        <v>0</v>
      </c>
      <c r="Y1312" s="39">
        <f>IF(AC1312="Intr",G1312,G1312*Definitions!$B$55)</f>
        <v>0</v>
      </c>
      <c r="Z1312" s="39"/>
      <c r="AA1312" s="39"/>
      <c r="AB1312" s="39"/>
      <c r="AC1312" s="38"/>
      <c r="AD1312" s="38"/>
      <c r="AE1312" s="38"/>
      <c r="AF1312" s="38"/>
      <c r="AG1312" s="40"/>
      <c r="AH1312" s="38"/>
    </row>
    <row r="1313" spans="1:34" x14ac:dyDescent="0.2">
      <c r="A1313" s="38"/>
      <c r="B1313" s="38"/>
      <c r="C1313" s="38"/>
      <c r="D1313" s="38"/>
      <c r="E1313" s="177"/>
      <c r="F1313" s="177"/>
      <c r="G1313" s="269"/>
      <c r="H1313" s="179"/>
      <c r="I1313" s="177"/>
      <c r="J1313" s="177"/>
      <c r="K1313" s="177"/>
      <c r="L1313" s="177"/>
      <c r="M1313" s="177"/>
      <c r="N1313" s="70"/>
      <c r="O1313" s="38"/>
      <c r="P1313" s="38"/>
      <c r="Q1313" s="760"/>
      <c r="R1313" s="590"/>
      <c r="S1313" s="38"/>
      <c r="T1313" s="38"/>
      <c r="U1313" s="38"/>
      <c r="V1313" s="37"/>
      <c r="W1313" s="39">
        <f>IF(AC1313="Intr",0,G1313*Definitions!$B$53)</f>
        <v>0</v>
      </c>
      <c r="X1313" s="39">
        <f>IF(AC1313="Intr",0,G1313*Definitions!$B$54)</f>
        <v>0</v>
      </c>
      <c r="Y1313" s="39">
        <f>IF(AC1313="Intr",G1313,G1313*Definitions!$B$55)</f>
        <v>0</v>
      </c>
      <c r="Z1313" s="39"/>
      <c r="AA1313" s="39"/>
      <c r="AB1313" s="39"/>
      <c r="AC1313" s="38"/>
      <c r="AD1313" s="38"/>
      <c r="AE1313" s="38"/>
      <c r="AF1313" s="38"/>
      <c r="AG1313" s="40"/>
      <c r="AH1313" s="38"/>
    </row>
    <row r="1314" spans="1:34" x14ac:dyDescent="0.2">
      <c r="A1314" s="38"/>
      <c r="B1314" s="38"/>
      <c r="C1314" s="38"/>
      <c r="D1314" s="38"/>
      <c r="E1314" s="177"/>
      <c r="F1314" s="177"/>
      <c r="G1314" s="269"/>
      <c r="H1314" s="179"/>
      <c r="I1314" s="177"/>
      <c r="J1314" s="177"/>
      <c r="K1314" s="177"/>
      <c r="L1314" s="177"/>
      <c r="M1314" s="177"/>
      <c r="N1314" s="70"/>
      <c r="O1314" s="38"/>
      <c r="P1314" s="38"/>
      <c r="Q1314" s="760"/>
      <c r="R1314" s="590"/>
      <c r="S1314" s="38"/>
      <c r="T1314" s="38"/>
      <c r="U1314" s="38"/>
      <c r="V1314" s="37"/>
      <c r="W1314" s="39">
        <f>IF(AC1314="Intr",0,G1314*Definitions!$B$53)</f>
        <v>0</v>
      </c>
      <c r="X1314" s="39">
        <f>IF(AC1314="Intr",0,G1314*Definitions!$B$54)</f>
        <v>0</v>
      </c>
      <c r="Y1314" s="39">
        <f>IF(AC1314="Intr",G1314,G1314*Definitions!$B$55)</f>
        <v>0</v>
      </c>
      <c r="Z1314" s="39"/>
      <c r="AA1314" s="39"/>
      <c r="AB1314" s="39"/>
      <c r="AC1314" s="38"/>
      <c r="AD1314" s="38"/>
      <c r="AE1314" s="38"/>
      <c r="AF1314" s="38"/>
      <c r="AG1314" s="40"/>
      <c r="AH1314" s="38"/>
    </row>
    <row r="1315" spans="1:34" x14ac:dyDescent="0.2">
      <c r="A1315" s="38"/>
      <c r="B1315" s="38"/>
      <c r="C1315" s="38"/>
      <c r="D1315" s="38"/>
      <c r="E1315" s="177"/>
      <c r="F1315" s="177"/>
      <c r="G1315" s="269"/>
      <c r="H1315" s="179"/>
      <c r="I1315" s="177"/>
      <c r="J1315" s="177"/>
      <c r="K1315" s="177"/>
      <c r="L1315" s="177"/>
      <c r="M1315" s="177"/>
      <c r="N1315" s="70"/>
      <c r="O1315" s="38"/>
      <c r="P1315" s="38"/>
      <c r="Q1315" s="760"/>
      <c r="R1315" s="590"/>
      <c r="S1315" s="38"/>
      <c r="T1315" s="38"/>
      <c r="U1315" s="38"/>
      <c r="V1315" s="37"/>
      <c r="W1315" s="39">
        <f>IF(AC1315="Intr",0,G1315*Definitions!$B$53)</f>
        <v>0</v>
      </c>
      <c r="X1315" s="39">
        <f>IF(AC1315="Intr",0,G1315*Definitions!$B$54)</f>
        <v>0</v>
      </c>
      <c r="Y1315" s="39">
        <f>IF(AC1315="Intr",G1315,G1315*Definitions!$B$55)</f>
        <v>0</v>
      </c>
      <c r="Z1315" s="39"/>
      <c r="AA1315" s="39"/>
      <c r="AB1315" s="39"/>
      <c r="AC1315" s="38"/>
      <c r="AD1315" s="38"/>
      <c r="AE1315" s="38"/>
      <c r="AF1315" s="38"/>
      <c r="AG1315" s="40"/>
      <c r="AH1315" s="38"/>
    </row>
    <row r="1316" spans="1:34" x14ac:dyDescent="0.2">
      <c r="A1316" s="38"/>
      <c r="B1316" s="38"/>
      <c r="C1316" s="38"/>
      <c r="D1316" s="38"/>
      <c r="E1316" s="177"/>
      <c r="F1316" s="177"/>
      <c r="G1316" s="269"/>
      <c r="H1316" s="179"/>
      <c r="I1316" s="177"/>
      <c r="J1316" s="177"/>
      <c r="K1316" s="177"/>
      <c r="L1316" s="177"/>
      <c r="M1316" s="177"/>
      <c r="N1316" s="70"/>
      <c r="O1316" s="38"/>
      <c r="P1316" s="38"/>
      <c r="Q1316" s="760"/>
      <c r="R1316" s="590"/>
      <c r="S1316" s="38"/>
      <c r="T1316" s="38"/>
      <c r="U1316" s="38"/>
      <c r="V1316" s="37"/>
      <c r="W1316" s="39">
        <f>IF(AC1316="Intr",0,G1316*Definitions!$B$53)</f>
        <v>0</v>
      </c>
      <c r="X1316" s="39">
        <f>IF(AC1316="Intr",0,G1316*Definitions!$B$54)</f>
        <v>0</v>
      </c>
      <c r="Y1316" s="39">
        <f>IF(AC1316="Intr",G1316,G1316*Definitions!$B$55)</f>
        <v>0</v>
      </c>
      <c r="Z1316" s="39"/>
      <c r="AA1316" s="39"/>
      <c r="AB1316" s="39"/>
      <c r="AC1316" s="38"/>
      <c r="AD1316" s="38"/>
      <c r="AE1316" s="38"/>
      <c r="AF1316" s="38"/>
      <c r="AG1316" s="40"/>
      <c r="AH1316" s="38"/>
    </row>
    <row r="1317" spans="1:34" x14ac:dyDescent="0.2">
      <c r="A1317" s="38"/>
      <c r="B1317" s="38"/>
      <c r="C1317" s="38"/>
      <c r="D1317" s="38"/>
      <c r="E1317" s="177"/>
      <c r="F1317" s="177"/>
      <c r="G1317" s="269"/>
      <c r="H1317" s="179"/>
      <c r="I1317" s="177"/>
      <c r="J1317" s="177"/>
      <c r="K1317" s="177"/>
      <c r="L1317" s="177"/>
      <c r="M1317" s="177"/>
      <c r="N1317" s="70"/>
      <c r="O1317" s="38"/>
      <c r="P1317" s="38"/>
      <c r="Q1317" s="760"/>
      <c r="R1317" s="590"/>
      <c r="S1317" s="38"/>
      <c r="T1317" s="38"/>
      <c r="U1317" s="38"/>
      <c r="V1317" s="37"/>
      <c r="W1317" s="39">
        <f>IF(AC1317="Intr",0,G1317*Definitions!$B$53)</f>
        <v>0</v>
      </c>
      <c r="X1317" s="39">
        <f>IF(AC1317="Intr",0,G1317*Definitions!$B$54)</f>
        <v>0</v>
      </c>
      <c r="Y1317" s="39">
        <f>IF(AC1317="Intr",G1317,G1317*Definitions!$B$55)</f>
        <v>0</v>
      </c>
      <c r="Z1317" s="39"/>
      <c r="AA1317" s="39"/>
      <c r="AB1317" s="39"/>
      <c r="AC1317" s="38"/>
      <c r="AD1317" s="38"/>
      <c r="AE1317" s="38"/>
      <c r="AF1317" s="38"/>
      <c r="AG1317" s="40"/>
      <c r="AH1317" s="38"/>
    </row>
    <row r="1318" spans="1:34" x14ac:dyDescent="0.2">
      <c r="A1318" s="38"/>
      <c r="B1318" s="38"/>
      <c r="C1318" s="38"/>
      <c r="D1318" s="38"/>
      <c r="E1318" s="177"/>
      <c r="F1318" s="177"/>
      <c r="G1318" s="269"/>
      <c r="H1318" s="179"/>
      <c r="I1318" s="177"/>
      <c r="J1318" s="177"/>
      <c r="K1318" s="177"/>
      <c r="L1318" s="177"/>
      <c r="M1318" s="177"/>
      <c r="N1318" s="70"/>
      <c r="O1318" s="38"/>
      <c r="P1318" s="38"/>
      <c r="Q1318" s="760"/>
      <c r="R1318" s="590"/>
      <c r="S1318" s="38"/>
      <c r="T1318" s="38"/>
      <c r="U1318" s="38"/>
      <c r="V1318" s="37"/>
      <c r="W1318" s="39">
        <f>IF(AC1318="Intr",0,G1318*Definitions!$B$53)</f>
        <v>0</v>
      </c>
      <c r="X1318" s="39">
        <f>IF(AC1318="Intr",0,G1318*Definitions!$B$54)</f>
        <v>0</v>
      </c>
      <c r="Y1318" s="39">
        <f>IF(AC1318="Intr",G1318,G1318*Definitions!$B$55)</f>
        <v>0</v>
      </c>
      <c r="Z1318" s="39"/>
      <c r="AA1318" s="39"/>
      <c r="AB1318" s="39"/>
      <c r="AC1318" s="38"/>
      <c r="AD1318" s="38"/>
      <c r="AE1318" s="38"/>
      <c r="AF1318" s="38"/>
      <c r="AG1318" s="40"/>
      <c r="AH1318" s="38"/>
    </row>
    <row r="1319" spans="1:34" x14ac:dyDescent="0.2">
      <c r="A1319" s="38"/>
      <c r="B1319" s="38"/>
      <c r="C1319" s="38"/>
      <c r="D1319" s="38"/>
      <c r="E1319" s="177"/>
      <c r="F1319" s="177"/>
      <c r="G1319" s="269"/>
      <c r="H1319" s="179"/>
      <c r="I1319" s="177"/>
      <c r="J1319" s="177"/>
      <c r="K1319" s="177"/>
      <c r="L1319" s="177"/>
      <c r="M1319" s="177"/>
      <c r="N1319" s="70"/>
      <c r="O1319" s="38"/>
      <c r="P1319" s="38"/>
      <c r="Q1319" s="760"/>
      <c r="R1319" s="590"/>
      <c r="S1319" s="38"/>
      <c r="T1319" s="38"/>
      <c r="U1319" s="38"/>
      <c r="V1319" s="37"/>
      <c r="W1319" s="39">
        <f>IF(AC1319="Intr",0,G1319*Definitions!$B$53)</f>
        <v>0</v>
      </c>
      <c r="X1319" s="39">
        <f>IF(AC1319="Intr",0,G1319*Definitions!$B$54)</f>
        <v>0</v>
      </c>
      <c r="Y1319" s="39">
        <f>IF(AC1319="Intr",G1319,G1319*Definitions!$B$55)</f>
        <v>0</v>
      </c>
      <c r="Z1319" s="39"/>
      <c r="AA1319" s="39"/>
      <c r="AB1319" s="39"/>
      <c r="AC1319" s="38"/>
      <c r="AD1319" s="38"/>
      <c r="AE1319" s="38"/>
      <c r="AF1319" s="38"/>
      <c r="AG1319" s="40"/>
      <c r="AH1319" s="38"/>
    </row>
    <row r="1320" spans="1:34" x14ac:dyDescent="0.2">
      <c r="A1320" s="38"/>
      <c r="B1320" s="38"/>
      <c r="C1320" s="38"/>
      <c r="D1320" s="38"/>
      <c r="E1320" s="177"/>
      <c r="F1320" s="177"/>
      <c r="G1320" s="269"/>
      <c r="H1320" s="179"/>
      <c r="I1320" s="177"/>
      <c r="J1320" s="177"/>
      <c r="K1320" s="177"/>
      <c r="L1320" s="177"/>
      <c r="M1320" s="177"/>
      <c r="N1320" s="70"/>
      <c r="O1320" s="38"/>
      <c r="P1320" s="38"/>
      <c r="Q1320" s="760"/>
      <c r="R1320" s="590"/>
      <c r="S1320" s="38"/>
      <c r="T1320" s="38"/>
      <c r="U1320" s="38"/>
      <c r="V1320" s="37"/>
      <c r="W1320" s="39">
        <f>IF(AC1320="Intr",0,G1320*Definitions!$B$53)</f>
        <v>0</v>
      </c>
      <c r="X1320" s="39">
        <f>IF(AC1320="Intr",0,G1320*Definitions!$B$54)</f>
        <v>0</v>
      </c>
      <c r="Y1320" s="39">
        <f>IF(AC1320="Intr",G1320,G1320*Definitions!$B$55)</f>
        <v>0</v>
      </c>
      <c r="Z1320" s="39"/>
      <c r="AA1320" s="39"/>
      <c r="AB1320" s="39"/>
      <c r="AC1320" s="38"/>
      <c r="AD1320" s="38"/>
      <c r="AE1320" s="38"/>
      <c r="AF1320" s="38"/>
      <c r="AG1320" s="40"/>
      <c r="AH1320" s="38"/>
    </row>
    <row r="1321" spans="1:34" x14ac:dyDescent="0.2">
      <c r="A1321" s="38"/>
      <c r="B1321" s="38"/>
      <c r="C1321" s="38"/>
      <c r="D1321" s="38"/>
      <c r="E1321" s="177"/>
      <c r="F1321" s="177"/>
      <c r="G1321" s="269"/>
      <c r="H1321" s="179"/>
      <c r="I1321" s="177"/>
      <c r="J1321" s="177"/>
      <c r="K1321" s="177"/>
      <c r="L1321" s="177"/>
      <c r="M1321" s="177"/>
      <c r="N1321" s="70"/>
      <c r="O1321" s="38"/>
      <c r="P1321" s="38"/>
      <c r="Q1321" s="760"/>
      <c r="R1321" s="590"/>
      <c r="S1321" s="38"/>
      <c r="T1321" s="38"/>
      <c r="U1321" s="38"/>
      <c r="V1321" s="37"/>
      <c r="W1321" s="39">
        <f>IF(AC1321="Intr",0,G1321*Definitions!$B$53)</f>
        <v>0</v>
      </c>
      <c r="X1321" s="39">
        <f>IF(AC1321="Intr",0,G1321*Definitions!$B$54)</f>
        <v>0</v>
      </c>
      <c r="Y1321" s="39">
        <f>IF(AC1321="Intr",G1321,G1321*Definitions!$B$55)</f>
        <v>0</v>
      </c>
      <c r="Z1321" s="39"/>
      <c r="AA1321" s="39"/>
      <c r="AB1321" s="39"/>
      <c r="AC1321" s="38"/>
      <c r="AD1321" s="38"/>
      <c r="AE1321" s="38"/>
      <c r="AF1321" s="38"/>
      <c r="AG1321" s="40"/>
      <c r="AH1321" s="38"/>
    </row>
    <row r="1322" spans="1:34" x14ac:dyDescent="0.2">
      <c r="A1322" s="38"/>
      <c r="B1322" s="38"/>
      <c r="C1322" s="38"/>
      <c r="D1322" s="38"/>
      <c r="E1322" s="177"/>
      <c r="F1322" s="177"/>
      <c r="G1322" s="269"/>
      <c r="H1322" s="179"/>
      <c r="I1322" s="177"/>
      <c r="J1322" s="177"/>
      <c r="K1322" s="177"/>
      <c r="L1322" s="177"/>
      <c r="M1322" s="177"/>
      <c r="N1322" s="70"/>
      <c r="O1322" s="38"/>
      <c r="P1322" s="38"/>
      <c r="Q1322" s="760"/>
      <c r="R1322" s="590"/>
      <c r="S1322" s="38"/>
      <c r="T1322" s="38"/>
      <c r="U1322" s="38"/>
      <c r="V1322" s="37"/>
      <c r="W1322" s="39">
        <f>IF(AC1322="Intr",0,G1322*Definitions!$B$53)</f>
        <v>0</v>
      </c>
      <c r="X1322" s="39">
        <f>IF(AC1322="Intr",0,G1322*Definitions!$B$54)</f>
        <v>0</v>
      </c>
      <c r="Y1322" s="39">
        <f>IF(AC1322="Intr",G1322,G1322*Definitions!$B$55)</f>
        <v>0</v>
      </c>
      <c r="Z1322" s="39"/>
      <c r="AA1322" s="39"/>
      <c r="AB1322" s="39"/>
      <c r="AC1322" s="38"/>
      <c r="AD1322" s="38"/>
      <c r="AE1322" s="38"/>
      <c r="AF1322" s="38"/>
      <c r="AG1322" s="40"/>
      <c r="AH1322" s="38"/>
    </row>
    <row r="1323" spans="1:34" x14ac:dyDescent="0.2">
      <c r="A1323" s="38"/>
      <c r="B1323" s="38"/>
      <c r="C1323" s="38"/>
      <c r="D1323" s="38"/>
      <c r="E1323" s="177"/>
      <c r="F1323" s="177"/>
      <c r="G1323" s="269"/>
      <c r="H1323" s="179"/>
      <c r="I1323" s="177"/>
      <c r="J1323" s="177"/>
      <c r="K1323" s="177"/>
      <c r="L1323" s="177"/>
      <c r="M1323" s="177"/>
      <c r="N1323" s="70"/>
      <c r="O1323" s="38"/>
      <c r="P1323" s="38"/>
      <c r="Q1323" s="760"/>
      <c r="R1323" s="590"/>
      <c r="S1323" s="38"/>
      <c r="T1323" s="38"/>
      <c r="U1323" s="38"/>
      <c r="V1323" s="37"/>
      <c r="W1323" s="39">
        <f>IF(AC1323="Intr",0,G1323*Definitions!$B$53)</f>
        <v>0</v>
      </c>
      <c r="X1323" s="39">
        <f>IF(AC1323="Intr",0,G1323*Definitions!$B$54)</f>
        <v>0</v>
      </c>
      <c r="Y1323" s="39">
        <f>IF(AC1323="Intr",G1323,G1323*Definitions!$B$55)</f>
        <v>0</v>
      </c>
      <c r="Z1323" s="39"/>
      <c r="AA1323" s="39"/>
      <c r="AB1323" s="39"/>
      <c r="AC1323" s="38"/>
      <c r="AD1323" s="38"/>
      <c r="AE1323" s="38"/>
      <c r="AF1323" s="38"/>
      <c r="AG1323" s="40"/>
      <c r="AH1323" s="38"/>
    </row>
    <row r="1324" spans="1:34" x14ac:dyDescent="0.2">
      <c r="A1324" s="38"/>
      <c r="B1324" s="38"/>
      <c r="C1324" s="38"/>
      <c r="D1324" s="38"/>
      <c r="E1324" s="177"/>
      <c r="F1324" s="177"/>
      <c r="G1324" s="269"/>
      <c r="H1324" s="179"/>
      <c r="I1324" s="177"/>
      <c r="J1324" s="177"/>
      <c r="K1324" s="177"/>
      <c r="L1324" s="177"/>
      <c r="M1324" s="177"/>
      <c r="N1324" s="70"/>
      <c r="O1324" s="38"/>
      <c r="P1324" s="38"/>
      <c r="Q1324" s="760"/>
      <c r="R1324" s="590"/>
      <c r="S1324" s="38"/>
      <c r="T1324" s="38"/>
      <c r="U1324" s="38"/>
      <c r="V1324" s="37"/>
      <c r="W1324" s="39">
        <f>IF(AC1324="Intr",0,G1324*Definitions!$B$53)</f>
        <v>0</v>
      </c>
      <c r="X1324" s="39">
        <f>IF(AC1324="Intr",0,G1324*Definitions!$B$54)</f>
        <v>0</v>
      </c>
      <c r="Y1324" s="39">
        <f>IF(AC1324="Intr",G1324,G1324*Definitions!$B$55)</f>
        <v>0</v>
      </c>
      <c r="Z1324" s="39"/>
      <c r="AA1324" s="39"/>
      <c r="AB1324" s="39"/>
      <c r="AC1324" s="38"/>
      <c r="AD1324" s="38"/>
      <c r="AE1324" s="38"/>
      <c r="AF1324" s="38"/>
      <c r="AG1324" s="40"/>
      <c r="AH1324" s="38"/>
    </row>
    <row r="1325" spans="1:34" x14ac:dyDescent="0.2">
      <c r="A1325" s="38"/>
      <c r="B1325" s="38"/>
      <c r="C1325" s="38"/>
      <c r="D1325" s="38"/>
      <c r="E1325" s="177"/>
      <c r="F1325" s="177"/>
      <c r="G1325" s="269"/>
      <c r="H1325" s="179"/>
      <c r="I1325" s="177"/>
      <c r="J1325" s="177"/>
      <c r="K1325" s="177"/>
      <c r="L1325" s="177"/>
      <c r="M1325" s="177"/>
      <c r="N1325" s="70"/>
      <c r="O1325" s="38"/>
      <c r="P1325" s="38"/>
      <c r="Q1325" s="760"/>
      <c r="R1325" s="590"/>
      <c r="S1325" s="38"/>
      <c r="T1325" s="38"/>
      <c r="U1325" s="38"/>
      <c r="V1325" s="37"/>
      <c r="W1325" s="39">
        <f>IF(AC1325="Intr",0,G1325*Definitions!$B$53)</f>
        <v>0</v>
      </c>
      <c r="X1325" s="39">
        <f>IF(AC1325="Intr",0,G1325*Definitions!$B$54)</f>
        <v>0</v>
      </c>
      <c r="Y1325" s="39">
        <f>IF(AC1325="Intr",G1325,G1325*Definitions!$B$55)</f>
        <v>0</v>
      </c>
      <c r="Z1325" s="39"/>
      <c r="AA1325" s="39"/>
      <c r="AB1325" s="39"/>
      <c r="AC1325" s="38"/>
      <c r="AD1325" s="38"/>
      <c r="AE1325" s="38"/>
      <c r="AF1325" s="38"/>
      <c r="AG1325" s="40"/>
      <c r="AH1325" s="38"/>
    </row>
    <row r="1326" spans="1:34" x14ac:dyDescent="0.2">
      <c r="A1326" s="38"/>
      <c r="B1326" s="38"/>
      <c r="C1326" s="38"/>
      <c r="D1326" s="38"/>
      <c r="E1326" s="177"/>
      <c r="F1326" s="177"/>
      <c r="G1326" s="269"/>
      <c r="H1326" s="179"/>
      <c r="I1326" s="177"/>
      <c r="J1326" s="177"/>
      <c r="K1326" s="177"/>
      <c r="L1326" s="177"/>
      <c r="M1326" s="177"/>
      <c r="N1326" s="70"/>
      <c r="O1326" s="38"/>
      <c r="P1326" s="38"/>
      <c r="Q1326" s="760"/>
      <c r="R1326" s="590"/>
      <c r="S1326" s="38"/>
      <c r="T1326" s="38"/>
      <c r="U1326" s="38"/>
      <c r="V1326" s="37"/>
      <c r="W1326" s="39">
        <f>IF(AC1326="Intr",0,G1326*Definitions!$B$53)</f>
        <v>0</v>
      </c>
      <c r="X1326" s="39">
        <f>IF(AC1326="Intr",0,G1326*Definitions!$B$54)</f>
        <v>0</v>
      </c>
      <c r="Y1326" s="39">
        <f>IF(AC1326="Intr",G1326,G1326*Definitions!$B$55)</f>
        <v>0</v>
      </c>
      <c r="Z1326" s="39"/>
      <c r="AA1326" s="39"/>
      <c r="AB1326" s="39"/>
      <c r="AC1326" s="38"/>
      <c r="AD1326" s="38"/>
      <c r="AE1326" s="38"/>
      <c r="AF1326" s="38"/>
      <c r="AG1326" s="40"/>
      <c r="AH1326" s="38"/>
    </row>
    <row r="1327" spans="1:34" x14ac:dyDescent="0.2">
      <c r="A1327" s="38"/>
      <c r="B1327" s="38"/>
      <c r="C1327" s="38"/>
      <c r="D1327" s="38"/>
      <c r="E1327" s="177"/>
      <c r="F1327" s="177"/>
      <c r="G1327" s="269"/>
      <c r="H1327" s="179"/>
      <c r="I1327" s="177"/>
      <c r="J1327" s="177"/>
      <c r="K1327" s="177"/>
      <c r="L1327" s="177"/>
      <c r="M1327" s="177"/>
      <c r="N1327" s="70"/>
      <c r="O1327" s="38"/>
      <c r="P1327" s="38"/>
      <c r="Q1327" s="760"/>
      <c r="R1327" s="590"/>
      <c r="S1327" s="38"/>
      <c r="T1327" s="38"/>
      <c r="U1327" s="38"/>
      <c r="V1327" s="37"/>
      <c r="W1327" s="39">
        <f>IF(AC1327="Intr",0,G1327*Definitions!$B$53)</f>
        <v>0</v>
      </c>
      <c r="X1327" s="39">
        <f>IF(AC1327="Intr",0,G1327*Definitions!$B$54)</f>
        <v>0</v>
      </c>
      <c r="Y1327" s="39">
        <f>IF(AC1327="Intr",G1327,G1327*Definitions!$B$55)</f>
        <v>0</v>
      </c>
      <c r="Z1327" s="39"/>
      <c r="AA1327" s="39"/>
      <c r="AB1327" s="39"/>
      <c r="AC1327" s="38"/>
      <c r="AD1327" s="38"/>
      <c r="AE1327" s="38"/>
      <c r="AF1327" s="38"/>
      <c r="AG1327" s="40"/>
      <c r="AH1327" s="38"/>
    </row>
    <row r="1328" spans="1:34" x14ac:dyDescent="0.2">
      <c r="A1328" s="38"/>
      <c r="B1328" s="38"/>
      <c r="C1328" s="38"/>
      <c r="D1328" s="38"/>
      <c r="E1328" s="177"/>
      <c r="F1328" s="177"/>
      <c r="G1328" s="269"/>
      <c r="H1328" s="179"/>
      <c r="I1328" s="177"/>
      <c r="J1328" s="177"/>
      <c r="K1328" s="177"/>
      <c r="L1328" s="177"/>
      <c r="M1328" s="177"/>
      <c r="N1328" s="70"/>
      <c r="O1328" s="38"/>
      <c r="P1328" s="38"/>
      <c r="Q1328" s="760"/>
      <c r="R1328" s="590"/>
      <c r="S1328" s="38"/>
      <c r="T1328" s="38"/>
      <c r="U1328" s="38"/>
      <c r="V1328" s="37"/>
      <c r="W1328" s="39">
        <f>IF(AC1328="Intr",0,G1328*Definitions!$B$53)</f>
        <v>0</v>
      </c>
      <c r="X1328" s="39">
        <f>IF(AC1328="Intr",0,G1328*Definitions!$B$54)</f>
        <v>0</v>
      </c>
      <c r="Y1328" s="39">
        <f>IF(AC1328="Intr",G1328,G1328*Definitions!$B$55)</f>
        <v>0</v>
      </c>
      <c r="Z1328" s="39"/>
      <c r="AA1328" s="39"/>
      <c r="AB1328" s="39"/>
      <c r="AC1328" s="38"/>
      <c r="AD1328" s="38"/>
      <c r="AE1328" s="38"/>
      <c r="AF1328" s="38"/>
      <c r="AG1328" s="40"/>
      <c r="AH1328" s="38"/>
    </row>
    <row r="1329" spans="1:34" x14ac:dyDescent="0.2">
      <c r="A1329" s="38"/>
      <c r="B1329" s="38"/>
      <c r="C1329" s="38"/>
      <c r="D1329" s="38"/>
      <c r="E1329" s="177"/>
      <c r="F1329" s="177"/>
      <c r="G1329" s="269"/>
      <c r="H1329" s="179"/>
      <c r="I1329" s="177"/>
      <c r="J1329" s="177"/>
      <c r="K1329" s="177"/>
      <c r="L1329" s="177"/>
      <c r="M1329" s="177"/>
      <c r="N1329" s="70"/>
      <c r="O1329" s="38"/>
      <c r="P1329" s="38"/>
      <c r="Q1329" s="760"/>
      <c r="R1329" s="590"/>
      <c r="S1329" s="38"/>
      <c r="T1329" s="38"/>
      <c r="U1329" s="38"/>
      <c r="V1329" s="37"/>
      <c r="W1329" s="39">
        <f>IF(AC1329="Intr",0,G1329*Definitions!$B$53)</f>
        <v>0</v>
      </c>
      <c r="X1329" s="39">
        <f>IF(AC1329="Intr",0,G1329*Definitions!$B$54)</f>
        <v>0</v>
      </c>
      <c r="Y1329" s="39">
        <f>IF(AC1329="Intr",G1329,G1329*Definitions!$B$55)</f>
        <v>0</v>
      </c>
      <c r="Z1329" s="39"/>
      <c r="AA1329" s="39"/>
      <c r="AB1329" s="39"/>
      <c r="AC1329" s="38"/>
      <c r="AD1329" s="38"/>
      <c r="AE1329" s="38"/>
      <c r="AF1329" s="38"/>
      <c r="AG1329" s="40"/>
      <c r="AH1329" s="38"/>
    </row>
    <row r="1330" spans="1:34" x14ac:dyDescent="0.2">
      <c r="A1330" s="38"/>
      <c r="B1330" s="38"/>
      <c r="C1330" s="38"/>
      <c r="D1330" s="38"/>
      <c r="E1330" s="177"/>
      <c r="F1330" s="177"/>
      <c r="G1330" s="269"/>
      <c r="H1330" s="179"/>
      <c r="I1330" s="177"/>
      <c r="J1330" s="177"/>
      <c r="K1330" s="177"/>
      <c r="L1330" s="177"/>
      <c r="M1330" s="177"/>
      <c r="N1330" s="70"/>
      <c r="O1330" s="38"/>
      <c r="P1330" s="38"/>
      <c r="Q1330" s="760"/>
      <c r="R1330" s="590"/>
      <c r="S1330" s="38"/>
      <c r="T1330" s="38"/>
      <c r="U1330" s="38"/>
      <c r="V1330" s="37"/>
      <c r="W1330" s="39">
        <f>IF(AC1330="Intr",0,G1330*Definitions!$B$53)</f>
        <v>0</v>
      </c>
      <c r="X1330" s="39">
        <f>IF(AC1330="Intr",0,G1330*Definitions!$B$54)</f>
        <v>0</v>
      </c>
      <c r="Y1330" s="39">
        <f>IF(AC1330="Intr",G1330,G1330*Definitions!$B$55)</f>
        <v>0</v>
      </c>
      <c r="Z1330" s="39"/>
      <c r="AA1330" s="39"/>
      <c r="AB1330" s="39"/>
      <c r="AC1330" s="38"/>
      <c r="AD1330" s="38"/>
      <c r="AE1330" s="38"/>
      <c r="AF1330" s="38"/>
      <c r="AG1330" s="40"/>
      <c r="AH1330" s="38"/>
    </row>
    <row r="1331" spans="1:34" x14ac:dyDescent="0.2">
      <c r="A1331" s="38"/>
      <c r="B1331" s="38"/>
      <c r="C1331" s="38"/>
      <c r="D1331" s="38"/>
      <c r="E1331" s="177"/>
      <c r="F1331" s="177"/>
      <c r="G1331" s="269"/>
      <c r="H1331" s="179"/>
      <c r="I1331" s="177"/>
      <c r="J1331" s="177"/>
      <c r="K1331" s="177"/>
      <c r="L1331" s="177"/>
      <c r="M1331" s="177"/>
      <c r="N1331" s="70"/>
      <c r="O1331" s="38"/>
      <c r="P1331" s="38"/>
      <c r="Q1331" s="760"/>
      <c r="R1331" s="590"/>
      <c r="S1331" s="38"/>
      <c r="T1331" s="38"/>
      <c r="U1331" s="38"/>
      <c r="V1331" s="37"/>
      <c r="W1331" s="39">
        <f>IF(AC1331="Intr",0,G1331*Definitions!$B$53)</f>
        <v>0</v>
      </c>
      <c r="X1331" s="39">
        <f>IF(AC1331="Intr",0,G1331*Definitions!$B$54)</f>
        <v>0</v>
      </c>
      <c r="Y1331" s="39">
        <f>IF(AC1331="Intr",G1331,G1331*Definitions!$B$55)</f>
        <v>0</v>
      </c>
      <c r="Z1331" s="39"/>
      <c r="AA1331" s="39"/>
      <c r="AB1331" s="39"/>
      <c r="AC1331" s="38"/>
      <c r="AD1331" s="38"/>
      <c r="AE1331" s="38"/>
      <c r="AF1331" s="38"/>
      <c r="AG1331" s="40"/>
      <c r="AH1331" s="38"/>
    </row>
    <row r="1332" spans="1:34" x14ac:dyDescent="0.2">
      <c r="A1332" s="38"/>
      <c r="B1332" s="38"/>
      <c r="C1332" s="38"/>
      <c r="D1332" s="38"/>
      <c r="E1332" s="177"/>
      <c r="F1332" s="177"/>
      <c r="G1332" s="269"/>
      <c r="H1332" s="179"/>
      <c r="I1332" s="177"/>
      <c r="J1332" s="177"/>
      <c r="K1332" s="177"/>
      <c r="L1332" s="177"/>
      <c r="M1332" s="177"/>
      <c r="N1332" s="70"/>
      <c r="O1332" s="38"/>
      <c r="P1332" s="38"/>
      <c r="Q1332" s="760"/>
      <c r="R1332" s="590"/>
      <c r="S1332" s="38"/>
      <c r="T1332" s="38"/>
      <c r="U1332" s="38"/>
      <c r="V1332" s="37"/>
      <c r="W1332" s="39">
        <f>IF(AC1332="Intr",0,G1332*Definitions!$B$53)</f>
        <v>0</v>
      </c>
      <c r="X1332" s="39">
        <f>IF(AC1332="Intr",0,G1332*Definitions!$B$54)</f>
        <v>0</v>
      </c>
      <c r="Y1332" s="39">
        <f>IF(AC1332="Intr",G1332,G1332*Definitions!$B$55)</f>
        <v>0</v>
      </c>
      <c r="Z1332" s="39"/>
      <c r="AA1332" s="39"/>
      <c r="AB1332" s="39"/>
      <c r="AC1332" s="38"/>
      <c r="AD1332" s="38"/>
      <c r="AE1332" s="38"/>
      <c r="AF1332" s="38"/>
      <c r="AG1332" s="40"/>
      <c r="AH1332" s="38"/>
    </row>
    <row r="1333" spans="1:34" x14ac:dyDescent="0.2">
      <c r="A1333" s="38"/>
      <c r="B1333" s="38"/>
      <c r="C1333" s="38"/>
      <c r="D1333" s="38"/>
      <c r="E1333" s="177"/>
      <c r="F1333" s="177"/>
      <c r="G1333" s="269"/>
      <c r="H1333" s="179"/>
      <c r="I1333" s="177"/>
      <c r="J1333" s="177"/>
      <c r="K1333" s="177"/>
      <c r="L1333" s="177"/>
      <c r="M1333" s="177"/>
      <c r="N1333" s="70"/>
      <c r="O1333" s="38"/>
      <c r="P1333" s="38"/>
      <c r="Q1333" s="760"/>
      <c r="R1333" s="590"/>
      <c r="S1333" s="38"/>
      <c r="T1333" s="38"/>
      <c r="U1333" s="38"/>
      <c r="V1333" s="37"/>
      <c r="W1333" s="39">
        <f>IF(AC1333="Intr",0,G1333*Definitions!$B$53)</f>
        <v>0</v>
      </c>
      <c r="X1333" s="39">
        <f>IF(AC1333="Intr",0,G1333*Definitions!$B$54)</f>
        <v>0</v>
      </c>
      <c r="Y1333" s="39">
        <f>IF(AC1333="Intr",G1333,G1333*Definitions!$B$55)</f>
        <v>0</v>
      </c>
      <c r="Z1333" s="39"/>
      <c r="AA1333" s="39"/>
      <c r="AB1333" s="39"/>
      <c r="AC1333" s="38"/>
      <c r="AD1333" s="38"/>
      <c r="AE1333" s="38"/>
      <c r="AF1333" s="38"/>
      <c r="AG1333" s="40"/>
      <c r="AH1333" s="38"/>
    </row>
    <row r="1334" spans="1:34" x14ac:dyDescent="0.2">
      <c r="A1334" s="38"/>
      <c r="B1334" s="38"/>
      <c r="C1334" s="38"/>
      <c r="D1334" s="38"/>
      <c r="E1334" s="177"/>
      <c r="F1334" s="177"/>
      <c r="G1334" s="269"/>
      <c r="H1334" s="179"/>
      <c r="I1334" s="177"/>
      <c r="J1334" s="177"/>
      <c r="K1334" s="177"/>
      <c r="L1334" s="177"/>
      <c r="M1334" s="177"/>
      <c r="N1334" s="70"/>
      <c r="O1334" s="38"/>
      <c r="P1334" s="38"/>
      <c r="Q1334" s="760"/>
      <c r="R1334" s="590"/>
      <c r="S1334" s="38"/>
      <c r="T1334" s="38"/>
      <c r="U1334" s="38"/>
      <c r="V1334" s="37"/>
      <c r="W1334" s="39">
        <f>IF(AC1334="Intr",0,G1334*Definitions!$B$53)</f>
        <v>0</v>
      </c>
      <c r="X1334" s="39">
        <f>IF(AC1334="Intr",0,G1334*Definitions!$B$54)</f>
        <v>0</v>
      </c>
      <c r="Y1334" s="39">
        <f>IF(AC1334="Intr",G1334,G1334*Definitions!$B$55)</f>
        <v>0</v>
      </c>
      <c r="Z1334" s="39"/>
      <c r="AA1334" s="39"/>
      <c r="AB1334" s="39"/>
      <c r="AC1334" s="38"/>
      <c r="AD1334" s="38"/>
      <c r="AE1334" s="38"/>
      <c r="AF1334" s="38"/>
      <c r="AG1334" s="40"/>
      <c r="AH1334" s="38"/>
    </row>
    <row r="1335" spans="1:34" x14ac:dyDescent="0.2">
      <c r="A1335" s="38"/>
      <c r="B1335" s="38"/>
      <c r="C1335" s="38"/>
      <c r="D1335" s="38"/>
      <c r="E1335" s="177"/>
      <c r="F1335" s="177"/>
      <c r="G1335" s="269"/>
      <c r="H1335" s="179"/>
      <c r="I1335" s="177"/>
      <c r="J1335" s="177"/>
      <c r="K1335" s="177"/>
      <c r="L1335" s="177"/>
      <c r="M1335" s="177"/>
      <c r="N1335" s="70"/>
      <c r="O1335" s="38"/>
      <c r="P1335" s="38"/>
      <c r="Q1335" s="760"/>
      <c r="R1335" s="590"/>
      <c r="S1335" s="38"/>
      <c r="T1335" s="38"/>
      <c r="U1335" s="38"/>
      <c r="V1335" s="37"/>
      <c r="W1335" s="39">
        <f>IF(AC1335="Intr",0,G1335*Definitions!$B$53)</f>
        <v>0</v>
      </c>
      <c r="X1335" s="39">
        <f>IF(AC1335="Intr",0,G1335*Definitions!$B$54)</f>
        <v>0</v>
      </c>
      <c r="Y1335" s="39">
        <f>IF(AC1335="Intr",G1335,G1335*Definitions!$B$55)</f>
        <v>0</v>
      </c>
      <c r="Z1335" s="39"/>
      <c r="AA1335" s="39"/>
      <c r="AB1335" s="39"/>
      <c r="AC1335" s="38"/>
      <c r="AD1335" s="38"/>
      <c r="AE1335" s="38"/>
      <c r="AF1335" s="38"/>
      <c r="AG1335" s="40"/>
      <c r="AH1335" s="38"/>
    </row>
    <row r="1336" spans="1:34" x14ac:dyDescent="0.2">
      <c r="A1336" s="38"/>
      <c r="B1336" s="38"/>
      <c r="C1336" s="38"/>
      <c r="D1336" s="38"/>
      <c r="E1336" s="177"/>
      <c r="F1336" s="177"/>
      <c r="G1336" s="269"/>
      <c r="H1336" s="179"/>
      <c r="I1336" s="177"/>
      <c r="J1336" s="177"/>
      <c r="K1336" s="177"/>
      <c r="L1336" s="177"/>
      <c r="M1336" s="177"/>
      <c r="N1336" s="70"/>
      <c r="O1336" s="38"/>
      <c r="P1336" s="38"/>
      <c r="Q1336" s="760"/>
      <c r="R1336" s="590"/>
      <c r="S1336" s="38"/>
      <c r="T1336" s="38"/>
      <c r="U1336" s="38"/>
      <c r="V1336" s="37"/>
      <c r="W1336" s="39">
        <f>IF(AC1336="Intr",0,G1336*Definitions!$B$53)</f>
        <v>0</v>
      </c>
      <c r="X1336" s="39">
        <f>IF(AC1336="Intr",0,G1336*Definitions!$B$54)</f>
        <v>0</v>
      </c>
      <c r="Y1336" s="39">
        <f>IF(AC1336="Intr",G1336,G1336*Definitions!$B$55)</f>
        <v>0</v>
      </c>
      <c r="Z1336" s="39"/>
      <c r="AA1336" s="39"/>
      <c r="AB1336" s="39"/>
      <c r="AC1336" s="38"/>
      <c r="AD1336" s="38"/>
      <c r="AE1336" s="38"/>
      <c r="AF1336" s="38"/>
      <c r="AG1336" s="40"/>
      <c r="AH1336" s="38"/>
    </row>
    <row r="1337" spans="1:34" x14ac:dyDescent="0.2">
      <c r="A1337" s="38"/>
      <c r="B1337" s="38"/>
      <c r="C1337" s="38"/>
      <c r="D1337" s="38"/>
      <c r="E1337" s="177"/>
      <c r="F1337" s="177"/>
      <c r="G1337" s="269"/>
      <c r="H1337" s="179"/>
      <c r="I1337" s="177"/>
      <c r="J1337" s="177"/>
      <c r="K1337" s="177"/>
      <c r="L1337" s="177"/>
      <c r="M1337" s="177"/>
      <c r="N1337" s="70"/>
      <c r="O1337" s="38"/>
      <c r="P1337" s="38"/>
      <c r="Q1337" s="760"/>
      <c r="R1337" s="590"/>
      <c r="S1337" s="38"/>
      <c r="T1337" s="38"/>
      <c r="U1337" s="38"/>
      <c r="V1337" s="37"/>
      <c r="W1337" s="39">
        <f>IF(AC1337="Intr",0,G1337*Definitions!$B$53)</f>
        <v>0</v>
      </c>
      <c r="X1337" s="39">
        <f>IF(AC1337="Intr",0,G1337*Definitions!$B$54)</f>
        <v>0</v>
      </c>
      <c r="Y1337" s="39">
        <f>IF(AC1337="Intr",G1337,G1337*Definitions!$B$55)</f>
        <v>0</v>
      </c>
      <c r="Z1337" s="39"/>
      <c r="AA1337" s="39"/>
      <c r="AB1337" s="39"/>
      <c r="AC1337" s="38"/>
      <c r="AD1337" s="38"/>
      <c r="AE1337" s="38"/>
      <c r="AF1337" s="38"/>
      <c r="AG1337" s="40"/>
      <c r="AH1337" s="38"/>
    </row>
    <row r="1338" spans="1:34" x14ac:dyDescent="0.2">
      <c r="A1338" s="38"/>
      <c r="B1338" s="38"/>
      <c r="C1338" s="38"/>
      <c r="D1338" s="38"/>
      <c r="E1338" s="177"/>
      <c r="F1338" s="177"/>
      <c r="G1338" s="269"/>
      <c r="H1338" s="179"/>
      <c r="I1338" s="177"/>
      <c r="J1338" s="177"/>
      <c r="K1338" s="177"/>
      <c r="L1338" s="177"/>
      <c r="M1338" s="177"/>
      <c r="N1338" s="70"/>
      <c r="O1338" s="38"/>
      <c r="P1338" s="38"/>
      <c r="Q1338" s="760"/>
      <c r="R1338" s="590"/>
      <c r="S1338" s="38"/>
      <c r="T1338" s="38"/>
      <c r="U1338" s="38"/>
      <c r="V1338" s="37"/>
      <c r="W1338" s="39">
        <f>IF(AC1338="Intr",0,G1338*Definitions!$B$53)</f>
        <v>0</v>
      </c>
      <c r="X1338" s="39">
        <f>IF(AC1338="Intr",0,G1338*Definitions!$B$54)</f>
        <v>0</v>
      </c>
      <c r="Y1338" s="39">
        <f>IF(AC1338="Intr",G1338,G1338*Definitions!$B$55)</f>
        <v>0</v>
      </c>
      <c r="Z1338" s="39"/>
      <c r="AA1338" s="39"/>
      <c r="AB1338" s="39"/>
      <c r="AC1338" s="38"/>
      <c r="AD1338" s="38"/>
      <c r="AE1338" s="38"/>
      <c r="AF1338" s="38"/>
      <c r="AG1338" s="40"/>
      <c r="AH1338" s="38"/>
    </row>
    <row r="1339" spans="1:34" x14ac:dyDescent="0.2">
      <c r="A1339" s="38"/>
      <c r="B1339" s="38"/>
      <c r="C1339" s="38"/>
      <c r="D1339" s="38"/>
      <c r="E1339" s="177"/>
      <c r="F1339" s="177"/>
      <c r="G1339" s="269"/>
      <c r="H1339" s="179"/>
      <c r="I1339" s="177"/>
      <c r="J1339" s="177"/>
      <c r="K1339" s="177"/>
      <c r="L1339" s="177"/>
      <c r="M1339" s="177"/>
      <c r="N1339" s="70"/>
      <c r="O1339" s="38"/>
      <c r="P1339" s="38"/>
      <c r="Q1339" s="760"/>
      <c r="R1339" s="590"/>
      <c r="S1339" s="38"/>
      <c r="T1339" s="38"/>
      <c r="U1339" s="38"/>
      <c r="V1339" s="37"/>
      <c r="W1339" s="39">
        <f>IF(AC1339="Intr",0,G1339*Definitions!$B$53)</f>
        <v>0</v>
      </c>
      <c r="X1339" s="39">
        <f>IF(AC1339="Intr",0,G1339*Definitions!$B$54)</f>
        <v>0</v>
      </c>
      <c r="Y1339" s="39">
        <f>IF(AC1339="Intr",G1339,G1339*Definitions!$B$55)</f>
        <v>0</v>
      </c>
      <c r="Z1339" s="39"/>
      <c r="AA1339" s="39"/>
      <c r="AB1339" s="39"/>
      <c r="AC1339" s="38"/>
      <c r="AD1339" s="38"/>
      <c r="AE1339" s="38"/>
      <c r="AF1339" s="38"/>
      <c r="AG1339" s="40"/>
      <c r="AH1339" s="38"/>
    </row>
    <row r="1340" spans="1:34" x14ac:dyDescent="0.2">
      <c r="A1340" s="38"/>
      <c r="B1340" s="38"/>
      <c r="C1340" s="38"/>
      <c r="D1340" s="38"/>
      <c r="E1340" s="177"/>
      <c r="F1340" s="177"/>
      <c r="G1340" s="269"/>
      <c r="H1340" s="179"/>
      <c r="I1340" s="177"/>
      <c r="J1340" s="177"/>
      <c r="K1340" s="177"/>
      <c r="L1340" s="177"/>
      <c r="M1340" s="177"/>
      <c r="N1340" s="70"/>
      <c r="O1340" s="38"/>
      <c r="P1340" s="38"/>
      <c r="Q1340" s="760"/>
      <c r="R1340" s="590"/>
      <c r="S1340" s="38"/>
      <c r="T1340" s="38"/>
      <c r="U1340" s="38"/>
      <c r="V1340" s="37"/>
      <c r="W1340" s="39">
        <f>IF(AC1340="Intr",0,G1340*Definitions!$B$53)</f>
        <v>0</v>
      </c>
      <c r="X1340" s="39">
        <f>IF(AC1340="Intr",0,G1340*Definitions!$B$54)</f>
        <v>0</v>
      </c>
      <c r="Y1340" s="39">
        <f>IF(AC1340="Intr",G1340,G1340*Definitions!$B$55)</f>
        <v>0</v>
      </c>
      <c r="Z1340" s="39"/>
      <c r="AA1340" s="39"/>
      <c r="AB1340" s="39"/>
      <c r="AC1340" s="38"/>
      <c r="AD1340" s="38"/>
      <c r="AE1340" s="38"/>
      <c r="AF1340" s="38"/>
      <c r="AG1340" s="40"/>
      <c r="AH1340" s="38"/>
    </row>
    <row r="1341" spans="1:34" x14ac:dyDescent="0.2">
      <c r="A1341" s="38"/>
      <c r="B1341" s="38"/>
      <c r="C1341" s="38"/>
      <c r="D1341" s="38"/>
      <c r="E1341" s="177"/>
      <c r="F1341" s="177"/>
      <c r="G1341" s="269"/>
      <c r="H1341" s="179"/>
      <c r="I1341" s="177"/>
      <c r="J1341" s="177"/>
      <c r="K1341" s="177"/>
      <c r="L1341" s="177"/>
      <c r="M1341" s="177"/>
      <c r="N1341" s="70"/>
      <c r="O1341" s="38"/>
      <c r="P1341" s="38"/>
      <c r="Q1341" s="760"/>
      <c r="R1341" s="590"/>
      <c r="S1341" s="38"/>
      <c r="T1341" s="38"/>
      <c r="U1341" s="38"/>
      <c r="V1341" s="37"/>
      <c r="W1341" s="39">
        <f>IF(AC1341="Intr",0,G1341*Definitions!$B$53)</f>
        <v>0</v>
      </c>
      <c r="X1341" s="39">
        <f>IF(AC1341="Intr",0,G1341*Definitions!$B$54)</f>
        <v>0</v>
      </c>
      <c r="Y1341" s="39">
        <f>IF(AC1341="Intr",G1341,G1341*Definitions!$B$55)</f>
        <v>0</v>
      </c>
      <c r="Z1341" s="39"/>
      <c r="AA1341" s="39"/>
      <c r="AB1341" s="39"/>
      <c r="AC1341" s="38"/>
      <c r="AD1341" s="38"/>
      <c r="AE1341" s="38"/>
      <c r="AF1341" s="38"/>
      <c r="AG1341" s="40"/>
      <c r="AH1341" s="38"/>
    </row>
    <row r="1342" spans="1:34" x14ac:dyDescent="0.2">
      <c r="A1342" s="38"/>
      <c r="B1342" s="38"/>
      <c r="C1342" s="38"/>
      <c r="D1342" s="38"/>
      <c r="E1342" s="177"/>
      <c r="F1342" s="177"/>
      <c r="G1342" s="269"/>
      <c r="H1342" s="179"/>
      <c r="I1342" s="177"/>
      <c r="J1342" s="177"/>
      <c r="K1342" s="177"/>
      <c r="L1342" s="177"/>
      <c r="M1342" s="177"/>
      <c r="N1342" s="70"/>
      <c r="O1342" s="38"/>
      <c r="P1342" s="38"/>
      <c r="Q1342" s="760"/>
      <c r="R1342" s="590"/>
      <c r="S1342" s="38"/>
      <c r="T1342" s="38"/>
      <c r="U1342" s="38"/>
      <c r="V1342" s="37"/>
      <c r="W1342" s="39">
        <f>IF(AC1342="Intr",0,G1342*Definitions!$B$53)</f>
        <v>0</v>
      </c>
      <c r="X1342" s="39">
        <f>IF(AC1342="Intr",0,G1342*Definitions!$B$54)</f>
        <v>0</v>
      </c>
      <c r="Y1342" s="39">
        <f>IF(AC1342="Intr",G1342,G1342*Definitions!$B$55)</f>
        <v>0</v>
      </c>
      <c r="Z1342" s="39"/>
      <c r="AA1342" s="39"/>
      <c r="AB1342" s="39"/>
      <c r="AC1342" s="38"/>
      <c r="AD1342" s="38"/>
      <c r="AE1342" s="38"/>
      <c r="AF1342" s="38"/>
      <c r="AG1342" s="40"/>
      <c r="AH1342" s="38"/>
    </row>
    <row r="1343" spans="1:34" x14ac:dyDescent="0.2">
      <c r="A1343" s="38"/>
      <c r="B1343" s="38"/>
      <c r="C1343" s="38"/>
      <c r="D1343" s="38"/>
      <c r="E1343" s="177"/>
      <c r="F1343" s="177"/>
      <c r="G1343" s="269"/>
      <c r="H1343" s="179"/>
      <c r="I1343" s="177"/>
      <c r="J1343" s="177"/>
      <c r="K1343" s="177"/>
      <c r="L1343" s="177"/>
      <c r="M1343" s="177"/>
      <c r="N1343" s="70"/>
      <c r="O1343" s="38"/>
      <c r="P1343" s="38"/>
      <c r="Q1343" s="760"/>
      <c r="R1343" s="590"/>
      <c r="S1343" s="38"/>
      <c r="T1343" s="38"/>
      <c r="U1343" s="38"/>
      <c r="V1343" s="37"/>
      <c r="W1343" s="39">
        <f>IF(AC1343="Intr",0,G1343*Definitions!$B$53)</f>
        <v>0</v>
      </c>
      <c r="X1343" s="39">
        <f>IF(AC1343="Intr",0,G1343*Definitions!$B$54)</f>
        <v>0</v>
      </c>
      <c r="Y1343" s="39">
        <f>IF(AC1343="Intr",G1343,G1343*Definitions!$B$55)</f>
        <v>0</v>
      </c>
      <c r="Z1343" s="39"/>
      <c r="AA1343" s="39"/>
      <c r="AB1343" s="39"/>
      <c r="AC1343" s="38"/>
      <c r="AD1343" s="38"/>
      <c r="AE1343" s="38"/>
      <c r="AF1343" s="38"/>
      <c r="AG1343" s="40"/>
      <c r="AH1343" s="38"/>
    </row>
    <row r="1344" spans="1:34" x14ac:dyDescent="0.2">
      <c r="A1344" s="38"/>
      <c r="B1344" s="38"/>
      <c r="C1344" s="38"/>
      <c r="D1344" s="38"/>
      <c r="E1344" s="177"/>
      <c r="F1344" s="177"/>
      <c r="G1344" s="269"/>
      <c r="H1344" s="179"/>
      <c r="I1344" s="177"/>
      <c r="J1344" s="177"/>
      <c r="K1344" s="177"/>
      <c r="L1344" s="177"/>
      <c r="M1344" s="177"/>
      <c r="N1344" s="70"/>
      <c r="O1344" s="38"/>
      <c r="P1344" s="38"/>
      <c r="Q1344" s="760"/>
      <c r="R1344" s="590"/>
      <c r="S1344" s="38"/>
      <c r="T1344" s="38"/>
      <c r="U1344" s="38"/>
      <c r="V1344" s="37"/>
      <c r="W1344" s="39">
        <f>IF(AC1344="Intr",0,G1344*Definitions!$B$53)</f>
        <v>0</v>
      </c>
      <c r="X1344" s="39">
        <f>IF(AC1344="Intr",0,G1344*Definitions!$B$54)</f>
        <v>0</v>
      </c>
      <c r="Y1344" s="39">
        <f>IF(AC1344="Intr",G1344,G1344*Definitions!$B$55)</f>
        <v>0</v>
      </c>
      <c r="Z1344" s="39"/>
      <c r="AA1344" s="39"/>
      <c r="AB1344" s="39"/>
      <c r="AC1344" s="38"/>
      <c r="AD1344" s="38"/>
      <c r="AE1344" s="38"/>
      <c r="AF1344" s="38"/>
      <c r="AG1344" s="40"/>
      <c r="AH1344" s="38"/>
    </row>
    <row r="1345" spans="1:34" x14ac:dyDescent="0.2">
      <c r="A1345" s="38"/>
      <c r="B1345" s="38"/>
      <c r="C1345" s="38"/>
      <c r="D1345" s="38"/>
      <c r="E1345" s="177"/>
      <c r="F1345" s="177"/>
      <c r="G1345" s="269"/>
      <c r="H1345" s="179"/>
      <c r="I1345" s="177"/>
      <c r="J1345" s="177"/>
      <c r="K1345" s="177"/>
      <c r="L1345" s="177"/>
      <c r="M1345" s="177"/>
      <c r="N1345" s="70"/>
      <c r="O1345" s="38"/>
      <c r="P1345" s="38"/>
      <c r="Q1345" s="760"/>
      <c r="R1345" s="590"/>
      <c r="S1345" s="38"/>
      <c r="T1345" s="38"/>
      <c r="U1345" s="38"/>
      <c r="V1345" s="37"/>
      <c r="W1345" s="39">
        <f>IF(AC1345="Intr",0,G1345*Definitions!$B$53)</f>
        <v>0</v>
      </c>
      <c r="X1345" s="39">
        <f>IF(AC1345="Intr",0,G1345*Definitions!$B$54)</f>
        <v>0</v>
      </c>
      <c r="Y1345" s="39">
        <f>IF(AC1345="Intr",G1345,G1345*Definitions!$B$55)</f>
        <v>0</v>
      </c>
      <c r="Z1345" s="39"/>
      <c r="AA1345" s="39"/>
      <c r="AB1345" s="39"/>
      <c r="AC1345" s="38"/>
      <c r="AD1345" s="38"/>
      <c r="AE1345" s="38"/>
      <c r="AF1345" s="38"/>
      <c r="AG1345" s="40"/>
      <c r="AH1345" s="38"/>
    </row>
    <row r="1346" spans="1:34" x14ac:dyDescent="0.2">
      <c r="A1346" s="38"/>
      <c r="B1346" s="38"/>
      <c r="C1346" s="38"/>
      <c r="D1346" s="38"/>
      <c r="E1346" s="177"/>
      <c r="F1346" s="177"/>
      <c r="G1346" s="269"/>
      <c r="H1346" s="179"/>
      <c r="I1346" s="177"/>
      <c r="J1346" s="177"/>
      <c r="K1346" s="177"/>
      <c r="L1346" s="177"/>
      <c r="M1346" s="177"/>
      <c r="N1346" s="70"/>
      <c r="O1346" s="38"/>
      <c r="P1346" s="38"/>
      <c r="Q1346" s="760"/>
      <c r="R1346" s="590"/>
      <c r="S1346" s="38"/>
      <c r="T1346" s="38"/>
      <c r="U1346" s="38"/>
      <c r="V1346" s="37"/>
      <c r="W1346" s="39">
        <f>IF(AC1346="Intr",0,G1346*Definitions!$B$53)</f>
        <v>0</v>
      </c>
      <c r="X1346" s="39">
        <f>IF(AC1346="Intr",0,G1346*Definitions!$B$54)</f>
        <v>0</v>
      </c>
      <c r="Y1346" s="39">
        <f>IF(AC1346="Intr",G1346,G1346*Definitions!$B$55)</f>
        <v>0</v>
      </c>
      <c r="Z1346" s="39"/>
      <c r="AA1346" s="39"/>
      <c r="AB1346" s="39"/>
      <c r="AC1346" s="38"/>
      <c r="AD1346" s="38"/>
      <c r="AE1346" s="38"/>
      <c r="AF1346" s="38"/>
      <c r="AG1346" s="40"/>
      <c r="AH1346" s="38"/>
    </row>
    <row r="1347" spans="1:34" x14ac:dyDescent="0.2">
      <c r="A1347" s="38"/>
      <c r="B1347" s="38"/>
      <c r="C1347" s="38"/>
      <c r="D1347" s="38"/>
      <c r="E1347" s="177"/>
      <c r="F1347" s="177"/>
      <c r="G1347" s="269"/>
      <c r="H1347" s="179"/>
      <c r="I1347" s="177"/>
      <c r="J1347" s="177"/>
      <c r="K1347" s="177"/>
      <c r="L1347" s="177"/>
      <c r="M1347" s="177"/>
      <c r="N1347" s="70"/>
      <c r="O1347" s="38"/>
      <c r="P1347" s="38"/>
      <c r="Q1347" s="760"/>
      <c r="R1347" s="590"/>
      <c r="S1347" s="38"/>
      <c r="T1347" s="38"/>
      <c r="U1347" s="38"/>
      <c r="V1347" s="37"/>
      <c r="W1347" s="39">
        <f>IF(AC1347="Intr",0,G1347*Definitions!$B$53)</f>
        <v>0</v>
      </c>
      <c r="X1347" s="39">
        <f>IF(AC1347="Intr",0,G1347*Definitions!$B$54)</f>
        <v>0</v>
      </c>
      <c r="Y1347" s="39">
        <f>IF(AC1347="Intr",G1347,G1347*Definitions!$B$55)</f>
        <v>0</v>
      </c>
      <c r="Z1347" s="39"/>
      <c r="AA1347" s="39"/>
      <c r="AB1347" s="39"/>
      <c r="AC1347" s="38"/>
      <c r="AD1347" s="38"/>
      <c r="AE1347" s="38"/>
      <c r="AF1347" s="38"/>
      <c r="AG1347" s="40"/>
      <c r="AH1347" s="38"/>
    </row>
    <row r="1348" spans="1:34" x14ac:dyDescent="0.2">
      <c r="A1348" s="38"/>
      <c r="B1348" s="38"/>
      <c r="C1348" s="38"/>
      <c r="D1348" s="38"/>
      <c r="E1348" s="177"/>
      <c r="F1348" s="177"/>
      <c r="G1348" s="269"/>
      <c r="H1348" s="179"/>
      <c r="I1348" s="177"/>
      <c r="J1348" s="177"/>
      <c r="K1348" s="177"/>
      <c r="L1348" s="177"/>
      <c r="M1348" s="177"/>
      <c r="N1348" s="70"/>
      <c r="O1348" s="38"/>
      <c r="P1348" s="38"/>
      <c r="Q1348" s="760"/>
      <c r="R1348" s="590"/>
      <c r="S1348" s="38"/>
      <c r="T1348" s="38"/>
      <c r="U1348" s="38"/>
      <c r="V1348" s="37"/>
      <c r="W1348" s="39">
        <f>IF(AC1348="Intr",0,G1348*Definitions!$B$53)</f>
        <v>0</v>
      </c>
      <c r="X1348" s="39">
        <f>IF(AC1348="Intr",0,G1348*Definitions!$B$54)</f>
        <v>0</v>
      </c>
      <c r="Y1348" s="39">
        <f>IF(AC1348="Intr",G1348,G1348*Definitions!$B$55)</f>
        <v>0</v>
      </c>
      <c r="Z1348" s="39"/>
      <c r="AA1348" s="39"/>
      <c r="AB1348" s="39"/>
      <c r="AC1348" s="38"/>
      <c r="AD1348" s="38"/>
      <c r="AE1348" s="38"/>
      <c r="AF1348" s="38"/>
      <c r="AG1348" s="40"/>
      <c r="AH1348" s="38"/>
    </row>
    <row r="1349" spans="1:34" x14ac:dyDescent="0.2">
      <c r="A1349" s="38"/>
      <c r="B1349" s="38"/>
      <c r="C1349" s="38"/>
      <c r="D1349" s="38"/>
      <c r="E1349" s="177"/>
      <c r="F1349" s="177"/>
      <c r="G1349" s="269"/>
      <c r="H1349" s="179"/>
      <c r="I1349" s="177"/>
      <c r="J1349" s="177"/>
      <c r="K1349" s="177"/>
      <c r="L1349" s="177"/>
      <c r="M1349" s="177"/>
      <c r="N1349" s="70"/>
      <c r="O1349" s="38"/>
      <c r="P1349" s="38"/>
      <c r="Q1349" s="760"/>
      <c r="R1349" s="590"/>
      <c r="S1349" s="38"/>
      <c r="T1349" s="38"/>
      <c r="U1349" s="38"/>
      <c r="V1349" s="37"/>
      <c r="W1349" s="39">
        <f>IF(AC1349="Intr",0,G1349*Definitions!$B$53)</f>
        <v>0</v>
      </c>
      <c r="X1349" s="39">
        <f>IF(AC1349="Intr",0,G1349*Definitions!$B$54)</f>
        <v>0</v>
      </c>
      <c r="Y1349" s="39">
        <f>IF(AC1349="Intr",G1349,G1349*Definitions!$B$55)</f>
        <v>0</v>
      </c>
      <c r="Z1349" s="39"/>
      <c r="AA1349" s="39"/>
      <c r="AB1349" s="39"/>
      <c r="AC1349" s="38"/>
      <c r="AD1349" s="38"/>
      <c r="AE1349" s="38"/>
      <c r="AF1349" s="38"/>
      <c r="AG1349" s="40"/>
      <c r="AH1349" s="38"/>
    </row>
    <row r="1350" spans="1:34" x14ac:dyDescent="0.2">
      <c r="A1350" s="38"/>
      <c r="B1350" s="38"/>
      <c r="C1350" s="38"/>
      <c r="D1350" s="38"/>
      <c r="E1350" s="177"/>
      <c r="F1350" s="177"/>
      <c r="G1350" s="269"/>
      <c r="H1350" s="179"/>
      <c r="I1350" s="177"/>
      <c r="J1350" s="177"/>
      <c r="K1350" s="177"/>
      <c r="L1350" s="177"/>
      <c r="M1350" s="177"/>
      <c r="N1350" s="70"/>
      <c r="O1350" s="38"/>
      <c r="P1350" s="38"/>
      <c r="Q1350" s="760"/>
      <c r="R1350" s="590"/>
      <c r="S1350" s="38"/>
      <c r="T1350" s="38"/>
      <c r="U1350" s="38"/>
      <c r="V1350" s="37"/>
      <c r="W1350" s="39">
        <f>IF(AC1350="Intr",0,G1350*Definitions!$B$53)</f>
        <v>0</v>
      </c>
      <c r="X1350" s="39">
        <f>IF(AC1350="Intr",0,G1350*Definitions!$B$54)</f>
        <v>0</v>
      </c>
      <c r="Y1350" s="39">
        <f>IF(AC1350="Intr",G1350,G1350*Definitions!$B$55)</f>
        <v>0</v>
      </c>
      <c r="Z1350" s="39"/>
      <c r="AA1350" s="39"/>
      <c r="AB1350" s="39"/>
      <c r="AC1350" s="38"/>
      <c r="AD1350" s="38"/>
      <c r="AE1350" s="38"/>
      <c r="AF1350" s="38"/>
      <c r="AG1350" s="40"/>
      <c r="AH1350" s="38"/>
    </row>
    <row r="1351" spans="1:34" x14ac:dyDescent="0.2">
      <c r="A1351" s="38"/>
      <c r="B1351" s="38"/>
      <c r="C1351" s="38"/>
      <c r="D1351" s="38"/>
      <c r="E1351" s="177"/>
      <c r="F1351" s="177"/>
      <c r="G1351" s="269"/>
      <c r="H1351" s="179"/>
      <c r="I1351" s="177"/>
      <c r="J1351" s="177"/>
      <c r="K1351" s="177"/>
      <c r="L1351" s="177"/>
      <c r="M1351" s="177"/>
      <c r="N1351" s="70"/>
      <c r="O1351" s="38"/>
      <c r="P1351" s="38"/>
      <c r="Q1351" s="760"/>
      <c r="R1351" s="590"/>
      <c r="S1351" s="38"/>
      <c r="T1351" s="38"/>
      <c r="U1351" s="38"/>
      <c r="V1351" s="37"/>
      <c r="W1351" s="39">
        <f>IF(AC1351="Intr",0,G1351*Definitions!$B$53)</f>
        <v>0</v>
      </c>
      <c r="X1351" s="39">
        <f>IF(AC1351="Intr",0,G1351*Definitions!$B$54)</f>
        <v>0</v>
      </c>
      <c r="Y1351" s="39">
        <f>IF(AC1351="Intr",G1351,G1351*Definitions!$B$55)</f>
        <v>0</v>
      </c>
      <c r="Z1351" s="39"/>
      <c r="AA1351" s="39"/>
      <c r="AB1351" s="39"/>
      <c r="AC1351" s="38"/>
      <c r="AD1351" s="38"/>
      <c r="AE1351" s="38"/>
      <c r="AF1351" s="38"/>
      <c r="AG1351" s="40"/>
      <c r="AH1351" s="38"/>
    </row>
    <row r="1352" spans="1:34" x14ac:dyDescent="0.2">
      <c r="A1352" s="38"/>
      <c r="B1352" s="38"/>
      <c r="C1352" s="38"/>
      <c r="D1352" s="38"/>
      <c r="E1352" s="177"/>
      <c r="F1352" s="177"/>
      <c r="G1352" s="269"/>
      <c r="H1352" s="179"/>
      <c r="I1352" s="177"/>
      <c r="J1352" s="177"/>
      <c r="K1352" s="177"/>
      <c r="L1352" s="177"/>
      <c r="M1352" s="177"/>
      <c r="N1352" s="70"/>
      <c r="O1352" s="38"/>
      <c r="P1352" s="38"/>
      <c r="Q1352" s="760"/>
      <c r="R1352" s="590"/>
      <c r="S1352" s="38"/>
      <c r="T1352" s="38"/>
      <c r="U1352" s="38"/>
      <c r="V1352" s="37"/>
      <c r="W1352" s="39">
        <f>IF(AC1352="Intr",0,G1352*Definitions!$B$53)</f>
        <v>0</v>
      </c>
      <c r="X1352" s="39">
        <f>IF(AC1352="Intr",0,G1352*Definitions!$B$54)</f>
        <v>0</v>
      </c>
      <c r="Y1352" s="39">
        <f>IF(AC1352="Intr",G1352,G1352*Definitions!$B$55)</f>
        <v>0</v>
      </c>
      <c r="Z1352" s="39"/>
      <c r="AA1352" s="39"/>
      <c r="AB1352" s="39"/>
      <c r="AC1352" s="38"/>
      <c r="AD1352" s="38"/>
      <c r="AE1352" s="38"/>
      <c r="AF1352" s="38"/>
      <c r="AG1352" s="40"/>
      <c r="AH1352" s="38"/>
    </row>
    <row r="1353" spans="1:34" x14ac:dyDescent="0.2">
      <c r="A1353" s="38"/>
      <c r="B1353" s="38"/>
      <c r="C1353" s="38"/>
      <c r="D1353" s="38"/>
      <c r="E1353" s="177"/>
      <c r="F1353" s="177"/>
      <c r="G1353" s="269"/>
      <c r="H1353" s="179"/>
      <c r="I1353" s="177"/>
      <c r="J1353" s="177"/>
      <c r="K1353" s="177"/>
      <c r="L1353" s="177"/>
      <c r="M1353" s="177"/>
      <c r="N1353" s="70"/>
      <c r="O1353" s="38"/>
      <c r="P1353" s="38"/>
      <c r="Q1353" s="760"/>
      <c r="R1353" s="590"/>
      <c r="S1353" s="38"/>
      <c r="T1353" s="38"/>
      <c r="U1353" s="38"/>
      <c r="V1353" s="37"/>
      <c r="W1353" s="39">
        <f>IF(AC1353="Intr",0,G1353*Definitions!$B$53)</f>
        <v>0</v>
      </c>
      <c r="X1353" s="39">
        <f>IF(AC1353="Intr",0,G1353*Definitions!$B$54)</f>
        <v>0</v>
      </c>
      <c r="Y1353" s="39">
        <f>IF(AC1353="Intr",G1353,G1353*Definitions!$B$55)</f>
        <v>0</v>
      </c>
      <c r="Z1353" s="39"/>
      <c r="AA1353" s="39"/>
      <c r="AB1353" s="39"/>
      <c r="AC1353" s="38"/>
      <c r="AD1353" s="38"/>
      <c r="AE1353" s="38"/>
      <c r="AF1353" s="38"/>
      <c r="AG1353" s="40"/>
      <c r="AH1353" s="38"/>
    </row>
    <row r="1354" spans="1:34" x14ac:dyDescent="0.2">
      <c r="A1354" s="38"/>
      <c r="B1354" s="38"/>
      <c r="C1354" s="38"/>
      <c r="D1354" s="38"/>
      <c r="E1354" s="177"/>
      <c r="F1354" s="177"/>
      <c r="G1354" s="269"/>
      <c r="H1354" s="179"/>
      <c r="I1354" s="177"/>
      <c r="J1354" s="177"/>
      <c r="K1354" s="177"/>
      <c r="L1354" s="177"/>
      <c r="M1354" s="177"/>
      <c r="N1354" s="70"/>
      <c r="O1354" s="38"/>
      <c r="P1354" s="38"/>
      <c r="Q1354" s="760"/>
      <c r="R1354" s="590"/>
      <c r="S1354" s="38"/>
      <c r="T1354" s="38"/>
      <c r="U1354" s="38"/>
      <c r="V1354" s="37"/>
      <c r="W1354" s="39">
        <f>IF(AC1354="Intr",0,G1354*Definitions!$B$53)</f>
        <v>0</v>
      </c>
      <c r="X1354" s="39">
        <f>IF(AC1354="Intr",0,G1354*Definitions!$B$54)</f>
        <v>0</v>
      </c>
      <c r="Y1354" s="39">
        <f>IF(AC1354="Intr",G1354,G1354*Definitions!$B$55)</f>
        <v>0</v>
      </c>
      <c r="Z1354" s="39"/>
      <c r="AA1354" s="39"/>
      <c r="AB1354" s="39"/>
      <c r="AC1354" s="38"/>
      <c r="AD1354" s="38"/>
      <c r="AE1354" s="38"/>
      <c r="AF1354" s="38"/>
      <c r="AG1354" s="40"/>
      <c r="AH1354" s="38"/>
    </row>
    <row r="1355" spans="1:34" x14ac:dyDescent="0.2">
      <c r="A1355" s="38"/>
      <c r="B1355" s="38"/>
      <c r="C1355" s="38"/>
      <c r="D1355" s="38"/>
      <c r="E1355" s="177"/>
      <c r="F1355" s="177"/>
      <c r="G1355" s="269"/>
      <c r="H1355" s="179"/>
      <c r="I1355" s="177"/>
      <c r="J1355" s="177"/>
      <c r="K1355" s="177"/>
      <c r="L1355" s="177"/>
      <c r="M1355" s="177"/>
      <c r="N1355" s="70"/>
      <c r="O1355" s="38"/>
      <c r="P1355" s="38"/>
      <c r="Q1355" s="760"/>
      <c r="R1355" s="590"/>
      <c r="S1355" s="38"/>
      <c r="T1355" s="38"/>
      <c r="U1355" s="38"/>
      <c r="V1355" s="37"/>
      <c r="W1355" s="39">
        <f>IF(AC1355="Intr",0,G1355*Definitions!$B$53)</f>
        <v>0</v>
      </c>
      <c r="X1355" s="39">
        <f>IF(AC1355="Intr",0,G1355*Definitions!$B$54)</f>
        <v>0</v>
      </c>
      <c r="Y1355" s="39">
        <f>IF(AC1355="Intr",G1355,G1355*Definitions!$B$55)</f>
        <v>0</v>
      </c>
      <c r="Z1355" s="39"/>
      <c r="AA1355" s="39"/>
      <c r="AB1355" s="39"/>
      <c r="AC1355" s="38"/>
      <c r="AD1355" s="38"/>
      <c r="AE1355" s="38"/>
      <c r="AF1355" s="38"/>
      <c r="AG1355" s="40"/>
      <c r="AH1355" s="38"/>
    </row>
    <row r="1356" spans="1:34" x14ac:dyDescent="0.2">
      <c r="A1356" s="38"/>
      <c r="B1356" s="38"/>
      <c r="C1356" s="38"/>
      <c r="D1356" s="38"/>
      <c r="E1356" s="177"/>
      <c r="F1356" s="177"/>
      <c r="G1356" s="269"/>
      <c r="H1356" s="179"/>
      <c r="I1356" s="177"/>
      <c r="J1356" s="177"/>
      <c r="K1356" s="177"/>
      <c r="L1356" s="177"/>
      <c r="M1356" s="177"/>
      <c r="N1356" s="70"/>
      <c r="O1356" s="38"/>
      <c r="P1356" s="38"/>
      <c r="Q1356" s="760"/>
      <c r="R1356" s="590"/>
      <c r="S1356" s="38"/>
      <c r="T1356" s="38"/>
      <c r="U1356" s="38"/>
      <c r="V1356" s="37"/>
      <c r="W1356" s="39">
        <f>IF(AC1356="Intr",0,G1356*Definitions!$B$53)</f>
        <v>0</v>
      </c>
      <c r="X1356" s="39">
        <f>IF(AC1356="Intr",0,G1356*Definitions!$B$54)</f>
        <v>0</v>
      </c>
      <c r="Y1356" s="39">
        <f>IF(AC1356="Intr",G1356,G1356*Definitions!$B$55)</f>
        <v>0</v>
      </c>
      <c r="Z1356" s="39"/>
      <c r="AA1356" s="39"/>
      <c r="AB1356" s="39"/>
      <c r="AC1356" s="38"/>
      <c r="AD1356" s="38"/>
      <c r="AE1356" s="38"/>
      <c r="AF1356" s="38"/>
      <c r="AG1356" s="40"/>
      <c r="AH1356" s="38"/>
    </row>
    <row r="1357" spans="1:34" x14ac:dyDescent="0.2">
      <c r="A1357" s="38"/>
      <c r="B1357" s="38"/>
      <c r="C1357" s="38"/>
      <c r="D1357" s="38"/>
      <c r="E1357" s="177"/>
      <c r="F1357" s="177"/>
      <c r="G1357" s="269"/>
      <c r="H1357" s="179"/>
      <c r="I1357" s="177"/>
      <c r="J1357" s="177"/>
      <c r="K1357" s="177"/>
      <c r="L1357" s="177"/>
      <c r="M1357" s="177"/>
      <c r="N1357" s="70"/>
      <c r="O1357" s="38"/>
      <c r="P1357" s="38"/>
      <c r="Q1357" s="760"/>
      <c r="R1357" s="590"/>
      <c r="S1357" s="38"/>
      <c r="T1357" s="38"/>
      <c r="U1357" s="38"/>
      <c r="V1357" s="37"/>
      <c r="W1357" s="39">
        <f>IF(AC1357="Intr",0,G1357*Definitions!$B$53)</f>
        <v>0</v>
      </c>
      <c r="X1357" s="39">
        <f>IF(AC1357="Intr",0,G1357*Definitions!$B$54)</f>
        <v>0</v>
      </c>
      <c r="Y1357" s="39">
        <f>IF(AC1357="Intr",G1357,G1357*Definitions!$B$55)</f>
        <v>0</v>
      </c>
      <c r="Z1357" s="39"/>
      <c r="AA1357" s="39"/>
      <c r="AB1357" s="39"/>
      <c r="AC1357" s="38"/>
      <c r="AD1357" s="38"/>
      <c r="AE1357" s="38"/>
      <c r="AF1357" s="38"/>
      <c r="AG1357" s="40"/>
      <c r="AH1357" s="38"/>
    </row>
    <row r="1358" spans="1:34" x14ac:dyDescent="0.2">
      <c r="A1358" s="38"/>
      <c r="B1358" s="38"/>
      <c r="C1358" s="38"/>
      <c r="D1358" s="38"/>
      <c r="E1358" s="177"/>
      <c r="F1358" s="177"/>
      <c r="G1358" s="269"/>
      <c r="H1358" s="179"/>
      <c r="I1358" s="177"/>
      <c r="J1358" s="177"/>
      <c r="K1358" s="177"/>
      <c r="L1358" s="177"/>
      <c r="M1358" s="177"/>
      <c r="N1358" s="70"/>
      <c r="O1358" s="38"/>
      <c r="P1358" s="38"/>
      <c r="Q1358" s="760"/>
      <c r="R1358" s="590"/>
      <c r="S1358" s="38"/>
      <c r="T1358" s="38"/>
      <c r="U1358" s="38"/>
      <c r="V1358" s="37"/>
      <c r="W1358" s="39">
        <f>IF(AC1358="Intr",0,G1358*Definitions!$B$53)</f>
        <v>0</v>
      </c>
      <c r="X1358" s="39">
        <f>IF(AC1358="Intr",0,G1358*Definitions!$B$54)</f>
        <v>0</v>
      </c>
      <c r="Y1358" s="39">
        <f>IF(AC1358="Intr",G1358,G1358*Definitions!$B$55)</f>
        <v>0</v>
      </c>
      <c r="Z1358" s="39"/>
      <c r="AA1358" s="39"/>
      <c r="AB1358" s="39"/>
      <c r="AC1358" s="38"/>
      <c r="AD1358" s="38"/>
      <c r="AE1358" s="38"/>
      <c r="AF1358" s="38"/>
      <c r="AG1358" s="40"/>
      <c r="AH1358" s="38"/>
    </row>
    <row r="1359" spans="1:34" x14ac:dyDescent="0.2">
      <c r="A1359" s="38"/>
      <c r="B1359" s="38"/>
      <c r="C1359" s="38"/>
      <c r="D1359" s="38"/>
      <c r="E1359" s="177"/>
      <c r="F1359" s="177"/>
      <c r="G1359" s="269"/>
      <c r="H1359" s="179"/>
      <c r="I1359" s="177"/>
      <c r="J1359" s="177"/>
      <c r="K1359" s="177"/>
      <c r="L1359" s="177"/>
      <c r="M1359" s="177"/>
      <c r="N1359" s="70"/>
      <c r="O1359" s="38"/>
      <c r="P1359" s="38"/>
      <c r="Q1359" s="760"/>
      <c r="R1359" s="590"/>
      <c r="S1359" s="38"/>
      <c r="T1359" s="38"/>
      <c r="U1359" s="38"/>
      <c r="V1359" s="37"/>
      <c r="W1359" s="39">
        <f>IF(AC1359="Intr",0,G1359*Definitions!$B$53)</f>
        <v>0</v>
      </c>
      <c r="X1359" s="39">
        <f>IF(AC1359="Intr",0,G1359*Definitions!$B$54)</f>
        <v>0</v>
      </c>
      <c r="Y1359" s="39">
        <f>IF(AC1359="Intr",G1359,G1359*Definitions!$B$55)</f>
        <v>0</v>
      </c>
      <c r="Z1359" s="39"/>
      <c r="AA1359" s="39"/>
      <c r="AB1359" s="39"/>
      <c r="AC1359" s="38"/>
      <c r="AD1359" s="38"/>
      <c r="AE1359" s="38"/>
      <c r="AF1359" s="38"/>
      <c r="AG1359" s="40"/>
      <c r="AH1359" s="38"/>
    </row>
    <row r="1360" spans="1:34" x14ac:dyDescent="0.2">
      <c r="A1360" s="38"/>
      <c r="B1360" s="38"/>
      <c r="C1360" s="38"/>
      <c r="D1360" s="38"/>
      <c r="E1360" s="177"/>
      <c r="F1360" s="177"/>
      <c r="G1360" s="269"/>
      <c r="H1360" s="179"/>
      <c r="I1360" s="177"/>
      <c r="J1360" s="177"/>
      <c r="K1360" s="177"/>
      <c r="L1360" s="177"/>
      <c r="M1360" s="177"/>
      <c r="N1360" s="70"/>
      <c r="O1360" s="38"/>
      <c r="P1360" s="38"/>
      <c r="Q1360" s="760"/>
      <c r="R1360" s="590"/>
      <c r="S1360" s="38"/>
      <c r="T1360" s="38"/>
      <c r="U1360" s="38"/>
      <c r="V1360" s="37"/>
      <c r="W1360" s="39">
        <f>IF(AC1360="Intr",0,G1360*Definitions!$B$53)</f>
        <v>0</v>
      </c>
      <c r="X1360" s="39">
        <f>IF(AC1360="Intr",0,G1360*Definitions!$B$54)</f>
        <v>0</v>
      </c>
      <c r="Y1360" s="39">
        <f>IF(AC1360="Intr",G1360,G1360*Definitions!$B$55)</f>
        <v>0</v>
      </c>
      <c r="Z1360" s="39"/>
      <c r="AA1360" s="39"/>
      <c r="AB1360" s="39"/>
      <c r="AC1360" s="38"/>
      <c r="AD1360" s="38"/>
      <c r="AE1360" s="38"/>
      <c r="AF1360" s="38"/>
      <c r="AG1360" s="40"/>
      <c r="AH1360" s="38"/>
    </row>
    <row r="1361" spans="1:34" x14ac:dyDescent="0.2">
      <c r="A1361" s="38"/>
      <c r="B1361" s="38"/>
      <c r="C1361" s="38"/>
      <c r="D1361" s="38"/>
      <c r="E1361" s="177"/>
      <c r="F1361" s="177"/>
      <c r="G1361" s="269"/>
      <c r="H1361" s="179"/>
      <c r="I1361" s="177"/>
      <c r="J1361" s="177"/>
      <c r="K1361" s="177"/>
      <c r="L1361" s="177"/>
      <c r="M1361" s="177"/>
      <c r="N1361" s="70"/>
      <c r="O1361" s="38"/>
      <c r="P1361" s="38"/>
      <c r="Q1361" s="760"/>
      <c r="R1361" s="590"/>
      <c r="S1361" s="38"/>
      <c r="T1361" s="38"/>
      <c r="U1361" s="38"/>
      <c r="V1361" s="37"/>
      <c r="W1361" s="39">
        <f>IF(AC1361="Intr",0,G1361*Definitions!$B$53)</f>
        <v>0</v>
      </c>
      <c r="X1361" s="39">
        <f>IF(AC1361="Intr",0,G1361*Definitions!$B$54)</f>
        <v>0</v>
      </c>
      <c r="Y1361" s="39">
        <f>IF(AC1361="Intr",G1361,G1361*Definitions!$B$55)</f>
        <v>0</v>
      </c>
      <c r="Z1361" s="39"/>
      <c r="AA1361" s="39"/>
      <c r="AB1361" s="39"/>
      <c r="AC1361" s="38"/>
      <c r="AD1361" s="38"/>
      <c r="AE1361" s="38"/>
      <c r="AF1361" s="38"/>
      <c r="AG1361" s="40"/>
      <c r="AH1361" s="38"/>
    </row>
    <row r="1362" spans="1:34" x14ac:dyDescent="0.2">
      <c r="A1362" s="38"/>
      <c r="B1362" s="38"/>
      <c r="C1362" s="38"/>
      <c r="D1362" s="38"/>
      <c r="E1362" s="177"/>
      <c r="F1362" s="177"/>
      <c r="G1362" s="269"/>
      <c r="H1362" s="179"/>
      <c r="I1362" s="177"/>
      <c r="J1362" s="177"/>
      <c r="K1362" s="177"/>
      <c r="L1362" s="177"/>
      <c r="M1362" s="177"/>
      <c r="N1362" s="70"/>
      <c r="O1362" s="38"/>
      <c r="P1362" s="38"/>
      <c r="Q1362" s="760"/>
      <c r="R1362" s="590"/>
      <c r="S1362" s="38"/>
      <c r="T1362" s="38"/>
      <c r="U1362" s="38"/>
      <c r="V1362" s="37"/>
      <c r="W1362" s="39">
        <f>IF(AC1362="Intr",0,G1362*Definitions!$B$53)</f>
        <v>0</v>
      </c>
      <c r="X1362" s="39">
        <f>IF(AC1362="Intr",0,G1362*Definitions!$B$54)</f>
        <v>0</v>
      </c>
      <c r="Y1362" s="39">
        <f>IF(AC1362="Intr",G1362,G1362*Definitions!$B$55)</f>
        <v>0</v>
      </c>
      <c r="Z1362" s="39"/>
      <c r="AA1362" s="39"/>
      <c r="AB1362" s="39"/>
      <c r="AC1362" s="38"/>
      <c r="AD1362" s="38"/>
      <c r="AE1362" s="38"/>
      <c r="AF1362" s="38"/>
      <c r="AG1362" s="40"/>
      <c r="AH1362" s="38"/>
    </row>
    <row r="1363" spans="1:34" x14ac:dyDescent="0.2">
      <c r="A1363" s="38"/>
      <c r="B1363" s="38"/>
      <c r="C1363" s="38"/>
      <c r="D1363" s="38"/>
      <c r="E1363" s="177"/>
      <c r="F1363" s="177"/>
      <c r="G1363" s="269"/>
      <c r="H1363" s="179"/>
      <c r="I1363" s="177"/>
      <c r="J1363" s="177"/>
      <c r="K1363" s="177"/>
      <c r="L1363" s="177"/>
      <c r="M1363" s="177"/>
      <c r="N1363" s="70"/>
      <c r="O1363" s="38"/>
      <c r="P1363" s="38"/>
      <c r="Q1363" s="760"/>
      <c r="R1363" s="590"/>
      <c r="S1363" s="38"/>
      <c r="T1363" s="38"/>
      <c r="U1363" s="38"/>
      <c r="V1363" s="37"/>
      <c r="W1363" s="39">
        <f>IF(AC1363="Intr",0,G1363*Definitions!$B$53)</f>
        <v>0</v>
      </c>
      <c r="X1363" s="39">
        <f>IF(AC1363="Intr",0,G1363*Definitions!$B$54)</f>
        <v>0</v>
      </c>
      <c r="Y1363" s="39">
        <f>IF(AC1363="Intr",G1363,G1363*Definitions!$B$55)</f>
        <v>0</v>
      </c>
      <c r="Z1363" s="39"/>
      <c r="AA1363" s="39"/>
      <c r="AB1363" s="39"/>
      <c r="AC1363" s="38"/>
      <c r="AD1363" s="38"/>
      <c r="AE1363" s="38"/>
      <c r="AF1363" s="38"/>
      <c r="AG1363" s="40"/>
      <c r="AH1363" s="38"/>
    </row>
    <row r="1364" spans="1:34" x14ac:dyDescent="0.2">
      <c r="A1364" s="38"/>
      <c r="B1364" s="38"/>
      <c r="C1364" s="38"/>
      <c r="D1364" s="38"/>
      <c r="E1364" s="177"/>
      <c r="F1364" s="177"/>
      <c r="G1364" s="269"/>
      <c r="H1364" s="179"/>
      <c r="I1364" s="177"/>
      <c r="J1364" s="177"/>
      <c r="K1364" s="177"/>
      <c r="L1364" s="177"/>
      <c r="M1364" s="177"/>
      <c r="N1364" s="70"/>
      <c r="O1364" s="38"/>
      <c r="P1364" s="38"/>
      <c r="Q1364" s="760"/>
      <c r="R1364" s="590"/>
      <c r="S1364" s="38"/>
      <c r="T1364" s="38"/>
      <c r="U1364" s="38"/>
      <c r="V1364" s="37"/>
      <c r="W1364" s="39">
        <f>IF(AC1364="Intr",0,G1364*Definitions!$B$53)</f>
        <v>0</v>
      </c>
      <c r="X1364" s="39">
        <f>IF(AC1364="Intr",0,G1364*Definitions!$B$54)</f>
        <v>0</v>
      </c>
      <c r="Y1364" s="39">
        <f>IF(AC1364="Intr",G1364,G1364*Definitions!$B$55)</f>
        <v>0</v>
      </c>
      <c r="Z1364" s="39"/>
      <c r="AA1364" s="39"/>
      <c r="AB1364" s="39"/>
      <c r="AC1364" s="38"/>
      <c r="AD1364" s="38"/>
      <c r="AE1364" s="38"/>
      <c r="AF1364" s="38"/>
      <c r="AG1364" s="40"/>
      <c r="AH1364" s="38"/>
    </row>
    <row r="1365" spans="1:34" x14ac:dyDescent="0.2">
      <c r="A1365" s="38"/>
      <c r="B1365" s="38"/>
      <c r="C1365" s="38"/>
      <c r="D1365" s="38"/>
      <c r="E1365" s="177"/>
      <c r="F1365" s="177"/>
      <c r="G1365" s="269"/>
      <c r="H1365" s="179"/>
      <c r="I1365" s="177"/>
      <c r="J1365" s="177"/>
      <c r="K1365" s="177"/>
      <c r="L1365" s="177"/>
      <c r="M1365" s="177"/>
      <c r="N1365" s="70"/>
      <c r="O1365" s="38"/>
      <c r="P1365" s="38"/>
      <c r="Q1365" s="760"/>
      <c r="R1365" s="590"/>
      <c r="S1365" s="38"/>
      <c r="T1365" s="38"/>
      <c r="U1365" s="38"/>
      <c r="V1365" s="37"/>
      <c r="W1365" s="39">
        <f>IF(AC1365="Intr",0,G1365*Definitions!$B$53)</f>
        <v>0</v>
      </c>
      <c r="X1365" s="39">
        <f>IF(AC1365="Intr",0,G1365*Definitions!$B$54)</f>
        <v>0</v>
      </c>
      <c r="Y1365" s="39">
        <f>IF(AC1365="Intr",G1365,G1365*Definitions!$B$55)</f>
        <v>0</v>
      </c>
      <c r="Z1365" s="39"/>
      <c r="AA1365" s="39"/>
      <c r="AB1365" s="39"/>
      <c r="AC1365" s="38"/>
      <c r="AD1365" s="38"/>
      <c r="AE1365" s="38"/>
      <c r="AF1365" s="38"/>
      <c r="AG1365" s="40"/>
      <c r="AH1365" s="38"/>
    </row>
    <row r="1366" spans="1:34" x14ac:dyDescent="0.2">
      <c r="A1366" s="38"/>
      <c r="B1366" s="38"/>
      <c r="C1366" s="38"/>
      <c r="D1366" s="38"/>
      <c r="E1366" s="177"/>
      <c r="F1366" s="177"/>
      <c r="G1366" s="269"/>
      <c r="H1366" s="179"/>
      <c r="I1366" s="177"/>
      <c r="J1366" s="177"/>
      <c r="K1366" s="177"/>
      <c r="L1366" s="177"/>
      <c r="M1366" s="177"/>
      <c r="N1366" s="70"/>
      <c r="O1366" s="38"/>
      <c r="P1366" s="38"/>
      <c r="Q1366" s="760"/>
      <c r="R1366" s="590"/>
      <c r="S1366" s="38"/>
      <c r="T1366" s="38"/>
      <c r="U1366" s="38"/>
      <c r="V1366" s="37"/>
      <c r="W1366" s="39">
        <f>IF(AC1366="Intr",0,G1366*Definitions!$B$53)</f>
        <v>0</v>
      </c>
      <c r="X1366" s="39">
        <f>IF(AC1366="Intr",0,G1366*Definitions!$B$54)</f>
        <v>0</v>
      </c>
      <c r="Y1366" s="39">
        <f>IF(AC1366="Intr",G1366,G1366*Definitions!$B$55)</f>
        <v>0</v>
      </c>
      <c r="Z1366" s="39"/>
      <c r="AA1366" s="39"/>
      <c r="AB1366" s="39"/>
      <c r="AC1366" s="38"/>
      <c r="AD1366" s="38"/>
      <c r="AE1366" s="38"/>
      <c r="AF1366" s="38"/>
      <c r="AG1366" s="40"/>
      <c r="AH1366" s="38"/>
    </row>
    <row r="1367" spans="1:34" x14ac:dyDescent="0.2">
      <c r="A1367" s="38"/>
      <c r="B1367" s="38"/>
      <c r="C1367" s="38"/>
      <c r="D1367" s="38"/>
      <c r="E1367" s="177"/>
      <c r="F1367" s="177"/>
      <c r="G1367" s="269"/>
      <c r="H1367" s="179"/>
      <c r="I1367" s="177"/>
      <c r="J1367" s="177"/>
      <c r="K1367" s="177"/>
      <c r="L1367" s="177"/>
      <c r="M1367" s="177"/>
      <c r="N1367" s="70"/>
      <c r="O1367" s="38"/>
      <c r="P1367" s="38"/>
      <c r="Q1367" s="760"/>
      <c r="R1367" s="590"/>
      <c r="S1367" s="38"/>
      <c r="T1367" s="38"/>
      <c r="U1367" s="38"/>
      <c r="V1367" s="37"/>
      <c r="W1367" s="39">
        <f>IF(AC1367="Intr",0,G1367*Definitions!$B$53)</f>
        <v>0</v>
      </c>
      <c r="X1367" s="39">
        <f>IF(AC1367="Intr",0,G1367*Definitions!$B$54)</f>
        <v>0</v>
      </c>
      <c r="Y1367" s="39">
        <f>IF(AC1367="Intr",G1367,G1367*Definitions!$B$55)</f>
        <v>0</v>
      </c>
      <c r="Z1367" s="39"/>
      <c r="AA1367" s="39"/>
      <c r="AB1367" s="39"/>
      <c r="AC1367" s="38"/>
      <c r="AD1367" s="38"/>
      <c r="AE1367" s="38"/>
      <c r="AF1367" s="38"/>
      <c r="AG1367" s="40"/>
      <c r="AH1367" s="38"/>
    </row>
    <row r="1368" spans="1:34" x14ac:dyDescent="0.2">
      <c r="A1368" s="38"/>
      <c r="B1368" s="38"/>
      <c r="C1368" s="38"/>
      <c r="D1368" s="38"/>
      <c r="E1368" s="177"/>
      <c r="F1368" s="177"/>
      <c r="G1368" s="269"/>
      <c r="H1368" s="179"/>
      <c r="I1368" s="177"/>
      <c r="J1368" s="177"/>
      <c r="K1368" s="177"/>
      <c r="L1368" s="177"/>
      <c r="M1368" s="177"/>
      <c r="N1368" s="70"/>
      <c r="O1368" s="38"/>
      <c r="P1368" s="38"/>
      <c r="Q1368" s="760"/>
      <c r="R1368" s="590"/>
      <c r="S1368" s="38"/>
      <c r="T1368" s="38"/>
      <c r="U1368" s="38"/>
      <c r="V1368" s="37"/>
      <c r="W1368" s="39">
        <f>IF(AC1368="Intr",0,G1368*Definitions!$B$53)</f>
        <v>0</v>
      </c>
      <c r="X1368" s="39">
        <f>IF(AC1368="Intr",0,G1368*Definitions!$B$54)</f>
        <v>0</v>
      </c>
      <c r="Y1368" s="39">
        <f>IF(AC1368="Intr",G1368,G1368*Definitions!$B$55)</f>
        <v>0</v>
      </c>
      <c r="Z1368" s="39"/>
      <c r="AA1368" s="39"/>
      <c r="AB1368" s="39"/>
      <c r="AC1368" s="38"/>
      <c r="AD1368" s="38"/>
      <c r="AE1368" s="38"/>
      <c r="AF1368" s="38"/>
      <c r="AG1368" s="40"/>
      <c r="AH1368" s="38"/>
    </row>
    <row r="1369" spans="1:34" x14ac:dyDescent="0.2">
      <c r="A1369" s="38"/>
      <c r="B1369" s="38"/>
      <c r="C1369" s="38"/>
      <c r="D1369" s="38"/>
      <c r="E1369" s="177"/>
      <c r="F1369" s="177"/>
      <c r="G1369" s="269"/>
      <c r="H1369" s="179"/>
      <c r="I1369" s="177"/>
      <c r="J1369" s="177"/>
      <c r="K1369" s="177"/>
      <c r="L1369" s="177"/>
      <c r="M1369" s="177"/>
      <c r="N1369" s="70"/>
      <c r="O1369" s="38"/>
      <c r="P1369" s="38"/>
      <c r="Q1369" s="760"/>
      <c r="R1369" s="590"/>
      <c r="S1369" s="38"/>
      <c r="T1369" s="38"/>
      <c r="U1369" s="38"/>
      <c r="V1369" s="37"/>
      <c r="W1369" s="39">
        <f>IF(AC1369="Intr",0,G1369*Definitions!$B$53)</f>
        <v>0</v>
      </c>
      <c r="X1369" s="39">
        <f>IF(AC1369="Intr",0,G1369*Definitions!$B$54)</f>
        <v>0</v>
      </c>
      <c r="Y1369" s="39">
        <f>IF(AC1369="Intr",G1369,G1369*Definitions!$B$55)</f>
        <v>0</v>
      </c>
      <c r="Z1369" s="39"/>
      <c r="AA1369" s="39"/>
      <c r="AB1369" s="39"/>
      <c r="AC1369" s="38"/>
      <c r="AD1369" s="38"/>
      <c r="AE1369" s="38"/>
      <c r="AF1369" s="38"/>
      <c r="AG1369" s="40"/>
      <c r="AH1369" s="38"/>
    </row>
    <row r="1370" spans="1:34" x14ac:dyDescent="0.2">
      <c r="A1370" s="38"/>
      <c r="B1370" s="38"/>
      <c r="C1370" s="38"/>
      <c r="D1370" s="38"/>
      <c r="E1370" s="177"/>
      <c r="F1370" s="177"/>
      <c r="G1370" s="269"/>
      <c r="H1370" s="179"/>
      <c r="I1370" s="177"/>
      <c r="J1370" s="177"/>
      <c r="K1370" s="177"/>
      <c r="L1370" s="177"/>
      <c r="M1370" s="177"/>
      <c r="N1370" s="70"/>
      <c r="O1370" s="38"/>
      <c r="P1370" s="38"/>
      <c r="Q1370" s="760"/>
      <c r="R1370" s="590"/>
      <c r="S1370" s="38"/>
      <c r="T1370" s="38"/>
      <c r="U1370" s="38"/>
      <c r="V1370" s="37"/>
      <c r="W1370" s="39">
        <f>IF(AC1370="Intr",0,G1370*Definitions!$B$53)</f>
        <v>0</v>
      </c>
      <c r="X1370" s="39">
        <f>IF(AC1370="Intr",0,G1370*Definitions!$B$54)</f>
        <v>0</v>
      </c>
      <c r="Y1370" s="39">
        <f>IF(AC1370="Intr",G1370,G1370*Definitions!$B$55)</f>
        <v>0</v>
      </c>
      <c r="Z1370" s="39"/>
      <c r="AA1370" s="39"/>
      <c r="AB1370" s="39"/>
      <c r="AC1370" s="38"/>
      <c r="AD1370" s="38"/>
      <c r="AE1370" s="38"/>
      <c r="AF1370" s="38"/>
      <c r="AG1370" s="40"/>
      <c r="AH1370" s="38"/>
    </row>
    <row r="1371" spans="1:34" x14ac:dyDescent="0.2">
      <c r="A1371" s="38"/>
      <c r="B1371" s="38"/>
      <c r="C1371" s="38"/>
      <c r="D1371" s="38"/>
      <c r="E1371" s="177"/>
      <c r="F1371" s="177"/>
      <c r="G1371" s="269"/>
      <c r="H1371" s="179"/>
      <c r="I1371" s="177"/>
      <c r="J1371" s="177"/>
      <c r="K1371" s="177"/>
      <c r="L1371" s="177"/>
      <c r="M1371" s="177"/>
      <c r="N1371" s="70"/>
      <c r="O1371" s="38"/>
      <c r="P1371" s="38"/>
      <c r="Q1371" s="760"/>
      <c r="R1371" s="590"/>
      <c r="S1371" s="38"/>
      <c r="T1371" s="38"/>
      <c r="U1371" s="38"/>
      <c r="V1371" s="37"/>
      <c r="W1371" s="39">
        <f>IF(AC1371="Intr",0,G1371*Definitions!$B$53)</f>
        <v>0</v>
      </c>
      <c r="X1371" s="39">
        <f>IF(AC1371="Intr",0,G1371*Definitions!$B$54)</f>
        <v>0</v>
      </c>
      <c r="Y1371" s="39">
        <f>IF(AC1371="Intr",G1371,G1371*Definitions!$B$55)</f>
        <v>0</v>
      </c>
      <c r="Z1371" s="39"/>
      <c r="AA1371" s="39"/>
      <c r="AB1371" s="39"/>
      <c r="AC1371" s="38"/>
      <c r="AD1371" s="38"/>
      <c r="AE1371" s="38"/>
      <c r="AF1371" s="38"/>
      <c r="AG1371" s="40"/>
      <c r="AH1371" s="38"/>
    </row>
    <row r="1372" spans="1:34" x14ac:dyDescent="0.2">
      <c r="A1372" s="38"/>
      <c r="B1372" s="38"/>
      <c r="C1372" s="38"/>
      <c r="D1372" s="38"/>
      <c r="E1372" s="177"/>
      <c r="F1372" s="177"/>
      <c r="G1372" s="269"/>
      <c r="H1372" s="179"/>
      <c r="I1372" s="177"/>
      <c r="J1372" s="177"/>
      <c r="K1372" s="177"/>
      <c r="L1372" s="177"/>
      <c r="M1372" s="177"/>
      <c r="N1372" s="70"/>
      <c r="O1372" s="38"/>
      <c r="P1372" s="38"/>
      <c r="Q1372" s="760"/>
      <c r="R1372" s="590"/>
      <c r="S1372" s="38"/>
      <c r="T1372" s="38"/>
      <c r="U1372" s="38"/>
      <c r="V1372" s="37"/>
      <c r="W1372" s="39">
        <f>IF(AC1372="Intr",0,G1372*Definitions!$B$53)</f>
        <v>0</v>
      </c>
      <c r="X1372" s="39">
        <f>IF(AC1372="Intr",0,G1372*Definitions!$B$54)</f>
        <v>0</v>
      </c>
      <c r="Y1372" s="39">
        <f>IF(AC1372="Intr",G1372,G1372*Definitions!$B$55)</f>
        <v>0</v>
      </c>
      <c r="Z1372" s="39"/>
      <c r="AA1372" s="39"/>
      <c r="AB1372" s="39"/>
      <c r="AC1372" s="38"/>
      <c r="AD1372" s="38"/>
      <c r="AE1372" s="38"/>
      <c r="AF1372" s="38"/>
      <c r="AG1372" s="40"/>
      <c r="AH1372" s="38"/>
    </row>
    <row r="1373" spans="1:34" x14ac:dyDescent="0.2">
      <c r="A1373" s="38"/>
      <c r="B1373" s="38"/>
      <c r="C1373" s="38"/>
      <c r="D1373" s="38"/>
      <c r="E1373" s="177"/>
      <c r="F1373" s="177"/>
      <c r="G1373" s="269"/>
      <c r="H1373" s="179"/>
      <c r="I1373" s="177"/>
      <c r="J1373" s="177"/>
      <c r="K1373" s="177"/>
      <c r="L1373" s="177"/>
      <c r="M1373" s="177"/>
      <c r="N1373" s="70"/>
      <c r="O1373" s="38"/>
      <c r="P1373" s="38"/>
      <c r="Q1373" s="760"/>
      <c r="R1373" s="590"/>
      <c r="S1373" s="38"/>
      <c r="T1373" s="38"/>
      <c r="U1373" s="38"/>
      <c r="V1373" s="37"/>
      <c r="W1373" s="39">
        <f>IF(AC1373="Intr",0,G1373*Definitions!$B$53)</f>
        <v>0</v>
      </c>
      <c r="X1373" s="39">
        <f>IF(AC1373="Intr",0,G1373*Definitions!$B$54)</f>
        <v>0</v>
      </c>
      <c r="Y1373" s="39">
        <f>IF(AC1373="Intr",G1373,G1373*Definitions!$B$55)</f>
        <v>0</v>
      </c>
      <c r="Z1373" s="39"/>
      <c r="AA1373" s="39"/>
      <c r="AB1373" s="39"/>
      <c r="AC1373" s="38"/>
      <c r="AD1373" s="38"/>
      <c r="AE1373" s="38"/>
      <c r="AF1373" s="38"/>
      <c r="AG1373" s="40"/>
      <c r="AH1373" s="38"/>
    </row>
    <row r="1374" spans="1:34" x14ac:dyDescent="0.2">
      <c r="A1374" s="38"/>
      <c r="B1374" s="38"/>
      <c r="C1374" s="38"/>
      <c r="D1374" s="38"/>
      <c r="E1374" s="177"/>
      <c r="F1374" s="177"/>
      <c r="G1374" s="269"/>
      <c r="H1374" s="179"/>
      <c r="I1374" s="177"/>
      <c r="J1374" s="177"/>
      <c r="K1374" s="177"/>
      <c r="L1374" s="177"/>
      <c r="M1374" s="177"/>
      <c r="N1374" s="70"/>
      <c r="O1374" s="38"/>
      <c r="P1374" s="38"/>
      <c r="Q1374" s="760"/>
      <c r="R1374" s="590"/>
      <c r="S1374" s="38"/>
      <c r="T1374" s="38"/>
      <c r="U1374" s="38"/>
      <c r="V1374" s="37"/>
      <c r="W1374" s="39">
        <f>IF(AC1374="Intr",0,G1374*Definitions!$B$53)</f>
        <v>0</v>
      </c>
      <c r="X1374" s="39">
        <f>IF(AC1374="Intr",0,G1374*Definitions!$B$54)</f>
        <v>0</v>
      </c>
      <c r="Y1374" s="39">
        <f>IF(AC1374="Intr",G1374,G1374*Definitions!$B$55)</f>
        <v>0</v>
      </c>
      <c r="Z1374" s="39"/>
      <c r="AA1374" s="39"/>
      <c r="AB1374" s="39"/>
      <c r="AC1374" s="38"/>
      <c r="AD1374" s="38"/>
      <c r="AE1374" s="38"/>
      <c r="AF1374" s="38"/>
      <c r="AG1374" s="40"/>
      <c r="AH1374" s="38"/>
    </row>
    <row r="1375" spans="1:34" x14ac:dyDescent="0.2">
      <c r="A1375" s="38"/>
      <c r="B1375" s="38"/>
      <c r="C1375" s="38"/>
      <c r="D1375" s="38"/>
      <c r="E1375" s="177"/>
      <c r="F1375" s="177"/>
      <c r="G1375" s="269"/>
      <c r="H1375" s="179"/>
      <c r="I1375" s="177"/>
      <c r="J1375" s="177"/>
      <c r="K1375" s="177"/>
      <c r="L1375" s="177"/>
      <c r="M1375" s="177"/>
      <c r="N1375" s="70"/>
      <c r="O1375" s="38"/>
      <c r="P1375" s="38"/>
      <c r="Q1375" s="760"/>
      <c r="R1375" s="590"/>
      <c r="S1375" s="38"/>
      <c r="T1375" s="38"/>
      <c r="U1375" s="38"/>
      <c r="V1375" s="37"/>
      <c r="W1375" s="39">
        <f>IF(AC1375="Intr",0,G1375*Definitions!$B$53)</f>
        <v>0</v>
      </c>
      <c r="X1375" s="39">
        <f>IF(AC1375="Intr",0,G1375*Definitions!$B$54)</f>
        <v>0</v>
      </c>
      <c r="Y1375" s="39">
        <f>IF(AC1375="Intr",G1375,G1375*Definitions!$B$55)</f>
        <v>0</v>
      </c>
      <c r="Z1375" s="39"/>
      <c r="AA1375" s="39"/>
      <c r="AB1375" s="39"/>
      <c r="AC1375" s="38"/>
      <c r="AD1375" s="38"/>
      <c r="AE1375" s="38"/>
      <c r="AF1375" s="38"/>
      <c r="AG1375" s="40"/>
      <c r="AH1375" s="38"/>
    </row>
    <row r="1376" spans="1:34" x14ac:dyDescent="0.2">
      <c r="A1376" s="38"/>
      <c r="B1376" s="38"/>
      <c r="C1376" s="38"/>
      <c r="D1376" s="38"/>
      <c r="E1376" s="177"/>
      <c r="F1376" s="177"/>
      <c r="G1376" s="269"/>
      <c r="H1376" s="179"/>
      <c r="I1376" s="177"/>
      <c r="J1376" s="177"/>
      <c r="K1376" s="177"/>
      <c r="L1376" s="177"/>
      <c r="M1376" s="177"/>
      <c r="N1376" s="70"/>
      <c r="O1376" s="38"/>
      <c r="P1376" s="38"/>
      <c r="Q1376" s="760"/>
      <c r="R1376" s="590"/>
      <c r="S1376" s="38"/>
      <c r="T1376" s="38"/>
      <c r="U1376" s="38"/>
      <c r="V1376" s="37"/>
      <c r="W1376" s="39">
        <f>IF(AC1376="Intr",0,G1376*Definitions!$B$53)</f>
        <v>0</v>
      </c>
      <c r="X1376" s="39">
        <f>IF(AC1376="Intr",0,G1376*Definitions!$B$54)</f>
        <v>0</v>
      </c>
      <c r="Y1376" s="39">
        <f>IF(AC1376="Intr",G1376,G1376*Definitions!$B$55)</f>
        <v>0</v>
      </c>
      <c r="Z1376" s="39"/>
      <c r="AA1376" s="39"/>
      <c r="AB1376" s="39"/>
      <c r="AC1376" s="38"/>
      <c r="AD1376" s="38"/>
      <c r="AE1376" s="38"/>
      <c r="AF1376" s="38"/>
      <c r="AG1376" s="40"/>
      <c r="AH1376" s="38"/>
    </row>
    <row r="1377" spans="1:34" x14ac:dyDescent="0.2">
      <c r="A1377" s="38"/>
      <c r="B1377" s="38"/>
      <c r="C1377" s="38"/>
      <c r="D1377" s="38"/>
      <c r="E1377" s="177"/>
      <c r="F1377" s="177"/>
      <c r="G1377" s="269"/>
      <c r="H1377" s="179"/>
      <c r="I1377" s="177"/>
      <c r="J1377" s="177"/>
      <c r="K1377" s="177"/>
      <c r="L1377" s="177"/>
      <c r="M1377" s="177"/>
      <c r="N1377" s="70"/>
      <c r="O1377" s="38"/>
      <c r="P1377" s="38"/>
      <c r="Q1377" s="760"/>
      <c r="R1377" s="590"/>
      <c r="S1377" s="38"/>
      <c r="T1377" s="38"/>
      <c r="U1377" s="38"/>
      <c r="V1377" s="37"/>
      <c r="W1377" s="39">
        <f>IF(AC1377="Intr",0,G1377*Definitions!$B$53)</f>
        <v>0</v>
      </c>
      <c r="X1377" s="39">
        <f>IF(AC1377="Intr",0,G1377*Definitions!$B$54)</f>
        <v>0</v>
      </c>
      <c r="Y1377" s="39">
        <f>IF(AC1377="Intr",G1377,G1377*Definitions!$B$55)</f>
        <v>0</v>
      </c>
      <c r="Z1377" s="39"/>
      <c r="AA1377" s="39"/>
      <c r="AB1377" s="39"/>
      <c r="AC1377" s="38"/>
      <c r="AD1377" s="38"/>
      <c r="AE1377" s="38"/>
      <c r="AF1377" s="38"/>
      <c r="AG1377" s="40"/>
      <c r="AH1377" s="38"/>
    </row>
    <row r="1378" spans="1:34" x14ac:dyDescent="0.2">
      <c r="A1378" s="38"/>
      <c r="B1378" s="38"/>
      <c r="C1378" s="38"/>
      <c r="D1378" s="38"/>
      <c r="E1378" s="177"/>
      <c r="F1378" s="177"/>
      <c r="G1378" s="269"/>
      <c r="H1378" s="179"/>
      <c r="I1378" s="177"/>
      <c r="J1378" s="177"/>
      <c r="K1378" s="177"/>
      <c r="L1378" s="177"/>
      <c r="M1378" s="177"/>
      <c r="N1378" s="70"/>
      <c r="O1378" s="38"/>
      <c r="P1378" s="38"/>
      <c r="Q1378" s="760"/>
      <c r="R1378" s="590"/>
      <c r="S1378" s="38"/>
      <c r="T1378" s="38"/>
      <c r="U1378" s="38"/>
      <c r="V1378" s="37"/>
      <c r="W1378" s="39">
        <f>IF(AC1378="Intr",0,G1378*Definitions!$B$53)</f>
        <v>0</v>
      </c>
      <c r="X1378" s="39">
        <f>IF(AC1378="Intr",0,G1378*Definitions!$B$54)</f>
        <v>0</v>
      </c>
      <c r="Y1378" s="39">
        <f>IF(AC1378="Intr",G1378,G1378*Definitions!$B$55)</f>
        <v>0</v>
      </c>
      <c r="Z1378" s="39"/>
      <c r="AA1378" s="39"/>
      <c r="AB1378" s="39"/>
      <c r="AC1378" s="38"/>
      <c r="AD1378" s="38"/>
      <c r="AE1378" s="38"/>
      <c r="AF1378" s="38"/>
      <c r="AG1378" s="40"/>
      <c r="AH1378" s="38"/>
    </row>
    <row r="1379" spans="1:34" x14ac:dyDescent="0.2">
      <c r="A1379" s="38"/>
      <c r="B1379" s="38"/>
      <c r="C1379" s="38"/>
      <c r="D1379" s="38"/>
      <c r="E1379" s="177"/>
      <c r="F1379" s="177"/>
      <c r="G1379" s="269"/>
      <c r="H1379" s="179"/>
      <c r="I1379" s="177"/>
      <c r="J1379" s="177"/>
      <c r="K1379" s="177"/>
      <c r="L1379" s="177"/>
      <c r="M1379" s="177"/>
      <c r="N1379" s="70"/>
      <c r="O1379" s="38"/>
      <c r="P1379" s="38"/>
      <c r="Q1379" s="760"/>
      <c r="R1379" s="590"/>
      <c r="S1379" s="38"/>
      <c r="T1379" s="38"/>
      <c r="U1379" s="38"/>
      <c r="V1379" s="37"/>
      <c r="W1379" s="39">
        <f>IF(AC1379="Intr",0,G1379*Definitions!$B$53)</f>
        <v>0</v>
      </c>
      <c r="X1379" s="39">
        <f>IF(AC1379="Intr",0,G1379*Definitions!$B$54)</f>
        <v>0</v>
      </c>
      <c r="Y1379" s="39">
        <f>IF(AC1379="Intr",G1379,G1379*Definitions!$B$55)</f>
        <v>0</v>
      </c>
      <c r="Z1379" s="39"/>
      <c r="AA1379" s="39"/>
      <c r="AB1379" s="39"/>
      <c r="AC1379" s="38"/>
      <c r="AD1379" s="38"/>
      <c r="AE1379" s="38"/>
      <c r="AF1379" s="38"/>
      <c r="AG1379" s="40"/>
      <c r="AH1379" s="38"/>
    </row>
    <row r="1380" spans="1:34" x14ac:dyDescent="0.2">
      <c r="A1380" s="38"/>
      <c r="B1380" s="38"/>
      <c r="C1380" s="38"/>
      <c r="D1380" s="38"/>
      <c r="E1380" s="177"/>
      <c r="F1380" s="177"/>
      <c r="G1380" s="269"/>
      <c r="H1380" s="179"/>
      <c r="I1380" s="177"/>
      <c r="J1380" s="177"/>
      <c r="K1380" s="177"/>
      <c r="L1380" s="177"/>
      <c r="M1380" s="177"/>
      <c r="N1380" s="70"/>
      <c r="O1380" s="38"/>
      <c r="P1380" s="38"/>
      <c r="Q1380" s="760"/>
      <c r="R1380" s="590"/>
      <c r="S1380" s="38"/>
      <c r="T1380" s="38"/>
      <c r="U1380" s="38"/>
      <c r="V1380" s="37"/>
      <c r="W1380" s="39">
        <f>IF(AC1380="Intr",0,G1380*Definitions!$B$53)</f>
        <v>0</v>
      </c>
      <c r="X1380" s="39">
        <f>IF(AC1380="Intr",0,G1380*Definitions!$B$54)</f>
        <v>0</v>
      </c>
      <c r="Y1380" s="39">
        <f>IF(AC1380="Intr",G1380,G1380*Definitions!$B$55)</f>
        <v>0</v>
      </c>
      <c r="Z1380" s="39"/>
      <c r="AA1380" s="39"/>
      <c r="AB1380" s="39"/>
      <c r="AC1380" s="38"/>
      <c r="AD1380" s="38"/>
      <c r="AE1380" s="38"/>
      <c r="AF1380" s="38"/>
      <c r="AG1380" s="40"/>
      <c r="AH1380" s="38"/>
    </row>
    <row r="1381" spans="1:34" x14ac:dyDescent="0.2">
      <c r="A1381" s="38"/>
      <c r="B1381" s="38"/>
      <c r="C1381" s="38"/>
      <c r="D1381" s="38"/>
      <c r="E1381" s="177"/>
      <c r="F1381" s="177"/>
      <c r="G1381" s="269"/>
      <c r="H1381" s="179"/>
      <c r="I1381" s="177"/>
      <c r="J1381" s="177"/>
      <c r="K1381" s="177"/>
      <c r="L1381" s="177"/>
      <c r="M1381" s="177"/>
      <c r="N1381" s="70"/>
      <c r="O1381" s="38"/>
      <c r="P1381" s="38"/>
      <c r="Q1381" s="760"/>
      <c r="R1381" s="590"/>
      <c r="S1381" s="38"/>
      <c r="T1381" s="38"/>
      <c r="U1381" s="38"/>
      <c r="V1381" s="37"/>
      <c r="W1381" s="39">
        <f>IF(AC1381="Intr",0,G1381*Definitions!$B$53)</f>
        <v>0</v>
      </c>
      <c r="X1381" s="39">
        <f>IF(AC1381="Intr",0,G1381*Definitions!$B$54)</f>
        <v>0</v>
      </c>
      <c r="Y1381" s="39">
        <f>IF(AC1381="Intr",G1381,G1381*Definitions!$B$55)</f>
        <v>0</v>
      </c>
      <c r="Z1381" s="39"/>
      <c r="AA1381" s="39"/>
      <c r="AB1381" s="39"/>
      <c r="AC1381" s="38"/>
      <c r="AD1381" s="38"/>
      <c r="AE1381" s="38"/>
      <c r="AF1381" s="38"/>
      <c r="AG1381" s="40"/>
      <c r="AH1381" s="38"/>
    </row>
    <row r="1382" spans="1:34" x14ac:dyDescent="0.2">
      <c r="A1382" s="38"/>
      <c r="B1382" s="38"/>
      <c r="C1382" s="38"/>
      <c r="D1382" s="38"/>
      <c r="E1382" s="177"/>
      <c r="F1382" s="177"/>
      <c r="G1382" s="269"/>
      <c r="H1382" s="179"/>
      <c r="I1382" s="177"/>
      <c r="J1382" s="177"/>
      <c r="K1382" s="177"/>
      <c r="L1382" s="177"/>
      <c r="M1382" s="177"/>
      <c r="N1382" s="70"/>
      <c r="O1382" s="38"/>
      <c r="P1382" s="38"/>
      <c r="Q1382" s="760"/>
      <c r="R1382" s="590"/>
      <c r="S1382" s="38"/>
      <c r="T1382" s="38"/>
      <c r="U1382" s="38"/>
      <c r="V1382" s="37"/>
      <c r="W1382" s="39">
        <f>IF(AC1382="Intr",0,G1382*Definitions!$B$53)</f>
        <v>0</v>
      </c>
      <c r="X1382" s="39">
        <f>IF(AC1382="Intr",0,G1382*Definitions!$B$54)</f>
        <v>0</v>
      </c>
      <c r="Y1382" s="39">
        <f>IF(AC1382="Intr",G1382,G1382*Definitions!$B$55)</f>
        <v>0</v>
      </c>
      <c r="Z1382" s="39"/>
      <c r="AA1382" s="39"/>
      <c r="AB1382" s="39"/>
      <c r="AC1382" s="38"/>
      <c r="AD1382" s="38"/>
      <c r="AE1382" s="38"/>
      <c r="AF1382" s="38"/>
      <c r="AG1382" s="40"/>
      <c r="AH1382" s="38"/>
    </row>
    <row r="1383" spans="1:34" x14ac:dyDescent="0.2">
      <c r="A1383" s="38"/>
      <c r="B1383" s="38"/>
      <c r="C1383" s="38"/>
      <c r="D1383" s="38"/>
      <c r="E1383" s="177"/>
      <c r="F1383" s="177"/>
      <c r="G1383" s="269"/>
      <c r="H1383" s="179"/>
      <c r="I1383" s="177"/>
      <c r="J1383" s="177"/>
      <c r="K1383" s="177"/>
      <c r="L1383" s="177"/>
      <c r="M1383" s="177"/>
      <c r="N1383" s="70"/>
      <c r="O1383" s="38"/>
      <c r="P1383" s="38"/>
      <c r="Q1383" s="760"/>
      <c r="R1383" s="590"/>
      <c r="S1383" s="38"/>
      <c r="T1383" s="38"/>
      <c r="U1383" s="38"/>
      <c r="V1383" s="37"/>
      <c r="W1383" s="39">
        <f>IF(AC1383="Intr",0,G1383*Definitions!$B$53)</f>
        <v>0</v>
      </c>
      <c r="X1383" s="39">
        <f>IF(AC1383="Intr",0,G1383*Definitions!$B$54)</f>
        <v>0</v>
      </c>
      <c r="Y1383" s="39">
        <f>IF(AC1383="Intr",G1383,G1383*Definitions!$B$55)</f>
        <v>0</v>
      </c>
      <c r="Z1383" s="39"/>
      <c r="AA1383" s="39"/>
      <c r="AB1383" s="39"/>
      <c r="AC1383" s="38"/>
      <c r="AD1383" s="38"/>
      <c r="AE1383" s="38"/>
      <c r="AF1383" s="38"/>
      <c r="AG1383" s="40"/>
      <c r="AH1383" s="38"/>
    </row>
    <row r="1384" spans="1:34" x14ac:dyDescent="0.2">
      <c r="A1384" s="38"/>
      <c r="B1384" s="38"/>
      <c r="C1384" s="38"/>
      <c r="D1384" s="38"/>
      <c r="E1384" s="177"/>
      <c r="F1384" s="177"/>
      <c r="G1384" s="269"/>
      <c r="H1384" s="179"/>
      <c r="I1384" s="177"/>
      <c r="J1384" s="177"/>
      <c r="K1384" s="177"/>
      <c r="L1384" s="177"/>
      <c r="M1384" s="177"/>
      <c r="N1384" s="70"/>
      <c r="O1384" s="38"/>
      <c r="P1384" s="38"/>
      <c r="Q1384" s="760"/>
      <c r="R1384" s="590"/>
      <c r="S1384" s="38"/>
      <c r="T1384" s="38"/>
      <c r="U1384" s="38"/>
      <c r="V1384" s="37"/>
      <c r="W1384" s="39">
        <f>IF(AC1384="Intr",0,G1384*Definitions!$B$53)</f>
        <v>0</v>
      </c>
      <c r="X1384" s="39">
        <f>IF(AC1384="Intr",0,G1384*Definitions!$B$54)</f>
        <v>0</v>
      </c>
      <c r="Y1384" s="39">
        <f>IF(AC1384="Intr",G1384,G1384*Definitions!$B$55)</f>
        <v>0</v>
      </c>
      <c r="Z1384" s="39"/>
      <c r="AA1384" s="39"/>
      <c r="AB1384" s="39"/>
      <c r="AC1384" s="38"/>
      <c r="AD1384" s="38"/>
      <c r="AE1384" s="38"/>
      <c r="AF1384" s="38"/>
      <c r="AG1384" s="40"/>
      <c r="AH1384" s="38"/>
    </row>
    <row r="1385" spans="1:34" x14ac:dyDescent="0.2">
      <c r="A1385" s="38"/>
      <c r="B1385" s="38"/>
      <c r="C1385" s="38"/>
      <c r="D1385" s="38"/>
      <c r="E1385" s="177"/>
      <c r="F1385" s="177"/>
      <c r="G1385" s="269"/>
      <c r="H1385" s="179"/>
      <c r="I1385" s="177"/>
      <c r="J1385" s="177"/>
      <c r="K1385" s="177"/>
      <c r="L1385" s="177"/>
      <c r="M1385" s="177"/>
      <c r="N1385" s="70"/>
      <c r="O1385" s="38"/>
      <c r="P1385" s="38"/>
      <c r="Q1385" s="760"/>
      <c r="R1385" s="590"/>
      <c r="S1385" s="38"/>
      <c r="T1385" s="38"/>
      <c r="U1385" s="38"/>
      <c r="V1385" s="37"/>
      <c r="W1385" s="39">
        <f>IF(AC1385="Intr",0,G1385*Definitions!$B$53)</f>
        <v>0</v>
      </c>
      <c r="X1385" s="39">
        <f>IF(AC1385="Intr",0,G1385*Definitions!$B$54)</f>
        <v>0</v>
      </c>
      <c r="Y1385" s="39">
        <f>IF(AC1385="Intr",G1385,G1385*Definitions!$B$55)</f>
        <v>0</v>
      </c>
      <c r="Z1385" s="39"/>
      <c r="AA1385" s="39"/>
      <c r="AB1385" s="39"/>
      <c r="AC1385" s="38"/>
      <c r="AD1385" s="38"/>
      <c r="AE1385" s="38"/>
      <c r="AF1385" s="38"/>
      <c r="AG1385" s="40"/>
      <c r="AH1385" s="38"/>
    </row>
    <row r="1386" spans="1:34" x14ac:dyDescent="0.2">
      <c r="A1386" s="38"/>
      <c r="B1386" s="38"/>
      <c r="C1386" s="38"/>
      <c r="D1386" s="38"/>
      <c r="E1386" s="177"/>
      <c r="F1386" s="177"/>
      <c r="G1386" s="269"/>
      <c r="H1386" s="179"/>
      <c r="I1386" s="177"/>
      <c r="J1386" s="177"/>
      <c r="K1386" s="177"/>
      <c r="L1386" s="177"/>
      <c r="M1386" s="177"/>
      <c r="N1386" s="70"/>
      <c r="O1386" s="38"/>
      <c r="P1386" s="38"/>
      <c r="Q1386" s="760"/>
      <c r="R1386" s="590"/>
      <c r="S1386" s="38"/>
      <c r="T1386" s="38"/>
      <c r="U1386" s="38"/>
      <c r="V1386" s="37"/>
      <c r="W1386" s="39">
        <f>IF(AC1386="Intr",0,G1386*Definitions!$B$53)</f>
        <v>0</v>
      </c>
      <c r="X1386" s="39">
        <f>IF(AC1386="Intr",0,G1386*Definitions!$B$54)</f>
        <v>0</v>
      </c>
      <c r="Y1386" s="39">
        <f>IF(AC1386="Intr",G1386,G1386*Definitions!$B$55)</f>
        <v>0</v>
      </c>
      <c r="Z1386" s="39"/>
      <c r="AA1386" s="39"/>
      <c r="AB1386" s="39"/>
      <c r="AC1386" s="38"/>
      <c r="AD1386" s="38"/>
      <c r="AE1386" s="38"/>
      <c r="AF1386" s="38"/>
      <c r="AG1386" s="40"/>
      <c r="AH1386" s="38"/>
    </row>
    <row r="1387" spans="1:34" x14ac:dyDescent="0.2">
      <c r="A1387" s="38"/>
      <c r="B1387" s="38"/>
      <c r="C1387" s="38"/>
      <c r="D1387" s="38"/>
      <c r="E1387" s="177"/>
      <c r="F1387" s="177"/>
      <c r="G1387" s="269"/>
      <c r="H1387" s="179"/>
      <c r="I1387" s="177"/>
      <c r="J1387" s="177"/>
      <c r="K1387" s="177"/>
      <c r="L1387" s="177"/>
      <c r="M1387" s="177"/>
      <c r="N1387" s="70"/>
      <c r="O1387" s="38"/>
      <c r="P1387" s="38"/>
      <c r="Q1387" s="760"/>
      <c r="R1387" s="590"/>
      <c r="S1387" s="38"/>
      <c r="T1387" s="38"/>
      <c r="U1387" s="38"/>
      <c r="V1387" s="37"/>
      <c r="W1387" s="39">
        <f>IF(AC1387="Intr",0,G1387*Definitions!$B$53)</f>
        <v>0</v>
      </c>
      <c r="X1387" s="39">
        <f>IF(AC1387="Intr",0,G1387*Definitions!$B$54)</f>
        <v>0</v>
      </c>
      <c r="Y1387" s="39">
        <f>IF(AC1387="Intr",G1387,G1387*Definitions!$B$55)</f>
        <v>0</v>
      </c>
      <c r="Z1387" s="39"/>
      <c r="AA1387" s="39"/>
      <c r="AB1387" s="39"/>
      <c r="AC1387" s="38"/>
      <c r="AD1387" s="38"/>
      <c r="AE1387" s="38"/>
      <c r="AF1387" s="38"/>
      <c r="AG1387" s="40"/>
      <c r="AH1387" s="38"/>
    </row>
    <row r="1388" spans="1:34" x14ac:dyDescent="0.2">
      <c r="A1388" s="38"/>
      <c r="B1388" s="38"/>
      <c r="C1388" s="38"/>
      <c r="D1388" s="38"/>
      <c r="E1388" s="177"/>
      <c r="F1388" s="177"/>
      <c r="G1388" s="269"/>
      <c r="H1388" s="179"/>
      <c r="I1388" s="177"/>
      <c r="J1388" s="177"/>
      <c r="K1388" s="177"/>
      <c r="L1388" s="177"/>
      <c r="M1388" s="177"/>
      <c r="N1388" s="70"/>
      <c r="O1388" s="38"/>
      <c r="P1388" s="38"/>
      <c r="Q1388" s="760"/>
      <c r="R1388" s="590"/>
      <c r="S1388" s="38"/>
      <c r="T1388" s="38"/>
      <c r="U1388" s="38"/>
      <c r="V1388" s="37"/>
      <c r="W1388" s="39">
        <f>IF(AC1388="Intr",0,G1388*Definitions!$B$53)</f>
        <v>0</v>
      </c>
      <c r="X1388" s="39">
        <f>IF(AC1388="Intr",0,G1388*Definitions!$B$54)</f>
        <v>0</v>
      </c>
      <c r="Y1388" s="39">
        <f>IF(AC1388="Intr",G1388,G1388*Definitions!$B$55)</f>
        <v>0</v>
      </c>
      <c r="Z1388" s="39"/>
      <c r="AA1388" s="39"/>
      <c r="AB1388" s="39"/>
      <c r="AC1388" s="38"/>
      <c r="AD1388" s="38"/>
      <c r="AE1388" s="38"/>
      <c r="AF1388" s="38"/>
      <c r="AG1388" s="40"/>
      <c r="AH1388" s="38"/>
    </row>
    <row r="1389" spans="1:34" x14ac:dyDescent="0.2">
      <c r="A1389" s="38"/>
      <c r="B1389" s="38"/>
      <c r="C1389" s="38"/>
      <c r="D1389" s="38"/>
      <c r="E1389" s="177"/>
      <c r="F1389" s="177"/>
      <c r="G1389" s="269"/>
      <c r="H1389" s="179"/>
      <c r="I1389" s="177"/>
      <c r="J1389" s="177"/>
      <c r="K1389" s="177"/>
      <c r="L1389" s="177"/>
      <c r="M1389" s="177"/>
      <c r="N1389" s="70"/>
      <c r="O1389" s="38"/>
      <c r="P1389" s="38"/>
      <c r="Q1389" s="760"/>
      <c r="R1389" s="590"/>
      <c r="S1389" s="38"/>
      <c r="T1389" s="38"/>
      <c r="U1389" s="38"/>
      <c r="V1389" s="37"/>
      <c r="W1389" s="39">
        <f>IF(AC1389="Intr",0,G1389*Definitions!$B$53)</f>
        <v>0</v>
      </c>
      <c r="X1389" s="39">
        <f>IF(AC1389="Intr",0,G1389*Definitions!$B$54)</f>
        <v>0</v>
      </c>
      <c r="Y1389" s="39">
        <f>IF(AC1389="Intr",G1389,G1389*Definitions!$B$55)</f>
        <v>0</v>
      </c>
      <c r="Z1389" s="39"/>
      <c r="AA1389" s="39"/>
      <c r="AB1389" s="39"/>
      <c r="AC1389" s="38"/>
      <c r="AD1389" s="38"/>
      <c r="AE1389" s="38"/>
      <c r="AF1389" s="38"/>
      <c r="AG1389" s="40"/>
      <c r="AH1389" s="38"/>
    </row>
    <row r="1390" spans="1:34" x14ac:dyDescent="0.2">
      <c r="A1390" s="38"/>
      <c r="B1390" s="38"/>
      <c r="C1390" s="38"/>
      <c r="D1390" s="38"/>
      <c r="E1390" s="177"/>
      <c r="F1390" s="177"/>
      <c r="G1390" s="269"/>
      <c r="H1390" s="179"/>
      <c r="I1390" s="177"/>
      <c r="J1390" s="177"/>
      <c r="K1390" s="177"/>
      <c r="L1390" s="177"/>
      <c r="M1390" s="177"/>
      <c r="N1390" s="70"/>
      <c r="O1390" s="38"/>
      <c r="P1390" s="38"/>
      <c r="Q1390" s="760"/>
      <c r="R1390" s="590"/>
      <c r="S1390" s="38"/>
      <c r="T1390" s="38"/>
      <c r="U1390" s="38"/>
      <c r="V1390" s="37"/>
      <c r="W1390" s="39">
        <f>IF(AC1390="Intr",0,G1390*Definitions!$B$53)</f>
        <v>0</v>
      </c>
      <c r="X1390" s="39">
        <f>IF(AC1390="Intr",0,G1390*Definitions!$B$54)</f>
        <v>0</v>
      </c>
      <c r="Y1390" s="39">
        <f>IF(AC1390="Intr",G1390,G1390*Definitions!$B$55)</f>
        <v>0</v>
      </c>
      <c r="Z1390" s="39"/>
      <c r="AA1390" s="39"/>
      <c r="AB1390" s="39"/>
      <c r="AC1390" s="38"/>
      <c r="AD1390" s="38"/>
      <c r="AE1390" s="38"/>
      <c r="AF1390" s="38"/>
      <c r="AG1390" s="40"/>
      <c r="AH1390" s="38"/>
    </row>
    <row r="1391" spans="1:34" x14ac:dyDescent="0.2">
      <c r="A1391" s="38"/>
      <c r="B1391" s="38"/>
      <c r="C1391" s="38"/>
      <c r="D1391" s="38"/>
      <c r="E1391" s="177"/>
      <c r="F1391" s="177"/>
      <c r="G1391" s="269"/>
      <c r="H1391" s="179"/>
      <c r="I1391" s="177"/>
      <c r="J1391" s="177"/>
      <c r="K1391" s="177"/>
      <c r="L1391" s="177"/>
      <c r="M1391" s="177"/>
      <c r="N1391" s="70"/>
      <c r="O1391" s="38"/>
      <c r="P1391" s="38"/>
      <c r="Q1391" s="760"/>
      <c r="R1391" s="590"/>
      <c r="S1391" s="38"/>
      <c r="T1391" s="38"/>
      <c r="U1391" s="38"/>
      <c r="V1391" s="37"/>
      <c r="W1391" s="39">
        <f>IF(AC1391="Intr",0,G1391*Definitions!$B$53)</f>
        <v>0</v>
      </c>
      <c r="X1391" s="39">
        <f>IF(AC1391="Intr",0,G1391*Definitions!$B$54)</f>
        <v>0</v>
      </c>
      <c r="Y1391" s="39">
        <f>IF(AC1391="Intr",G1391,G1391*Definitions!$B$55)</f>
        <v>0</v>
      </c>
      <c r="Z1391" s="39"/>
      <c r="AA1391" s="39"/>
      <c r="AB1391" s="39"/>
      <c r="AC1391" s="38"/>
      <c r="AD1391" s="38"/>
      <c r="AE1391" s="38"/>
      <c r="AF1391" s="38"/>
      <c r="AG1391" s="40"/>
      <c r="AH1391" s="38"/>
    </row>
    <row r="1392" spans="1:34" x14ac:dyDescent="0.2">
      <c r="A1392" s="38"/>
      <c r="B1392" s="38"/>
      <c r="C1392" s="38"/>
      <c r="D1392" s="38"/>
      <c r="E1392" s="177"/>
      <c r="F1392" s="177"/>
      <c r="G1392" s="269"/>
      <c r="H1392" s="179"/>
      <c r="I1392" s="177"/>
      <c r="J1392" s="177"/>
      <c r="K1392" s="177"/>
      <c r="L1392" s="177"/>
      <c r="M1392" s="177"/>
      <c r="N1392" s="70"/>
      <c r="O1392" s="38"/>
      <c r="P1392" s="38"/>
      <c r="Q1392" s="760"/>
      <c r="R1392" s="590"/>
      <c r="S1392" s="38"/>
      <c r="T1392" s="38"/>
      <c r="U1392" s="38"/>
      <c r="V1392" s="37"/>
      <c r="W1392" s="39">
        <f>IF(AC1392="Intr",0,G1392*Definitions!$B$53)</f>
        <v>0</v>
      </c>
      <c r="X1392" s="39">
        <f>IF(AC1392="Intr",0,G1392*Definitions!$B$54)</f>
        <v>0</v>
      </c>
      <c r="Y1392" s="39">
        <f>IF(AC1392="Intr",G1392,G1392*Definitions!$B$55)</f>
        <v>0</v>
      </c>
      <c r="Z1392" s="39"/>
      <c r="AA1392" s="39"/>
      <c r="AB1392" s="39"/>
      <c r="AC1392" s="38"/>
      <c r="AD1392" s="38"/>
      <c r="AE1392" s="38"/>
      <c r="AF1392" s="38"/>
      <c r="AG1392" s="40"/>
      <c r="AH1392" s="38"/>
    </row>
    <row r="1393" spans="1:34" x14ac:dyDescent="0.2">
      <c r="A1393" s="38"/>
      <c r="B1393" s="38"/>
      <c r="C1393" s="38"/>
      <c r="D1393" s="38"/>
      <c r="E1393" s="177"/>
      <c r="F1393" s="177"/>
      <c r="G1393" s="269"/>
      <c r="H1393" s="179"/>
      <c r="I1393" s="177"/>
      <c r="J1393" s="177"/>
      <c r="K1393" s="177"/>
      <c r="L1393" s="177"/>
      <c r="M1393" s="177"/>
      <c r="N1393" s="70"/>
      <c r="O1393" s="38"/>
      <c r="P1393" s="38"/>
      <c r="Q1393" s="760"/>
      <c r="R1393" s="590"/>
      <c r="S1393" s="38"/>
      <c r="T1393" s="38"/>
      <c r="U1393" s="38"/>
      <c r="V1393" s="37"/>
      <c r="W1393" s="39">
        <f>IF(AC1393="Intr",0,G1393*Definitions!$B$53)</f>
        <v>0</v>
      </c>
      <c r="X1393" s="39">
        <f>IF(AC1393="Intr",0,G1393*Definitions!$B$54)</f>
        <v>0</v>
      </c>
      <c r="Y1393" s="39">
        <f>IF(AC1393="Intr",G1393,G1393*Definitions!$B$55)</f>
        <v>0</v>
      </c>
      <c r="Z1393" s="39"/>
      <c r="AA1393" s="39"/>
      <c r="AB1393" s="39"/>
      <c r="AC1393" s="38"/>
      <c r="AD1393" s="38"/>
      <c r="AE1393" s="38"/>
      <c r="AF1393" s="38"/>
      <c r="AG1393" s="40"/>
      <c r="AH1393" s="38"/>
    </row>
    <row r="1394" spans="1:34" x14ac:dyDescent="0.2">
      <c r="A1394" s="38"/>
      <c r="B1394" s="38"/>
      <c r="C1394" s="38"/>
      <c r="D1394" s="38"/>
      <c r="E1394" s="177"/>
      <c r="F1394" s="177"/>
      <c r="G1394" s="269"/>
      <c r="H1394" s="179"/>
      <c r="I1394" s="177"/>
      <c r="J1394" s="177"/>
      <c r="K1394" s="177"/>
      <c r="L1394" s="177"/>
      <c r="M1394" s="177"/>
      <c r="N1394" s="70"/>
      <c r="O1394" s="38"/>
      <c r="P1394" s="38"/>
      <c r="Q1394" s="760"/>
      <c r="R1394" s="590"/>
      <c r="S1394" s="38"/>
      <c r="T1394" s="38"/>
      <c r="U1394" s="38"/>
      <c r="V1394" s="37"/>
      <c r="W1394" s="39">
        <f>IF(AC1394="Intr",0,G1394*Definitions!$B$53)</f>
        <v>0</v>
      </c>
      <c r="X1394" s="39">
        <f>IF(AC1394="Intr",0,G1394*Definitions!$B$54)</f>
        <v>0</v>
      </c>
      <c r="Y1394" s="39">
        <f>IF(AC1394="Intr",G1394,G1394*Definitions!$B$55)</f>
        <v>0</v>
      </c>
      <c r="Z1394" s="39"/>
      <c r="AA1394" s="39"/>
      <c r="AB1394" s="39"/>
      <c r="AC1394" s="38"/>
      <c r="AD1394" s="38"/>
      <c r="AE1394" s="38"/>
      <c r="AF1394" s="38"/>
      <c r="AG1394" s="40"/>
      <c r="AH1394" s="38"/>
    </row>
    <row r="1395" spans="1:34" x14ac:dyDescent="0.2">
      <c r="A1395" s="38"/>
      <c r="B1395" s="38"/>
      <c r="C1395" s="38"/>
      <c r="D1395" s="38"/>
      <c r="E1395" s="177"/>
      <c r="F1395" s="177"/>
      <c r="G1395" s="269"/>
      <c r="H1395" s="179"/>
      <c r="I1395" s="177"/>
      <c r="J1395" s="177"/>
      <c r="K1395" s="177"/>
      <c r="L1395" s="177"/>
      <c r="M1395" s="177"/>
      <c r="N1395" s="70"/>
      <c r="O1395" s="38"/>
      <c r="P1395" s="38"/>
      <c r="Q1395" s="760"/>
      <c r="R1395" s="590"/>
      <c r="S1395" s="38"/>
      <c r="T1395" s="38"/>
      <c r="U1395" s="38"/>
      <c r="V1395" s="37"/>
      <c r="W1395" s="39">
        <f>IF(AC1395="Intr",0,G1395*Definitions!$B$53)</f>
        <v>0</v>
      </c>
      <c r="X1395" s="39">
        <f>IF(AC1395="Intr",0,G1395*Definitions!$B$54)</f>
        <v>0</v>
      </c>
      <c r="Y1395" s="39">
        <f>IF(AC1395="Intr",G1395,G1395*Definitions!$B$55)</f>
        <v>0</v>
      </c>
      <c r="Z1395" s="39"/>
      <c r="AA1395" s="39"/>
      <c r="AB1395" s="39"/>
      <c r="AC1395" s="38"/>
      <c r="AD1395" s="38"/>
      <c r="AE1395" s="38"/>
      <c r="AF1395" s="38"/>
      <c r="AG1395" s="40"/>
      <c r="AH1395" s="38"/>
    </row>
    <row r="1396" spans="1:34" x14ac:dyDescent="0.2">
      <c r="A1396" s="38"/>
      <c r="B1396" s="38"/>
      <c r="C1396" s="38"/>
      <c r="D1396" s="38"/>
      <c r="E1396" s="177"/>
      <c r="F1396" s="177"/>
      <c r="G1396" s="269"/>
      <c r="H1396" s="179"/>
      <c r="I1396" s="177"/>
      <c r="J1396" s="177"/>
      <c r="K1396" s="177"/>
      <c r="L1396" s="177"/>
      <c r="M1396" s="177"/>
      <c r="N1396" s="70"/>
      <c r="O1396" s="38"/>
      <c r="P1396" s="38"/>
      <c r="Q1396" s="760"/>
      <c r="R1396" s="590"/>
      <c r="S1396" s="38"/>
      <c r="T1396" s="38"/>
      <c r="U1396" s="38"/>
      <c r="V1396" s="37"/>
      <c r="W1396" s="39">
        <f>IF(AC1396="Intr",0,G1396*Definitions!$B$53)</f>
        <v>0</v>
      </c>
      <c r="X1396" s="39">
        <f>IF(AC1396="Intr",0,G1396*Definitions!$B$54)</f>
        <v>0</v>
      </c>
      <c r="Y1396" s="39">
        <f>IF(AC1396="Intr",G1396,G1396*Definitions!$B$55)</f>
        <v>0</v>
      </c>
      <c r="Z1396" s="39"/>
      <c r="AA1396" s="39"/>
      <c r="AB1396" s="39"/>
      <c r="AC1396" s="38"/>
      <c r="AD1396" s="38"/>
      <c r="AE1396" s="38"/>
      <c r="AF1396" s="38"/>
      <c r="AG1396" s="40"/>
      <c r="AH1396" s="38"/>
    </row>
    <row r="1397" spans="1:34" x14ac:dyDescent="0.2">
      <c r="A1397" s="38"/>
      <c r="B1397" s="38"/>
      <c r="C1397" s="38"/>
      <c r="D1397" s="38"/>
      <c r="E1397" s="177"/>
      <c r="F1397" s="177"/>
      <c r="G1397" s="269"/>
      <c r="H1397" s="179"/>
      <c r="I1397" s="177"/>
      <c r="J1397" s="177"/>
      <c r="K1397" s="177"/>
      <c r="L1397" s="177"/>
      <c r="M1397" s="177"/>
      <c r="N1397" s="70"/>
      <c r="O1397" s="38"/>
      <c r="P1397" s="38"/>
      <c r="Q1397" s="760"/>
      <c r="R1397" s="590"/>
      <c r="S1397" s="38"/>
      <c r="T1397" s="38"/>
      <c r="U1397" s="38"/>
      <c r="V1397" s="37"/>
      <c r="W1397" s="39">
        <f>IF(AC1397="Intr",0,G1397*Definitions!$B$53)</f>
        <v>0</v>
      </c>
      <c r="X1397" s="39">
        <f>IF(AC1397="Intr",0,G1397*Definitions!$B$54)</f>
        <v>0</v>
      </c>
      <c r="Y1397" s="39">
        <f>IF(AC1397="Intr",G1397,G1397*Definitions!$B$55)</f>
        <v>0</v>
      </c>
      <c r="Z1397" s="39"/>
      <c r="AA1397" s="39"/>
      <c r="AB1397" s="39"/>
      <c r="AC1397" s="38"/>
      <c r="AD1397" s="38"/>
      <c r="AE1397" s="38"/>
      <c r="AF1397" s="38"/>
      <c r="AG1397" s="40"/>
      <c r="AH1397" s="38"/>
    </row>
    <row r="1398" spans="1:34" x14ac:dyDescent="0.2">
      <c r="A1398" s="38"/>
      <c r="B1398" s="38"/>
      <c r="C1398" s="38"/>
      <c r="D1398" s="38"/>
      <c r="E1398" s="177"/>
      <c r="F1398" s="177"/>
      <c r="G1398" s="269"/>
      <c r="H1398" s="179"/>
      <c r="I1398" s="177"/>
      <c r="J1398" s="177"/>
      <c r="K1398" s="177"/>
      <c r="L1398" s="177"/>
      <c r="M1398" s="177"/>
      <c r="N1398" s="70"/>
      <c r="O1398" s="38"/>
      <c r="P1398" s="38"/>
      <c r="Q1398" s="760"/>
      <c r="R1398" s="590"/>
      <c r="S1398" s="38"/>
      <c r="T1398" s="38"/>
      <c r="U1398" s="38"/>
      <c r="V1398" s="37"/>
      <c r="W1398" s="39">
        <f>IF(AC1398="Intr",0,G1398*Definitions!$B$53)</f>
        <v>0</v>
      </c>
      <c r="X1398" s="39">
        <f>IF(AC1398="Intr",0,G1398*Definitions!$B$54)</f>
        <v>0</v>
      </c>
      <c r="Y1398" s="39">
        <f>IF(AC1398="Intr",G1398,G1398*Definitions!$B$55)</f>
        <v>0</v>
      </c>
      <c r="Z1398" s="39"/>
      <c r="AA1398" s="39"/>
      <c r="AB1398" s="39"/>
      <c r="AC1398" s="38"/>
      <c r="AD1398" s="38"/>
      <c r="AE1398" s="38"/>
      <c r="AF1398" s="38"/>
      <c r="AG1398" s="40"/>
      <c r="AH1398" s="38"/>
    </row>
    <row r="1399" spans="1:34" x14ac:dyDescent="0.2">
      <c r="A1399" s="38"/>
      <c r="B1399" s="38"/>
      <c r="C1399" s="38"/>
      <c r="D1399" s="38"/>
      <c r="E1399" s="177"/>
      <c r="F1399" s="177"/>
      <c r="G1399" s="269"/>
      <c r="H1399" s="179"/>
      <c r="I1399" s="177"/>
      <c r="J1399" s="177"/>
      <c r="K1399" s="177"/>
      <c r="L1399" s="177"/>
      <c r="M1399" s="177"/>
      <c r="N1399" s="70"/>
      <c r="O1399" s="38"/>
      <c r="P1399" s="38"/>
      <c r="Q1399" s="760"/>
      <c r="R1399" s="590"/>
      <c r="S1399" s="38"/>
      <c r="T1399" s="38"/>
      <c r="U1399" s="38"/>
      <c r="V1399" s="37"/>
      <c r="W1399" s="39">
        <f>IF(AC1399="Intr",0,G1399*Definitions!$B$53)</f>
        <v>0</v>
      </c>
      <c r="X1399" s="39">
        <f>IF(AC1399="Intr",0,G1399*Definitions!$B$54)</f>
        <v>0</v>
      </c>
      <c r="Y1399" s="39">
        <f>IF(AC1399="Intr",G1399,G1399*Definitions!$B$55)</f>
        <v>0</v>
      </c>
      <c r="Z1399" s="39"/>
      <c r="AA1399" s="39"/>
      <c r="AB1399" s="39"/>
      <c r="AC1399" s="38"/>
      <c r="AD1399" s="38"/>
      <c r="AE1399" s="38"/>
      <c r="AF1399" s="38"/>
      <c r="AG1399" s="40"/>
      <c r="AH1399" s="38"/>
    </row>
    <row r="1400" spans="1:34" x14ac:dyDescent="0.2">
      <c r="A1400" s="38"/>
      <c r="B1400" s="38"/>
      <c r="C1400" s="38"/>
      <c r="D1400" s="38"/>
      <c r="E1400" s="177"/>
      <c r="F1400" s="177"/>
      <c r="G1400" s="269"/>
      <c r="H1400" s="179"/>
      <c r="I1400" s="177"/>
      <c r="J1400" s="177"/>
      <c r="K1400" s="177"/>
      <c r="L1400" s="177"/>
      <c r="M1400" s="177"/>
      <c r="N1400" s="70"/>
      <c r="O1400" s="38"/>
      <c r="P1400" s="38"/>
      <c r="Q1400" s="760"/>
      <c r="R1400" s="590"/>
      <c r="S1400" s="38"/>
      <c r="T1400" s="38"/>
      <c r="U1400" s="38"/>
      <c r="V1400" s="37"/>
      <c r="W1400" s="39">
        <f>IF(AC1400="Intr",0,G1400*Definitions!$B$53)</f>
        <v>0</v>
      </c>
      <c r="X1400" s="39">
        <f>IF(AC1400="Intr",0,G1400*Definitions!$B$54)</f>
        <v>0</v>
      </c>
      <c r="Y1400" s="39">
        <f>IF(AC1400="Intr",G1400,G1400*Definitions!$B$55)</f>
        <v>0</v>
      </c>
      <c r="Z1400" s="39"/>
      <c r="AA1400" s="39"/>
      <c r="AB1400" s="39"/>
      <c r="AC1400" s="38"/>
      <c r="AD1400" s="38"/>
      <c r="AE1400" s="38"/>
      <c r="AF1400" s="38"/>
      <c r="AG1400" s="40"/>
      <c r="AH1400" s="38"/>
    </row>
    <row r="1401" spans="1:34" x14ac:dyDescent="0.2">
      <c r="A1401" s="38"/>
      <c r="B1401" s="38"/>
      <c r="C1401" s="38"/>
      <c r="D1401" s="38"/>
      <c r="E1401" s="177"/>
      <c r="F1401" s="177"/>
      <c r="G1401" s="269"/>
      <c r="H1401" s="179"/>
      <c r="I1401" s="177"/>
      <c r="J1401" s="177"/>
      <c r="K1401" s="177"/>
      <c r="L1401" s="177"/>
      <c r="M1401" s="177"/>
      <c r="N1401" s="70"/>
      <c r="O1401" s="38"/>
      <c r="P1401" s="38"/>
      <c r="Q1401" s="760"/>
      <c r="R1401" s="590"/>
      <c r="S1401" s="38"/>
      <c r="T1401" s="38"/>
      <c r="U1401" s="38"/>
      <c r="V1401" s="37"/>
      <c r="W1401" s="39">
        <f>IF(AC1401="Intr",0,G1401*Definitions!$B$53)</f>
        <v>0</v>
      </c>
      <c r="X1401" s="39">
        <f>IF(AC1401="Intr",0,G1401*Definitions!$B$54)</f>
        <v>0</v>
      </c>
      <c r="Y1401" s="39">
        <f>IF(AC1401="Intr",G1401,G1401*Definitions!$B$55)</f>
        <v>0</v>
      </c>
      <c r="Z1401" s="39"/>
      <c r="AA1401" s="39"/>
      <c r="AB1401" s="39"/>
      <c r="AC1401" s="38"/>
      <c r="AD1401" s="38"/>
      <c r="AE1401" s="38"/>
      <c r="AF1401" s="38"/>
      <c r="AG1401" s="40"/>
      <c r="AH1401" s="38"/>
    </row>
    <row r="1402" spans="1:34" x14ac:dyDescent="0.2">
      <c r="A1402" s="38"/>
      <c r="B1402" s="38"/>
      <c r="C1402" s="38"/>
      <c r="D1402" s="38"/>
      <c r="E1402" s="177"/>
      <c r="F1402" s="177"/>
      <c r="G1402" s="269"/>
      <c r="H1402" s="179"/>
      <c r="I1402" s="177"/>
      <c r="J1402" s="177"/>
      <c r="K1402" s="177"/>
      <c r="L1402" s="177"/>
      <c r="M1402" s="177"/>
      <c r="N1402" s="70"/>
      <c r="O1402" s="38"/>
      <c r="P1402" s="38"/>
      <c r="Q1402" s="760"/>
      <c r="R1402" s="590"/>
      <c r="S1402" s="38"/>
      <c r="T1402" s="38"/>
      <c r="U1402" s="38"/>
      <c r="V1402" s="37"/>
      <c r="W1402" s="39">
        <f>IF(AC1402="Intr",0,G1402*Definitions!$B$53)</f>
        <v>0</v>
      </c>
      <c r="X1402" s="39">
        <f>IF(AC1402="Intr",0,G1402*Definitions!$B$54)</f>
        <v>0</v>
      </c>
      <c r="Y1402" s="39">
        <f>IF(AC1402="Intr",G1402,G1402*Definitions!$B$55)</f>
        <v>0</v>
      </c>
      <c r="Z1402" s="39"/>
      <c r="AA1402" s="39"/>
      <c r="AB1402" s="39"/>
      <c r="AC1402" s="38"/>
      <c r="AD1402" s="38"/>
      <c r="AE1402" s="38"/>
      <c r="AF1402" s="38"/>
      <c r="AG1402" s="40"/>
      <c r="AH1402" s="38"/>
    </row>
    <row r="1403" spans="1:34" x14ac:dyDescent="0.2">
      <c r="A1403" s="38"/>
      <c r="B1403" s="38"/>
      <c r="C1403" s="38"/>
      <c r="D1403" s="38"/>
      <c r="E1403" s="177"/>
      <c r="F1403" s="177"/>
      <c r="G1403" s="269"/>
      <c r="H1403" s="179"/>
      <c r="I1403" s="177"/>
      <c r="J1403" s="177"/>
      <c r="K1403" s="177"/>
      <c r="L1403" s="177"/>
      <c r="M1403" s="177"/>
      <c r="N1403" s="70"/>
      <c r="O1403" s="38"/>
      <c r="P1403" s="38"/>
      <c r="Q1403" s="760"/>
      <c r="R1403" s="590"/>
      <c r="S1403" s="38"/>
      <c r="T1403" s="38"/>
      <c r="U1403" s="38"/>
      <c r="V1403" s="37"/>
      <c r="W1403" s="39">
        <f>IF(AC1403="Intr",0,G1403*Definitions!$B$53)</f>
        <v>0</v>
      </c>
      <c r="X1403" s="39">
        <f>IF(AC1403="Intr",0,G1403*Definitions!$B$54)</f>
        <v>0</v>
      </c>
      <c r="Y1403" s="39">
        <f>IF(AC1403="Intr",G1403,G1403*Definitions!$B$55)</f>
        <v>0</v>
      </c>
      <c r="Z1403" s="39"/>
      <c r="AA1403" s="39"/>
      <c r="AB1403" s="39"/>
      <c r="AC1403" s="38"/>
      <c r="AD1403" s="38"/>
      <c r="AE1403" s="38"/>
      <c r="AF1403" s="38"/>
      <c r="AG1403" s="40"/>
      <c r="AH1403" s="38"/>
    </row>
    <row r="1404" spans="1:34" x14ac:dyDescent="0.2">
      <c r="A1404" s="38"/>
      <c r="B1404" s="38"/>
      <c r="C1404" s="38"/>
      <c r="D1404" s="38"/>
      <c r="E1404" s="177"/>
      <c r="F1404" s="177"/>
      <c r="G1404" s="269"/>
      <c r="H1404" s="179"/>
      <c r="I1404" s="177"/>
      <c r="J1404" s="177"/>
      <c r="K1404" s="177"/>
      <c r="L1404" s="177"/>
      <c r="M1404" s="177"/>
      <c r="N1404" s="70"/>
      <c r="O1404" s="38"/>
      <c r="P1404" s="38"/>
      <c r="Q1404" s="760"/>
      <c r="R1404" s="590"/>
      <c r="S1404" s="38"/>
      <c r="T1404" s="38"/>
      <c r="U1404" s="38"/>
      <c r="V1404" s="37"/>
      <c r="W1404" s="39">
        <f>IF(AC1404="Intr",0,G1404*Definitions!$B$53)</f>
        <v>0</v>
      </c>
      <c r="X1404" s="39">
        <f>IF(AC1404="Intr",0,G1404*Definitions!$B$54)</f>
        <v>0</v>
      </c>
      <c r="Y1404" s="39">
        <f>IF(AC1404="Intr",G1404,G1404*Definitions!$B$55)</f>
        <v>0</v>
      </c>
      <c r="Z1404" s="39"/>
      <c r="AA1404" s="39"/>
      <c r="AB1404" s="39"/>
      <c r="AC1404" s="38"/>
      <c r="AD1404" s="38"/>
      <c r="AE1404" s="38"/>
      <c r="AF1404" s="38"/>
      <c r="AG1404" s="40"/>
      <c r="AH1404" s="38"/>
    </row>
    <row r="1405" spans="1:34" x14ac:dyDescent="0.2">
      <c r="A1405" s="38"/>
      <c r="B1405" s="38"/>
      <c r="C1405" s="38"/>
      <c r="D1405" s="38"/>
      <c r="E1405" s="177"/>
      <c r="F1405" s="177"/>
      <c r="G1405" s="269"/>
      <c r="H1405" s="179"/>
      <c r="I1405" s="177"/>
      <c r="J1405" s="177"/>
      <c r="K1405" s="177"/>
      <c r="L1405" s="177"/>
      <c r="M1405" s="177"/>
      <c r="N1405" s="70"/>
      <c r="O1405" s="38"/>
      <c r="P1405" s="38"/>
      <c r="Q1405" s="760"/>
      <c r="R1405" s="590"/>
      <c r="S1405" s="38"/>
      <c r="T1405" s="38"/>
      <c r="U1405" s="38"/>
      <c r="V1405" s="37"/>
      <c r="W1405" s="39">
        <f>IF(AC1405="Intr",0,G1405*Definitions!$B$53)</f>
        <v>0</v>
      </c>
      <c r="X1405" s="39">
        <f>IF(AC1405="Intr",0,G1405*Definitions!$B$54)</f>
        <v>0</v>
      </c>
      <c r="Y1405" s="39">
        <f>IF(AC1405="Intr",G1405,G1405*Definitions!$B$55)</f>
        <v>0</v>
      </c>
      <c r="Z1405" s="39"/>
      <c r="AA1405" s="39"/>
      <c r="AB1405" s="39"/>
      <c r="AC1405" s="38"/>
      <c r="AD1405" s="38"/>
      <c r="AE1405" s="38"/>
      <c r="AF1405" s="38"/>
      <c r="AG1405" s="40"/>
      <c r="AH1405" s="38"/>
    </row>
    <row r="1406" spans="1:34" x14ac:dyDescent="0.2">
      <c r="A1406" s="38"/>
      <c r="B1406" s="38"/>
      <c r="C1406" s="38"/>
      <c r="D1406" s="38"/>
      <c r="E1406" s="177"/>
      <c r="F1406" s="177"/>
      <c r="G1406" s="269"/>
      <c r="H1406" s="179"/>
      <c r="I1406" s="177"/>
      <c r="J1406" s="177"/>
      <c r="K1406" s="177"/>
      <c r="L1406" s="177"/>
      <c r="M1406" s="177"/>
      <c r="N1406" s="70"/>
      <c r="O1406" s="38"/>
      <c r="P1406" s="38"/>
      <c r="Q1406" s="760"/>
      <c r="R1406" s="590"/>
      <c r="S1406" s="38"/>
      <c r="T1406" s="38"/>
      <c r="U1406" s="38"/>
      <c r="V1406" s="37"/>
      <c r="W1406" s="39">
        <f>IF(AC1406="Intr",0,G1406*Definitions!$B$53)</f>
        <v>0</v>
      </c>
      <c r="X1406" s="39">
        <f>IF(AC1406="Intr",0,G1406*Definitions!$B$54)</f>
        <v>0</v>
      </c>
      <c r="Y1406" s="39">
        <f>IF(AC1406="Intr",G1406,G1406*Definitions!$B$55)</f>
        <v>0</v>
      </c>
      <c r="Z1406" s="39"/>
      <c r="AA1406" s="39"/>
      <c r="AB1406" s="39"/>
      <c r="AC1406" s="38"/>
      <c r="AD1406" s="38"/>
      <c r="AE1406" s="38"/>
      <c r="AF1406" s="38"/>
      <c r="AG1406" s="40"/>
      <c r="AH1406" s="38"/>
    </row>
    <row r="1407" spans="1:34" x14ac:dyDescent="0.2">
      <c r="A1407" s="38"/>
      <c r="B1407" s="38"/>
      <c r="C1407" s="38"/>
      <c r="D1407" s="38"/>
      <c r="E1407" s="177"/>
      <c r="F1407" s="177"/>
      <c r="G1407" s="269"/>
      <c r="H1407" s="179"/>
      <c r="I1407" s="177"/>
      <c r="J1407" s="177"/>
      <c r="K1407" s="177"/>
      <c r="L1407" s="177"/>
      <c r="M1407" s="177"/>
      <c r="N1407" s="70"/>
      <c r="O1407" s="38"/>
      <c r="P1407" s="38"/>
      <c r="Q1407" s="760"/>
      <c r="R1407" s="590"/>
      <c r="S1407" s="38"/>
      <c r="T1407" s="38"/>
      <c r="U1407" s="38"/>
      <c r="V1407" s="37"/>
      <c r="W1407" s="39">
        <f>IF(AC1407="Intr",0,G1407*Definitions!$B$53)</f>
        <v>0</v>
      </c>
      <c r="X1407" s="39">
        <f>IF(AC1407="Intr",0,G1407*Definitions!$B$54)</f>
        <v>0</v>
      </c>
      <c r="Y1407" s="39">
        <f>IF(AC1407="Intr",G1407,G1407*Definitions!$B$55)</f>
        <v>0</v>
      </c>
      <c r="Z1407" s="39"/>
      <c r="AA1407" s="39"/>
      <c r="AB1407" s="39"/>
      <c r="AC1407" s="38"/>
      <c r="AD1407" s="38"/>
      <c r="AE1407" s="38"/>
      <c r="AF1407" s="38"/>
      <c r="AG1407" s="40"/>
      <c r="AH1407" s="38"/>
    </row>
    <row r="1408" spans="1:34" x14ac:dyDescent="0.2">
      <c r="A1408" s="38"/>
      <c r="B1408" s="38"/>
      <c r="C1408" s="38"/>
      <c r="D1408" s="38"/>
      <c r="E1408" s="177"/>
      <c r="F1408" s="177"/>
      <c r="G1408" s="269"/>
      <c r="H1408" s="179"/>
      <c r="I1408" s="177"/>
      <c r="J1408" s="177"/>
      <c r="K1408" s="177"/>
      <c r="L1408" s="177"/>
      <c r="M1408" s="177"/>
      <c r="N1408" s="70"/>
      <c r="O1408" s="38"/>
      <c r="P1408" s="38"/>
      <c r="Q1408" s="760"/>
      <c r="R1408" s="590"/>
      <c r="S1408" s="38"/>
      <c r="T1408" s="38"/>
      <c r="U1408" s="38"/>
      <c r="V1408" s="37"/>
      <c r="W1408" s="39">
        <f>IF(AC1408="Intr",0,G1408*Definitions!$B$53)</f>
        <v>0</v>
      </c>
      <c r="X1408" s="39">
        <f>IF(AC1408="Intr",0,G1408*Definitions!$B$54)</f>
        <v>0</v>
      </c>
      <c r="Y1408" s="39">
        <f>IF(AC1408="Intr",G1408,G1408*Definitions!$B$55)</f>
        <v>0</v>
      </c>
      <c r="Z1408" s="39"/>
      <c r="AA1408" s="39"/>
      <c r="AB1408" s="39"/>
      <c r="AC1408" s="38"/>
      <c r="AD1408" s="38"/>
      <c r="AE1408" s="38"/>
      <c r="AF1408" s="38"/>
      <c r="AG1408" s="40"/>
      <c r="AH1408" s="38"/>
    </row>
    <row r="1409" spans="1:34" x14ac:dyDescent="0.2">
      <c r="A1409" s="38"/>
      <c r="B1409" s="38"/>
      <c r="C1409" s="38"/>
      <c r="D1409" s="38"/>
      <c r="E1409" s="177"/>
      <c r="F1409" s="177"/>
      <c r="G1409" s="269"/>
      <c r="H1409" s="179"/>
      <c r="I1409" s="177"/>
      <c r="J1409" s="177"/>
      <c r="K1409" s="177"/>
      <c r="L1409" s="177"/>
      <c r="M1409" s="177"/>
      <c r="N1409" s="70"/>
      <c r="O1409" s="38"/>
      <c r="P1409" s="38"/>
      <c r="Q1409" s="760"/>
      <c r="R1409" s="590"/>
      <c r="S1409" s="38"/>
      <c r="T1409" s="38"/>
      <c r="U1409" s="38"/>
      <c r="V1409" s="37"/>
      <c r="W1409" s="39">
        <f>IF(AC1409="Intr",0,G1409*Definitions!$B$53)</f>
        <v>0</v>
      </c>
      <c r="X1409" s="39">
        <f>IF(AC1409="Intr",0,G1409*Definitions!$B$54)</f>
        <v>0</v>
      </c>
      <c r="Y1409" s="39">
        <f>IF(AC1409="Intr",G1409,G1409*Definitions!$B$55)</f>
        <v>0</v>
      </c>
      <c r="Z1409" s="39"/>
      <c r="AA1409" s="39"/>
      <c r="AB1409" s="39"/>
      <c r="AC1409" s="38"/>
      <c r="AD1409" s="38"/>
      <c r="AE1409" s="38"/>
      <c r="AF1409" s="38"/>
      <c r="AG1409" s="40"/>
      <c r="AH1409" s="38"/>
    </row>
    <row r="1410" spans="1:34" x14ac:dyDescent="0.2">
      <c r="A1410" s="38"/>
      <c r="B1410" s="38"/>
      <c r="C1410" s="38"/>
      <c r="D1410" s="38"/>
      <c r="E1410" s="177"/>
      <c r="F1410" s="177"/>
      <c r="G1410" s="269"/>
      <c r="H1410" s="179"/>
      <c r="I1410" s="177"/>
      <c r="J1410" s="177"/>
      <c r="K1410" s="177"/>
      <c r="L1410" s="177"/>
      <c r="M1410" s="177"/>
      <c r="N1410" s="70"/>
      <c r="O1410" s="38"/>
      <c r="P1410" s="38"/>
      <c r="Q1410" s="760"/>
      <c r="R1410" s="590"/>
      <c r="S1410" s="38"/>
      <c r="T1410" s="38"/>
      <c r="U1410" s="38"/>
      <c r="V1410" s="37"/>
      <c r="W1410" s="39">
        <f>IF(AC1410="Intr",0,G1410*Definitions!$B$53)</f>
        <v>0</v>
      </c>
      <c r="X1410" s="39">
        <f>IF(AC1410="Intr",0,G1410*Definitions!$B$54)</f>
        <v>0</v>
      </c>
      <c r="Y1410" s="39">
        <f>IF(AC1410="Intr",G1410,G1410*Definitions!$B$55)</f>
        <v>0</v>
      </c>
      <c r="Z1410" s="39"/>
      <c r="AA1410" s="39"/>
      <c r="AB1410" s="39"/>
      <c r="AC1410" s="38"/>
      <c r="AD1410" s="38"/>
      <c r="AE1410" s="38"/>
      <c r="AF1410" s="38"/>
      <c r="AG1410" s="40"/>
      <c r="AH1410" s="38"/>
    </row>
    <row r="1411" spans="1:34" x14ac:dyDescent="0.2">
      <c r="A1411" s="38"/>
      <c r="B1411" s="38"/>
      <c r="C1411" s="38"/>
      <c r="D1411" s="38"/>
      <c r="E1411" s="177"/>
      <c r="F1411" s="177"/>
      <c r="G1411" s="269"/>
      <c r="H1411" s="179"/>
      <c r="I1411" s="177"/>
      <c r="J1411" s="177"/>
      <c r="K1411" s="177"/>
      <c r="L1411" s="177"/>
      <c r="M1411" s="177"/>
      <c r="N1411" s="70"/>
      <c r="O1411" s="38"/>
      <c r="P1411" s="38"/>
      <c r="Q1411" s="760"/>
      <c r="R1411" s="590"/>
      <c r="S1411" s="38"/>
      <c r="T1411" s="38"/>
      <c r="U1411" s="38"/>
      <c r="V1411" s="37"/>
      <c r="W1411" s="39">
        <f>IF(AC1411="Intr",0,G1411*Definitions!$B$53)</f>
        <v>0</v>
      </c>
      <c r="X1411" s="39">
        <f>IF(AC1411="Intr",0,G1411*Definitions!$B$54)</f>
        <v>0</v>
      </c>
      <c r="Y1411" s="39">
        <f>IF(AC1411="Intr",G1411,G1411*Definitions!$B$55)</f>
        <v>0</v>
      </c>
      <c r="Z1411" s="39"/>
      <c r="AA1411" s="39"/>
      <c r="AB1411" s="39"/>
      <c r="AC1411" s="38"/>
      <c r="AD1411" s="38"/>
      <c r="AE1411" s="38"/>
      <c r="AF1411" s="38"/>
      <c r="AG1411" s="40"/>
      <c r="AH1411" s="38"/>
    </row>
    <row r="1412" spans="1:34" x14ac:dyDescent="0.2">
      <c r="A1412" s="38"/>
      <c r="B1412" s="38"/>
      <c r="C1412" s="38"/>
      <c r="D1412" s="38"/>
      <c r="E1412" s="177"/>
      <c r="F1412" s="177"/>
      <c r="G1412" s="269"/>
      <c r="H1412" s="179"/>
      <c r="I1412" s="177"/>
      <c r="J1412" s="177"/>
      <c r="K1412" s="177"/>
      <c r="L1412" s="177"/>
      <c r="M1412" s="177"/>
      <c r="N1412" s="70"/>
      <c r="O1412" s="38"/>
      <c r="P1412" s="38"/>
      <c r="Q1412" s="760"/>
      <c r="R1412" s="590"/>
      <c r="S1412" s="38"/>
      <c r="T1412" s="38"/>
      <c r="U1412" s="38"/>
      <c r="V1412" s="37"/>
      <c r="W1412" s="39">
        <f>IF(AC1412="Intr",0,G1412*Definitions!$B$53)</f>
        <v>0</v>
      </c>
      <c r="X1412" s="39">
        <f>IF(AC1412="Intr",0,G1412*Definitions!$B$54)</f>
        <v>0</v>
      </c>
      <c r="Y1412" s="39">
        <f>IF(AC1412="Intr",G1412,G1412*Definitions!$B$55)</f>
        <v>0</v>
      </c>
      <c r="Z1412" s="39"/>
      <c r="AA1412" s="39"/>
      <c r="AB1412" s="39"/>
      <c r="AC1412" s="38"/>
      <c r="AD1412" s="38"/>
      <c r="AE1412" s="38"/>
      <c r="AF1412" s="38"/>
      <c r="AG1412" s="40"/>
      <c r="AH1412" s="38"/>
    </row>
    <row r="1413" spans="1:34" x14ac:dyDescent="0.2">
      <c r="A1413" s="38"/>
      <c r="B1413" s="38"/>
      <c r="C1413" s="38"/>
      <c r="D1413" s="38"/>
      <c r="E1413" s="177"/>
      <c r="F1413" s="177"/>
      <c r="G1413" s="269"/>
      <c r="H1413" s="179"/>
      <c r="I1413" s="177"/>
      <c r="J1413" s="177"/>
      <c r="K1413" s="177"/>
      <c r="L1413" s="177"/>
      <c r="M1413" s="177"/>
      <c r="N1413" s="70"/>
      <c r="O1413" s="38"/>
      <c r="P1413" s="38"/>
      <c r="Q1413" s="760"/>
      <c r="R1413" s="590"/>
      <c r="S1413" s="38"/>
      <c r="T1413" s="38"/>
      <c r="U1413" s="38"/>
      <c r="V1413" s="37"/>
      <c r="W1413" s="39">
        <f>IF(AC1413="Intr",0,G1413*Definitions!$B$53)</f>
        <v>0</v>
      </c>
      <c r="X1413" s="39">
        <f>IF(AC1413="Intr",0,G1413*Definitions!$B$54)</f>
        <v>0</v>
      </c>
      <c r="Y1413" s="39">
        <f>IF(AC1413="Intr",G1413,G1413*Definitions!$B$55)</f>
        <v>0</v>
      </c>
      <c r="Z1413" s="39"/>
      <c r="AA1413" s="39"/>
      <c r="AB1413" s="39"/>
      <c r="AC1413" s="38"/>
      <c r="AD1413" s="38"/>
      <c r="AE1413" s="38"/>
      <c r="AF1413" s="38"/>
      <c r="AG1413" s="40"/>
      <c r="AH1413" s="38"/>
    </row>
    <row r="1414" spans="1:34" x14ac:dyDescent="0.2">
      <c r="A1414" s="38"/>
      <c r="B1414" s="38"/>
      <c r="C1414" s="38"/>
      <c r="D1414" s="38"/>
      <c r="E1414" s="177"/>
      <c r="F1414" s="177"/>
      <c r="G1414" s="269"/>
      <c r="H1414" s="179"/>
      <c r="I1414" s="177"/>
      <c r="J1414" s="177"/>
      <c r="K1414" s="177"/>
      <c r="L1414" s="177"/>
      <c r="M1414" s="177"/>
      <c r="N1414" s="70"/>
      <c r="O1414" s="38"/>
      <c r="P1414" s="38"/>
      <c r="Q1414" s="760"/>
      <c r="R1414" s="590"/>
      <c r="S1414" s="38"/>
      <c r="T1414" s="38"/>
      <c r="U1414" s="38"/>
      <c r="V1414" s="37"/>
      <c r="W1414" s="39">
        <f>IF(AC1414="Intr",0,G1414*Definitions!$B$53)</f>
        <v>0</v>
      </c>
      <c r="X1414" s="39">
        <f>IF(AC1414="Intr",0,G1414*Definitions!$B$54)</f>
        <v>0</v>
      </c>
      <c r="Y1414" s="39">
        <f>IF(AC1414="Intr",G1414,G1414*Definitions!$B$55)</f>
        <v>0</v>
      </c>
      <c r="Z1414" s="39"/>
      <c r="AA1414" s="39"/>
      <c r="AB1414" s="39"/>
      <c r="AC1414" s="38"/>
      <c r="AD1414" s="38"/>
      <c r="AE1414" s="38"/>
      <c r="AF1414" s="38"/>
      <c r="AG1414" s="40"/>
      <c r="AH1414" s="38"/>
    </row>
    <row r="1415" spans="1:34" x14ac:dyDescent="0.2">
      <c r="A1415" s="38"/>
      <c r="B1415" s="38"/>
      <c r="C1415" s="38"/>
      <c r="D1415" s="38"/>
      <c r="E1415" s="177"/>
      <c r="F1415" s="177"/>
      <c r="G1415" s="269"/>
      <c r="H1415" s="179"/>
      <c r="I1415" s="177"/>
      <c r="J1415" s="177"/>
      <c r="K1415" s="177"/>
      <c r="L1415" s="177"/>
      <c r="M1415" s="177"/>
      <c r="N1415" s="70"/>
      <c r="O1415" s="38"/>
      <c r="P1415" s="38"/>
      <c r="Q1415" s="760"/>
      <c r="R1415" s="590"/>
      <c r="S1415" s="38"/>
      <c r="T1415" s="38"/>
      <c r="U1415" s="38"/>
      <c r="V1415" s="37"/>
      <c r="W1415" s="39">
        <f>IF(AC1415="Intr",0,G1415*Definitions!$B$53)</f>
        <v>0</v>
      </c>
      <c r="X1415" s="39">
        <f>IF(AC1415="Intr",0,G1415*Definitions!$B$54)</f>
        <v>0</v>
      </c>
      <c r="Y1415" s="39">
        <f>IF(AC1415="Intr",G1415,G1415*Definitions!$B$55)</f>
        <v>0</v>
      </c>
      <c r="Z1415" s="39"/>
      <c r="AA1415" s="39"/>
      <c r="AB1415" s="39"/>
      <c r="AC1415" s="38"/>
      <c r="AD1415" s="38"/>
      <c r="AE1415" s="38"/>
      <c r="AF1415" s="38"/>
      <c r="AG1415" s="40"/>
      <c r="AH1415" s="38"/>
    </row>
    <row r="1416" spans="1:34" x14ac:dyDescent="0.2">
      <c r="A1416" s="38"/>
      <c r="B1416" s="38"/>
      <c r="C1416" s="38"/>
      <c r="D1416" s="38"/>
      <c r="E1416" s="177"/>
      <c r="F1416" s="177"/>
      <c r="G1416" s="269"/>
      <c r="H1416" s="179"/>
      <c r="I1416" s="177"/>
      <c r="J1416" s="177"/>
      <c r="K1416" s="177"/>
      <c r="L1416" s="177"/>
      <c r="M1416" s="177"/>
      <c r="N1416" s="70"/>
      <c r="O1416" s="38"/>
      <c r="P1416" s="38"/>
      <c r="Q1416" s="760"/>
      <c r="R1416" s="590"/>
      <c r="S1416" s="38"/>
      <c r="T1416" s="38"/>
      <c r="U1416" s="38"/>
      <c r="V1416" s="37"/>
      <c r="W1416" s="39">
        <f>IF(AC1416="Intr",0,G1416*Definitions!$B$53)</f>
        <v>0</v>
      </c>
      <c r="X1416" s="39">
        <f>IF(AC1416="Intr",0,G1416*Definitions!$B$54)</f>
        <v>0</v>
      </c>
      <c r="Y1416" s="39">
        <f>IF(AC1416="Intr",G1416,G1416*Definitions!$B$55)</f>
        <v>0</v>
      </c>
      <c r="Z1416" s="39"/>
      <c r="AA1416" s="39"/>
      <c r="AB1416" s="39"/>
      <c r="AC1416" s="38"/>
      <c r="AD1416" s="38"/>
      <c r="AE1416" s="38"/>
      <c r="AF1416" s="38"/>
      <c r="AG1416" s="40"/>
      <c r="AH1416" s="38"/>
    </row>
    <row r="1417" spans="1:34" x14ac:dyDescent="0.2">
      <c r="A1417" s="38"/>
      <c r="B1417" s="38"/>
      <c r="C1417" s="38"/>
      <c r="D1417" s="38"/>
      <c r="E1417" s="177"/>
      <c r="F1417" s="177"/>
      <c r="G1417" s="269"/>
      <c r="H1417" s="179"/>
      <c r="I1417" s="177"/>
      <c r="J1417" s="177"/>
      <c r="K1417" s="177"/>
      <c r="L1417" s="177"/>
      <c r="M1417" s="177"/>
      <c r="N1417" s="70"/>
      <c r="O1417" s="38"/>
      <c r="P1417" s="38"/>
      <c r="Q1417" s="760"/>
      <c r="R1417" s="590"/>
      <c r="S1417" s="38"/>
      <c r="T1417" s="38"/>
      <c r="U1417" s="38"/>
      <c r="V1417" s="37"/>
      <c r="W1417" s="39">
        <f>IF(AC1417="Intr",0,G1417*Definitions!$B$53)</f>
        <v>0</v>
      </c>
      <c r="X1417" s="39">
        <f>IF(AC1417="Intr",0,G1417*Definitions!$B$54)</f>
        <v>0</v>
      </c>
      <c r="Y1417" s="39">
        <f>IF(AC1417="Intr",G1417,G1417*Definitions!$B$55)</f>
        <v>0</v>
      </c>
      <c r="Z1417" s="39"/>
      <c r="AA1417" s="39"/>
      <c r="AB1417" s="39"/>
      <c r="AC1417" s="38"/>
      <c r="AD1417" s="38"/>
      <c r="AE1417" s="38"/>
      <c r="AF1417" s="38"/>
      <c r="AG1417" s="40"/>
      <c r="AH1417" s="38"/>
    </row>
    <row r="1418" spans="1:34" x14ac:dyDescent="0.2">
      <c r="A1418" s="38"/>
      <c r="B1418" s="38"/>
      <c r="C1418" s="38"/>
      <c r="D1418" s="38"/>
      <c r="E1418" s="177"/>
      <c r="F1418" s="177"/>
      <c r="G1418" s="269"/>
      <c r="H1418" s="179"/>
      <c r="I1418" s="177"/>
      <c r="J1418" s="177"/>
      <c r="K1418" s="177"/>
      <c r="L1418" s="177"/>
      <c r="M1418" s="177"/>
      <c r="N1418" s="70"/>
      <c r="O1418" s="38"/>
      <c r="P1418" s="38"/>
      <c r="Q1418" s="760"/>
      <c r="R1418" s="590"/>
      <c r="S1418" s="38"/>
      <c r="T1418" s="38"/>
      <c r="U1418" s="38"/>
      <c r="V1418" s="37"/>
      <c r="W1418" s="39">
        <f>IF(AC1418="Intr",0,G1418*Definitions!$B$53)</f>
        <v>0</v>
      </c>
      <c r="X1418" s="39">
        <f>IF(AC1418="Intr",0,G1418*Definitions!$B$54)</f>
        <v>0</v>
      </c>
      <c r="Y1418" s="39">
        <f>IF(AC1418="Intr",G1418,G1418*Definitions!$B$55)</f>
        <v>0</v>
      </c>
      <c r="Z1418" s="39"/>
      <c r="AA1418" s="39"/>
      <c r="AB1418" s="39"/>
      <c r="AC1418" s="38"/>
      <c r="AD1418" s="38"/>
      <c r="AE1418" s="38"/>
      <c r="AF1418" s="38"/>
      <c r="AG1418" s="40"/>
      <c r="AH1418" s="38"/>
    </row>
    <row r="1419" spans="1:34" x14ac:dyDescent="0.2">
      <c r="A1419" s="38"/>
      <c r="B1419" s="38"/>
      <c r="C1419" s="38"/>
      <c r="D1419" s="38"/>
      <c r="E1419" s="177"/>
      <c r="F1419" s="177"/>
      <c r="G1419" s="269"/>
      <c r="H1419" s="179"/>
      <c r="I1419" s="177"/>
      <c r="J1419" s="177"/>
      <c r="K1419" s="177"/>
      <c r="L1419" s="177"/>
      <c r="M1419" s="177"/>
      <c r="N1419" s="70"/>
      <c r="O1419" s="38"/>
      <c r="P1419" s="38"/>
      <c r="Q1419" s="760"/>
      <c r="R1419" s="590"/>
      <c r="S1419" s="38"/>
      <c r="T1419" s="38"/>
      <c r="U1419" s="38"/>
      <c r="V1419" s="37"/>
      <c r="W1419" s="39">
        <f>IF(AC1419="Intr",0,G1419*Definitions!$B$53)</f>
        <v>0</v>
      </c>
      <c r="X1419" s="39">
        <f>IF(AC1419="Intr",0,G1419*Definitions!$B$54)</f>
        <v>0</v>
      </c>
      <c r="Y1419" s="39">
        <f>IF(AC1419="Intr",G1419,G1419*Definitions!$B$55)</f>
        <v>0</v>
      </c>
      <c r="Z1419" s="39"/>
      <c r="AA1419" s="39"/>
      <c r="AB1419" s="39"/>
      <c r="AC1419" s="38"/>
      <c r="AD1419" s="38"/>
      <c r="AE1419" s="38"/>
      <c r="AF1419" s="38"/>
      <c r="AG1419" s="40"/>
      <c r="AH1419" s="38"/>
    </row>
    <row r="1420" spans="1:34" x14ac:dyDescent="0.2">
      <c r="A1420" s="38"/>
      <c r="B1420" s="38"/>
      <c r="C1420" s="38"/>
      <c r="D1420" s="38"/>
      <c r="E1420" s="177"/>
      <c r="F1420" s="177"/>
      <c r="G1420" s="269"/>
      <c r="H1420" s="179"/>
      <c r="I1420" s="177"/>
      <c r="J1420" s="177"/>
      <c r="K1420" s="177"/>
      <c r="L1420" s="177"/>
      <c r="M1420" s="177"/>
      <c r="N1420" s="70"/>
      <c r="O1420" s="38"/>
      <c r="P1420" s="38"/>
      <c r="Q1420" s="760"/>
      <c r="R1420" s="590"/>
      <c r="S1420" s="38"/>
      <c r="T1420" s="38"/>
      <c r="U1420" s="38"/>
      <c r="V1420" s="37"/>
      <c r="W1420" s="39">
        <f>IF(AC1420="Intr",0,G1420*Definitions!$B$53)</f>
        <v>0</v>
      </c>
      <c r="X1420" s="39">
        <f>IF(AC1420="Intr",0,G1420*Definitions!$B$54)</f>
        <v>0</v>
      </c>
      <c r="Y1420" s="39">
        <f>IF(AC1420="Intr",G1420,G1420*Definitions!$B$55)</f>
        <v>0</v>
      </c>
      <c r="Z1420" s="39"/>
      <c r="AA1420" s="39"/>
      <c r="AB1420" s="39"/>
      <c r="AC1420" s="38"/>
      <c r="AD1420" s="38"/>
      <c r="AE1420" s="38"/>
      <c r="AF1420" s="38"/>
      <c r="AG1420" s="40"/>
      <c r="AH1420" s="38"/>
    </row>
    <row r="1421" spans="1:34" x14ac:dyDescent="0.2">
      <c r="A1421" s="38"/>
      <c r="B1421" s="38"/>
      <c r="C1421" s="38"/>
      <c r="D1421" s="38"/>
      <c r="E1421" s="177"/>
      <c r="F1421" s="177"/>
      <c r="G1421" s="269"/>
      <c r="H1421" s="179"/>
      <c r="I1421" s="177"/>
      <c r="J1421" s="177"/>
      <c r="K1421" s="177"/>
      <c r="L1421" s="177"/>
      <c r="M1421" s="177"/>
      <c r="N1421" s="70"/>
      <c r="O1421" s="38"/>
      <c r="P1421" s="38"/>
      <c r="Q1421" s="760"/>
      <c r="R1421" s="590"/>
      <c r="S1421" s="38"/>
      <c r="T1421" s="38"/>
      <c r="U1421" s="38"/>
      <c r="V1421" s="37"/>
      <c r="W1421" s="39">
        <f>IF(AC1421="Intr",0,G1421*Definitions!$B$53)</f>
        <v>0</v>
      </c>
      <c r="X1421" s="39">
        <f>IF(AC1421="Intr",0,G1421*Definitions!$B$54)</f>
        <v>0</v>
      </c>
      <c r="Y1421" s="39">
        <f>IF(AC1421="Intr",G1421,G1421*Definitions!$B$55)</f>
        <v>0</v>
      </c>
      <c r="Z1421" s="39"/>
      <c r="AA1421" s="39"/>
      <c r="AB1421" s="39"/>
      <c r="AC1421" s="38"/>
      <c r="AD1421" s="38"/>
      <c r="AE1421" s="38"/>
      <c r="AF1421" s="38"/>
      <c r="AG1421" s="40"/>
      <c r="AH1421" s="38"/>
    </row>
    <row r="1422" spans="1:34" x14ac:dyDescent="0.2">
      <c r="A1422" s="38"/>
      <c r="B1422" s="38"/>
      <c r="C1422" s="38"/>
      <c r="D1422" s="38"/>
      <c r="E1422" s="177"/>
      <c r="F1422" s="177"/>
      <c r="G1422" s="269"/>
      <c r="H1422" s="179"/>
      <c r="I1422" s="177"/>
      <c r="J1422" s="177"/>
      <c r="K1422" s="177"/>
      <c r="L1422" s="177"/>
      <c r="M1422" s="177"/>
      <c r="N1422" s="70"/>
      <c r="O1422" s="38"/>
      <c r="P1422" s="38"/>
      <c r="Q1422" s="760"/>
      <c r="R1422" s="590"/>
      <c r="S1422" s="38"/>
      <c r="T1422" s="38"/>
      <c r="U1422" s="38"/>
      <c r="V1422" s="37"/>
      <c r="W1422" s="39">
        <f>IF(AC1422="Intr",0,G1422*Definitions!$B$53)</f>
        <v>0</v>
      </c>
      <c r="X1422" s="39">
        <f>IF(AC1422="Intr",0,G1422*Definitions!$B$54)</f>
        <v>0</v>
      </c>
      <c r="Y1422" s="39">
        <f>IF(AC1422="Intr",G1422,G1422*Definitions!$B$55)</f>
        <v>0</v>
      </c>
      <c r="Z1422" s="39"/>
      <c r="AA1422" s="39"/>
      <c r="AB1422" s="39"/>
      <c r="AC1422" s="38"/>
      <c r="AD1422" s="38"/>
      <c r="AE1422" s="38"/>
      <c r="AF1422" s="38"/>
      <c r="AG1422" s="40"/>
      <c r="AH1422" s="38"/>
    </row>
    <row r="1423" spans="1:34" x14ac:dyDescent="0.2">
      <c r="A1423" s="38"/>
      <c r="B1423" s="38"/>
      <c r="C1423" s="38"/>
      <c r="D1423" s="38"/>
      <c r="E1423" s="177"/>
      <c r="F1423" s="177"/>
      <c r="G1423" s="269"/>
      <c r="H1423" s="179"/>
      <c r="I1423" s="177"/>
      <c r="J1423" s="177"/>
      <c r="K1423" s="177"/>
      <c r="L1423" s="177"/>
      <c r="M1423" s="177"/>
      <c r="N1423" s="70"/>
      <c r="O1423" s="38"/>
      <c r="P1423" s="38"/>
      <c r="Q1423" s="760"/>
      <c r="R1423" s="590"/>
      <c r="S1423" s="38"/>
      <c r="T1423" s="38"/>
      <c r="U1423" s="38"/>
      <c r="V1423" s="37"/>
      <c r="W1423" s="39">
        <f>IF(AC1423="Intr",0,G1423*Definitions!$B$53)</f>
        <v>0</v>
      </c>
      <c r="X1423" s="39">
        <f>IF(AC1423="Intr",0,G1423*Definitions!$B$54)</f>
        <v>0</v>
      </c>
      <c r="Y1423" s="39">
        <f>IF(AC1423="Intr",G1423,G1423*Definitions!$B$55)</f>
        <v>0</v>
      </c>
      <c r="Z1423" s="39"/>
      <c r="AA1423" s="39"/>
      <c r="AB1423" s="39"/>
      <c r="AC1423" s="38"/>
      <c r="AD1423" s="38"/>
      <c r="AE1423" s="38"/>
      <c r="AF1423" s="38"/>
      <c r="AG1423" s="40"/>
      <c r="AH1423" s="38"/>
    </row>
    <row r="1424" spans="1:34" x14ac:dyDescent="0.2">
      <c r="A1424" s="38"/>
      <c r="B1424" s="38"/>
      <c r="C1424" s="38"/>
      <c r="D1424" s="38"/>
      <c r="E1424" s="177"/>
      <c r="F1424" s="177"/>
      <c r="G1424" s="269"/>
      <c r="H1424" s="179"/>
      <c r="I1424" s="177"/>
      <c r="J1424" s="177"/>
      <c r="K1424" s="177"/>
      <c r="L1424" s="177"/>
      <c r="M1424" s="177"/>
      <c r="N1424" s="70"/>
      <c r="O1424" s="38"/>
      <c r="P1424" s="38"/>
      <c r="Q1424" s="760"/>
      <c r="R1424" s="590"/>
      <c r="S1424" s="38"/>
      <c r="T1424" s="38"/>
      <c r="U1424" s="38"/>
      <c r="V1424" s="37"/>
      <c r="W1424" s="39">
        <f>IF(AC1424="Intr",0,G1424*Definitions!$B$53)</f>
        <v>0</v>
      </c>
      <c r="X1424" s="39">
        <f>IF(AC1424="Intr",0,G1424*Definitions!$B$54)</f>
        <v>0</v>
      </c>
      <c r="Y1424" s="39">
        <f>IF(AC1424="Intr",G1424,G1424*Definitions!$B$55)</f>
        <v>0</v>
      </c>
      <c r="Z1424" s="39"/>
      <c r="AA1424" s="39"/>
      <c r="AB1424" s="39"/>
      <c r="AC1424" s="38"/>
      <c r="AD1424" s="38"/>
      <c r="AE1424" s="38"/>
      <c r="AF1424" s="38"/>
      <c r="AG1424" s="40"/>
      <c r="AH1424" s="38"/>
    </row>
    <row r="1425" spans="1:34" x14ac:dyDescent="0.2">
      <c r="A1425" s="38"/>
      <c r="B1425" s="38"/>
      <c r="C1425" s="38"/>
      <c r="D1425" s="38"/>
      <c r="E1425" s="177"/>
      <c r="F1425" s="177"/>
      <c r="G1425" s="269"/>
      <c r="H1425" s="179"/>
      <c r="I1425" s="177"/>
      <c r="J1425" s="177"/>
      <c r="K1425" s="177"/>
      <c r="L1425" s="177"/>
      <c r="M1425" s="177"/>
      <c r="N1425" s="70"/>
      <c r="O1425" s="38"/>
      <c r="P1425" s="38"/>
      <c r="Q1425" s="760"/>
      <c r="R1425" s="590"/>
      <c r="S1425" s="38"/>
      <c r="T1425" s="38"/>
      <c r="U1425" s="38"/>
      <c r="V1425" s="37"/>
      <c r="W1425" s="39">
        <f>IF(AC1425="Intr",0,G1425*Definitions!$B$53)</f>
        <v>0</v>
      </c>
      <c r="X1425" s="39">
        <f>IF(AC1425="Intr",0,G1425*Definitions!$B$54)</f>
        <v>0</v>
      </c>
      <c r="Y1425" s="39">
        <f>IF(AC1425="Intr",G1425,G1425*Definitions!$B$55)</f>
        <v>0</v>
      </c>
      <c r="Z1425" s="39"/>
      <c r="AA1425" s="39"/>
      <c r="AB1425" s="39"/>
      <c r="AC1425" s="38"/>
      <c r="AD1425" s="38"/>
      <c r="AE1425" s="38"/>
      <c r="AF1425" s="38"/>
      <c r="AG1425" s="40"/>
      <c r="AH1425" s="38"/>
    </row>
    <row r="1426" spans="1:34" x14ac:dyDescent="0.2">
      <c r="A1426" s="38"/>
      <c r="B1426" s="38"/>
      <c r="C1426" s="38"/>
      <c r="D1426" s="38"/>
      <c r="E1426" s="177"/>
      <c r="F1426" s="177"/>
      <c r="G1426" s="269"/>
      <c r="H1426" s="179"/>
      <c r="I1426" s="177"/>
      <c r="J1426" s="177"/>
      <c r="K1426" s="177"/>
      <c r="L1426" s="177"/>
      <c r="M1426" s="177"/>
      <c r="N1426" s="70"/>
      <c r="O1426" s="38"/>
      <c r="P1426" s="38"/>
      <c r="Q1426" s="760"/>
      <c r="R1426" s="590"/>
      <c r="S1426" s="38"/>
      <c r="T1426" s="38"/>
      <c r="U1426" s="38"/>
      <c r="V1426" s="37"/>
      <c r="W1426" s="39">
        <f>IF(AC1426="Intr",0,G1426*Definitions!$B$53)</f>
        <v>0</v>
      </c>
      <c r="X1426" s="39">
        <f>IF(AC1426="Intr",0,G1426*Definitions!$B$54)</f>
        <v>0</v>
      </c>
      <c r="Y1426" s="39">
        <f>IF(AC1426="Intr",G1426,G1426*Definitions!$B$55)</f>
        <v>0</v>
      </c>
      <c r="Z1426" s="39"/>
      <c r="AA1426" s="39"/>
      <c r="AB1426" s="39"/>
      <c r="AC1426" s="38"/>
      <c r="AD1426" s="38"/>
      <c r="AE1426" s="38"/>
      <c r="AF1426" s="38"/>
      <c r="AG1426" s="40"/>
      <c r="AH1426" s="38"/>
    </row>
    <row r="1427" spans="1:34" x14ac:dyDescent="0.2">
      <c r="A1427" s="38"/>
      <c r="B1427" s="38"/>
      <c r="C1427" s="38"/>
      <c r="D1427" s="38"/>
      <c r="E1427" s="177"/>
      <c r="F1427" s="177"/>
      <c r="G1427" s="269"/>
      <c r="H1427" s="179"/>
      <c r="I1427" s="177"/>
      <c r="J1427" s="177"/>
      <c r="K1427" s="177"/>
      <c r="L1427" s="177"/>
      <c r="M1427" s="177"/>
      <c r="N1427" s="70"/>
      <c r="O1427" s="38"/>
      <c r="P1427" s="38"/>
      <c r="Q1427" s="760"/>
      <c r="R1427" s="590"/>
      <c r="S1427" s="38"/>
      <c r="T1427" s="38"/>
      <c r="U1427" s="38"/>
      <c r="V1427" s="37"/>
      <c r="W1427" s="39">
        <f>IF(AC1427="Intr",0,G1427*Definitions!$B$53)</f>
        <v>0</v>
      </c>
      <c r="X1427" s="39">
        <f>IF(AC1427="Intr",0,G1427*Definitions!$B$54)</f>
        <v>0</v>
      </c>
      <c r="Y1427" s="39">
        <f>IF(AC1427="Intr",G1427,G1427*Definitions!$B$55)</f>
        <v>0</v>
      </c>
      <c r="Z1427" s="39"/>
      <c r="AA1427" s="39"/>
      <c r="AB1427" s="39"/>
      <c r="AC1427" s="38"/>
      <c r="AD1427" s="38"/>
      <c r="AE1427" s="38"/>
      <c r="AF1427" s="38"/>
      <c r="AG1427" s="40"/>
      <c r="AH1427" s="38"/>
    </row>
    <row r="1428" spans="1:34" x14ac:dyDescent="0.2">
      <c r="A1428" s="38"/>
      <c r="B1428" s="38"/>
      <c r="C1428" s="38"/>
      <c r="D1428" s="38"/>
      <c r="E1428" s="177"/>
      <c r="F1428" s="177"/>
      <c r="G1428" s="269"/>
      <c r="H1428" s="179"/>
      <c r="I1428" s="177"/>
      <c r="J1428" s="177"/>
      <c r="K1428" s="177"/>
      <c r="L1428" s="177"/>
      <c r="M1428" s="177"/>
      <c r="N1428" s="70"/>
      <c r="O1428" s="38"/>
      <c r="P1428" s="38"/>
      <c r="Q1428" s="760"/>
      <c r="R1428" s="590"/>
      <c r="S1428" s="38"/>
      <c r="T1428" s="38"/>
      <c r="U1428" s="38"/>
      <c r="V1428" s="37"/>
      <c r="W1428" s="39">
        <f>IF(AC1428="Intr",0,G1428*Definitions!$B$53)</f>
        <v>0</v>
      </c>
      <c r="X1428" s="39">
        <f>IF(AC1428="Intr",0,G1428*Definitions!$B$54)</f>
        <v>0</v>
      </c>
      <c r="Y1428" s="39">
        <f>IF(AC1428="Intr",G1428,G1428*Definitions!$B$55)</f>
        <v>0</v>
      </c>
      <c r="Z1428" s="39"/>
      <c r="AA1428" s="39"/>
      <c r="AB1428" s="39"/>
      <c r="AC1428" s="38"/>
      <c r="AD1428" s="38"/>
      <c r="AE1428" s="38"/>
      <c r="AF1428" s="38"/>
      <c r="AG1428" s="40"/>
      <c r="AH1428" s="38"/>
    </row>
    <row r="1429" spans="1:34" x14ac:dyDescent="0.2">
      <c r="A1429" s="38"/>
      <c r="B1429" s="38"/>
      <c r="C1429" s="38"/>
      <c r="D1429" s="38"/>
      <c r="E1429" s="177"/>
      <c r="F1429" s="177"/>
      <c r="G1429" s="269"/>
      <c r="H1429" s="179"/>
      <c r="I1429" s="177"/>
      <c r="J1429" s="177"/>
      <c r="K1429" s="177"/>
      <c r="L1429" s="177"/>
      <c r="M1429" s="177"/>
      <c r="N1429" s="70"/>
      <c r="O1429" s="38"/>
      <c r="P1429" s="38"/>
      <c r="Q1429" s="760"/>
      <c r="R1429" s="590"/>
      <c r="S1429" s="38"/>
      <c r="T1429" s="38"/>
      <c r="U1429" s="38"/>
      <c r="V1429" s="37"/>
      <c r="W1429" s="39">
        <f>IF(AC1429="Intr",0,G1429*Definitions!$B$53)</f>
        <v>0</v>
      </c>
      <c r="X1429" s="39">
        <f>IF(AC1429="Intr",0,G1429*Definitions!$B$54)</f>
        <v>0</v>
      </c>
      <c r="Y1429" s="39">
        <f>IF(AC1429="Intr",G1429,G1429*Definitions!$B$55)</f>
        <v>0</v>
      </c>
      <c r="Z1429" s="39"/>
      <c r="AA1429" s="39"/>
      <c r="AB1429" s="39"/>
      <c r="AC1429" s="38"/>
      <c r="AD1429" s="38"/>
      <c r="AE1429" s="38"/>
      <c r="AF1429" s="38"/>
      <c r="AG1429" s="40"/>
      <c r="AH1429" s="38"/>
    </row>
    <row r="1430" spans="1:34" x14ac:dyDescent="0.2">
      <c r="A1430" s="38"/>
      <c r="B1430" s="38"/>
      <c r="C1430" s="38"/>
      <c r="D1430" s="38"/>
      <c r="E1430" s="177"/>
      <c r="F1430" s="177"/>
      <c r="G1430" s="269"/>
      <c r="H1430" s="179"/>
      <c r="I1430" s="177"/>
      <c r="J1430" s="177"/>
      <c r="K1430" s="177"/>
      <c r="L1430" s="177"/>
      <c r="M1430" s="177"/>
      <c r="N1430" s="70"/>
      <c r="O1430" s="38"/>
      <c r="P1430" s="38"/>
      <c r="Q1430" s="760"/>
      <c r="R1430" s="590"/>
      <c r="S1430" s="38"/>
      <c r="T1430" s="38"/>
      <c r="U1430" s="38"/>
      <c r="V1430" s="37"/>
      <c r="W1430" s="39">
        <f>IF(AC1430="Intr",0,G1430*Definitions!$B$53)</f>
        <v>0</v>
      </c>
      <c r="X1430" s="39">
        <f>IF(AC1430="Intr",0,G1430*Definitions!$B$54)</f>
        <v>0</v>
      </c>
      <c r="Y1430" s="39">
        <f>IF(AC1430="Intr",G1430,G1430*Definitions!$B$55)</f>
        <v>0</v>
      </c>
      <c r="Z1430" s="39"/>
      <c r="AA1430" s="39"/>
      <c r="AB1430" s="39"/>
      <c r="AC1430" s="38"/>
      <c r="AD1430" s="38"/>
      <c r="AE1430" s="38"/>
      <c r="AF1430" s="38"/>
      <c r="AG1430" s="40"/>
      <c r="AH1430" s="38"/>
    </row>
    <row r="1431" spans="1:34" x14ac:dyDescent="0.2">
      <c r="A1431" s="38"/>
      <c r="B1431" s="38"/>
      <c r="C1431" s="38"/>
      <c r="D1431" s="38"/>
      <c r="E1431" s="177"/>
      <c r="F1431" s="177"/>
      <c r="G1431" s="269"/>
      <c r="H1431" s="179"/>
      <c r="I1431" s="177"/>
      <c r="J1431" s="177"/>
      <c r="K1431" s="177"/>
      <c r="L1431" s="177"/>
      <c r="M1431" s="177"/>
      <c r="N1431" s="70"/>
      <c r="O1431" s="38"/>
      <c r="P1431" s="38"/>
      <c r="Q1431" s="760"/>
      <c r="R1431" s="590"/>
      <c r="S1431" s="38"/>
      <c r="T1431" s="38"/>
      <c r="U1431" s="38"/>
      <c r="V1431" s="37"/>
      <c r="W1431" s="39">
        <f>IF(AC1431="Intr",0,G1431*Definitions!$B$53)</f>
        <v>0</v>
      </c>
      <c r="X1431" s="39">
        <f>IF(AC1431="Intr",0,G1431*Definitions!$B$54)</f>
        <v>0</v>
      </c>
      <c r="Y1431" s="39">
        <f>IF(AC1431="Intr",G1431,G1431*Definitions!$B$55)</f>
        <v>0</v>
      </c>
      <c r="Z1431" s="39"/>
      <c r="AA1431" s="39"/>
      <c r="AB1431" s="39"/>
      <c r="AC1431" s="38"/>
      <c r="AD1431" s="38"/>
      <c r="AE1431" s="38"/>
      <c r="AF1431" s="38"/>
      <c r="AG1431" s="40"/>
      <c r="AH1431" s="38"/>
    </row>
    <row r="1432" spans="1:34" x14ac:dyDescent="0.2">
      <c r="A1432" s="38"/>
      <c r="B1432" s="38"/>
      <c r="C1432" s="38"/>
      <c r="D1432" s="38"/>
      <c r="E1432" s="177"/>
      <c r="F1432" s="177"/>
      <c r="G1432" s="269"/>
      <c r="H1432" s="179"/>
      <c r="I1432" s="177"/>
      <c r="J1432" s="177"/>
      <c r="K1432" s="177"/>
      <c r="L1432" s="177"/>
      <c r="M1432" s="177"/>
      <c r="N1432" s="70"/>
      <c r="O1432" s="38"/>
      <c r="P1432" s="38"/>
      <c r="Q1432" s="760"/>
      <c r="R1432" s="590"/>
      <c r="S1432" s="38"/>
      <c r="T1432" s="38"/>
      <c r="U1432" s="38"/>
      <c r="V1432" s="37"/>
      <c r="W1432" s="39">
        <f>IF(AC1432="Intr",0,G1432*Definitions!$B$53)</f>
        <v>0</v>
      </c>
      <c r="X1432" s="39">
        <f>IF(AC1432="Intr",0,G1432*Definitions!$B$54)</f>
        <v>0</v>
      </c>
      <c r="Y1432" s="39">
        <f>IF(AC1432="Intr",G1432,G1432*Definitions!$B$55)</f>
        <v>0</v>
      </c>
      <c r="Z1432" s="39"/>
      <c r="AA1432" s="39"/>
      <c r="AB1432" s="39"/>
      <c r="AC1432" s="38"/>
      <c r="AD1432" s="38"/>
      <c r="AE1432" s="38"/>
      <c r="AF1432" s="38"/>
      <c r="AG1432" s="40"/>
      <c r="AH1432" s="38"/>
    </row>
    <row r="1433" spans="1:34" x14ac:dyDescent="0.2">
      <c r="A1433" s="38"/>
      <c r="B1433" s="38"/>
      <c r="C1433" s="38"/>
      <c r="D1433" s="38"/>
      <c r="E1433" s="177"/>
      <c r="F1433" s="177"/>
      <c r="G1433" s="269"/>
      <c r="H1433" s="179"/>
      <c r="I1433" s="177"/>
      <c r="J1433" s="177"/>
      <c r="K1433" s="177"/>
      <c r="L1433" s="177"/>
      <c r="M1433" s="177"/>
      <c r="N1433" s="70"/>
      <c r="O1433" s="38"/>
      <c r="P1433" s="38"/>
      <c r="Q1433" s="760"/>
      <c r="R1433" s="590"/>
      <c r="S1433" s="38"/>
      <c r="T1433" s="38"/>
      <c r="U1433" s="38"/>
      <c r="V1433" s="37"/>
      <c r="W1433" s="39">
        <f>IF(AC1433="Intr",0,G1433*Definitions!$B$53)</f>
        <v>0</v>
      </c>
      <c r="X1433" s="39">
        <f>IF(AC1433="Intr",0,G1433*Definitions!$B$54)</f>
        <v>0</v>
      </c>
      <c r="Y1433" s="39">
        <f>IF(AC1433="Intr",G1433,G1433*Definitions!$B$55)</f>
        <v>0</v>
      </c>
      <c r="Z1433" s="39"/>
      <c r="AA1433" s="39"/>
      <c r="AB1433" s="39"/>
      <c r="AC1433" s="38"/>
      <c r="AD1433" s="38"/>
      <c r="AE1433" s="38"/>
      <c r="AF1433" s="38"/>
      <c r="AG1433" s="40"/>
      <c r="AH1433" s="38"/>
    </row>
    <row r="1434" spans="1:34" x14ac:dyDescent="0.2">
      <c r="A1434" s="38"/>
      <c r="B1434" s="38"/>
      <c r="C1434" s="38"/>
      <c r="D1434" s="38"/>
      <c r="E1434" s="177"/>
      <c r="F1434" s="177"/>
      <c r="G1434" s="269"/>
      <c r="H1434" s="179"/>
      <c r="I1434" s="177"/>
      <c r="J1434" s="177"/>
      <c r="K1434" s="177"/>
      <c r="L1434" s="177"/>
      <c r="M1434" s="177"/>
      <c r="N1434" s="70"/>
      <c r="O1434" s="38"/>
      <c r="P1434" s="38"/>
      <c r="Q1434" s="760"/>
      <c r="R1434" s="590"/>
      <c r="S1434" s="38"/>
      <c r="T1434" s="38"/>
      <c r="U1434" s="38"/>
      <c r="V1434" s="37"/>
      <c r="W1434" s="39">
        <f>IF(AC1434="Intr",0,G1434*Definitions!$B$53)</f>
        <v>0</v>
      </c>
      <c r="X1434" s="39">
        <f>IF(AC1434="Intr",0,G1434*Definitions!$B$54)</f>
        <v>0</v>
      </c>
      <c r="Y1434" s="39">
        <f>IF(AC1434="Intr",G1434,G1434*Definitions!$B$55)</f>
        <v>0</v>
      </c>
      <c r="Z1434" s="39"/>
      <c r="AA1434" s="39"/>
      <c r="AB1434" s="39"/>
      <c r="AC1434" s="38"/>
      <c r="AD1434" s="38"/>
      <c r="AE1434" s="38"/>
      <c r="AF1434" s="38"/>
      <c r="AG1434" s="40"/>
      <c r="AH1434" s="38"/>
    </row>
    <row r="1435" spans="1:34" x14ac:dyDescent="0.2">
      <c r="A1435" s="38"/>
      <c r="B1435" s="38"/>
      <c r="C1435" s="38"/>
      <c r="D1435" s="38"/>
      <c r="E1435" s="177"/>
      <c r="F1435" s="177"/>
      <c r="G1435" s="269"/>
      <c r="H1435" s="179"/>
      <c r="I1435" s="177"/>
      <c r="J1435" s="177"/>
      <c r="K1435" s="177"/>
      <c r="L1435" s="177"/>
      <c r="M1435" s="177"/>
      <c r="N1435" s="70"/>
      <c r="O1435" s="38"/>
      <c r="P1435" s="38"/>
      <c r="Q1435" s="760"/>
      <c r="R1435" s="590"/>
      <c r="S1435" s="38"/>
      <c r="T1435" s="38"/>
      <c r="U1435" s="38"/>
      <c r="V1435" s="37"/>
      <c r="W1435" s="39">
        <f>IF(AC1435="Intr",0,G1435*Definitions!$B$53)</f>
        <v>0</v>
      </c>
      <c r="X1435" s="39">
        <f>IF(AC1435="Intr",0,G1435*Definitions!$B$54)</f>
        <v>0</v>
      </c>
      <c r="Y1435" s="39">
        <f>IF(AC1435="Intr",G1435,G1435*Definitions!$B$55)</f>
        <v>0</v>
      </c>
      <c r="Z1435" s="39"/>
      <c r="AA1435" s="39"/>
      <c r="AB1435" s="39"/>
      <c r="AC1435" s="38"/>
      <c r="AD1435" s="38"/>
      <c r="AE1435" s="38"/>
      <c r="AF1435" s="38"/>
      <c r="AG1435" s="40"/>
      <c r="AH1435" s="38"/>
    </row>
    <row r="1436" spans="1:34" x14ac:dyDescent="0.2">
      <c r="A1436" s="38"/>
      <c r="B1436" s="38"/>
      <c r="C1436" s="38"/>
      <c r="D1436" s="38"/>
      <c r="E1436" s="177"/>
      <c r="F1436" s="177"/>
      <c r="G1436" s="269"/>
      <c r="H1436" s="179"/>
      <c r="I1436" s="177"/>
      <c r="J1436" s="177"/>
      <c r="K1436" s="177"/>
      <c r="L1436" s="177"/>
      <c r="M1436" s="177"/>
      <c r="N1436" s="70"/>
      <c r="O1436" s="38"/>
      <c r="P1436" s="38"/>
      <c r="Q1436" s="760"/>
      <c r="R1436" s="590"/>
      <c r="S1436" s="38"/>
      <c r="T1436" s="38"/>
      <c r="U1436" s="38"/>
      <c r="V1436" s="37"/>
      <c r="W1436" s="39">
        <f>IF(AC1436="Intr",0,G1436*Definitions!$B$53)</f>
        <v>0</v>
      </c>
      <c r="X1436" s="39">
        <f>IF(AC1436="Intr",0,G1436*Definitions!$B$54)</f>
        <v>0</v>
      </c>
      <c r="Y1436" s="39">
        <f>IF(AC1436="Intr",G1436,G1436*Definitions!$B$55)</f>
        <v>0</v>
      </c>
      <c r="Z1436" s="39"/>
      <c r="AA1436" s="39"/>
      <c r="AB1436" s="39"/>
      <c r="AC1436" s="38"/>
      <c r="AD1436" s="38"/>
      <c r="AE1436" s="38"/>
      <c r="AF1436" s="38"/>
      <c r="AG1436" s="40"/>
      <c r="AH1436" s="38"/>
    </row>
    <row r="1437" spans="1:34" x14ac:dyDescent="0.2">
      <c r="A1437" s="38"/>
      <c r="B1437" s="38"/>
      <c r="C1437" s="38"/>
      <c r="D1437" s="38"/>
      <c r="E1437" s="177"/>
      <c r="F1437" s="177"/>
      <c r="G1437" s="269"/>
      <c r="H1437" s="179"/>
      <c r="I1437" s="177"/>
      <c r="J1437" s="177"/>
      <c r="K1437" s="177"/>
      <c r="L1437" s="177"/>
      <c r="M1437" s="177"/>
      <c r="N1437" s="70"/>
      <c r="O1437" s="38"/>
      <c r="P1437" s="38"/>
      <c r="Q1437" s="760"/>
      <c r="R1437" s="590"/>
      <c r="S1437" s="38"/>
      <c r="T1437" s="38"/>
      <c r="U1437" s="38"/>
      <c r="V1437" s="37"/>
      <c r="W1437" s="39">
        <f>IF(AC1437="Intr",0,G1437*Definitions!$B$53)</f>
        <v>0</v>
      </c>
      <c r="X1437" s="39">
        <f>IF(AC1437="Intr",0,G1437*Definitions!$B$54)</f>
        <v>0</v>
      </c>
      <c r="Y1437" s="39">
        <f>IF(AC1437="Intr",G1437,G1437*Definitions!$B$55)</f>
        <v>0</v>
      </c>
      <c r="Z1437" s="39"/>
      <c r="AA1437" s="39"/>
      <c r="AB1437" s="39"/>
      <c r="AC1437" s="38"/>
      <c r="AD1437" s="38"/>
      <c r="AE1437" s="38"/>
      <c r="AF1437" s="38"/>
      <c r="AG1437" s="40"/>
      <c r="AH1437" s="38"/>
    </row>
    <row r="1438" spans="1:34" x14ac:dyDescent="0.2">
      <c r="A1438" s="38"/>
      <c r="B1438" s="38"/>
      <c r="C1438" s="38"/>
      <c r="D1438" s="38"/>
      <c r="E1438" s="177"/>
      <c r="F1438" s="177"/>
      <c r="G1438" s="269"/>
      <c r="H1438" s="179"/>
      <c r="I1438" s="177"/>
      <c r="J1438" s="177"/>
      <c r="K1438" s="177"/>
      <c r="L1438" s="177"/>
      <c r="M1438" s="177"/>
      <c r="N1438" s="70"/>
      <c r="O1438" s="38"/>
      <c r="P1438" s="38"/>
      <c r="Q1438" s="760"/>
      <c r="R1438" s="590"/>
      <c r="S1438" s="38"/>
      <c r="T1438" s="38"/>
      <c r="U1438" s="38"/>
      <c r="V1438" s="37"/>
      <c r="W1438" s="39">
        <f>IF(AC1438="Intr",0,G1438*Definitions!$B$53)</f>
        <v>0</v>
      </c>
      <c r="X1438" s="39">
        <f>IF(AC1438="Intr",0,G1438*Definitions!$B$54)</f>
        <v>0</v>
      </c>
      <c r="Y1438" s="39">
        <f>IF(AC1438="Intr",G1438,G1438*Definitions!$B$55)</f>
        <v>0</v>
      </c>
      <c r="Z1438" s="39"/>
      <c r="AA1438" s="39"/>
      <c r="AB1438" s="39"/>
      <c r="AC1438" s="38"/>
      <c r="AD1438" s="38"/>
      <c r="AE1438" s="38"/>
      <c r="AF1438" s="38"/>
      <c r="AG1438" s="40"/>
      <c r="AH1438" s="38"/>
    </row>
    <row r="1439" spans="1:34" x14ac:dyDescent="0.2">
      <c r="A1439" s="38"/>
      <c r="B1439" s="38"/>
      <c r="C1439" s="38"/>
      <c r="D1439" s="38"/>
      <c r="E1439" s="177"/>
      <c r="F1439" s="177"/>
      <c r="G1439" s="269"/>
      <c r="H1439" s="179"/>
      <c r="I1439" s="177"/>
      <c r="J1439" s="177"/>
      <c r="K1439" s="177"/>
      <c r="L1439" s="177"/>
      <c r="M1439" s="177"/>
      <c r="N1439" s="70"/>
      <c r="O1439" s="38"/>
      <c r="P1439" s="38"/>
      <c r="Q1439" s="760"/>
      <c r="R1439" s="590"/>
      <c r="S1439" s="38"/>
      <c r="T1439" s="38"/>
      <c r="U1439" s="38"/>
      <c r="V1439" s="37"/>
      <c r="W1439" s="39">
        <f>IF(AC1439="Intr",0,G1439*Definitions!$B$53)</f>
        <v>0</v>
      </c>
      <c r="X1439" s="39">
        <f>IF(AC1439="Intr",0,G1439*Definitions!$B$54)</f>
        <v>0</v>
      </c>
      <c r="Y1439" s="39">
        <f>IF(AC1439="Intr",G1439,G1439*Definitions!$B$55)</f>
        <v>0</v>
      </c>
      <c r="Z1439" s="39"/>
      <c r="AA1439" s="39"/>
      <c r="AB1439" s="39"/>
      <c r="AC1439" s="38"/>
      <c r="AD1439" s="38"/>
      <c r="AE1439" s="38"/>
      <c r="AF1439" s="38"/>
      <c r="AG1439" s="40"/>
      <c r="AH1439" s="38"/>
    </row>
    <row r="1440" spans="1:34" x14ac:dyDescent="0.2">
      <c r="A1440" s="38"/>
      <c r="B1440" s="38"/>
      <c r="C1440" s="38"/>
      <c r="D1440" s="38"/>
      <c r="E1440" s="177"/>
      <c r="F1440" s="177"/>
      <c r="G1440" s="269"/>
      <c r="H1440" s="179"/>
      <c r="I1440" s="177"/>
      <c r="J1440" s="177"/>
      <c r="K1440" s="177"/>
      <c r="L1440" s="177"/>
      <c r="M1440" s="177"/>
      <c r="N1440" s="70"/>
      <c r="O1440" s="38"/>
      <c r="P1440" s="38"/>
      <c r="Q1440" s="760"/>
      <c r="R1440" s="590"/>
      <c r="S1440" s="38"/>
      <c r="T1440" s="38"/>
      <c r="U1440" s="38"/>
      <c r="V1440" s="37"/>
      <c r="W1440" s="39">
        <f>IF(AC1440="Intr",0,G1440*Definitions!$B$53)</f>
        <v>0</v>
      </c>
      <c r="X1440" s="39">
        <f>IF(AC1440="Intr",0,G1440*Definitions!$B$54)</f>
        <v>0</v>
      </c>
      <c r="Y1440" s="39">
        <f>IF(AC1440="Intr",G1440,G1440*Definitions!$B$55)</f>
        <v>0</v>
      </c>
      <c r="Z1440" s="39"/>
      <c r="AA1440" s="39"/>
      <c r="AB1440" s="39"/>
      <c r="AC1440" s="38"/>
      <c r="AD1440" s="38"/>
      <c r="AE1440" s="38"/>
      <c r="AF1440" s="38"/>
      <c r="AG1440" s="40"/>
      <c r="AH1440" s="38"/>
    </row>
    <row r="1441" spans="1:34" x14ac:dyDescent="0.2">
      <c r="A1441" s="38"/>
      <c r="B1441" s="38"/>
      <c r="C1441" s="38"/>
      <c r="D1441" s="38"/>
      <c r="E1441" s="177"/>
      <c r="F1441" s="177"/>
      <c r="G1441" s="269"/>
      <c r="H1441" s="179"/>
      <c r="I1441" s="177"/>
      <c r="J1441" s="177"/>
      <c r="K1441" s="177"/>
      <c r="L1441" s="177"/>
      <c r="M1441" s="177"/>
      <c r="N1441" s="70"/>
      <c r="O1441" s="38"/>
      <c r="P1441" s="38"/>
      <c r="Q1441" s="760"/>
      <c r="R1441" s="590"/>
      <c r="S1441" s="38"/>
      <c r="T1441" s="38"/>
      <c r="U1441" s="38"/>
      <c r="V1441" s="37"/>
      <c r="W1441" s="39">
        <f>IF(AC1441="Intr",0,G1441*Definitions!$B$53)</f>
        <v>0</v>
      </c>
      <c r="X1441" s="39">
        <f>IF(AC1441="Intr",0,G1441*Definitions!$B$54)</f>
        <v>0</v>
      </c>
      <c r="Y1441" s="39">
        <f>IF(AC1441="Intr",G1441,G1441*Definitions!$B$55)</f>
        <v>0</v>
      </c>
      <c r="Z1441" s="39"/>
      <c r="AA1441" s="39"/>
      <c r="AB1441" s="39"/>
      <c r="AC1441" s="38"/>
      <c r="AD1441" s="38"/>
      <c r="AE1441" s="38"/>
      <c r="AF1441" s="38"/>
      <c r="AG1441" s="40"/>
      <c r="AH1441" s="38"/>
    </row>
    <row r="1442" spans="1:34" x14ac:dyDescent="0.2">
      <c r="A1442" s="38"/>
      <c r="B1442" s="38"/>
      <c r="C1442" s="38"/>
      <c r="D1442" s="38"/>
      <c r="E1442" s="177"/>
      <c r="F1442" s="177"/>
      <c r="G1442" s="269"/>
      <c r="H1442" s="179"/>
      <c r="I1442" s="177"/>
      <c r="J1442" s="177"/>
      <c r="K1442" s="177"/>
      <c r="L1442" s="177"/>
      <c r="M1442" s="177"/>
      <c r="N1442" s="70"/>
      <c r="O1442" s="38"/>
      <c r="P1442" s="38"/>
      <c r="Q1442" s="760"/>
      <c r="R1442" s="590"/>
      <c r="S1442" s="38"/>
      <c r="T1442" s="38"/>
      <c r="U1442" s="38"/>
      <c r="V1442" s="37"/>
      <c r="W1442" s="39">
        <f>IF(AC1442="Intr",0,G1442*Definitions!$B$53)</f>
        <v>0</v>
      </c>
      <c r="X1442" s="39">
        <f>IF(AC1442="Intr",0,G1442*Definitions!$B$54)</f>
        <v>0</v>
      </c>
      <c r="Y1442" s="39">
        <f>IF(AC1442="Intr",G1442,G1442*Definitions!$B$55)</f>
        <v>0</v>
      </c>
      <c r="Z1442" s="39"/>
      <c r="AA1442" s="39"/>
      <c r="AB1442" s="39"/>
      <c r="AC1442" s="38"/>
      <c r="AD1442" s="38"/>
      <c r="AE1442" s="38"/>
      <c r="AF1442" s="38"/>
      <c r="AG1442" s="40"/>
      <c r="AH1442" s="38"/>
    </row>
    <row r="1443" spans="1:34" x14ac:dyDescent="0.2">
      <c r="A1443" s="38"/>
      <c r="B1443" s="38"/>
      <c r="C1443" s="38"/>
      <c r="D1443" s="38"/>
      <c r="E1443" s="177"/>
      <c r="F1443" s="177"/>
      <c r="G1443" s="269"/>
      <c r="H1443" s="179"/>
      <c r="I1443" s="177"/>
      <c r="J1443" s="177"/>
      <c r="K1443" s="177"/>
      <c r="L1443" s="177"/>
      <c r="M1443" s="177"/>
      <c r="N1443" s="70"/>
      <c r="O1443" s="38"/>
      <c r="P1443" s="38"/>
      <c r="Q1443" s="760"/>
      <c r="R1443" s="590"/>
      <c r="S1443" s="38"/>
      <c r="T1443" s="38"/>
      <c r="U1443" s="38"/>
      <c r="V1443" s="37"/>
      <c r="W1443" s="39">
        <f>IF(AC1443="Intr",0,G1443*Definitions!$B$53)</f>
        <v>0</v>
      </c>
      <c r="X1443" s="39">
        <f>IF(AC1443="Intr",0,G1443*Definitions!$B$54)</f>
        <v>0</v>
      </c>
      <c r="Y1443" s="39">
        <f>IF(AC1443="Intr",G1443,G1443*Definitions!$B$55)</f>
        <v>0</v>
      </c>
      <c r="Z1443" s="39"/>
      <c r="AA1443" s="39"/>
      <c r="AB1443" s="39"/>
      <c r="AC1443" s="38"/>
      <c r="AD1443" s="38"/>
      <c r="AE1443" s="38"/>
      <c r="AF1443" s="38"/>
      <c r="AG1443" s="40"/>
      <c r="AH1443" s="38"/>
    </row>
    <row r="1444" spans="1:34" x14ac:dyDescent="0.2">
      <c r="A1444" s="38"/>
      <c r="B1444" s="38"/>
      <c r="C1444" s="38"/>
      <c r="D1444" s="38"/>
      <c r="E1444" s="177"/>
      <c r="F1444" s="177"/>
      <c r="G1444" s="269"/>
      <c r="H1444" s="179"/>
      <c r="I1444" s="177"/>
      <c r="J1444" s="177"/>
      <c r="K1444" s="177"/>
      <c r="L1444" s="177"/>
      <c r="M1444" s="177"/>
      <c r="N1444" s="70"/>
      <c r="O1444" s="38"/>
      <c r="P1444" s="38"/>
      <c r="Q1444" s="760"/>
      <c r="R1444" s="590"/>
      <c r="S1444" s="38"/>
      <c r="T1444" s="38"/>
      <c r="U1444" s="38"/>
      <c r="V1444" s="37"/>
      <c r="W1444" s="39">
        <f>IF(AC1444="Intr",0,G1444*Definitions!$B$53)</f>
        <v>0</v>
      </c>
      <c r="X1444" s="39">
        <f>IF(AC1444="Intr",0,G1444*Definitions!$B$54)</f>
        <v>0</v>
      </c>
      <c r="Y1444" s="39">
        <f>IF(AC1444="Intr",G1444,G1444*Definitions!$B$55)</f>
        <v>0</v>
      </c>
      <c r="Z1444" s="39"/>
      <c r="AA1444" s="39"/>
      <c r="AB1444" s="39"/>
      <c r="AC1444" s="38"/>
      <c r="AD1444" s="38"/>
      <c r="AE1444" s="38"/>
      <c r="AF1444" s="38"/>
      <c r="AG1444" s="40"/>
      <c r="AH1444" s="38"/>
    </row>
    <row r="1445" spans="1:34" x14ac:dyDescent="0.2">
      <c r="A1445" s="38"/>
      <c r="B1445" s="38"/>
      <c r="C1445" s="38"/>
      <c r="D1445" s="38"/>
      <c r="E1445" s="177"/>
      <c r="F1445" s="177"/>
      <c r="G1445" s="269"/>
      <c r="H1445" s="179"/>
      <c r="I1445" s="177"/>
      <c r="J1445" s="177"/>
      <c r="K1445" s="177"/>
      <c r="L1445" s="177"/>
      <c r="M1445" s="177"/>
      <c r="N1445" s="70"/>
      <c r="O1445" s="38"/>
      <c r="P1445" s="38"/>
      <c r="Q1445" s="760"/>
      <c r="R1445" s="590"/>
      <c r="S1445" s="38"/>
      <c r="T1445" s="38"/>
      <c r="U1445" s="38"/>
      <c r="V1445" s="37"/>
      <c r="W1445" s="39">
        <f>IF(AC1445="Intr",0,G1445*Definitions!$B$53)</f>
        <v>0</v>
      </c>
      <c r="X1445" s="39">
        <f>IF(AC1445="Intr",0,G1445*Definitions!$B$54)</f>
        <v>0</v>
      </c>
      <c r="Y1445" s="39">
        <f>IF(AC1445="Intr",G1445,G1445*Definitions!$B$55)</f>
        <v>0</v>
      </c>
      <c r="Z1445" s="39"/>
      <c r="AA1445" s="39"/>
      <c r="AB1445" s="39"/>
      <c r="AC1445" s="38"/>
      <c r="AD1445" s="38"/>
      <c r="AE1445" s="38"/>
      <c r="AF1445" s="38"/>
      <c r="AG1445" s="40"/>
      <c r="AH1445" s="38"/>
    </row>
    <row r="1446" spans="1:34" x14ac:dyDescent="0.2">
      <c r="A1446" s="38"/>
      <c r="B1446" s="38"/>
      <c r="C1446" s="38"/>
      <c r="D1446" s="38"/>
      <c r="E1446" s="177"/>
      <c r="F1446" s="177"/>
      <c r="G1446" s="269"/>
      <c r="H1446" s="179"/>
      <c r="I1446" s="177"/>
      <c r="J1446" s="177"/>
      <c r="K1446" s="177"/>
      <c r="L1446" s="177"/>
      <c r="M1446" s="177"/>
      <c r="N1446" s="70"/>
      <c r="O1446" s="38"/>
      <c r="P1446" s="38"/>
      <c r="Q1446" s="760"/>
      <c r="R1446" s="590"/>
      <c r="S1446" s="38"/>
      <c r="T1446" s="38"/>
      <c r="U1446" s="38"/>
      <c r="V1446" s="37"/>
      <c r="W1446" s="39">
        <f>IF(AC1446="Intr",0,G1446*Definitions!$B$53)</f>
        <v>0</v>
      </c>
      <c r="X1446" s="39">
        <f>IF(AC1446="Intr",0,G1446*Definitions!$B$54)</f>
        <v>0</v>
      </c>
      <c r="Y1446" s="39">
        <f>IF(AC1446="Intr",G1446,G1446*Definitions!$B$55)</f>
        <v>0</v>
      </c>
      <c r="Z1446" s="39"/>
      <c r="AA1446" s="39"/>
      <c r="AB1446" s="39"/>
      <c r="AC1446" s="38"/>
      <c r="AD1446" s="38"/>
      <c r="AE1446" s="38"/>
      <c r="AF1446" s="38"/>
      <c r="AG1446" s="40"/>
      <c r="AH1446" s="38"/>
    </row>
    <row r="1447" spans="1:34" x14ac:dyDescent="0.2">
      <c r="A1447" s="38"/>
      <c r="B1447" s="38"/>
      <c r="C1447" s="38"/>
      <c r="D1447" s="38"/>
      <c r="E1447" s="177"/>
      <c r="F1447" s="177"/>
      <c r="G1447" s="269"/>
      <c r="H1447" s="179"/>
      <c r="I1447" s="177"/>
      <c r="J1447" s="177"/>
      <c r="K1447" s="177"/>
      <c r="L1447" s="177"/>
      <c r="M1447" s="177"/>
      <c r="N1447" s="70"/>
      <c r="O1447" s="38"/>
      <c r="P1447" s="38"/>
      <c r="Q1447" s="760"/>
      <c r="R1447" s="590"/>
      <c r="S1447" s="38"/>
      <c r="T1447" s="38"/>
      <c r="U1447" s="38"/>
      <c r="V1447" s="37"/>
      <c r="W1447" s="39">
        <f>IF(AC1447="Intr",0,G1447*Definitions!$B$53)</f>
        <v>0</v>
      </c>
      <c r="X1447" s="39">
        <f>IF(AC1447="Intr",0,G1447*Definitions!$B$54)</f>
        <v>0</v>
      </c>
      <c r="Y1447" s="39">
        <f>IF(AC1447="Intr",G1447,G1447*Definitions!$B$55)</f>
        <v>0</v>
      </c>
      <c r="Z1447" s="39"/>
      <c r="AA1447" s="39"/>
      <c r="AB1447" s="39"/>
      <c r="AC1447" s="38"/>
      <c r="AD1447" s="38"/>
      <c r="AE1447" s="38"/>
      <c r="AF1447" s="38"/>
      <c r="AG1447" s="40"/>
      <c r="AH1447" s="38"/>
    </row>
    <row r="1448" spans="1:34" x14ac:dyDescent="0.2">
      <c r="A1448" s="38"/>
      <c r="B1448" s="38"/>
      <c r="C1448" s="38"/>
      <c r="D1448" s="38"/>
      <c r="E1448" s="177"/>
      <c r="F1448" s="177"/>
      <c r="G1448" s="269"/>
      <c r="H1448" s="179"/>
      <c r="I1448" s="177"/>
      <c r="J1448" s="177"/>
      <c r="K1448" s="177"/>
      <c r="L1448" s="177"/>
      <c r="M1448" s="177"/>
      <c r="N1448" s="70"/>
      <c r="O1448" s="38"/>
      <c r="P1448" s="38"/>
      <c r="Q1448" s="760"/>
      <c r="R1448" s="590"/>
      <c r="S1448" s="38"/>
      <c r="T1448" s="38"/>
      <c r="U1448" s="38"/>
      <c r="V1448" s="37"/>
      <c r="W1448" s="39">
        <f>IF(AC1448="Intr",0,G1448*Definitions!$B$53)</f>
        <v>0</v>
      </c>
      <c r="X1448" s="39">
        <f>IF(AC1448="Intr",0,G1448*Definitions!$B$54)</f>
        <v>0</v>
      </c>
      <c r="Y1448" s="39">
        <f>IF(AC1448="Intr",G1448,G1448*Definitions!$B$55)</f>
        <v>0</v>
      </c>
      <c r="Z1448" s="39"/>
      <c r="AA1448" s="39"/>
      <c r="AB1448" s="39"/>
      <c r="AC1448" s="38"/>
      <c r="AD1448" s="38"/>
      <c r="AE1448" s="38"/>
      <c r="AF1448" s="38"/>
      <c r="AG1448" s="40"/>
      <c r="AH1448" s="38"/>
    </row>
    <row r="1449" spans="1:34" x14ac:dyDescent="0.2">
      <c r="A1449" s="38"/>
      <c r="B1449" s="38"/>
      <c r="C1449" s="38"/>
      <c r="D1449" s="38"/>
      <c r="E1449" s="177"/>
      <c r="F1449" s="177"/>
      <c r="G1449" s="269"/>
      <c r="H1449" s="179"/>
      <c r="I1449" s="177"/>
      <c r="J1449" s="177"/>
      <c r="K1449" s="177"/>
      <c r="L1449" s="177"/>
      <c r="M1449" s="177"/>
      <c r="N1449" s="70"/>
      <c r="O1449" s="38"/>
      <c r="P1449" s="38"/>
      <c r="Q1449" s="760"/>
      <c r="R1449" s="590"/>
      <c r="S1449" s="38"/>
      <c r="T1449" s="38"/>
      <c r="U1449" s="38"/>
      <c r="V1449" s="37"/>
      <c r="W1449" s="39">
        <f>IF(AC1449="Intr",0,G1449*Definitions!$B$53)</f>
        <v>0</v>
      </c>
      <c r="X1449" s="39">
        <f>IF(AC1449="Intr",0,G1449*Definitions!$B$54)</f>
        <v>0</v>
      </c>
      <c r="Y1449" s="39">
        <f>IF(AC1449="Intr",G1449,G1449*Definitions!$B$55)</f>
        <v>0</v>
      </c>
      <c r="Z1449" s="39"/>
      <c r="AA1449" s="39"/>
      <c r="AB1449" s="39"/>
      <c r="AC1449" s="38"/>
      <c r="AD1449" s="38"/>
      <c r="AE1449" s="38"/>
      <c r="AF1449" s="38"/>
      <c r="AG1449" s="40"/>
      <c r="AH1449" s="38"/>
    </row>
    <row r="1450" spans="1:34" x14ac:dyDescent="0.2">
      <c r="A1450" s="38"/>
      <c r="B1450" s="38"/>
      <c r="C1450" s="38"/>
      <c r="D1450" s="38"/>
      <c r="E1450" s="177"/>
      <c r="F1450" s="177"/>
      <c r="G1450" s="269"/>
      <c r="H1450" s="179"/>
      <c r="I1450" s="177"/>
      <c r="J1450" s="177"/>
      <c r="K1450" s="177"/>
      <c r="L1450" s="177"/>
      <c r="M1450" s="177"/>
      <c r="N1450" s="70"/>
      <c r="O1450" s="38"/>
      <c r="P1450" s="38"/>
      <c r="Q1450" s="760"/>
      <c r="R1450" s="590"/>
      <c r="S1450" s="38"/>
      <c r="T1450" s="38"/>
      <c r="U1450" s="38"/>
      <c r="V1450" s="37"/>
      <c r="W1450" s="39">
        <f>IF(AC1450="Intr",0,G1450*Definitions!$B$53)</f>
        <v>0</v>
      </c>
      <c r="X1450" s="39">
        <f>IF(AC1450="Intr",0,G1450*Definitions!$B$54)</f>
        <v>0</v>
      </c>
      <c r="Y1450" s="39">
        <f>IF(AC1450="Intr",G1450,G1450*Definitions!$B$55)</f>
        <v>0</v>
      </c>
      <c r="Z1450" s="39"/>
      <c r="AA1450" s="39"/>
      <c r="AB1450" s="39"/>
      <c r="AC1450" s="38"/>
      <c r="AD1450" s="38"/>
      <c r="AE1450" s="38"/>
      <c r="AF1450" s="38"/>
      <c r="AG1450" s="40"/>
      <c r="AH1450" s="38"/>
    </row>
    <row r="1451" spans="1:34" x14ac:dyDescent="0.2">
      <c r="A1451" s="38"/>
      <c r="B1451" s="38"/>
      <c r="C1451" s="38"/>
      <c r="D1451" s="38"/>
      <c r="E1451" s="177"/>
      <c r="F1451" s="177"/>
      <c r="G1451" s="269"/>
      <c r="H1451" s="179"/>
      <c r="I1451" s="177"/>
      <c r="J1451" s="177"/>
      <c r="K1451" s="177"/>
      <c r="L1451" s="177"/>
      <c r="M1451" s="177"/>
      <c r="N1451" s="70"/>
      <c r="O1451" s="38"/>
      <c r="P1451" s="38"/>
      <c r="Q1451" s="760"/>
      <c r="R1451" s="590"/>
      <c r="S1451" s="38"/>
      <c r="T1451" s="38"/>
      <c r="U1451" s="38"/>
      <c r="V1451" s="37"/>
      <c r="W1451" s="39">
        <f>IF(AC1451="Intr",0,G1451*Definitions!$B$53)</f>
        <v>0</v>
      </c>
      <c r="X1451" s="39">
        <f>IF(AC1451="Intr",0,G1451*Definitions!$B$54)</f>
        <v>0</v>
      </c>
      <c r="Y1451" s="39">
        <f>IF(AC1451="Intr",G1451,G1451*Definitions!$B$55)</f>
        <v>0</v>
      </c>
      <c r="Z1451" s="39"/>
      <c r="AA1451" s="39"/>
      <c r="AB1451" s="39"/>
      <c r="AC1451" s="38"/>
      <c r="AD1451" s="38"/>
      <c r="AE1451" s="38"/>
      <c r="AF1451" s="38"/>
      <c r="AG1451" s="40"/>
      <c r="AH1451" s="38"/>
    </row>
    <row r="1452" spans="1:34" x14ac:dyDescent="0.2">
      <c r="A1452" s="38"/>
      <c r="B1452" s="38"/>
      <c r="C1452" s="38"/>
      <c r="D1452" s="38"/>
      <c r="E1452" s="177"/>
      <c r="F1452" s="177"/>
      <c r="G1452" s="269"/>
      <c r="H1452" s="179"/>
      <c r="I1452" s="177"/>
      <c r="J1452" s="177"/>
      <c r="K1452" s="177"/>
      <c r="L1452" s="177"/>
      <c r="M1452" s="177"/>
      <c r="N1452" s="70"/>
      <c r="O1452" s="38"/>
      <c r="P1452" s="38"/>
      <c r="Q1452" s="760"/>
      <c r="R1452" s="590"/>
      <c r="S1452" s="38"/>
      <c r="T1452" s="38"/>
      <c r="U1452" s="38"/>
      <c r="V1452" s="37"/>
      <c r="W1452" s="39">
        <f>IF(AC1452="Intr",0,G1452*Definitions!$B$53)</f>
        <v>0</v>
      </c>
      <c r="X1452" s="39">
        <f>IF(AC1452="Intr",0,G1452*Definitions!$B$54)</f>
        <v>0</v>
      </c>
      <c r="Y1452" s="39">
        <f>IF(AC1452="Intr",G1452,G1452*Definitions!$B$55)</f>
        <v>0</v>
      </c>
      <c r="Z1452" s="39"/>
      <c r="AA1452" s="39"/>
      <c r="AB1452" s="39"/>
      <c r="AC1452" s="38"/>
      <c r="AD1452" s="38"/>
      <c r="AE1452" s="38"/>
      <c r="AF1452" s="38"/>
      <c r="AG1452" s="40"/>
      <c r="AH1452" s="38"/>
    </row>
    <row r="1453" spans="1:34" x14ac:dyDescent="0.2">
      <c r="A1453" s="38"/>
      <c r="B1453" s="38"/>
      <c r="C1453" s="38"/>
      <c r="D1453" s="38"/>
      <c r="E1453" s="177"/>
      <c r="F1453" s="177"/>
      <c r="G1453" s="269"/>
      <c r="H1453" s="179"/>
      <c r="I1453" s="177"/>
      <c r="J1453" s="177"/>
      <c r="K1453" s="177"/>
      <c r="L1453" s="177"/>
      <c r="M1453" s="177"/>
      <c r="N1453" s="70"/>
      <c r="O1453" s="38"/>
      <c r="P1453" s="38"/>
      <c r="Q1453" s="760"/>
      <c r="R1453" s="590"/>
      <c r="S1453" s="38"/>
      <c r="T1453" s="38"/>
      <c r="U1453" s="38"/>
      <c r="V1453" s="37"/>
      <c r="W1453" s="39">
        <f>IF(AC1453="Intr",0,G1453*Definitions!$B$53)</f>
        <v>0</v>
      </c>
      <c r="X1453" s="39">
        <f>IF(AC1453="Intr",0,G1453*Definitions!$B$54)</f>
        <v>0</v>
      </c>
      <c r="Y1453" s="39">
        <f>IF(AC1453="Intr",G1453,G1453*Definitions!$B$55)</f>
        <v>0</v>
      </c>
      <c r="Z1453" s="39"/>
      <c r="AA1453" s="39"/>
      <c r="AB1453" s="39"/>
      <c r="AC1453" s="38"/>
      <c r="AD1453" s="38"/>
      <c r="AE1453" s="38"/>
      <c r="AF1453" s="38"/>
      <c r="AG1453" s="40"/>
      <c r="AH1453" s="38"/>
    </row>
    <row r="1454" spans="1:34" x14ac:dyDescent="0.2">
      <c r="A1454" s="38"/>
      <c r="B1454" s="38"/>
      <c r="C1454" s="38"/>
      <c r="D1454" s="38"/>
      <c r="E1454" s="177"/>
      <c r="F1454" s="177"/>
      <c r="G1454" s="269"/>
      <c r="H1454" s="179"/>
      <c r="I1454" s="177"/>
      <c r="J1454" s="177"/>
      <c r="K1454" s="177"/>
      <c r="L1454" s="177"/>
      <c r="M1454" s="177"/>
      <c r="N1454" s="70"/>
      <c r="O1454" s="38"/>
      <c r="P1454" s="38"/>
      <c r="Q1454" s="760"/>
      <c r="R1454" s="590"/>
      <c r="S1454" s="38"/>
      <c r="T1454" s="38"/>
      <c r="U1454" s="38"/>
      <c r="V1454" s="37"/>
      <c r="W1454" s="39">
        <f>IF(AC1454="Intr",0,G1454*Definitions!$B$53)</f>
        <v>0</v>
      </c>
      <c r="X1454" s="39">
        <f>IF(AC1454="Intr",0,G1454*Definitions!$B$54)</f>
        <v>0</v>
      </c>
      <c r="Y1454" s="39">
        <f>IF(AC1454="Intr",G1454,G1454*Definitions!$B$55)</f>
        <v>0</v>
      </c>
      <c r="Z1454" s="39"/>
      <c r="AA1454" s="39"/>
      <c r="AB1454" s="39"/>
      <c r="AC1454" s="38"/>
      <c r="AD1454" s="38"/>
      <c r="AE1454" s="38"/>
      <c r="AF1454" s="38"/>
      <c r="AG1454" s="40"/>
      <c r="AH1454" s="38"/>
    </row>
    <row r="1455" spans="1:34" x14ac:dyDescent="0.2">
      <c r="A1455" s="38"/>
      <c r="B1455" s="38"/>
      <c r="C1455" s="38"/>
      <c r="D1455" s="38"/>
      <c r="E1455" s="177"/>
      <c r="F1455" s="177"/>
      <c r="G1455" s="269"/>
      <c r="H1455" s="179"/>
      <c r="I1455" s="177"/>
      <c r="J1455" s="177"/>
      <c r="K1455" s="177"/>
      <c r="L1455" s="177"/>
      <c r="M1455" s="177"/>
      <c r="N1455" s="70"/>
      <c r="O1455" s="38"/>
      <c r="P1455" s="38"/>
      <c r="Q1455" s="760"/>
      <c r="R1455" s="590"/>
      <c r="S1455" s="38"/>
      <c r="T1455" s="38"/>
      <c r="U1455" s="38"/>
      <c r="V1455" s="37"/>
      <c r="W1455" s="39">
        <f>IF(AC1455="Intr",0,G1455*Definitions!$B$53)</f>
        <v>0</v>
      </c>
      <c r="X1455" s="39">
        <f>IF(AC1455="Intr",0,G1455*Definitions!$B$54)</f>
        <v>0</v>
      </c>
      <c r="Y1455" s="39">
        <f>IF(AC1455="Intr",G1455,G1455*Definitions!$B$55)</f>
        <v>0</v>
      </c>
      <c r="Z1455" s="39"/>
      <c r="AA1455" s="39"/>
      <c r="AB1455" s="39"/>
      <c r="AC1455" s="38"/>
      <c r="AD1455" s="38"/>
      <c r="AE1455" s="38"/>
      <c r="AF1455" s="38"/>
      <c r="AG1455" s="40"/>
      <c r="AH1455" s="38"/>
    </row>
    <row r="1456" spans="1:34" x14ac:dyDescent="0.2">
      <c r="A1456" s="38"/>
      <c r="B1456" s="38"/>
      <c r="C1456" s="38"/>
      <c r="D1456" s="38"/>
      <c r="E1456" s="177"/>
      <c r="F1456" s="177"/>
      <c r="G1456" s="269"/>
      <c r="H1456" s="179"/>
      <c r="I1456" s="177"/>
      <c r="J1456" s="177"/>
      <c r="K1456" s="177"/>
      <c r="L1456" s="177"/>
      <c r="M1456" s="177"/>
      <c r="N1456" s="70"/>
      <c r="O1456" s="38"/>
      <c r="P1456" s="38"/>
      <c r="Q1456" s="760"/>
      <c r="R1456" s="590"/>
      <c r="S1456" s="38"/>
      <c r="T1456" s="38"/>
      <c r="U1456" s="38"/>
      <c r="V1456" s="37"/>
      <c r="W1456" s="39">
        <f>IF(AC1456="Intr",0,G1456*Definitions!$B$53)</f>
        <v>0</v>
      </c>
      <c r="X1456" s="39">
        <f>IF(AC1456="Intr",0,G1456*Definitions!$B$54)</f>
        <v>0</v>
      </c>
      <c r="Y1456" s="39">
        <f>IF(AC1456="Intr",G1456,G1456*Definitions!$B$55)</f>
        <v>0</v>
      </c>
      <c r="Z1456" s="39"/>
      <c r="AA1456" s="39"/>
      <c r="AB1456" s="39"/>
      <c r="AC1456" s="38"/>
      <c r="AD1456" s="38"/>
      <c r="AE1456" s="38"/>
      <c r="AF1456" s="38"/>
      <c r="AG1456" s="40"/>
      <c r="AH1456" s="38"/>
    </row>
    <row r="1457" spans="1:34" x14ac:dyDescent="0.2">
      <c r="A1457" s="38"/>
      <c r="B1457" s="38"/>
      <c r="C1457" s="38"/>
      <c r="D1457" s="38"/>
      <c r="E1457" s="177"/>
      <c r="F1457" s="177"/>
      <c r="G1457" s="269"/>
      <c r="H1457" s="179"/>
      <c r="I1457" s="177"/>
      <c r="J1457" s="177"/>
      <c r="K1457" s="177"/>
      <c r="L1457" s="177"/>
      <c r="M1457" s="177"/>
      <c r="N1457" s="70"/>
      <c r="O1457" s="38"/>
      <c r="P1457" s="38"/>
      <c r="Q1457" s="760"/>
      <c r="R1457" s="590"/>
      <c r="S1457" s="38"/>
      <c r="T1457" s="38"/>
      <c r="U1457" s="38"/>
      <c r="V1457" s="37"/>
      <c r="W1457" s="39">
        <f>IF(AC1457="Intr",0,G1457*Definitions!$B$53)</f>
        <v>0</v>
      </c>
      <c r="X1457" s="39">
        <f>IF(AC1457="Intr",0,G1457*Definitions!$B$54)</f>
        <v>0</v>
      </c>
      <c r="Y1457" s="39">
        <f>IF(AC1457="Intr",G1457,G1457*Definitions!$B$55)</f>
        <v>0</v>
      </c>
      <c r="Z1457" s="39"/>
      <c r="AA1457" s="39"/>
      <c r="AB1457" s="39"/>
      <c r="AC1457" s="38"/>
      <c r="AD1457" s="38"/>
      <c r="AE1457" s="38"/>
      <c r="AF1457" s="38"/>
      <c r="AG1457" s="40"/>
      <c r="AH1457" s="38"/>
    </row>
    <row r="1458" spans="1:34" x14ac:dyDescent="0.2">
      <c r="A1458" s="38"/>
      <c r="B1458" s="38"/>
      <c r="C1458" s="38"/>
      <c r="D1458" s="38"/>
      <c r="E1458" s="177"/>
      <c r="F1458" s="177"/>
      <c r="G1458" s="269"/>
      <c r="H1458" s="179"/>
      <c r="I1458" s="177"/>
      <c r="J1458" s="177"/>
      <c r="K1458" s="177"/>
      <c r="L1458" s="177"/>
      <c r="M1458" s="177"/>
      <c r="N1458" s="70"/>
      <c r="O1458" s="38"/>
      <c r="P1458" s="38"/>
      <c r="Q1458" s="760"/>
      <c r="R1458" s="590"/>
      <c r="S1458" s="38"/>
      <c r="T1458" s="38"/>
      <c r="U1458" s="38"/>
      <c r="V1458" s="37"/>
      <c r="W1458" s="39">
        <f>IF(AC1458="Intr",0,G1458*Definitions!$B$53)</f>
        <v>0</v>
      </c>
      <c r="X1458" s="39">
        <f>IF(AC1458="Intr",0,G1458*Definitions!$B$54)</f>
        <v>0</v>
      </c>
      <c r="Y1458" s="39">
        <f>IF(AC1458="Intr",G1458,G1458*Definitions!$B$55)</f>
        <v>0</v>
      </c>
      <c r="Z1458" s="39"/>
      <c r="AA1458" s="39"/>
      <c r="AB1458" s="39"/>
      <c r="AC1458" s="38"/>
      <c r="AD1458" s="38"/>
      <c r="AE1458" s="38"/>
      <c r="AF1458" s="38"/>
      <c r="AG1458" s="40"/>
      <c r="AH1458" s="38"/>
    </row>
    <row r="1459" spans="1:34" x14ac:dyDescent="0.2">
      <c r="A1459" s="38"/>
      <c r="B1459" s="38"/>
      <c r="C1459" s="38"/>
      <c r="D1459" s="38"/>
      <c r="E1459" s="177"/>
      <c r="F1459" s="177"/>
      <c r="G1459" s="269"/>
      <c r="H1459" s="179"/>
      <c r="I1459" s="177"/>
      <c r="J1459" s="177"/>
      <c r="K1459" s="177"/>
      <c r="L1459" s="177"/>
      <c r="M1459" s="177"/>
      <c r="N1459" s="70"/>
      <c r="O1459" s="38"/>
      <c r="P1459" s="38"/>
      <c r="Q1459" s="760"/>
      <c r="R1459" s="590"/>
      <c r="S1459" s="38"/>
      <c r="T1459" s="38"/>
      <c r="U1459" s="38"/>
      <c r="V1459" s="37"/>
      <c r="W1459" s="39">
        <f>IF(AC1459="Intr",0,G1459*Definitions!$B$53)</f>
        <v>0</v>
      </c>
      <c r="X1459" s="39">
        <f>IF(AC1459="Intr",0,G1459*Definitions!$B$54)</f>
        <v>0</v>
      </c>
      <c r="Y1459" s="39">
        <f>IF(AC1459="Intr",G1459,G1459*Definitions!$B$55)</f>
        <v>0</v>
      </c>
      <c r="Z1459" s="39"/>
      <c r="AA1459" s="39"/>
      <c r="AB1459" s="39"/>
      <c r="AC1459" s="38"/>
      <c r="AD1459" s="38"/>
      <c r="AE1459" s="38"/>
      <c r="AF1459" s="38"/>
      <c r="AG1459" s="40"/>
      <c r="AH1459" s="38"/>
    </row>
    <row r="1460" spans="1:34" x14ac:dyDescent="0.2">
      <c r="A1460" s="38"/>
      <c r="B1460" s="38"/>
      <c r="C1460" s="38"/>
      <c r="D1460" s="38"/>
      <c r="E1460" s="177"/>
      <c r="F1460" s="177"/>
      <c r="G1460" s="269"/>
      <c r="H1460" s="179"/>
      <c r="I1460" s="177"/>
      <c r="J1460" s="177"/>
      <c r="K1460" s="177"/>
      <c r="L1460" s="177"/>
      <c r="M1460" s="177"/>
      <c r="N1460" s="70"/>
      <c r="O1460" s="38"/>
      <c r="P1460" s="38"/>
      <c r="Q1460" s="760"/>
      <c r="R1460" s="590"/>
      <c r="S1460" s="38"/>
      <c r="T1460" s="38"/>
      <c r="U1460" s="38"/>
      <c r="V1460" s="37"/>
      <c r="W1460" s="39">
        <f>IF(AC1460="Intr",0,G1460*Definitions!$B$53)</f>
        <v>0</v>
      </c>
      <c r="X1460" s="39">
        <f>IF(AC1460="Intr",0,G1460*Definitions!$B$54)</f>
        <v>0</v>
      </c>
      <c r="Y1460" s="39">
        <f>IF(AC1460="Intr",G1460,G1460*Definitions!$B$55)</f>
        <v>0</v>
      </c>
      <c r="Z1460" s="39"/>
      <c r="AA1460" s="39"/>
      <c r="AB1460" s="39"/>
      <c r="AC1460" s="38"/>
      <c r="AD1460" s="38"/>
      <c r="AE1460" s="38"/>
      <c r="AF1460" s="38"/>
      <c r="AG1460" s="40"/>
      <c r="AH1460" s="38"/>
    </row>
    <row r="1461" spans="1:34" x14ac:dyDescent="0.2">
      <c r="A1461" s="38"/>
      <c r="B1461" s="38"/>
      <c r="C1461" s="38"/>
      <c r="D1461" s="38"/>
      <c r="E1461" s="177"/>
      <c r="F1461" s="177"/>
      <c r="G1461" s="269"/>
      <c r="H1461" s="179"/>
      <c r="I1461" s="177"/>
      <c r="J1461" s="177"/>
      <c r="K1461" s="177"/>
      <c r="L1461" s="177"/>
      <c r="M1461" s="177"/>
      <c r="N1461" s="70"/>
      <c r="O1461" s="38"/>
      <c r="P1461" s="38"/>
      <c r="Q1461" s="760"/>
      <c r="R1461" s="590"/>
      <c r="S1461" s="38"/>
      <c r="T1461" s="38"/>
      <c r="U1461" s="38"/>
      <c r="V1461" s="37"/>
      <c r="W1461" s="39">
        <f>IF(AC1461="Intr",0,G1461*Definitions!$B$53)</f>
        <v>0</v>
      </c>
      <c r="X1461" s="39">
        <f>IF(AC1461="Intr",0,G1461*Definitions!$B$54)</f>
        <v>0</v>
      </c>
      <c r="Y1461" s="39">
        <f>IF(AC1461="Intr",G1461,G1461*Definitions!$B$55)</f>
        <v>0</v>
      </c>
      <c r="Z1461" s="39"/>
      <c r="AA1461" s="39"/>
      <c r="AB1461" s="39"/>
      <c r="AC1461" s="38"/>
      <c r="AD1461" s="38"/>
      <c r="AE1461" s="38"/>
      <c r="AF1461" s="38"/>
      <c r="AG1461" s="40"/>
      <c r="AH1461" s="38"/>
    </row>
    <row r="1462" spans="1:34" x14ac:dyDescent="0.2">
      <c r="A1462" s="38"/>
      <c r="B1462" s="38"/>
      <c r="C1462" s="38"/>
      <c r="D1462" s="38"/>
      <c r="E1462" s="177"/>
      <c r="F1462" s="177"/>
      <c r="G1462" s="269"/>
      <c r="H1462" s="179"/>
      <c r="I1462" s="177"/>
      <c r="J1462" s="177"/>
      <c r="K1462" s="177"/>
      <c r="L1462" s="177"/>
      <c r="M1462" s="177"/>
      <c r="N1462" s="70"/>
      <c r="O1462" s="38"/>
      <c r="P1462" s="38"/>
      <c r="Q1462" s="760"/>
      <c r="R1462" s="590"/>
      <c r="S1462" s="38"/>
      <c r="T1462" s="38"/>
      <c r="U1462" s="38"/>
      <c r="V1462" s="37"/>
      <c r="W1462" s="39">
        <f>IF(AC1462="Intr",0,G1462*Definitions!$B$53)</f>
        <v>0</v>
      </c>
      <c r="X1462" s="39">
        <f>IF(AC1462="Intr",0,G1462*Definitions!$B$54)</f>
        <v>0</v>
      </c>
      <c r="Y1462" s="39">
        <f>IF(AC1462="Intr",G1462,G1462*Definitions!$B$55)</f>
        <v>0</v>
      </c>
      <c r="Z1462" s="39"/>
      <c r="AA1462" s="39"/>
      <c r="AB1462" s="39"/>
      <c r="AC1462" s="38"/>
      <c r="AD1462" s="38"/>
      <c r="AE1462" s="38"/>
      <c r="AF1462" s="38"/>
      <c r="AG1462" s="40"/>
      <c r="AH1462" s="38"/>
    </row>
    <row r="1463" spans="1:34" x14ac:dyDescent="0.2">
      <c r="A1463" s="38"/>
      <c r="B1463" s="38"/>
      <c r="C1463" s="38"/>
      <c r="D1463" s="38"/>
      <c r="E1463" s="177"/>
      <c r="F1463" s="177"/>
      <c r="G1463" s="269"/>
      <c r="H1463" s="179"/>
      <c r="I1463" s="177"/>
      <c r="J1463" s="177"/>
      <c r="K1463" s="177"/>
      <c r="L1463" s="177"/>
      <c r="M1463" s="177"/>
      <c r="N1463" s="70"/>
      <c r="O1463" s="38"/>
      <c r="P1463" s="38"/>
      <c r="Q1463" s="760"/>
      <c r="R1463" s="590"/>
      <c r="S1463" s="38"/>
      <c r="T1463" s="38"/>
      <c r="U1463" s="38"/>
      <c r="V1463" s="37"/>
      <c r="W1463" s="39">
        <f>IF(AC1463="Intr",0,G1463*Definitions!$B$53)</f>
        <v>0</v>
      </c>
      <c r="X1463" s="39">
        <f>IF(AC1463="Intr",0,G1463*Definitions!$B$54)</f>
        <v>0</v>
      </c>
      <c r="Y1463" s="39">
        <f>IF(AC1463="Intr",G1463,G1463*Definitions!$B$55)</f>
        <v>0</v>
      </c>
      <c r="Z1463" s="39"/>
      <c r="AA1463" s="39"/>
      <c r="AB1463" s="39"/>
      <c r="AC1463" s="38"/>
      <c r="AD1463" s="38"/>
      <c r="AE1463" s="38"/>
      <c r="AF1463" s="38"/>
      <c r="AG1463" s="40"/>
      <c r="AH1463" s="38"/>
    </row>
    <row r="1464" spans="1:34" x14ac:dyDescent="0.2">
      <c r="A1464" s="38"/>
      <c r="B1464" s="38"/>
      <c r="C1464" s="38"/>
      <c r="D1464" s="38"/>
      <c r="E1464" s="177"/>
      <c r="F1464" s="177"/>
      <c r="G1464" s="269"/>
      <c r="H1464" s="179"/>
      <c r="I1464" s="177"/>
      <c r="J1464" s="177"/>
      <c r="K1464" s="177"/>
      <c r="L1464" s="177"/>
      <c r="M1464" s="177"/>
      <c r="N1464" s="70"/>
      <c r="O1464" s="38"/>
      <c r="P1464" s="38"/>
      <c r="Q1464" s="760"/>
      <c r="R1464" s="590"/>
      <c r="S1464" s="38"/>
      <c r="T1464" s="38"/>
      <c r="U1464" s="38"/>
      <c r="V1464" s="37"/>
      <c r="W1464" s="39">
        <f>IF(AC1464="Intr",0,G1464*Definitions!$B$53)</f>
        <v>0</v>
      </c>
      <c r="X1464" s="39">
        <f>IF(AC1464="Intr",0,G1464*Definitions!$B$54)</f>
        <v>0</v>
      </c>
      <c r="Y1464" s="39">
        <f>IF(AC1464="Intr",G1464,G1464*Definitions!$B$55)</f>
        <v>0</v>
      </c>
      <c r="Z1464" s="39"/>
      <c r="AA1464" s="39"/>
      <c r="AB1464" s="39"/>
      <c r="AC1464" s="38"/>
      <c r="AD1464" s="38"/>
      <c r="AE1464" s="38"/>
      <c r="AF1464" s="38"/>
      <c r="AG1464" s="40"/>
      <c r="AH1464" s="38"/>
    </row>
    <row r="1465" spans="1:34" x14ac:dyDescent="0.2">
      <c r="A1465" s="38"/>
      <c r="B1465" s="38"/>
      <c r="C1465" s="38"/>
      <c r="D1465" s="38"/>
      <c r="E1465" s="177"/>
      <c r="F1465" s="177"/>
      <c r="G1465" s="269"/>
      <c r="H1465" s="179"/>
      <c r="I1465" s="177"/>
      <c r="J1465" s="177"/>
      <c r="K1465" s="177"/>
      <c r="L1465" s="177"/>
      <c r="M1465" s="177"/>
      <c r="N1465" s="70"/>
      <c r="O1465" s="38"/>
      <c r="P1465" s="38"/>
      <c r="Q1465" s="760"/>
      <c r="R1465" s="590"/>
      <c r="S1465" s="38"/>
      <c r="T1465" s="38"/>
      <c r="U1465" s="38"/>
      <c r="V1465" s="37"/>
      <c r="W1465" s="39">
        <f>IF(AC1465="Intr",0,G1465*Definitions!$B$53)</f>
        <v>0</v>
      </c>
      <c r="X1465" s="39">
        <f>IF(AC1465="Intr",0,G1465*Definitions!$B$54)</f>
        <v>0</v>
      </c>
      <c r="Y1465" s="39">
        <f>IF(AC1465="Intr",G1465,G1465*Definitions!$B$55)</f>
        <v>0</v>
      </c>
      <c r="Z1465" s="39"/>
      <c r="AA1465" s="39"/>
      <c r="AB1465" s="39"/>
      <c r="AC1465" s="38"/>
      <c r="AD1465" s="38"/>
      <c r="AE1465" s="38"/>
      <c r="AF1465" s="38"/>
      <c r="AG1465" s="40"/>
      <c r="AH1465" s="38"/>
    </row>
    <row r="1466" spans="1:34" x14ac:dyDescent="0.2">
      <c r="A1466" s="38"/>
      <c r="B1466" s="38"/>
      <c r="C1466" s="38"/>
      <c r="D1466" s="38"/>
      <c r="E1466" s="177"/>
      <c r="F1466" s="177"/>
      <c r="G1466" s="269"/>
      <c r="H1466" s="179"/>
      <c r="I1466" s="177"/>
      <c r="J1466" s="177"/>
      <c r="K1466" s="177"/>
      <c r="L1466" s="177"/>
      <c r="M1466" s="177"/>
      <c r="N1466" s="70"/>
      <c r="O1466" s="38"/>
      <c r="P1466" s="38"/>
      <c r="Q1466" s="760"/>
      <c r="R1466" s="590"/>
      <c r="S1466" s="38"/>
      <c r="T1466" s="38"/>
      <c r="U1466" s="38"/>
      <c r="V1466" s="37"/>
      <c r="W1466" s="39">
        <f>IF(AC1466="Intr",0,G1466*Definitions!$B$53)</f>
        <v>0</v>
      </c>
      <c r="X1466" s="39">
        <f>IF(AC1466="Intr",0,G1466*Definitions!$B$54)</f>
        <v>0</v>
      </c>
      <c r="Y1466" s="39">
        <f>IF(AC1466="Intr",G1466,G1466*Definitions!$B$55)</f>
        <v>0</v>
      </c>
      <c r="Z1466" s="39"/>
      <c r="AA1466" s="39"/>
      <c r="AB1466" s="39"/>
      <c r="AC1466" s="38"/>
      <c r="AD1466" s="38"/>
      <c r="AE1466" s="38"/>
      <c r="AF1466" s="38"/>
      <c r="AG1466" s="40"/>
      <c r="AH1466" s="38"/>
    </row>
    <row r="1467" spans="1:34" x14ac:dyDescent="0.2">
      <c r="A1467" s="38"/>
      <c r="B1467" s="38"/>
      <c r="C1467" s="38"/>
      <c r="D1467" s="38"/>
      <c r="E1467" s="177"/>
      <c r="F1467" s="177"/>
      <c r="G1467" s="269"/>
      <c r="H1467" s="179"/>
      <c r="I1467" s="177"/>
      <c r="J1467" s="177"/>
      <c r="K1467" s="177"/>
      <c r="L1467" s="177"/>
      <c r="M1467" s="177"/>
      <c r="N1467" s="70"/>
      <c r="O1467" s="38"/>
      <c r="P1467" s="38"/>
      <c r="Q1467" s="760"/>
      <c r="R1467" s="590"/>
      <c r="S1467" s="38"/>
      <c r="T1467" s="38"/>
      <c r="U1467" s="38"/>
      <c r="V1467" s="37"/>
      <c r="W1467" s="39">
        <f>IF(AC1467="Intr",0,G1467*Definitions!$B$53)</f>
        <v>0</v>
      </c>
      <c r="X1467" s="39">
        <f>IF(AC1467="Intr",0,G1467*Definitions!$B$54)</f>
        <v>0</v>
      </c>
      <c r="Y1467" s="39">
        <f>IF(AC1467="Intr",G1467,G1467*Definitions!$B$55)</f>
        <v>0</v>
      </c>
      <c r="Z1467" s="39"/>
      <c r="AA1467" s="39"/>
      <c r="AB1467" s="39"/>
      <c r="AC1467" s="38"/>
      <c r="AD1467" s="38"/>
      <c r="AE1467" s="38"/>
      <c r="AF1467" s="38"/>
      <c r="AG1467" s="40"/>
      <c r="AH1467" s="38"/>
    </row>
    <row r="1468" spans="1:34" x14ac:dyDescent="0.2">
      <c r="A1468" s="38"/>
      <c r="B1468" s="38"/>
      <c r="C1468" s="38"/>
      <c r="D1468" s="38"/>
      <c r="E1468" s="177"/>
      <c r="F1468" s="177"/>
      <c r="G1468" s="269"/>
      <c r="H1468" s="179"/>
      <c r="I1468" s="177"/>
      <c r="J1468" s="177"/>
      <c r="K1468" s="177"/>
      <c r="L1468" s="177"/>
      <c r="M1468" s="177"/>
      <c r="N1468" s="70"/>
      <c r="O1468" s="38"/>
      <c r="P1468" s="38"/>
      <c r="Q1468" s="760"/>
      <c r="R1468" s="590"/>
      <c r="S1468" s="38"/>
      <c r="T1468" s="38"/>
      <c r="U1468" s="38"/>
      <c r="V1468" s="37"/>
      <c r="W1468" s="39">
        <f>IF(AC1468="Intr",0,G1468*Definitions!$B$53)</f>
        <v>0</v>
      </c>
      <c r="X1468" s="39">
        <f>IF(AC1468="Intr",0,G1468*Definitions!$B$54)</f>
        <v>0</v>
      </c>
      <c r="Y1468" s="39">
        <f>IF(AC1468="Intr",G1468,G1468*Definitions!$B$55)</f>
        <v>0</v>
      </c>
      <c r="Z1468" s="39"/>
      <c r="AA1468" s="39"/>
      <c r="AB1468" s="39"/>
      <c r="AC1468" s="38"/>
      <c r="AD1468" s="38"/>
      <c r="AE1468" s="38"/>
      <c r="AF1468" s="38"/>
      <c r="AG1468" s="40"/>
      <c r="AH1468" s="38"/>
    </row>
    <row r="1469" spans="1:34" x14ac:dyDescent="0.2">
      <c r="A1469" s="38"/>
      <c r="B1469" s="38"/>
      <c r="C1469" s="38"/>
      <c r="D1469" s="38"/>
      <c r="E1469" s="177"/>
      <c r="F1469" s="177"/>
      <c r="G1469" s="269"/>
      <c r="H1469" s="179"/>
      <c r="I1469" s="177"/>
      <c r="J1469" s="177"/>
      <c r="K1469" s="177"/>
      <c r="L1469" s="177"/>
      <c r="M1469" s="177"/>
      <c r="N1469" s="70"/>
      <c r="O1469" s="38"/>
      <c r="P1469" s="38"/>
      <c r="Q1469" s="760"/>
      <c r="R1469" s="590"/>
      <c r="S1469" s="38"/>
      <c r="T1469" s="38"/>
      <c r="U1469" s="38"/>
      <c r="V1469" s="37"/>
      <c r="W1469" s="39">
        <f>IF(AC1469="Intr",0,G1469*Definitions!$B$53)</f>
        <v>0</v>
      </c>
      <c r="X1469" s="39">
        <f>IF(AC1469="Intr",0,G1469*Definitions!$B$54)</f>
        <v>0</v>
      </c>
      <c r="Y1469" s="39">
        <f>IF(AC1469="Intr",G1469,G1469*Definitions!$B$55)</f>
        <v>0</v>
      </c>
      <c r="Z1469" s="39"/>
      <c r="AA1469" s="39"/>
      <c r="AB1469" s="39"/>
      <c r="AC1469" s="38"/>
      <c r="AD1469" s="38"/>
      <c r="AE1469" s="38"/>
      <c r="AF1469" s="38"/>
      <c r="AG1469" s="40"/>
      <c r="AH1469" s="38"/>
    </row>
    <row r="1470" spans="1:34" x14ac:dyDescent="0.2">
      <c r="A1470" s="38"/>
      <c r="B1470" s="38"/>
      <c r="C1470" s="38"/>
      <c r="D1470" s="38"/>
      <c r="E1470" s="177"/>
      <c r="F1470" s="177"/>
      <c r="G1470" s="269"/>
      <c r="H1470" s="179"/>
      <c r="I1470" s="177"/>
      <c r="J1470" s="177"/>
      <c r="K1470" s="177"/>
      <c r="L1470" s="177"/>
      <c r="M1470" s="177"/>
      <c r="N1470" s="70"/>
      <c r="O1470" s="38"/>
      <c r="P1470" s="38"/>
      <c r="Q1470" s="760"/>
      <c r="R1470" s="590"/>
      <c r="S1470" s="38"/>
      <c r="T1470" s="38"/>
      <c r="U1470" s="38"/>
      <c r="V1470" s="37"/>
      <c r="W1470" s="39">
        <f>IF(AC1470="Intr",0,G1470*Definitions!$B$53)</f>
        <v>0</v>
      </c>
      <c r="X1470" s="39">
        <f>IF(AC1470="Intr",0,G1470*Definitions!$B$54)</f>
        <v>0</v>
      </c>
      <c r="Y1470" s="39">
        <f>IF(AC1470="Intr",G1470,G1470*Definitions!$B$55)</f>
        <v>0</v>
      </c>
      <c r="Z1470" s="39"/>
      <c r="AA1470" s="39"/>
      <c r="AB1470" s="39"/>
      <c r="AC1470" s="38"/>
      <c r="AD1470" s="38"/>
      <c r="AE1470" s="38"/>
      <c r="AF1470" s="38"/>
      <c r="AG1470" s="40"/>
      <c r="AH1470" s="38"/>
    </row>
    <row r="1471" spans="1:34" x14ac:dyDescent="0.2">
      <c r="A1471" s="38"/>
      <c r="B1471" s="38"/>
      <c r="C1471" s="38"/>
      <c r="D1471" s="38"/>
      <c r="E1471" s="177"/>
      <c r="F1471" s="177"/>
      <c r="G1471" s="269"/>
      <c r="H1471" s="179"/>
      <c r="I1471" s="177"/>
      <c r="J1471" s="177"/>
      <c r="K1471" s="177"/>
      <c r="L1471" s="177"/>
      <c r="M1471" s="177"/>
      <c r="N1471" s="70"/>
      <c r="O1471" s="38"/>
      <c r="P1471" s="38"/>
      <c r="Q1471" s="760"/>
      <c r="R1471" s="590"/>
      <c r="S1471" s="38"/>
      <c r="T1471" s="38"/>
      <c r="U1471" s="38"/>
      <c r="V1471" s="37"/>
      <c r="W1471" s="39">
        <f>IF(AC1471="Intr",0,G1471*Definitions!$B$53)</f>
        <v>0</v>
      </c>
      <c r="X1471" s="39">
        <f>IF(AC1471="Intr",0,G1471*Definitions!$B$54)</f>
        <v>0</v>
      </c>
      <c r="Y1471" s="39">
        <f>IF(AC1471="Intr",G1471,G1471*Definitions!$B$55)</f>
        <v>0</v>
      </c>
      <c r="Z1471" s="39"/>
      <c r="AA1471" s="39"/>
      <c r="AB1471" s="39"/>
      <c r="AC1471" s="38"/>
      <c r="AD1471" s="38"/>
      <c r="AE1471" s="38"/>
      <c r="AF1471" s="38"/>
      <c r="AG1471" s="40"/>
      <c r="AH1471" s="38"/>
    </row>
    <row r="1472" spans="1:34" x14ac:dyDescent="0.2">
      <c r="A1472" s="38"/>
      <c r="B1472" s="38"/>
      <c r="C1472" s="38"/>
      <c r="D1472" s="38"/>
      <c r="E1472" s="177"/>
      <c r="F1472" s="177"/>
      <c r="G1472" s="269"/>
      <c r="H1472" s="179"/>
      <c r="I1472" s="177"/>
      <c r="J1472" s="177"/>
      <c r="K1472" s="177"/>
      <c r="L1472" s="177"/>
      <c r="M1472" s="177"/>
      <c r="N1472" s="70"/>
      <c r="O1472" s="38"/>
      <c r="P1472" s="38"/>
      <c r="Q1472" s="760"/>
      <c r="R1472" s="590"/>
      <c r="S1472" s="38"/>
      <c r="T1472" s="38"/>
      <c r="U1472" s="38"/>
      <c r="V1472" s="37"/>
      <c r="W1472" s="39">
        <f>IF(AC1472="Intr",0,G1472*Definitions!$B$53)</f>
        <v>0</v>
      </c>
      <c r="X1472" s="39">
        <f>IF(AC1472="Intr",0,G1472*Definitions!$B$54)</f>
        <v>0</v>
      </c>
      <c r="Y1472" s="39">
        <f>IF(AC1472="Intr",G1472,G1472*Definitions!$B$55)</f>
        <v>0</v>
      </c>
      <c r="Z1472" s="39"/>
      <c r="AA1472" s="39"/>
      <c r="AB1472" s="39"/>
      <c r="AC1472" s="38"/>
      <c r="AD1472" s="38"/>
      <c r="AE1472" s="38"/>
      <c r="AF1472" s="38"/>
      <c r="AG1472" s="40"/>
      <c r="AH1472" s="38"/>
    </row>
    <row r="1473" spans="1:34" x14ac:dyDescent="0.2">
      <c r="A1473" s="38"/>
      <c r="B1473" s="38"/>
      <c r="C1473" s="38"/>
      <c r="D1473" s="38"/>
      <c r="E1473" s="177"/>
      <c r="F1473" s="177"/>
      <c r="G1473" s="269"/>
      <c r="H1473" s="179"/>
      <c r="I1473" s="177"/>
      <c r="J1473" s="177"/>
      <c r="K1473" s="177"/>
      <c r="L1473" s="177"/>
      <c r="M1473" s="177"/>
      <c r="N1473" s="70"/>
      <c r="O1473" s="38"/>
      <c r="P1473" s="38"/>
      <c r="Q1473" s="760"/>
      <c r="R1473" s="590"/>
      <c r="S1473" s="38"/>
      <c r="T1473" s="38"/>
      <c r="U1473" s="38"/>
      <c r="V1473" s="37"/>
      <c r="W1473" s="39">
        <f>IF(AC1473="Intr",0,G1473*Definitions!$B$53)</f>
        <v>0</v>
      </c>
      <c r="X1473" s="39">
        <f>IF(AC1473="Intr",0,G1473*Definitions!$B$54)</f>
        <v>0</v>
      </c>
      <c r="Y1473" s="39">
        <f>IF(AC1473="Intr",G1473,G1473*Definitions!$B$55)</f>
        <v>0</v>
      </c>
      <c r="Z1473" s="39"/>
      <c r="AA1473" s="39"/>
      <c r="AB1473" s="39"/>
      <c r="AC1473" s="38"/>
      <c r="AD1473" s="38"/>
      <c r="AE1473" s="38"/>
      <c r="AF1473" s="38"/>
      <c r="AG1473" s="40"/>
      <c r="AH1473" s="38"/>
    </row>
    <row r="1474" spans="1:34" x14ac:dyDescent="0.2">
      <c r="A1474" s="38"/>
      <c r="B1474" s="38"/>
      <c r="C1474" s="38"/>
      <c r="D1474" s="38"/>
      <c r="E1474" s="177"/>
      <c r="F1474" s="177"/>
      <c r="G1474" s="269"/>
      <c r="H1474" s="179"/>
      <c r="I1474" s="177"/>
      <c r="J1474" s="177"/>
      <c r="K1474" s="177"/>
      <c r="L1474" s="177"/>
      <c r="M1474" s="177"/>
      <c r="N1474" s="70"/>
      <c r="O1474" s="38"/>
      <c r="P1474" s="38"/>
      <c r="Q1474" s="760"/>
      <c r="R1474" s="590"/>
      <c r="S1474" s="38"/>
      <c r="T1474" s="38"/>
      <c r="U1474" s="38"/>
      <c r="V1474" s="37"/>
      <c r="W1474" s="39">
        <f>IF(AC1474="Intr",0,G1474*Definitions!$B$53)</f>
        <v>0</v>
      </c>
      <c r="X1474" s="39">
        <f>IF(AC1474="Intr",0,G1474*Definitions!$B$54)</f>
        <v>0</v>
      </c>
      <c r="Y1474" s="39">
        <f>IF(AC1474="Intr",G1474,G1474*Definitions!$B$55)</f>
        <v>0</v>
      </c>
      <c r="Z1474" s="39"/>
      <c r="AA1474" s="39"/>
      <c r="AB1474" s="39"/>
      <c r="AC1474" s="38"/>
      <c r="AD1474" s="38"/>
      <c r="AE1474" s="38"/>
      <c r="AF1474" s="38"/>
      <c r="AG1474" s="40"/>
      <c r="AH1474" s="38"/>
    </row>
    <row r="1475" spans="1:34" x14ac:dyDescent="0.2">
      <c r="A1475" s="38"/>
      <c r="B1475" s="38"/>
      <c r="C1475" s="38"/>
      <c r="D1475" s="38"/>
      <c r="E1475" s="177"/>
      <c r="F1475" s="177"/>
      <c r="G1475" s="269"/>
      <c r="H1475" s="179"/>
      <c r="I1475" s="177"/>
      <c r="J1475" s="177"/>
      <c r="K1475" s="177"/>
      <c r="L1475" s="177"/>
      <c r="M1475" s="177"/>
      <c r="N1475" s="70"/>
      <c r="O1475" s="38"/>
      <c r="P1475" s="38"/>
      <c r="Q1475" s="760"/>
      <c r="R1475" s="590"/>
      <c r="S1475" s="38"/>
      <c r="T1475" s="38"/>
      <c r="U1475" s="38"/>
      <c r="V1475" s="37"/>
      <c r="W1475" s="39">
        <f>IF(AC1475="Intr",0,G1475*Definitions!$B$53)</f>
        <v>0</v>
      </c>
      <c r="X1475" s="39">
        <f>IF(AC1475="Intr",0,G1475*Definitions!$B$54)</f>
        <v>0</v>
      </c>
      <c r="Y1475" s="39">
        <f>IF(AC1475="Intr",G1475,G1475*Definitions!$B$55)</f>
        <v>0</v>
      </c>
      <c r="Z1475" s="39"/>
      <c r="AA1475" s="39"/>
      <c r="AB1475" s="39"/>
      <c r="AC1475" s="38"/>
      <c r="AD1475" s="38"/>
      <c r="AE1475" s="38"/>
      <c r="AF1475" s="38"/>
      <c r="AG1475" s="40"/>
      <c r="AH1475" s="38"/>
    </row>
    <row r="1476" spans="1:34" x14ac:dyDescent="0.2">
      <c r="A1476" s="38"/>
      <c r="B1476" s="38"/>
      <c r="C1476" s="38"/>
      <c r="D1476" s="38"/>
      <c r="E1476" s="177"/>
      <c r="F1476" s="177"/>
      <c r="G1476" s="269"/>
      <c r="H1476" s="179"/>
      <c r="I1476" s="177"/>
      <c r="J1476" s="177"/>
      <c r="K1476" s="177"/>
      <c r="L1476" s="177"/>
      <c r="M1476" s="177"/>
      <c r="N1476" s="70"/>
      <c r="O1476" s="38"/>
      <c r="P1476" s="38"/>
      <c r="Q1476" s="760"/>
      <c r="R1476" s="590"/>
      <c r="S1476" s="38"/>
      <c r="T1476" s="38"/>
      <c r="U1476" s="38"/>
      <c r="V1476" s="37"/>
      <c r="W1476" s="39">
        <f>IF(AC1476="Intr",0,G1476*Definitions!$B$53)</f>
        <v>0</v>
      </c>
      <c r="X1476" s="39">
        <f>IF(AC1476="Intr",0,G1476*Definitions!$B$54)</f>
        <v>0</v>
      </c>
      <c r="Y1476" s="39">
        <f>IF(AC1476="Intr",G1476,G1476*Definitions!$B$55)</f>
        <v>0</v>
      </c>
      <c r="Z1476" s="39"/>
      <c r="AA1476" s="39"/>
      <c r="AB1476" s="39"/>
      <c r="AC1476" s="38"/>
      <c r="AD1476" s="38"/>
      <c r="AE1476" s="38"/>
      <c r="AF1476" s="38"/>
      <c r="AG1476" s="40"/>
      <c r="AH1476" s="38"/>
    </row>
    <row r="1477" spans="1:34" x14ac:dyDescent="0.2">
      <c r="A1477" s="38"/>
      <c r="B1477" s="38"/>
      <c r="C1477" s="38"/>
      <c r="D1477" s="38"/>
      <c r="E1477" s="177"/>
      <c r="F1477" s="177"/>
      <c r="G1477" s="269"/>
      <c r="H1477" s="179"/>
      <c r="I1477" s="177"/>
      <c r="J1477" s="177"/>
      <c r="K1477" s="177"/>
      <c r="L1477" s="177"/>
      <c r="M1477" s="177"/>
      <c r="N1477" s="70"/>
      <c r="O1477" s="38"/>
      <c r="P1477" s="38"/>
      <c r="Q1477" s="760"/>
      <c r="R1477" s="590"/>
      <c r="S1477" s="38"/>
      <c r="T1477" s="38"/>
      <c r="U1477" s="38"/>
      <c r="V1477" s="37"/>
      <c r="W1477" s="39">
        <f>IF(AC1477="Intr",0,G1477*Definitions!$B$53)</f>
        <v>0</v>
      </c>
      <c r="X1477" s="39">
        <f>IF(AC1477="Intr",0,G1477*Definitions!$B$54)</f>
        <v>0</v>
      </c>
      <c r="Y1477" s="39">
        <f>IF(AC1477="Intr",G1477,G1477*Definitions!$B$55)</f>
        <v>0</v>
      </c>
      <c r="Z1477" s="39"/>
      <c r="AA1477" s="39"/>
      <c r="AB1477" s="39"/>
      <c r="AC1477" s="38"/>
      <c r="AD1477" s="38"/>
      <c r="AE1477" s="38"/>
      <c r="AF1477" s="38"/>
      <c r="AG1477" s="40"/>
      <c r="AH1477" s="38"/>
    </row>
    <row r="1478" spans="1:34" x14ac:dyDescent="0.2">
      <c r="A1478" s="38"/>
      <c r="B1478" s="38"/>
      <c r="C1478" s="38"/>
      <c r="D1478" s="38"/>
      <c r="E1478" s="177"/>
      <c r="F1478" s="177"/>
      <c r="G1478" s="269"/>
      <c r="H1478" s="179"/>
      <c r="I1478" s="177"/>
      <c r="J1478" s="177"/>
      <c r="K1478" s="177"/>
      <c r="L1478" s="177"/>
      <c r="M1478" s="177"/>
      <c r="N1478" s="70"/>
      <c r="O1478" s="38"/>
      <c r="P1478" s="38"/>
      <c r="Q1478" s="760"/>
      <c r="R1478" s="590"/>
      <c r="S1478" s="38"/>
      <c r="T1478" s="38"/>
      <c r="U1478" s="38"/>
      <c r="V1478" s="37"/>
      <c r="W1478" s="39">
        <f>IF(AC1478="Intr",0,G1478*Definitions!$B$53)</f>
        <v>0</v>
      </c>
      <c r="X1478" s="39">
        <f>IF(AC1478="Intr",0,G1478*Definitions!$B$54)</f>
        <v>0</v>
      </c>
      <c r="Y1478" s="39">
        <f>IF(AC1478="Intr",G1478,G1478*Definitions!$B$55)</f>
        <v>0</v>
      </c>
      <c r="Z1478" s="39"/>
      <c r="AA1478" s="39"/>
      <c r="AB1478" s="39"/>
      <c r="AC1478" s="38"/>
      <c r="AD1478" s="38"/>
      <c r="AE1478" s="38"/>
      <c r="AF1478" s="38"/>
      <c r="AG1478" s="40"/>
      <c r="AH1478" s="38"/>
    </row>
    <row r="1479" spans="1:34" x14ac:dyDescent="0.2">
      <c r="A1479" s="38"/>
      <c r="B1479" s="38"/>
      <c r="C1479" s="38"/>
      <c r="D1479" s="38"/>
      <c r="E1479" s="177"/>
      <c r="F1479" s="177"/>
      <c r="G1479" s="269"/>
      <c r="H1479" s="179"/>
      <c r="I1479" s="177"/>
      <c r="J1479" s="177"/>
      <c r="K1479" s="177"/>
      <c r="L1479" s="177"/>
      <c r="M1479" s="177"/>
      <c r="N1479" s="70"/>
      <c r="O1479" s="38"/>
      <c r="P1479" s="38"/>
      <c r="Q1479" s="760"/>
      <c r="R1479" s="590"/>
      <c r="S1479" s="38"/>
      <c r="T1479" s="38"/>
      <c r="U1479" s="38"/>
      <c r="V1479" s="37"/>
      <c r="W1479" s="39">
        <f>IF(AC1479="Intr",0,G1479*Definitions!$B$53)</f>
        <v>0</v>
      </c>
      <c r="X1479" s="39">
        <f>IF(AC1479="Intr",0,G1479*Definitions!$B$54)</f>
        <v>0</v>
      </c>
      <c r="Y1479" s="39">
        <f>IF(AC1479="Intr",G1479,G1479*Definitions!$B$55)</f>
        <v>0</v>
      </c>
      <c r="Z1479" s="39"/>
      <c r="AA1479" s="39"/>
      <c r="AB1479" s="39"/>
      <c r="AC1479" s="38"/>
      <c r="AD1479" s="38"/>
      <c r="AE1479" s="38"/>
      <c r="AF1479" s="38"/>
      <c r="AG1479" s="40"/>
      <c r="AH1479" s="38"/>
    </row>
    <row r="1480" spans="1:34" x14ac:dyDescent="0.2">
      <c r="A1480" s="38"/>
      <c r="B1480" s="38"/>
      <c r="C1480" s="38"/>
      <c r="D1480" s="38"/>
      <c r="E1480" s="177"/>
      <c r="F1480" s="177"/>
      <c r="G1480" s="269"/>
      <c r="H1480" s="179"/>
      <c r="I1480" s="177"/>
      <c r="J1480" s="177"/>
      <c r="K1480" s="177"/>
      <c r="L1480" s="177"/>
      <c r="M1480" s="177"/>
      <c r="N1480" s="70"/>
      <c r="O1480" s="38"/>
      <c r="P1480" s="38"/>
      <c r="Q1480" s="760"/>
      <c r="R1480" s="590"/>
      <c r="S1480" s="38"/>
      <c r="T1480" s="38"/>
      <c r="U1480" s="38"/>
      <c r="V1480" s="37"/>
      <c r="W1480" s="39">
        <f>IF(AC1480="Intr",0,G1480*Definitions!$B$53)</f>
        <v>0</v>
      </c>
      <c r="X1480" s="39">
        <f>IF(AC1480="Intr",0,G1480*Definitions!$B$54)</f>
        <v>0</v>
      </c>
      <c r="Y1480" s="39">
        <f>IF(AC1480="Intr",G1480,G1480*Definitions!$B$55)</f>
        <v>0</v>
      </c>
      <c r="Z1480" s="39"/>
      <c r="AA1480" s="39"/>
      <c r="AB1480" s="39"/>
      <c r="AC1480" s="38"/>
      <c r="AD1480" s="38"/>
      <c r="AE1480" s="38"/>
      <c r="AF1480" s="38"/>
      <c r="AG1480" s="40"/>
      <c r="AH1480" s="38"/>
    </row>
    <row r="1481" spans="1:34" x14ac:dyDescent="0.2">
      <c r="A1481" s="38"/>
      <c r="B1481" s="38"/>
      <c r="C1481" s="38"/>
      <c r="D1481" s="38"/>
      <c r="E1481" s="177"/>
      <c r="F1481" s="177"/>
      <c r="G1481" s="269"/>
      <c r="H1481" s="179"/>
      <c r="I1481" s="177"/>
      <c r="J1481" s="177"/>
      <c r="K1481" s="177"/>
      <c r="L1481" s="177"/>
      <c r="M1481" s="177"/>
      <c r="N1481" s="70"/>
      <c r="O1481" s="38"/>
      <c r="P1481" s="38"/>
      <c r="Q1481" s="760"/>
      <c r="R1481" s="590"/>
      <c r="S1481" s="38"/>
      <c r="T1481" s="38"/>
      <c r="U1481" s="38"/>
      <c r="V1481" s="37"/>
      <c r="W1481" s="39">
        <f>IF(AC1481="Intr",0,G1481*Definitions!$B$53)</f>
        <v>0</v>
      </c>
      <c r="X1481" s="39">
        <f>IF(AC1481="Intr",0,G1481*Definitions!$B$54)</f>
        <v>0</v>
      </c>
      <c r="Y1481" s="39">
        <f>IF(AC1481="Intr",G1481,G1481*Definitions!$B$55)</f>
        <v>0</v>
      </c>
      <c r="Z1481" s="39"/>
      <c r="AA1481" s="39"/>
      <c r="AB1481" s="39"/>
      <c r="AC1481" s="38"/>
      <c r="AD1481" s="38"/>
      <c r="AE1481" s="38"/>
      <c r="AF1481" s="38"/>
      <c r="AG1481" s="40"/>
      <c r="AH1481" s="38"/>
    </row>
    <row r="1482" spans="1:34" x14ac:dyDescent="0.2">
      <c r="A1482" s="38"/>
      <c r="B1482" s="38"/>
      <c r="C1482" s="38"/>
      <c r="D1482" s="38"/>
      <c r="E1482" s="177"/>
      <c r="F1482" s="177"/>
      <c r="G1482" s="269"/>
      <c r="H1482" s="179"/>
      <c r="I1482" s="177"/>
      <c r="J1482" s="177"/>
      <c r="K1482" s="177"/>
      <c r="L1482" s="177"/>
      <c r="M1482" s="177"/>
      <c r="N1482" s="70"/>
      <c r="O1482" s="38"/>
      <c r="P1482" s="38"/>
      <c r="Q1482" s="760"/>
      <c r="R1482" s="590"/>
      <c r="S1482" s="38"/>
      <c r="T1482" s="38"/>
      <c r="U1482" s="38"/>
      <c r="V1482" s="37"/>
      <c r="W1482" s="39">
        <f>IF(AC1482="Intr",0,G1482*Definitions!$B$53)</f>
        <v>0</v>
      </c>
      <c r="X1482" s="39">
        <f>IF(AC1482="Intr",0,G1482*Definitions!$B$54)</f>
        <v>0</v>
      </c>
      <c r="Y1482" s="39">
        <f>IF(AC1482="Intr",G1482,G1482*Definitions!$B$55)</f>
        <v>0</v>
      </c>
      <c r="Z1482" s="39"/>
      <c r="AA1482" s="39"/>
      <c r="AB1482" s="39"/>
      <c r="AC1482" s="38"/>
      <c r="AD1482" s="38"/>
      <c r="AE1482" s="38"/>
      <c r="AF1482" s="38"/>
      <c r="AG1482" s="40"/>
      <c r="AH1482" s="38"/>
    </row>
    <row r="1483" spans="1:34" x14ac:dyDescent="0.2">
      <c r="A1483" s="38"/>
      <c r="B1483" s="38"/>
      <c r="C1483" s="38"/>
      <c r="D1483" s="38"/>
      <c r="E1483" s="177"/>
      <c r="F1483" s="177"/>
      <c r="G1483" s="269"/>
      <c r="H1483" s="179"/>
      <c r="I1483" s="177"/>
      <c r="J1483" s="177"/>
      <c r="K1483" s="177"/>
      <c r="L1483" s="177"/>
      <c r="M1483" s="177"/>
      <c r="N1483" s="70"/>
      <c r="O1483" s="38"/>
      <c r="P1483" s="38"/>
      <c r="Q1483" s="760"/>
      <c r="R1483" s="590"/>
      <c r="S1483" s="38"/>
      <c r="T1483" s="38"/>
      <c r="U1483" s="38"/>
      <c r="V1483" s="37"/>
      <c r="W1483" s="39">
        <f>IF(AC1483="Intr",0,G1483*Definitions!$B$53)</f>
        <v>0</v>
      </c>
      <c r="X1483" s="39">
        <f>IF(AC1483="Intr",0,G1483*Definitions!$B$54)</f>
        <v>0</v>
      </c>
      <c r="Y1483" s="39">
        <f>IF(AC1483="Intr",G1483,G1483*Definitions!$B$55)</f>
        <v>0</v>
      </c>
      <c r="Z1483" s="39"/>
      <c r="AA1483" s="39"/>
      <c r="AB1483" s="39"/>
      <c r="AC1483" s="38"/>
      <c r="AD1483" s="38"/>
      <c r="AE1483" s="38"/>
      <c r="AF1483" s="38"/>
      <c r="AG1483" s="40"/>
      <c r="AH1483" s="38"/>
    </row>
    <row r="1484" spans="1:34" x14ac:dyDescent="0.2">
      <c r="A1484" s="38"/>
      <c r="B1484" s="38"/>
      <c r="C1484" s="38"/>
      <c r="D1484" s="38"/>
      <c r="E1484" s="177"/>
      <c r="F1484" s="177"/>
      <c r="G1484" s="269"/>
      <c r="H1484" s="179"/>
      <c r="I1484" s="177"/>
      <c r="J1484" s="177"/>
      <c r="K1484" s="177"/>
      <c r="L1484" s="177"/>
      <c r="M1484" s="177"/>
      <c r="N1484" s="70"/>
      <c r="O1484" s="38"/>
      <c r="P1484" s="38"/>
      <c r="Q1484" s="760"/>
      <c r="R1484" s="590"/>
      <c r="S1484" s="38"/>
      <c r="T1484" s="38"/>
      <c r="U1484" s="38"/>
      <c r="V1484" s="37"/>
      <c r="W1484" s="39">
        <f>IF(AC1484="Intr",0,G1484*Definitions!$B$53)</f>
        <v>0</v>
      </c>
      <c r="X1484" s="39">
        <f>IF(AC1484="Intr",0,G1484*Definitions!$B$54)</f>
        <v>0</v>
      </c>
      <c r="Y1484" s="39">
        <f>IF(AC1484="Intr",G1484,G1484*Definitions!$B$55)</f>
        <v>0</v>
      </c>
      <c r="Z1484" s="39"/>
      <c r="AA1484" s="39"/>
      <c r="AB1484" s="39"/>
      <c r="AC1484" s="38"/>
      <c r="AD1484" s="38"/>
      <c r="AE1484" s="38"/>
      <c r="AF1484" s="38"/>
      <c r="AG1484" s="40"/>
      <c r="AH1484" s="38"/>
    </row>
    <row r="1485" spans="1:34" x14ac:dyDescent="0.2">
      <c r="A1485" s="38"/>
      <c r="B1485" s="38"/>
      <c r="C1485" s="38"/>
      <c r="D1485" s="38"/>
      <c r="E1485" s="177"/>
      <c r="F1485" s="177"/>
      <c r="G1485" s="269"/>
      <c r="H1485" s="179"/>
      <c r="I1485" s="177"/>
      <c r="J1485" s="177"/>
      <c r="K1485" s="177"/>
      <c r="L1485" s="177"/>
      <c r="M1485" s="177"/>
      <c r="N1485" s="70"/>
      <c r="O1485" s="38"/>
      <c r="P1485" s="38"/>
      <c r="Q1485" s="760"/>
      <c r="R1485" s="590"/>
      <c r="S1485" s="38"/>
      <c r="T1485" s="38"/>
      <c r="U1485" s="38"/>
      <c r="V1485" s="37"/>
      <c r="W1485" s="39">
        <f>IF(AC1485="Intr",0,G1485*Definitions!$B$53)</f>
        <v>0</v>
      </c>
      <c r="X1485" s="39">
        <f>IF(AC1485="Intr",0,G1485*Definitions!$B$54)</f>
        <v>0</v>
      </c>
      <c r="Y1485" s="39">
        <f>IF(AC1485="Intr",G1485,G1485*Definitions!$B$55)</f>
        <v>0</v>
      </c>
      <c r="Z1485" s="39"/>
      <c r="AA1485" s="39"/>
      <c r="AB1485" s="39"/>
      <c r="AC1485" s="38"/>
      <c r="AD1485" s="38"/>
      <c r="AE1485" s="38"/>
      <c r="AF1485" s="38"/>
      <c r="AG1485" s="40"/>
      <c r="AH1485" s="38"/>
    </row>
    <row r="1486" spans="1:34" x14ac:dyDescent="0.2">
      <c r="A1486" s="38"/>
      <c r="B1486" s="38"/>
      <c r="C1486" s="38"/>
      <c r="D1486" s="38"/>
      <c r="E1486" s="177"/>
      <c r="F1486" s="177"/>
      <c r="G1486" s="269"/>
      <c r="H1486" s="179"/>
      <c r="I1486" s="177"/>
      <c r="J1486" s="177"/>
      <c r="K1486" s="177"/>
      <c r="L1486" s="177"/>
      <c r="M1486" s="177"/>
      <c r="N1486" s="70"/>
      <c r="O1486" s="38"/>
      <c r="P1486" s="38"/>
      <c r="Q1486" s="760"/>
      <c r="R1486" s="590"/>
      <c r="S1486" s="38"/>
      <c r="T1486" s="38"/>
      <c r="U1486" s="38"/>
      <c r="V1486" s="37"/>
      <c r="W1486" s="39">
        <f>IF(AC1486="Intr",0,G1486*Definitions!$B$53)</f>
        <v>0</v>
      </c>
      <c r="X1486" s="39">
        <f>IF(AC1486="Intr",0,G1486*Definitions!$B$54)</f>
        <v>0</v>
      </c>
      <c r="Y1486" s="39">
        <f>IF(AC1486="Intr",G1486,G1486*Definitions!$B$55)</f>
        <v>0</v>
      </c>
      <c r="Z1486" s="39"/>
      <c r="AA1486" s="39"/>
      <c r="AB1486" s="39"/>
      <c r="AC1486" s="38"/>
      <c r="AD1486" s="38"/>
      <c r="AE1486" s="38"/>
      <c r="AF1486" s="38"/>
      <c r="AG1486" s="40"/>
      <c r="AH1486" s="38"/>
    </row>
    <row r="1487" spans="1:34" x14ac:dyDescent="0.2">
      <c r="A1487" s="38"/>
      <c r="B1487" s="38"/>
      <c r="C1487" s="38"/>
      <c r="D1487" s="38"/>
      <c r="E1487" s="177"/>
      <c r="F1487" s="177"/>
      <c r="G1487" s="269"/>
      <c r="H1487" s="179"/>
      <c r="I1487" s="177"/>
      <c r="J1487" s="177"/>
      <c r="K1487" s="177"/>
      <c r="L1487" s="177"/>
      <c r="M1487" s="177"/>
      <c r="N1487" s="70"/>
      <c r="O1487" s="38"/>
      <c r="P1487" s="38"/>
      <c r="Q1487" s="760"/>
      <c r="R1487" s="590"/>
      <c r="S1487" s="38"/>
      <c r="T1487" s="38"/>
      <c r="U1487" s="38"/>
      <c r="V1487" s="37"/>
      <c r="W1487" s="39">
        <f>IF(AC1487="Intr",0,G1487*Definitions!$B$53)</f>
        <v>0</v>
      </c>
      <c r="X1487" s="39">
        <f>IF(AC1487="Intr",0,G1487*Definitions!$B$54)</f>
        <v>0</v>
      </c>
      <c r="Y1487" s="39">
        <f>IF(AC1487="Intr",G1487,G1487*Definitions!$B$55)</f>
        <v>0</v>
      </c>
      <c r="Z1487" s="39"/>
      <c r="AA1487" s="39"/>
      <c r="AB1487" s="39"/>
      <c r="AC1487" s="38"/>
      <c r="AD1487" s="38"/>
      <c r="AE1487" s="38"/>
      <c r="AF1487" s="38"/>
      <c r="AG1487" s="40"/>
      <c r="AH1487" s="38"/>
    </row>
    <row r="1488" spans="1:34" x14ac:dyDescent="0.2">
      <c r="A1488" s="38"/>
      <c r="B1488" s="38"/>
      <c r="C1488" s="38"/>
      <c r="D1488" s="38"/>
      <c r="E1488" s="177"/>
      <c r="F1488" s="177"/>
      <c r="G1488" s="269"/>
      <c r="H1488" s="179"/>
      <c r="I1488" s="177"/>
      <c r="J1488" s="177"/>
      <c r="K1488" s="177"/>
      <c r="L1488" s="177"/>
      <c r="M1488" s="177"/>
      <c r="N1488" s="70"/>
      <c r="O1488" s="38"/>
      <c r="P1488" s="38"/>
      <c r="Q1488" s="760"/>
      <c r="R1488" s="590"/>
      <c r="S1488" s="38"/>
      <c r="T1488" s="38"/>
      <c r="U1488" s="38"/>
      <c r="V1488" s="37"/>
      <c r="W1488" s="39">
        <f>IF(AC1488="Intr",0,G1488*Definitions!$B$53)</f>
        <v>0</v>
      </c>
      <c r="X1488" s="39">
        <f>IF(AC1488="Intr",0,G1488*Definitions!$B$54)</f>
        <v>0</v>
      </c>
      <c r="Y1488" s="39">
        <f>IF(AC1488="Intr",G1488,G1488*Definitions!$B$55)</f>
        <v>0</v>
      </c>
      <c r="Z1488" s="39"/>
      <c r="AA1488" s="39"/>
      <c r="AB1488" s="39"/>
      <c r="AC1488" s="38"/>
      <c r="AD1488" s="38"/>
      <c r="AE1488" s="38"/>
      <c r="AF1488" s="38"/>
      <c r="AG1488" s="40"/>
      <c r="AH1488" s="38"/>
    </row>
    <row r="1489" spans="1:34" x14ac:dyDescent="0.2">
      <c r="A1489" s="38"/>
      <c r="B1489" s="38"/>
      <c r="C1489" s="38"/>
      <c r="D1489" s="38"/>
      <c r="E1489" s="177"/>
      <c r="F1489" s="177"/>
      <c r="G1489" s="269"/>
      <c r="H1489" s="179"/>
      <c r="I1489" s="177"/>
      <c r="J1489" s="177"/>
      <c r="K1489" s="177"/>
      <c r="L1489" s="177"/>
      <c r="M1489" s="177"/>
      <c r="N1489" s="70"/>
      <c r="O1489" s="38"/>
      <c r="P1489" s="38"/>
      <c r="Q1489" s="760"/>
      <c r="R1489" s="590"/>
      <c r="S1489" s="38"/>
      <c r="T1489" s="38"/>
      <c r="U1489" s="38"/>
      <c r="V1489" s="37"/>
      <c r="W1489" s="39">
        <f>IF(AC1489="Intr",0,G1489*Definitions!$B$53)</f>
        <v>0</v>
      </c>
      <c r="X1489" s="39">
        <f>IF(AC1489="Intr",0,G1489*Definitions!$B$54)</f>
        <v>0</v>
      </c>
      <c r="Y1489" s="39">
        <f>IF(AC1489="Intr",G1489,G1489*Definitions!$B$55)</f>
        <v>0</v>
      </c>
      <c r="Z1489" s="39"/>
      <c r="AA1489" s="39"/>
      <c r="AB1489" s="39"/>
      <c r="AC1489" s="38"/>
      <c r="AD1489" s="38"/>
      <c r="AE1489" s="38"/>
      <c r="AF1489" s="38"/>
      <c r="AG1489" s="40"/>
      <c r="AH1489" s="38"/>
    </row>
    <row r="1490" spans="1:34" x14ac:dyDescent="0.2">
      <c r="A1490" s="38"/>
      <c r="B1490" s="38"/>
      <c r="C1490" s="38"/>
      <c r="D1490" s="38"/>
      <c r="E1490" s="177"/>
      <c r="F1490" s="177"/>
      <c r="G1490" s="269"/>
      <c r="H1490" s="179"/>
      <c r="I1490" s="177"/>
      <c r="J1490" s="177"/>
      <c r="K1490" s="177"/>
      <c r="L1490" s="177"/>
      <c r="M1490" s="177"/>
      <c r="N1490" s="70"/>
      <c r="O1490" s="38"/>
      <c r="P1490" s="38"/>
      <c r="Q1490" s="760"/>
      <c r="R1490" s="590"/>
      <c r="S1490" s="38"/>
      <c r="T1490" s="38"/>
      <c r="U1490" s="38"/>
      <c r="V1490" s="37"/>
      <c r="W1490" s="39">
        <f>IF(AC1490="Intr",0,G1490*Definitions!$B$53)</f>
        <v>0</v>
      </c>
      <c r="X1490" s="39">
        <f>IF(AC1490="Intr",0,G1490*Definitions!$B$54)</f>
        <v>0</v>
      </c>
      <c r="Y1490" s="39">
        <f>IF(AC1490="Intr",G1490,G1490*Definitions!$B$55)</f>
        <v>0</v>
      </c>
      <c r="Z1490" s="39"/>
      <c r="AA1490" s="39"/>
      <c r="AB1490" s="39"/>
      <c r="AC1490" s="38"/>
      <c r="AD1490" s="38"/>
      <c r="AE1490" s="38"/>
      <c r="AF1490" s="38"/>
      <c r="AG1490" s="40"/>
      <c r="AH1490" s="38"/>
    </row>
    <row r="1491" spans="1:34" x14ac:dyDescent="0.2">
      <c r="A1491" s="38"/>
      <c r="B1491" s="38"/>
      <c r="C1491" s="38"/>
      <c r="D1491" s="38"/>
      <c r="E1491" s="177"/>
      <c r="F1491" s="177"/>
      <c r="G1491" s="269"/>
      <c r="H1491" s="179"/>
      <c r="I1491" s="177"/>
      <c r="J1491" s="177"/>
      <c r="K1491" s="177"/>
      <c r="L1491" s="177"/>
      <c r="M1491" s="177"/>
      <c r="N1491" s="70"/>
      <c r="O1491" s="38"/>
      <c r="P1491" s="38"/>
      <c r="Q1491" s="760"/>
      <c r="R1491" s="590"/>
      <c r="S1491" s="38"/>
      <c r="T1491" s="38"/>
      <c r="U1491" s="38"/>
      <c r="V1491" s="37"/>
      <c r="W1491" s="39">
        <f>IF(AC1491="Intr",0,G1491*Definitions!$B$53)</f>
        <v>0</v>
      </c>
      <c r="X1491" s="39">
        <f>IF(AC1491="Intr",0,G1491*Definitions!$B$54)</f>
        <v>0</v>
      </c>
      <c r="Y1491" s="39">
        <f>IF(AC1491="Intr",G1491,G1491*Definitions!$B$55)</f>
        <v>0</v>
      </c>
      <c r="Z1491" s="39"/>
      <c r="AA1491" s="39"/>
      <c r="AB1491" s="39"/>
      <c r="AC1491" s="38"/>
      <c r="AD1491" s="38"/>
      <c r="AE1491" s="38"/>
      <c r="AF1491" s="38"/>
      <c r="AG1491" s="40"/>
      <c r="AH1491" s="38"/>
    </row>
    <row r="1492" spans="1:34" x14ac:dyDescent="0.2">
      <c r="A1492" s="38"/>
      <c r="B1492" s="38"/>
      <c r="C1492" s="38"/>
      <c r="D1492" s="38"/>
      <c r="E1492" s="177"/>
      <c r="F1492" s="177"/>
      <c r="G1492" s="269"/>
      <c r="H1492" s="179"/>
      <c r="I1492" s="177"/>
      <c r="J1492" s="177"/>
      <c r="K1492" s="177"/>
      <c r="L1492" s="177"/>
      <c r="M1492" s="177"/>
      <c r="N1492" s="70"/>
      <c r="O1492" s="38"/>
      <c r="P1492" s="38"/>
      <c r="Q1492" s="760"/>
      <c r="R1492" s="590"/>
      <c r="S1492" s="38"/>
      <c r="T1492" s="38"/>
      <c r="U1492" s="38"/>
      <c r="V1492" s="37"/>
      <c r="W1492" s="39">
        <f>IF(AC1492="Intr",0,G1492*Definitions!$B$53)</f>
        <v>0</v>
      </c>
      <c r="X1492" s="39">
        <f>IF(AC1492="Intr",0,G1492*Definitions!$B$54)</f>
        <v>0</v>
      </c>
      <c r="Y1492" s="39">
        <f>IF(AC1492="Intr",G1492,G1492*Definitions!$B$55)</f>
        <v>0</v>
      </c>
      <c r="Z1492" s="39"/>
      <c r="AA1492" s="39"/>
      <c r="AB1492" s="39"/>
      <c r="AC1492" s="38"/>
      <c r="AD1492" s="38"/>
      <c r="AE1492" s="38"/>
      <c r="AF1492" s="38"/>
      <c r="AG1492" s="40"/>
      <c r="AH1492" s="38"/>
    </row>
    <row r="1493" spans="1:34" x14ac:dyDescent="0.2">
      <c r="A1493" s="38"/>
      <c r="B1493" s="38"/>
      <c r="C1493" s="38"/>
      <c r="D1493" s="38"/>
      <c r="E1493" s="177"/>
      <c r="F1493" s="177"/>
      <c r="G1493" s="269"/>
      <c r="H1493" s="179"/>
      <c r="I1493" s="177"/>
      <c r="J1493" s="177"/>
      <c r="K1493" s="177"/>
      <c r="L1493" s="177"/>
      <c r="M1493" s="177"/>
      <c r="N1493" s="70"/>
      <c r="O1493" s="38"/>
      <c r="P1493" s="38"/>
      <c r="Q1493" s="760"/>
      <c r="R1493" s="590"/>
      <c r="S1493" s="38"/>
      <c r="T1493" s="38"/>
      <c r="U1493" s="38"/>
      <c r="V1493" s="37"/>
      <c r="W1493" s="39">
        <f>IF(AC1493="Intr",0,G1493*Definitions!$B$53)</f>
        <v>0</v>
      </c>
      <c r="X1493" s="39">
        <f>IF(AC1493="Intr",0,G1493*Definitions!$B$54)</f>
        <v>0</v>
      </c>
      <c r="Y1493" s="39">
        <f>IF(AC1493="Intr",G1493,G1493*Definitions!$B$55)</f>
        <v>0</v>
      </c>
      <c r="Z1493" s="39"/>
      <c r="AA1493" s="39"/>
      <c r="AB1493" s="39"/>
      <c r="AC1493" s="38"/>
      <c r="AD1493" s="38"/>
      <c r="AE1493" s="38"/>
      <c r="AF1493" s="38"/>
      <c r="AG1493" s="40"/>
      <c r="AH1493" s="38"/>
    </row>
    <row r="1494" spans="1:34" x14ac:dyDescent="0.2">
      <c r="A1494" s="38"/>
      <c r="B1494" s="38"/>
      <c r="C1494" s="38"/>
      <c r="D1494" s="38"/>
      <c r="E1494" s="177"/>
      <c r="F1494" s="177"/>
      <c r="G1494" s="269"/>
      <c r="H1494" s="179"/>
      <c r="I1494" s="177"/>
      <c r="J1494" s="177"/>
      <c r="K1494" s="177"/>
      <c r="L1494" s="177"/>
      <c r="M1494" s="177"/>
      <c r="N1494" s="70"/>
      <c r="O1494" s="38"/>
      <c r="P1494" s="38"/>
      <c r="Q1494" s="760"/>
      <c r="R1494" s="590"/>
      <c r="S1494" s="38"/>
      <c r="T1494" s="38"/>
      <c r="U1494" s="38"/>
      <c r="V1494" s="37"/>
      <c r="W1494" s="39">
        <f>IF(AC1494="Intr",0,G1494*Definitions!$B$53)</f>
        <v>0</v>
      </c>
      <c r="X1494" s="39">
        <f>IF(AC1494="Intr",0,G1494*Definitions!$B$54)</f>
        <v>0</v>
      </c>
      <c r="Y1494" s="39">
        <f>IF(AC1494="Intr",G1494,G1494*Definitions!$B$55)</f>
        <v>0</v>
      </c>
      <c r="Z1494" s="39"/>
      <c r="AA1494" s="39"/>
      <c r="AB1494" s="39"/>
      <c r="AC1494" s="38"/>
      <c r="AD1494" s="38"/>
      <c r="AE1494" s="38"/>
      <c r="AF1494" s="38"/>
      <c r="AG1494" s="40"/>
      <c r="AH1494" s="38"/>
    </row>
    <row r="1495" spans="1:34" x14ac:dyDescent="0.2">
      <c r="A1495" s="38"/>
      <c r="B1495" s="38"/>
      <c r="C1495" s="38"/>
      <c r="D1495" s="38"/>
      <c r="E1495" s="177"/>
      <c r="F1495" s="177"/>
      <c r="G1495" s="269"/>
      <c r="H1495" s="179"/>
      <c r="I1495" s="177"/>
      <c r="J1495" s="177"/>
      <c r="K1495" s="177"/>
      <c r="L1495" s="177"/>
      <c r="M1495" s="177"/>
      <c r="N1495" s="70"/>
      <c r="O1495" s="38"/>
      <c r="P1495" s="38"/>
      <c r="Q1495" s="760"/>
      <c r="R1495" s="590"/>
      <c r="S1495" s="38"/>
      <c r="T1495" s="38"/>
      <c r="U1495" s="38"/>
      <c r="V1495" s="37"/>
      <c r="W1495" s="39">
        <f>IF(AC1495="Intr",0,G1495*Definitions!$B$53)</f>
        <v>0</v>
      </c>
      <c r="X1495" s="39">
        <f>IF(AC1495="Intr",0,G1495*Definitions!$B$54)</f>
        <v>0</v>
      </c>
      <c r="Y1495" s="39">
        <f>IF(AC1495="Intr",G1495,G1495*Definitions!$B$55)</f>
        <v>0</v>
      </c>
      <c r="Z1495" s="39"/>
      <c r="AA1495" s="39"/>
      <c r="AB1495" s="39"/>
      <c r="AC1495" s="38"/>
      <c r="AD1495" s="38"/>
      <c r="AE1495" s="38"/>
      <c r="AF1495" s="38"/>
      <c r="AG1495" s="40"/>
      <c r="AH1495" s="38"/>
    </row>
    <row r="1496" spans="1:34" x14ac:dyDescent="0.2">
      <c r="A1496" s="38"/>
      <c r="B1496" s="38"/>
      <c r="C1496" s="38"/>
      <c r="D1496" s="38"/>
      <c r="E1496" s="177"/>
      <c r="F1496" s="177"/>
      <c r="G1496" s="269"/>
      <c r="H1496" s="179"/>
      <c r="I1496" s="177"/>
      <c r="J1496" s="177"/>
      <c r="K1496" s="177"/>
      <c r="L1496" s="177"/>
      <c r="M1496" s="177"/>
      <c r="N1496" s="70"/>
      <c r="O1496" s="38"/>
      <c r="P1496" s="38"/>
      <c r="Q1496" s="760"/>
      <c r="R1496" s="590"/>
      <c r="S1496" s="38"/>
      <c r="T1496" s="38"/>
      <c r="U1496" s="38"/>
      <c r="V1496" s="37"/>
      <c r="W1496" s="39">
        <f>IF(AC1496="Intr",0,G1496*Definitions!$B$53)</f>
        <v>0</v>
      </c>
      <c r="X1496" s="39">
        <f>IF(AC1496="Intr",0,G1496*Definitions!$B$54)</f>
        <v>0</v>
      </c>
      <c r="Y1496" s="39">
        <f>IF(AC1496="Intr",G1496,G1496*Definitions!$B$55)</f>
        <v>0</v>
      </c>
      <c r="Z1496" s="39"/>
      <c r="AA1496" s="39"/>
      <c r="AB1496" s="39"/>
      <c r="AC1496" s="38"/>
      <c r="AD1496" s="38"/>
      <c r="AE1496" s="38"/>
      <c r="AF1496" s="38"/>
      <c r="AG1496" s="40"/>
      <c r="AH1496" s="38"/>
    </row>
    <row r="1497" spans="1:34" x14ac:dyDescent="0.2">
      <c r="A1497" s="38"/>
      <c r="B1497" s="38"/>
      <c r="C1497" s="38"/>
      <c r="D1497" s="38"/>
      <c r="E1497" s="177"/>
      <c r="F1497" s="177"/>
      <c r="G1497" s="269"/>
      <c r="H1497" s="179"/>
      <c r="I1497" s="177"/>
      <c r="J1497" s="177"/>
      <c r="K1497" s="177"/>
      <c r="L1497" s="177"/>
      <c r="M1497" s="177"/>
      <c r="N1497" s="70"/>
      <c r="O1497" s="38"/>
      <c r="P1497" s="38"/>
      <c r="Q1497" s="760"/>
      <c r="R1497" s="590"/>
      <c r="S1497" s="38"/>
      <c r="T1497" s="38"/>
      <c r="U1497" s="38"/>
      <c r="V1497" s="37"/>
      <c r="W1497" s="39">
        <f>IF(AC1497="Intr",0,G1497*Definitions!$B$53)</f>
        <v>0</v>
      </c>
      <c r="X1497" s="39">
        <f>IF(AC1497="Intr",0,G1497*Definitions!$B$54)</f>
        <v>0</v>
      </c>
      <c r="Y1497" s="39">
        <f>IF(AC1497="Intr",G1497,G1497*Definitions!$B$55)</f>
        <v>0</v>
      </c>
      <c r="Z1497" s="39"/>
      <c r="AA1497" s="39"/>
      <c r="AB1497" s="39"/>
      <c r="AC1497" s="38"/>
      <c r="AD1497" s="38"/>
      <c r="AE1497" s="38"/>
      <c r="AF1497" s="38"/>
      <c r="AG1497" s="40"/>
      <c r="AH1497" s="38"/>
    </row>
    <row r="1498" spans="1:34" x14ac:dyDescent="0.2">
      <c r="A1498" s="38"/>
      <c r="B1498" s="38"/>
      <c r="C1498" s="38"/>
      <c r="D1498" s="38"/>
      <c r="E1498" s="177"/>
      <c r="F1498" s="177"/>
      <c r="G1498" s="269"/>
      <c r="H1498" s="179"/>
      <c r="I1498" s="177"/>
      <c r="J1498" s="177"/>
      <c r="K1498" s="177"/>
      <c r="L1498" s="177"/>
      <c r="M1498" s="177"/>
      <c r="N1498" s="70"/>
      <c r="O1498" s="38"/>
      <c r="P1498" s="38"/>
      <c r="Q1498" s="760"/>
      <c r="R1498" s="590"/>
      <c r="S1498" s="38"/>
      <c r="T1498" s="38"/>
      <c r="U1498" s="38"/>
      <c r="V1498" s="37"/>
      <c r="W1498" s="39">
        <f>IF(AC1498="Intr",0,G1498*Definitions!$B$53)</f>
        <v>0</v>
      </c>
      <c r="X1498" s="39">
        <f>IF(AC1498="Intr",0,G1498*Definitions!$B$54)</f>
        <v>0</v>
      </c>
      <c r="Y1498" s="39">
        <f>IF(AC1498="Intr",G1498,G1498*Definitions!$B$55)</f>
        <v>0</v>
      </c>
      <c r="Z1498" s="39"/>
      <c r="AA1498" s="39"/>
      <c r="AB1498" s="39"/>
      <c r="AC1498" s="38"/>
      <c r="AD1498" s="38"/>
      <c r="AE1498" s="38"/>
      <c r="AF1498" s="38"/>
      <c r="AG1498" s="40"/>
      <c r="AH1498" s="38"/>
    </row>
    <row r="1499" spans="1:34" x14ac:dyDescent="0.2">
      <c r="A1499" s="38"/>
      <c r="B1499" s="38"/>
      <c r="C1499" s="38"/>
      <c r="D1499" s="38"/>
      <c r="E1499" s="177"/>
      <c r="F1499" s="177"/>
      <c r="G1499" s="269"/>
      <c r="H1499" s="179"/>
      <c r="I1499" s="177"/>
      <c r="J1499" s="177"/>
      <c r="K1499" s="177"/>
      <c r="L1499" s="177"/>
      <c r="M1499" s="177"/>
      <c r="N1499" s="70"/>
      <c r="O1499" s="38"/>
      <c r="P1499" s="38"/>
      <c r="Q1499" s="760"/>
      <c r="R1499" s="590"/>
      <c r="S1499" s="38"/>
      <c r="T1499" s="38"/>
      <c r="U1499" s="38"/>
      <c r="V1499" s="37"/>
      <c r="W1499" s="39">
        <f>IF(AC1499="Intr",0,G1499*Definitions!$B$53)</f>
        <v>0</v>
      </c>
      <c r="X1499" s="39">
        <f>IF(AC1499="Intr",0,G1499*Definitions!$B$54)</f>
        <v>0</v>
      </c>
      <c r="Y1499" s="39">
        <f>IF(AC1499="Intr",G1499,G1499*Definitions!$B$55)</f>
        <v>0</v>
      </c>
      <c r="Z1499" s="39"/>
      <c r="AA1499" s="39"/>
      <c r="AB1499" s="39"/>
      <c r="AC1499" s="38"/>
      <c r="AD1499" s="38"/>
      <c r="AE1499" s="38"/>
      <c r="AF1499" s="38"/>
      <c r="AG1499" s="40"/>
      <c r="AH1499" s="38"/>
    </row>
    <row r="1500" spans="1:34" x14ac:dyDescent="0.2">
      <c r="A1500" s="38"/>
      <c r="B1500" s="38"/>
      <c r="C1500" s="38"/>
      <c r="D1500" s="38"/>
      <c r="E1500" s="177"/>
      <c r="F1500" s="177"/>
      <c r="G1500" s="269"/>
      <c r="H1500" s="179"/>
      <c r="I1500" s="177"/>
      <c r="J1500" s="177"/>
      <c r="K1500" s="177"/>
      <c r="L1500" s="177"/>
      <c r="M1500" s="177"/>
      <c r="N1500" s="70"/>
      <c r="O1500" s="38"/>
      <c r="P1500" s="38"/>
      <c r="Q1500" s="760"/>
      <c r="R1500" s="590"/>
      <c r="S1500" s="38"/>
      <c r="T1500" s="38"/>
      <c r="U1500" s="38"/>
      <c r="V1500" s="37"/>
      <c r="W1500" s="39">
        <f>IF(AC1500="Intr",0,G1500*Definitions!$B$53)</f>
        <v>0</v>
      </c>
      <c r="X1500" s="39">
        <f>IF(AC1500="Intr",0,G1500*Definitions!$B$54)</f>
        <v>0</v>
      </c>
      <c r="Y1500" s="39">
        <f>IF(AC1500="Intr",G1500,G1500*Definitions!$B$55)</f>
        <v>0</v>
      </c>
      <c r="Z1500" s="39"/>
      <c r="AA1500" s="39"/>
      <c r="AB1500" s="39"/>
      <c r="AC1500" s="38"/>
      <c r="AD1500" s="38"/>
      <c r="AE1500" s="38"/>
      <c r="AF1500" s="38"/>
      <c r="AG1500" s="40"/>
      <c r="AH1500" s="38"/>
    </row>
    <row r="1501" spans="1:34" x14ac:dyDescent="0.2">
      <c r="A1501" s="38"/>
      <c r="B1501" s="38"/>
      <c r="C1501" s="38"/>
      <c r="D1501" s="38"/>
      <c r="E1501" s="177"/>
      <c r="F1501" s="177"/>
      <c r="G1501" s="269"/>
      <c r="H1501" s="179"/>
      <c r="I1501" s="177"/>
      <c r="J1501" s="177"/>
      <c r="K1501" s="177"/>
      <c r="L1501" s="177"/>
      <c r="M1501" s="177"/>
      <c r="N1501" s="70"/>
      <c r="O1501" s="38"/>
      <c r="P1501" s="38"/>
      <c r="Q1501" s="760"/>
      <c r="R1501" s="590"/>
      <c r="S1501" s="38"/>
      <c r="T1501" s="38"/>
      <c r="U1501" s="38"/>
      <c r="V1501" s="37"/>
      <c r="W1501" s="39">
        <f>IF(AC1501="Intr",0,G1501*Definitions!$B$53)</f>
        <v>0</v>
      </c>
      <c r="X1501" s="39">
        <f>IF(AC1501="Intr",0,G1501*Definitions!$B$54)</f>
        <v>0</v>
      </c>
      <c r="Y1501" s="39">
        <f>IF(AC1501="Intr",G1501,G1501*Definitions!$B$55)</f>
        <v>0</v>
      </c>
      <c r="Z1501" s="39"/>
      <c r="AA1501" s="39"/>
      <c r="AB1501" s="39"/>
      <c r="AC1501" s="38"/>
      <c r="AD1501" s="38"/>
      <c r="AE1501" s="38"/>
      <c r="AF1501" s="38"/>
      <c r="AG1501" s="40"/>
      <c r="AH1501" s="38"/>
    </row>
    <row r="1502" spans="1:34" x14ac:dyDescent="0.2">
      <c r="A1502" s="38"/>
      <c r="B1502" s="38"/>
      <c r="C1502" s="38"/>
      <c r="D1502" s="38"/>
      <c r="E1502" s="177"/>
      <c r="F1502" s="177"/>
      <c r="G1502" s="269"/>
      <c r="H1502" s="179"/>
      <c r="I1502" s="177"/>
      <c r="J1502" s="177"/>
      <c r="K1502" s="177"/>
      <c r="L1502" s="177"/>
      <c r="M1502" s="177"/>
      <c r="N1502" s="70"/>
      <c r="O1502" s="38"/>
      <c r="P1502" s="38"/>
      <c r="Q1502" s="760"/>
      <c r="R1502" s="590"/>
      <c r="S1502" s="38"/>
      <c r="T1502" s="38"/>
      <c r="U1502" s="38"/>
      <c r="V1502" s="37"/>
      <c r="W1502" s="39">
        <f>IF(AC1502="Intr",0,G1502*Definitions!$B$53)</f>
        <v>0</v>
      </c>
      <c r="X1502" s="39">
        <f>IF(AC1502="Intr",0,G1502*Definitions!$B$54)</f>
        <v>0</v>
      </c>
      <c r="Y1502" s="39">
        <f>IF(AC1502="Intr",G1502,G1502*Definitions!$B$55)</f>
        <v>0</v>
      </c>
      <c r="Z1502" s="39"/>
      <c r="AA1502" s="39"/>
      <c r="AB1502" s="39"/>
      <c r="AC1502" s="38"/>
      <c r="AD1502" s="38"/>
      <c r="AE1502" s="38"/>
      <c r="AF1502" s="38"/>
      <c r="AG1502" s="40"/>
      <c r="AH1502" s="38"/>
    </row>
    <row r="1503" spans="1:34" x14ac:dyDescent="0.2">
      <c r="A1503" s="38"/>
      <c r="B1503" s="38"/>
      <c r="C1503" s="38"/>
      <c r="D1503" s="38"/>
      <c r="E1503" s="177"/>
      <c r="F1503" s="177"/>
      <c r="G1503" s="269"/>
      <c r="H1503" s="179"/>
      <c r="I1503" s="177"/>
      <c r="J1503" s="177"/>
      <c r="K1503" s="177"/>
      <c r="L1503" s="177"/>
      <c r="M1503" s="177"/>
      <c r="N1503" s="70"/>
      <c r="O1503" s="38"/>
      <c r="P1503" s="38"/>
      <c r="Q1503" s="760"/>
      <c r="R1503" s="590"/>
      <c r="S1503" s="38"/>
      <c r="T1503" s="38"/>
      <c r="U1503" s="38"/>
      <c r="V1503" s="37"/>
      <c r="W1503" s="39">
        <f>IF(AC1503="Intr",0,G1503*Definitions!$B$53)</f>
        <v>0</v>
      </c>
      <c r="X1503" s="39">
        <f>IF(AC1503="Intr",0,G1503*Definitions!$B$54)</f>
        <v>0</v>
      </c>
      <c r="Y1503" s="39">
        <f>IF(AC1503="Intr",G1503,G1503*Definitions!$B$55)</f>
        <v>0</v>
      </c>
      <c r="Z1503" s="39"/>
      <c r="AA1503" s="39"/>
      <c r="AB1503" s="39"/>
      <c r="AC1503" s="38"/>
      <c r="AD1503" s="38"/>
      <c r="AE1503" s="38"/>
      <c r="AF1503" s="38"/>
      <c r="AG1503" s="40"/>
      <c r="AH1503" s="38"/>
    </row>
    <row r="1504" spans="1:34" x14ac:dyDescent="0.2">
      <c r="A1504" s="38"/>
      <c r="B1504" s="38"/>
      <c r="C1504" s="38"/>
      <c r="D1504" s="38"/>
      <c r="E1504" s="177"/>
      <c r="F1504" s="177"/>
      <c r="G1504" s="269"/>
      <c r="H1504" s="179"/>
      <c r="I1504" s="177"/>
      <c r="J1504" s="177"/>
      <c r="K1504" s="177"/>
      <c r="L1504" s="177"/>
      <c r="M1504" s="177"/>
      <c r="N1504" s="70"/>
      <c r="O1504" s="38"/>
      <c r="P1504" s="38"/>
      <c r="Q1504" s="760"/>
      <c r="R1504" s="590"/>
      <c r="S1504" s="38"/>
      <c r="T1504" s="38"/>
      <c r="U1504" s="38"/>
      <c r="V1504" s="37"/>
      <c r="W1504" s="39">
        <f>IF(AC1504="Intr",0,G1504*Definitions!$B$53)</f>
        <v>0</v>
      </c>
      <c r="X1504" s="39">
        <f>IF(AC1504="Intr",0,G1504*Definitions!$B$54)</f>
        <v>0</v>
      </c>
      <c r="Y1504" s="39">
        <f>IF(AC1504="Intr",G1504,G1504*Definitions!$B$55)</f>
        <v>0</v>
      </c>
      <c r="Z1504" s="39"/>
      <c r="AA1504" s="39"/>
      <c r="AB1504" s="39"/>
      <c r="AC1504" s="38"/>
      <c r="AD1504" s="38"/>
      <c r="AE1504" s="38"/>
      <c r="AF1504" s="38"/>
      <c r="AG1504" s="40"/>
      <c r="AH1504" s="38"/>
    </row>
    <row r="1505" spans="1:34" x14ac:dyDescent="0.2">
      <c r="A1505" s="38"/>
      <c r="B1505" s="38"/>
      <c r="C1505" s="38"/>
      <c r="D1505" s="38"/>
      <c r="E1505" s="177"/>
      <c r="F1505" s="177"/>
      <c r="G1505" s="269"/>
      <c r="H1505" s="179"/>
      <c r="I1505" s="177"/>
      <c r="J1505" s="177"/>
      <c r="K1505" s="177"/>
      <c r="L1505" s="177"/>
      <c r="M1505" s="177"/>
      <c r="N1505" s="70"/>
      <c r="O1505" s="38"/>
      <c r="P1505" s="38"/>
      <c r="Q1505" s="760"/>
      <c r="R1505" s="590"/>
      <c r="S1505" s="38"/>
      <c r="T1505" s="38"/>
      <c r="U1505" s="38"/>
      <c r="V1505" s="37"/>
      <c r="W1505" s="39">
        <f>IF(AC1505="Intr",0,G1505*Definitions!$B$53)</f>
        <v>0</v>
      </c>
      <c r="X1505" s="39">
        <f>IF(AC1505="Intr",0,G1505*Definitions!$B$54)</f>
        <v>0</v>
      </c>
      <c r="Y1505" s="39">
        <f>IF(AC1505="Intr",G1505,G1505*Definitions!$B$55)</f>
        <v>0</v>
      </c>
      <c r="Z1505" s="39"/>
      <c r="AA1505" s="39"/>
      <c r="AB1505" s="39"/>
      <c r="AC1505" s="38"/>
      <c r="AD1505" s="38"/>
      <c r="AE1505" s="38"/>
      <c r="AF1505" s="38"/>
      <c r="AG1505" s="40"/>
      <c r="AH1505" s="38"/>
    </row>
    <row r="1506" spans="1:34" x14ac:dyDescent="0.2">
      <c r="A1506" s="38"/>
      <c r="B1506" s="38"/>
      <c r="C1506" s="38"/>
      <c r="D1506" s="38"/>
      <c r="E1506" s="177"/>
      <c r="F1506" s="177"/>
      <c r="G1506" s="269"/>
      <c r="H1506" s="179"/>
      <c r="I1506" s="177"/>
      <c r="J1506" s="177"/>
      <c r="K1506" s="177"/>
      <c r="L1506" s="177"/>
      <c r="M1506" s="177"/>
      <c r="N1506" s="70"/>
      <c r="O1506" s="38"/>
      <c r="P1506" s="38"/>
      <c r="Q1506" s="760"/>
      <c r="R1506" s="590"/>
      <c r="S1506" s="38"/>
      <c r="T1506" s="38"/>
      <c r="U1506" s="38"/>
      <c r="V1506" s="37"/>
      <c r="W1506" s="39">
        <f>IF(AC1506="Intr",0,G1506*Definitions!$B$53)</f>
        <v>0</v>
      </c>
      <c r="X1506" s="39">
        <f>IF(AC1506="Intr",0,G1506*Definitions!$B$54)</f>
        <v>0</v>
      </c>
      <c r="Y1506" s="39">
        <f>IF(AC1506="Intr",G1506,G1506*Definitions!$B$55)</f>
        <v>0</v>
      </c>
      <c r="Z1506" s="39"/>
      <c r="AA1506" s="39"/>
      <c r="AB1506" s="39"/>
      <c r="AC1506" s="38"/>
      <c r="AD1506" s="38"/>
      <c r="AE1506" s="38"/>
      <c r="AF1506" s="38"/>
      <c r="AG1506" s="40"/>
      <c r="AH1506" s="38"/>
    </row>
    <row r="1507" spans="1:34" x14ac:dyDescent="0.2">
      <c r="A1507" s="38"/>
      <c r="B1507" s="38"/>
      <c r="C1507" s="38"/>
      <c r="D1507" s="38"/>
      <c r="E1507" s="177"/>
      <c r="F1507" s="177"/>
      <c r="G1507" s="269"/>
      <c r="H1507" s="179"/>
      <c r="I1507" s="177"/>
      <c r="J1507" s="177"/>
      <c r="K1507" s="177"/>
      <c r="L1507" s="177"/>
      <c r="M1507" s="177"/>
      <c r="N1507" s="70"/>
      <c r="O1507" s="38"/>
      <c r="P1507" s="38"/>
      <c r="Q1507" s="760"/>
      <c r="R1507" s="590"/>
      <c r="S1507" s="38"/>
      <c r="T1507" s="38"/>
      <c r="U1507" s="38"/>
      <c r="V1507" s="37"/>
      <c r="W1507" s="39">
        <f>IF(AC1507="Intr",0,G1507*Definitions!$B$53)</f>
        <v>0</v>
      </c>
      <c r="X1507" s="39">
        <f>IF(AC1507="Intr",0,G1507*Definitions!$B$54)</f>
        <v>0</v>
      </c>
      <c r="Y1507" s="39">
        <f>IF(AC1507="Intr",G1507,G1507*Definitions!$B$55)</f>
        <v>0</v>
      </c>
      <c r="Z1507" s="39"/>
      <c r="AA1507" s="39"/>
      <c r="AB1507" s="39"/>
      <c r="AC1507" s="38"/>
      <c r="AD1507" s="38"/>
      <c r="AE1507" s="38"/>
      <c r="AF1507" s="38"/>
      <c r="AG1507" s="40"/>
      <c r="AH1507" s="38"/>
    </row>
    <row r="1508" spans="1:34" x14ac:dyDescent="0.2">
      <c r="A1508" s="38"/>
      <c r="B1508" s="38"/>
      <c r="C1508" s="38"/>
      <c r="D1508" s="38"/>
      <c r="E1508" s="177"/>
      <c r="F1508" s="177"/>
      <c r="G1508" s="269"/>
      <c r="H1508" s="179"/>
      <c r="I1508" s="177"/>
      <c r="J1508" s="177"/>
      <c r="K1508" s="177"/>
      <c r="L1508" s="177"/>
      <c r="M1508" s="177"/>
      <c r="N1508" s="70"/>
      <c r="O1508" s="38"/>
      <c r="P1508" s="38"/>
      <c r="Q1508" s="760"/>
      <c r="R1508" s="590"/>
      <c r="S1508" s="38"/>
      <c r="T1508" s="38"/>
      <c r="U1508" s="38"/>
      <c r="V1508" s="37"/>
      <c r="W1508" s="39">
        <f>IF(AC1508="Intr",0,G1508*Definitions!$B$53)</f>
        <v>0</v>
      </c>
      <c r="X1508" s="39">
        <f>IF(AC1508="Intr",0,G1508*Definitions!$B$54)</f>
        <v>0</v>
      </c>
      <c r="Y1508" s="39">
        <f>IF(AC1508="Intr",G1508,G1508*Definitions!$B$55)</f>
        <v>0</v>
      </c>
      <c r="Z1508" s="39"/>
      <c r="AA1508" s="39"/>
      <c r="AB1508" s="39"/>
      <c r="AC1508" s="38"/>
      <c r="AD1508" s="38"/>
      <c r="AE1508" s="38"/>
      <c r="AF1508" s="38"/>
      <c r="AG1508" s="40"/>
      <c r="AH1508" s="38"/>
    </row>
    <row r="1509" spans="1:34" x14ac:dyDescent="0.2">
      <c r="A1509" s="38"/>
      <c r="B1509" s="38"/>
      <c r="C1509" s="38"/>
      <c r="D1509" s="38"/>
      <c r="E1509" s="177"/>
      <c r="F1509" s="177"/>
      <c r="G1509" s="269"/>
      <c r="H1509" s="179"/>
      <c r="I1509" s="177"/>
      <c r="J1509" s="177"/>
      <c r="K1509" s="177"/>
      <c r="L1509" s="177"/>
      <c r="M1509" s="177"/>
      <c r="N1509" s="70"/>
      <c r="O1509" s="38"/>
      <c r="P1509" s="38"/>
      <c r="Q1509" s="760"/>
      <c r="R1509" s="590"/>
      <c r="S1509" s="38"/>
      <c r="T1509" s="38"/>
      <c r="U1509" s="38"/>
      <c r="V1509" s="37"/>
      <c r="W1509" s="39">
        <f>IF(AC1509="Intr",0,G1509*Definitions!$B$53)</f>
        <v>0</v>
      </c>
      <c r="X1509" s="39">
        <f>IF(AC1509="Intr",0,G1509*Definitions!$B$54)</f>
        <v>0</v>
      </c>
      <c r="Y1509" s="39">
        <f>IF(AC1509="Intr",G1509,G1509*Definitions!$B$55)</f>
        <v>0</v>
      </c>
      <c r="Z1509" s="39"/>
      <c r="AA1509" s="39"/>
      <c r="AB1509" s="39"/>
      <c r="AC1509" s="38"/>
      <c r="AD1509" s="38"/>
      <c r="AE1509" s="38"/>
      <c r="AF1509" s="38"/>
      <c r="AG1509" s="40"/>
      <c r="AH1509" s="38"/>
    </row>
    <row r="1510" spans="1:34" x14ac:dyDescent="0.2">
      <c r="A1510" s="38"/>
      <c r="B1510" s="38"/>
      <c r="C1510" s="38"/>
      <c r="D1510" s="38"/>
      <c r="E1510" s="177"/>
      <c r="F1510" s="177"/>
      <c r="G1510" s="269"/>
      <c r="H1510" s="179"/>
      <c r="I1510" s="177"/>
      <c r="J1510" s="177"/>
      <c r="K1510" s="177"/>
      <c r="L1510" s="177"/>
      <c r="M1510" s="177"/>
      <c r="N1510" s="70"/>
      <c r="O1510" s="38"/>
      <c r="P1510" s="38"/>
      <c r="Q1510" s="760"/>
      <c r="R1510" s="590"/>
      <c r="S1510" s="38"/>
      <c r="T1510" s="38"/>
      <c r="U1510" s="38"/>
      <c r="V1510" s="37"/>
      <c r="W1510" s="39">
        <f>IF(AC1510="Intr",0,G1510*Definitions!$B$53)</f>
        <v>0</v>
      </c>
      <c r="X1510" s="39">
        <f>IF(AC1510="Intr",0,G1510*Definitions!$B$54)</f>
        <v>0</v>
      </c>
      <c r="Y1510" s="39">
        <f>IF(AC1510="Intr",G1510,G1510*Definitions!$B$55)</f>
        <v>0</v>
      </c>
      <c r="Z1510" s="39"/>
      <c r="AA1510" s="39"/>
      <c r="AB1510" s="39"/>
      <c r="AC1510" s="38"/>
      <c r="AD1510" s="38"/>
      <c r="AE1510" s="38"/>
      <c r="AF1510" s="38"/>
      <c r="AG1510" s="40"/>
      <c r="AH1510" s="38"/>
    </row>
    <row r="1511" spans="1:34" x14ac:dyDescent="0.2">
      <c r="A1511" s="38"/>
      <c r="B1511" s="38"/>
      <c r="C1511" s="38"/>
      <c r="D1511" s="38"/>
      <c r="E1511" s="177"/>
      <c r="F1511" s="177"/>
      <c r="G1511" s="269"/>
      <c r="H1511" s="179"/>
      <c r="I1511" s="177"/>
      <c r="J1511" s="177"/>
      <c r="K1511" s="177"/>
      <c r="L1511" s="177"/>
      <c r="M1511" s="177"/>
      <c r="N1511" s="70"/>
      <c r="O1511" s="38"/>
      <c r="P1511" s="38"/>
      <c r="Q1511" s="760"/>
      <c r="R1511" s="590"/>
      <c r="S1511" s="38"/>
      <c r="T1511" s="38"/>
      <c r="U1511" s="38"/>
      <c r="V1511" s="37"/>
      <c r="W1511" s="39">
        <f>IF(AC1511="Intr",0,G1511*Definitions!$B$53)</f>
        <v>0</v>
      </c>
      <c r="X1511" s="39">
        <f>IF(AC1511="Intr",0,G1511*Definitions!$B$54)</f>
        <v>0</v>
      </c>
      <c r="Y1511" s="39">
        <f>IF(AC1511="Intr",G1511,G1511*Definitions!$B$55)</f>
        <v>0</v>
      </c>
      <c r="Z1511" s="39"/>
      <c r="AA1511" s="39"/>
      <c r="AB1511" s="39"/>
      <c r="AC1511" s="38"/>
      <c r="AD1511" s="38"/>
      <c r="AE1511" s="38"/>
      <c r="AF1511" s="38"/>
      <c r="AG1511" s="40"/>
      <c r="AH1511" s="38"/>
    </row>
    <row r="1512" spans="1:34" x14ac:dyDescent="0.2">
      <c r="A1512" s="38"/>
      <c r="B1512" s="38"/>
      <c r="C1512" s="38"/>
      <c r="D1512" s="38"/>
      <c r="E1512" s="177"/>
      <c r="F1512" s="177"/>
      <c r="G1512" s="269"/>
      <c r="H1512" s="179"/>
      <c r="I1512" s="177"/>
      <c r="J1512" s="177"/>
      <c r="K1512" s="177"/>
      <c r="L1512" s="177"/>
      <c r="M1512" s="177"/>
      <c r="N1512" s="70"/>
      <c r="O1512" s="38"/>
      <c r="P1512" s="38"/>
      <c r="Q1512" s="760"/>
      <c r="R1512" s="590"/>
      <c r="S1512" s="38"/>
      <c r="T1512" s="38"/>
      <c r="U1512" s="38"/>
      <c r="V1512" s="37"/>
      <c r="W1512" s="39">
        <f>IF(AC1512="Intr",0,G1512*Definitions!$B$53)</f>
        <v>0</v>
      </c>
      <c r="X1512" s="39">
        <f>IF(AC1512="Intr",0,G1512*Definitions!$B$54)</f>
        <v>0</v>
      </c>
      <c r="Y1512" s="39">
        <f>IF(AC1512="Intr",G1512,G1512*Definitions!$B$55)</f>
        <v>0</v>
      </c>
      <c r="Z1512" s="39"/>
      <c r="AA1512" s="39"/>
      <c r="AB1512" s="39"/>
      <c r="AC1512" s="38"/>
      <c r="AD1512" s="38"/>
      <c r="AE1512" s="38"/>
      <c r="AF1512" s="38"/>
      <c r="AG1512" s="40"/>
      <c r="AH1512" s="38"/>
    </row>
    <row r="1513" spans="1:34" x14ac:dyDescent="0.2">
      <c r="A1513" s="38"/>
      <c r="B1513" s="38"/>
      <c r="C1513" s="38"/>
      <c r="D1513" s="38"/>
      <c r="E1513" s="177"/>
      <c r="F1513" s="177"/>
      <c r="G1513" s="269"/>
      <c r="H1513" s="179"/>
      <c r="I1513" s="177"/>
      <c r="J1513" s="177"/>
      <c r="K1513" s="177"/>
      <c r="L1513" s="177"/>
      <c r="M1513" s="177"/>
      <c r="N1513" s="70"/>
      <c r="O1513" s="38"/>
      <c r="P1513" s="38"/>
      <c r="Q1513" s="760"/>
      <c r="R1513" s="590"/>
      <c r="S1513" s="38"/>
      <c r="T1513" s="38"/>
      <c r="U1513" s="38"/>
      <c r="V1513" s="37"/>
      <c r="W1513" s="39">
        <f>IF(AC1513="Intr",0,G1513*Definitions!$B$53)</f>
        <v>0</v>
      </c>
      <c r="X1513" s="39">
        <f>IF(AC1513="Intr",0,G1513*Definitions!$B$54)</f>
        <v>0</v>
      </c>
      <c r="Y1513" s="39">
        <f>IF(AC1513="Intr",G1513,G1513*Definitions!$B$55)</f>
        <v>0</v>
      </c>
      <c r="Z1513" s="39"/>
      <c r="AA1513" s="39"/>
      <c r="AB1513" s="39"/>
      <c r="AC1513" s="38"/>
      <c r="AD1513" s="38"/>
      <c r="AE1513" s="38"/>
      <c r="AF1513" s="38"/>
      <c r="AG1513" s="40"/>
      <c r="AH1513" s="38"/>
    </row>
    <row r="1514" spans="1:34" x14ac:dyDescent="0.2">
      <c r="A1514" s="38"/>
      <c r="B1514" s="38"/>
      <c r="C1514" s="38"/>
      <c r="D1514" s="38"/>
      <c r="E1514" s="177"/>
      <c r="F1514" s="177"/>
      <c r="G1514" s="269"/>
      <c r="H1514" s="179"/>
      <c r="I1514" s="177"/>
      <c r="J1514" s="177"/>
      <c r="K1514" s="177"/>
      <c r="L1514" s="177"/>
      <c r="M1514" s="177"/>
      <c r="N1514" s="70"/>
      <c r="O1514" s="38"/>
      <c r="P1514" s="38"/>
      <c r="Q1514" s="760"/>
      <c r="R1514" s="590"/>
      <c r="S1514" s="38"/>
      <c r="T1514" s="38"/>
      <c r="U1514" s="38"/>
      <c r="V1514" s="37"/>
      <c r="W1514" s="39">
        <f>IF(AC1514="Intr",0,G1514*Definitions!$B$53)</f>
        <v>0</v>
      </c>
      <c r="X1514" s="39">
        <f>IF(AC1514="Intr",0,G1514*Definitions!$B$54)</f>
        <v>0</v>
      </c>
      <c r="Y1514" s="39">
        <f>IF(AC1514="Intr",G1514,G1514*Definitions!$B$55)</f>
        <v>0</v>
      </c>
      <c r="Z1514" s="39"/>
      <c r="AA1514" s="39"/>
      <c r="AB1514" s="39"/>
      <c r="AC1514" s="38"/>
      <c r="AD1514" s="38"/>
      <c r="AE1514" s="38"/>
      <c r="AF1514" s="38"/>
      <c r="AG1514" s="40"/>
      <c r="AH1514" s="38"/>
    </row>
    <row r="1515" spans="1:34" x14ac:dyDescent="0.2">
      <c r="A1515" s="38"/>
      <c r="B1515" s="38"/>
      <c r="C1515" s="38"/>
      <c r="D1515" s="38"/>
      <c r="E1515" s="177"/>
      <c r="F1515" s="177"/>
      <c r="G1515" s="269"/>
      <c r="H1515" s="179"/>
      <c r="I1515" s="177"/>
      <c r="J1515" s="177"/>
      <c r="K1515" s="177"/>
      <c r="L1515" s="177"/>
      <c r="M1515" s="177"/>
      <c r="N1515" s="70"/>
      <c r="O1515" s="38"/>
      <c r="P1515" s="38"/>
      <c r="Q1515" s="760"/>
      <c r="R1515" s="590"/>
      <c r="S1515" s="38"/>
      <c r="T1515" s="38"/>
      <c r="U1515" s="38"/>
      <c r="V1515" s="37"/>
      <c r="W1515" s="39">
        <f>IF(AC1515="Intr",0,G1515*Definitions!$B$53)</f>
        <v>0</v>
      </c>
      <c r="X1515" s="39">
        <f>IF(AC1515="Intr",0,G1515*Definitions!$B$54)</f>
        <v>0</v>
      </c>
      <c r="Y1515" s="39">
        <f>IF(AC1515="Intr",G1515,G1515*Definitions!$B$55)</f>
        <v>0</v>
      </c>
      <c r="Z1515" s="39"/>
      <c r="AA1515" s="39"/>
      <c r="AB1515" s="39"/>
      <c r="AC1515" s="38"/>
      <c r="AD1515" s="38"/>
      <c r="AE1515" s="38"/>
      <c r="AF1515" s="38"/>
      <c r="AG1515" s="40"/>
      <c r="AH1515" s="38"/>
    </row>
    <row r="1516" spans="1:34" x14ac:dyDescent="0.2">
      <c r="A1516" s="38"/>
      <c r="B1516" s="38"/>
      <c r="C1516" s="38"/>
      <c r="D1516" s="38"/>
      <c r="E1516" s="177"/>
      <c r="F1516" s="177"/>
      <c r="G1516" s="269"/>
      <c r="H1516" s="179"/>
      <c r="I1516" s="177"/>
      <c r="J1516" s="177"/>
      <c r="K1516" s="177"/>
      <c r="L1516" s="177"/>
      <c r="M1516" s="177"/>
      <c r="N1516" s="70"/>
      <c r="O1516" s="38"/>
      <c r="P1516" s="38"/>
      <c r="Q1516" s="760"/>
      <c r="R1516" s="590"/>
      <c r="S1516" s="38"/>
      <c r="T1516" s="38"/>
      <c r="U1516" s="38"/>
      <c r="V1516" s="37"/>
      <c r="W1516" s="39">
        <f>IF(AC1516="Intr",0,G1516*Definitions!$B$53)</f>
        <v>0</v>
      </c>
      <c r="X1516" s="39">
        <f>IF(AC1516="Intr",0,G1516*Definitions!$B$54)</f>
        <v>0</v>
      </c>
      <c r="Y1516" s="39">
        <f>IF(AC1516="Intr",G1516,G1516*Definitions!$B$55)</f>
        <v>0</v>
      </c>
      <c r="Z1516" s="39"/>
      <c r="AA1516" s="39"/>
      <c r="AB1516" s="39"/>
      <c r="AC1516" s="38"/>
      <c r="AD1516" s="38"/>
      <c r="AE1516" s="38"/>
      <c r="AF1516" s="38"/>
      <c r="AG1516" s="40"/>
      <c r="AH1516" s="38"/>
    </row>
    <row r="1517" spans="1:34" x14ac:dyDescent="0.2">
      <c r="A1517" s="38"/>
      <c r="B1517" s="38"/>
      <c r="C1517" s="38"/>
      <c r="D1517" s="38"/>
      <c r="E1517" s="177"/>
      <c r="F1517" s="177"/>
      <c r="G1517" s="269"/>
      <c r="H1517" s="179"/>
      <c r="I1517" s="177"/>
      <c r="J1517" s="177"/>
      <c r="K1517" s="177"/>
      <c r="L1517" s="177"/>
      <c r="M1517" s="177"/>
      <c r="N1517" s="70"/>
      <c r="O1517" s="38"/>
      <c r="P1517" s="38"/>
      <c r="Q1517" s="760"/>
      <c r="R1517" s="590"/>
      <c r="S1517" s="38"/>
      <c r="T1517" s="38"/>
      <c r="U1517" s="38"/>
      <c r="V1517" s="37"/>
      <c r="W1517" s="39">
        <f>IF(AC1517="Intr",0,G1517*Definitions!$B$53)</f>
        <v>0</v>
      </c>
      <c r="X1517" s="39">
        <f>IF(AC1517="Intr",0,G1517*Definitions!$B$54)</f>
        <v>0</v>
      </c>
      <c r="Y1517" s="39">
        <f>IF(AC1517="Intr",G1517,G1517*Definitions!$B$55)</f>
        <v>0</v>
      </c>
      <c r="Z1517" s="39"/>
      <c r="AA1517" s="39"/>
      <c r="AB1517" s="39"/>
      <c r="AC1517" s="38"/>
      <c r="AD1517" s="38"/>
      <c r="AE1517" s="38"/>
      <c r="AF1517" s="38"/>
      <c r="AG1517" s="40"/>
      <c r="AH1517" s="38"/>
    </row>
    <row r="1518" spans="1:34" x14ac:dyDescent="0.2">
      <c r="A1518" s="38"/>
      <c r="B1518" s="38"/>
      <c r="C1518" s="38"/>
      <c r="D1518" s="38"/>
      <c r="E1518" s="177"/>
      <c r="F1518" s="177"/>
      <c r="G1518" s="269"/>
      <c r="H1518" s="179"/>
      <c r="I1518" s="177"/>
      <c r="J1518" s="177"/>
      <c r="K1518" s="177"/>
      <c r="L1518" s="177"/>
      <c r="M1518" s="177"/>
      <c r="N1518" s="70"/>
      <c r="O1518" s="38"/>
      <c r="P1518" s="38"/>
      <c r="Q1518" s="760"/>
      <c r="R1518" s="590"/>
      <c r="S1518" s="38"/>
      <c r="T1518" s="38"/>
      <c r="U1518" s="38"/>
      <c r="V1518" s="37"/>
      <c r="W1518" s="39">
        <f>IF(AC1518="Intr",0,G1518*Definitions!$B$53)</f>
        <v>0</v>
      </c>
      <c r="X1518" s="39">
        <f>IF(AC1518="Intr",0,G1518*Definitions!$B$54)</f>
        <v>0</v>
      </c>
      <c r="Y1518" s="39">
        <f>IF(AC1518="Intr",G1518,G1518*Definitions!$B$55)</f>
        <v>0</v>
      </c>
      <c r="Z1518" s="39"/>
      <c r="AA1518" s="39"/>
      <c r="AB1518" s="39"/>
      <c r="AC1518" s="38"/>
      <c r="AD1518" s="38"/>
      <c r="AE1518" s="38"/>
      <c r="AF1518" s="38"/>
      <c r="AG1518" s="40"/>
      <c r="AH1518" s="38"/>
    </row>
    <row r="1519" spans="1:34" x14ac:dyDescent="0.2">
      <c r="A1519" s="38"/>
      <c r="B1519" s="38"/>
      <c r="C1519" s="38"/>
      <c r="D1519" s="38"/>
      <c r="E1519" s="177"/>
      <c r="F1519" s="177"/>
      <c r="G1519" s="269"/>
      <c r="H1519" s="179"/>
      <c r="I1519" s="177"/>
      <c r="J1519" s="177"/>
      <c r="K1519" s="177"/>
      <c r="L1519" s="177"/>
      <c r="M1519" s="177"/>
      <c r="N1519" s="70"/>
      <c r="O1519" s="38"/>
      <c r="P1519" s="38"/>
      <c r="Q1519" s="760"/>
      <c r="R1519" s="590"/>
      <c r="S1519" s="38"/>
      <c r="T1519" s="38"/>
      <c r="U1519" s="38"/>
      <c r="V1519" s="37"/>
      <c r="W1519" s="39">
        <f>IF(AC1519="Intr",0,G1519*Definitions!$B$53)</f>
        <v>0</v>
      </c>
      <c r="X1519" s="39">
        <f>IF(AC1519="Intr",0,G1519*Definitions!$B$54)</f>
        <v>0</v>
      </c>
      <c r="Y1519" s="39">
        <f>IF(AC1519="Intr",G1519,G1519*Definitions!$B$55)</f>
        <v>0</v>
      </c>
      <c r="Z1519" s="39"/>
      <c r="AA1519" s="39"/>
      <c r="AB1519" s="39"/>
      <c r="AC1519" s="38"/>
      <c r="AD1519" s="38"/>
      <c r="AE1519" s="38"/>
      <c r="AF1519" s="38"/>
      <c r="AG1519" s="40"/>
      <c r="AH1519" s="38"/>
    </row>
    <row r="1520" spans="1:34" x14ac:dyDescent="0.2">
      <c r="A1520" s="38"/>
      <c r="B1520" s="38"/>
      <c r="C1520" s="38"/>
      <c r="D1520" s="38"/>
      <c r="E1520" s="177"/>
      <c r="F1520" s="177"/>
      <c r="G1520" s="269"/>
      <c r="H1520" s="179"/>
      <c r="I1520" s="177"/>
      <c r="J1520" s="177"/>
      <c r="K1520" s="177"/>
      <c r="L1520" s="177"/>
      <c r="M1520" s="177"/>
      <c r="N1520" s="70"/>
      <c r="O1520" s="38"/>
      <c r="P1520" s="38"/>
      <c r="Q1520" s="760"/>
      <c r="R1520" s="590"/>
      <c r="S1520" s="38"/>
      <c r="T1520" s="38"/>
      <c r="U1520" s="38"/>
      <c r="V1520" s="37"/>
      <c r="W1520" s="39">
        <f>IF(AC1520="Intr",0,G1520*Definitions!$B$53)</f>
        <v>0</v>
      </c>
      <c r="X1520" s="39">
        <f>IF(AC1520="Intr",0,G1520*Definitions!$B$54)</f>
        <v>0</v>
      </c>
      <c r="Y1520" s="39">
        <f>IF(AC1520="Intr",G1520,G1520*Definitions!$B$55)</f>
        <v>0</v>
      </c>
      <c r="Z1520" s="39"/>
      <c r="AA1520" s="39"/>
      <c r="AB1520" s="39"/>
      <c r="AC1520" s="38"/>
      <c r="AD1520" s="38"/>
      <c r="AE1520" s="38"/>
      <c r="AF1520" s="38"/>
      <c r="AG1520" s="40"/>
      <c r="AH1520" s="38"/>
    </row>
    <row r="1521" spans="1:34" x14ac:dyDescent="0.2">
      <c r="A1521" s="38"/>
      <c r="B1521" s="38"/>
      <c r="C1521" s="38"/>
      <c r="D1521" s="38"/>
      <c r="E1521" s="177"/>
      <c r="F1521" s="177"/>
      <c r="G1521" s="269"/>
      <c r="H1521" s="179"/>
      <c r="I1521" s="177"/>
      <c r="J1521" s="177"/>
      <c r="K1521" s="177"/>
      <c r="L1521" s="177"/>
      <c r="M1521" s="177"/>
      <c r="N1521" s="70"/>
      <c r="O1521" s="38"/>
      <c r="P1521" s="38"/>
      <c r="Q1521" s="760"/>
      <c r="R1521" s="590"/>
      <c r="S1521" s="38"/>
      <c r="T1521" s="38"/>
      <c r="U1521" s="38"/>
      <c r="V1521" s="37"/>
      <c r="W1521" s="39">
        <f>IF(AC1521="Intr",0,G1521*Definitions!$B$53)</f>
        <v>0</v>
      </c>
      <c r="X1521" s="39">
        <f>IF(AC1521="Intr",0,G1521*Definitions!$B$54)</f>
        <v>0</v>
      </c>
      <c r="Y1521" s="39">
        <f>IF(AC1521="Intr",G1521,G1521*Definitions!$B$55)</f>
        <v>0</v>
      </c>
      <c r="Z1521" s="39"/>
      <c r="AA1521" s="39"/>
      <c r="AB1521" s="39"/>
      <c r="AC1521" s="38"/>
      <c r="AD1521" s="38"/>
      <c r="AE1521" s="38"/>
      <c r="AF1521" s="38"/>
      <c r="AG1521" s="40"/>
      <c r="AH1521" s="38"/>
    </row>
    <row r="1522" spans="1:34" x14ac:dyDescent="0.2">
      <c r="A1522" s="38"/>
      <c r="B1522" s="38"/>
      <c r="C1522" s="38"/>
      <c r="D1522" s="38"/>
      <c r="E1522" s="177"/>
      <c r="F1522" s="177"/>
      <c r="G1522" s="269"/>
      <c r="H1522" s="179"/>
      <c r="I1522" s="177"/>
      <c r="J1522" s="177"/>
      <c r="K1522" s="177"/>
      <c r="L1522" s="177"/>
      <c r="M1522" s="177"/>
      <c r="N1522" s="70"/>
      <c r="O1522" s="38"/>
      <c r="P1522" s="38"/>
      <c r="Q1522" s="760"/>
      <c r="R1522" s="590"/>
      <c r="S1522" s="38"/>
      <c r="T1522" s="38"/>
      <c r="U1522" s="38"/>
      <c r="V1522" s="37"/>
      <c r="W1522" s="39">
        <f>IF(AC1522="Intr",0,G1522*Definitions!$B$53)</f>
        <v>0</v>
      </c>
      <c r="X1522" s="39">
        <f>IF(AC1522="Intr",0,G1522*Definitions!$B$54)</f>
        <v>0</v>
      </c>
      <c r="Y1522" s="39">
        <f>IF(AC1522="Intr",G1522,G1522*Definitions!$B$55)</f>
        <v>0</v>
      </c>
      <c r="Z1522" s="39"/>
      <c r="AA1522" s="39"/>
      <c r="AB1522" s="39"/>
      <c r="AC1522" s="38"/>
      <c r="AD1522" s="38"/>
      <c r="AE1522" s="38"/>
      <c r="AF1522" s="38"/>
      <c r="AG1522" s="40"/>
      <c r="AH1522" s="38"/>
    </row>
    <row r="1523" spans="1:34" x14ac:dyDescent="0.2">
      <c r="A1523" s="38"/>
      <c r="B1523" s="38"/>
      <c r="C1523" s="38"/>
      <c r="D1523" s="38"/>
      <c r="E1523" s="177"/>
      <c r="F1523" s="177"/>
      <c r="G1523" s="269"/>
      <c r="H1523" s="179"/>
      <c r="I1523" s="177"/>
      <c r="J1523" s="177"/>
      <c r="K1523" s="177"/>
      <c r="L1523" s="177"/>
      <c r="M1523" s="177"/>
      <c r="N1523" s="70"/>
      <c r="O1523" s="38"/>
      <c r="P1523" s="38"/>
      <c r="Q1523" s="760"/>
      <c r="R1523" s="590"/>
      <c r="S1523" s="38"/>
      <c r="T1523" s="38"/>
      <c r="U1523" s="38"/>
      <c r="V1523" s="37"/>
      <c r="W1523" s="39">
        <f>IF(AC1523="Intr",0,G1523*Definitions!$B$53)</f>
        <v>0</v>
      </c>
      <c r="X1523" s="39">
        <f>IF(AC1523="Intr",0,G1523*Definitions!$B$54)</f>
        <v>0</v>
      </c>
      <c r="Y1523" s="39">
        <f>IF(AC1523="Intr",G1523,G1523*Definitions!$B$55)</f>
        <v>0</v>
      </c>
      <c r="Z1523" s="39"/>
      <c r="AA1523" s="39"/>
      <c r="AB1523" s="39"/>
      <c r="AC1523" s="38"/>
      <c r="AD1523" s="38"/>
      <c r="AE1523" s="38"/>
      <c r="AF1523" s="38"/>
      <c r="AG1523" s="40"/>
      <c r="AH1523" s="38"/>
    </row>
    <row r="1524" spans="1:34" x14ac:dyDescent="0.2">
      <c r="A1524" s="38"/>
      <c r="B1524" s="38"/>
      <c r="C1524" s="38"/>
      <c r="D1524" s="38"/>
      <c r="E1524" s="177"/>
      <c r="F1524" s="177"/>
      <c r="G1524" s="269"/>
      <c r="H1524" s="179"/>
      <c r="I1524" s="177"/>
      <c r="J1524" s="177"/>
      <c r="K1524" s="177"/>
      <c r="L1524" s="177"/>
      <c r="M1524" s="177"/>
      <c r="N1524" s="70"/>
      <c r="O1524" s="38"/>
      <c r="P1524" s="38"/>
      <c r="Q1524" s="760"/>
      <c r="R1524" s="590"/>
      <c r="S1524" s="38"/>
      <c r="T1524" s="38"/>
      <c r="U1524" s="38"/>
      <c r="V1524" s="37"/>
      <c r="W1524" s="39">
        <f>IF(AC1524="Intr",0,G1524*Definitions!$B$53)</f>
        <v>0</v>
      </c>
      <c r="X1524" s="39">
        <f>IF(AC1524="Intr",0,G1524*Definitions!$B$54)</f>
        <v>0</v>
      </c>
      <c r="Y1524" s="39">
        <f>IF(AC1524="Intr",G1524,G1524*Definitions!$B$55)</f>
        <v>0</v>
      </c>
      <c r="Z1524" s="39"/>
      <c r="AA1524" s="39"/>
      <c r="AB1524" s="39"/>
      <c r="AC1524" s="38"/>
      <c r="AD1524" s="38"/>
      <c r="AE1524" s="38"/>
      <c r="AF1524" s="38"/>
      <c r="AG1524" s="40"/>
      <c r="AH1524" s="38"/>
    </row>
    <row r="1525" spans="1:34" x14ac:dyDescent="0.2">
      <c r="A1525" s="38"/>
      <c r="B1525" s="38"/>
      <c r="C1525" s="38"/>
      <c r="D1525" s="38"/>
      <c r="E1525" s="177"/>
      <c r="F1525" s="177"/>
      <c r="G1525" s="269"/>
      <c r="H1525" s="179"/>
      <c r="I1525" s="177"/>
      <c r="J1525" s="177"/>
      <c r="K1525" s="177"/>
      <c r="L1525" s="177"/>
      <c r="M1525" s="177"/>
      <c r="N1525" s="70"/>
      <c r="O1525" s="38"/>
      <c r="P1525" s="38"/>
      <c r="Q1525" s="760"/>
      <c r="R1525" s="590"/>
      <c r="S1525" s="38"/>
      <c r="T1525" s="38"/>
      <c r="U1525" s="38"/>
      <c r="V1525" s="37"/>
      <c r="W1525" s="39">
        <f>IF(AC1525="Intr",0,G1525*Definitions!$B$53)</f>
        <v>0</v>
      </c>
      <c r="X1525" s="39">
        <f>IF(AC1525="Intr",0,G1525*Definitions!$B$54)</f>
        <v>0</v>
      </c>
      <c r="Y1525" s="39">
        <f>IF(AC1525="Intr",G1525,G1525*Definitions!$B$55)</f>
        <v>0</v>
      </c>
      <c r="Z1525" s="39"/>
      <c r="AA1525" s="39"/>
      <c r="AB1525" s="39"/>
      <c r="AC1525" s="38"/>
      <c r="AD1525" s="38"/>
      <c r="AE1525" s="38"/>
      <c r="AF1525" s="38"/>
      <c r="AG1525" s="40"/>
      <c r="AH1525" s="38"/>
    </row>
    <row r="1526" spans="1:34" x14ac:dyDescent="0.2">
      <c r="A1526" s="38"/>
      <c r="B1526" s="38"/>
      <c r="C1526" s="38"/>
      <c r="D1526" s="38"/>
      <c r="E1526" s="177"/>
      <c r="F1526" s="177"/>
      <c r="G1526" s="269"/>
      <c r="H1526" s="179"/>
      <c r="I1526" s="177"/>
      <c r="J1526" s="177"/>
      <c r="K1526" s="177"/>
      <c r="L1526" s="177"/>
      <c r="M1526" s="177"/>
      <c r="N1526" s="70"/>
      <c r="O1526" s="38"/>
      <c r="P1526" s="38"/>
      <c r="Q1526" s="760"/>
      <c r="R1526" s="590"/>
      <c r="S1526" s="38"/>
      <c r="T1526" s="38"/>
      <c r="U1526" s="38"/>
      <c r="V1526" s="37"/>
      <c r="W1526" s="39">
        <f>IF(AC1526="Intr",0,G1526*Definitions!$B$53)</f>
        <v>0</v>
      </c>
      <c r="X1526" s="39">
        <f>IF(AC1526="Intr",0,G1526*Definitions!$B$54)</f>
        <v>0</v>
      </c>
      <c r="Y1526" s="39">
        <f>IF(AC1526="Intr",G1526,G1526*Definitions!$B$55)</f>
        <v>0</v>
      </c>
      <c r="Z1526" s="39"/>
      <c r="AA1526" s="39"/>
      <c r="AB1526" s="39"/>
      <c r="AC1526" s="38"/>
      <c r="AD1526" s="38"/>
      <c r="AE1526" s="38"/>
      <c r="AF1526" s="38"/>
      <c r="AG1526" s="40"/>
      <c r="AH1526" s="38"/>
    </row>
    <row r="1527" spans="1:34" x14ac:dyDescent="0.2">
      <c r="A1527" s="38"/>
      <c r="B1527" s="38"/>
      <c r="C1527" s="38"/>
      <c r="D1527" s="38"/>
      <c r="E1527" s="177"/>
      <c r="F1527" s="177"/>
      <c r="G1527" s="269"/>
      <c r="H1527" s="179"/>
      <c r="I1527" s="177"/>
      <c r="J1527" s="177"/>
      <c r="K1527" s="177"/>
      <c r="L1527" s="177"/>
      <c r="M1527" s="177"/>
      <c r="N1527" s="70"/>
      <c r="O1527" s="38"/>
      <c r="P1527" s="38"/>
      <c r="Q1527" s="760"/>
      <c r="R1527" s="590"/>
      <c r="S1527" s="38"/>
      <c r="T1527" s="38"/>
      <c r="U1527" s="38"/>
      <c r="V1527" s="37"/>
      <c r="W1527" s="39">
        <f>IF(AC1527="Intr",0,G1527*Definitions!$B$53)</f>
        <v>0</v>
      </c>
      <c r="X1527" s="39">
        <f>IF(AC1527="Intr",0,G1527*Definitions!$B$54)</f>
        <v>0</v>
      </c>
      <c r="Y1527" s="39">
        <f>IF(AC1527="Intr",G1527,G1527*Definitions!$B$55)</f>
        <v>0</v>
      </c>
      <c r="Z1527" s="39"/>
      <c r="AA1527" s="39"/>
      <c r="AB1527" s="39"/>
      <c r="AC1527" s="38"/>
      <c r="AD1527" s="38"/>
      <c r="AE1527" s="38"/>
      <c r="AF1527" s="38"/>
      <c r="AG1527" s="40"/>
      <c r="AH1527" s="38"/>
    </row>
    <row r="1528" spans="1:34" x14ac:dyDescent="0.2">
      <c r="A1528" s="38"/>
      <c r="B1528" s="38"/>
      <c r="C1528" s="38"/>
      <c r="D1528" s="38"/>
      <c r="E1528" s="177"/>
      <c r="F1528" s="177"/>
      <c r="G1528" s="269"/>
      <c r="H1528" s="179"/>
      <c r="I1528" s="177"/>
      <c r="J1528" s="177"/>
      <c r="K1528" s="177"/>
      <c r="L1528" s="177"/>
      <c r="M1528" s="177"/>
      <c r="N1528" s="70"/>
      <c r="O1528" s="38"/>
      <c r="P1528" s="38"/>
      <c r="Q1528" s="760"/>
      <c r="R1528" s="590"/>
      <c r="S1528" s="38"/>
      <c r="T1528" s="38"/>
      <c r="U1528" s="38"/>
      <c r="V1528" s="37"/>
      <c r="W1528" s="39">
        <f>IF(AC1528="Intr",0,G1528*Definitions!$B$53)</f>
        <v>0</v>
      </c>
      <c r="X1528" s="39">
        <f>IF(AC1528="Intr",0,G1528*Definitions!$B$54)</f>
        <v>0</v>
      </c>
      <c r="Y1528" s="39">
        <f>IF(AC1528="Intr",G1528,G1528*Definitions!$B$55)</f>
        <v>0</v>
      </c>
      <c r="Z1528" s="39"/>
      <c r="AA1528" s="39"/>
      <c r="AB1528" s="39"/>
      <c r="AC1528" s="38"/>
      <c r="AD1528" s="38"/>
      <c r="AE1528" s="38"/>
      <c r="AF1528" s="38"/>
      <c r="AG1528" s="40"/>
      <c r="AH1528" s="38"/>
    </row>
    <row r="1529" spans="1:34" x14ac:dyDescent="0.2">
      <c r="A1529" s="38"/>
      <c r="B1529" s="38"/>
      <c r="C1529" s="38"/>
      <c r="D1529" s="38"/>
      <c r="E1529" s="177"/>
      <c r="F1529" s="177"/>
      <c r="G1529" s="269"/>
      <c r="H1529" s="179"/>
      <c r="I1529" s="177"/>
      <c r="J1529" s="177"/>
      <c r="K1529" s="177"/>
      <c r="L1529" s="177"/>
      <c r="M1529" s="177"/>
      <c r="N1529" s="70"/>
      <c r="O1529" s="38"/>
      <c r="P1529" s="38"/>
      <c r="Q1529" s="760"/>
      <c r="R1529" s="590"/>
      <c r="S1529" s="38"/>
      <c r="T1529" s="38"/>
      <c r="U1529" s="38"/>
      <c r="V1529" s="37"/>
      <c r="W1529" s="39">
        <f>IF(AC1529="Intr",0,G1529*Definitions!$B$53)</f>
        <v>0</v>
      </c>
      <c r="X1529" s="39">
        <f>IF(AC1529="Intr",0,G1529*Definitions!$B$54)</f>
        <v>0</v>
      </c>
      <c r="Y1529" s="39">
        <f>IF(AC1529="Intr",G1529,G1529*Definitions!$B$55)</f>
        <v>0</v>
      </c>
      <c r="Z1529" s="39"/>
      <c r="AA1529" s="39"/>
      <c r="AB1529" s="39"/>
      <c r="AC1529" s="38"/>
      <c r="AD1529" s="38"/>
      <c r="AE1529" s="38"/>
      <c r="AF1529" s="38"/>
      <c r="AG1529" s="40"/>
      <c r="AH1529" s="38"/>
    </row>
    <row r="1530" spans="1:34" x14ac:dyDescent="0.2">
      <c r="A1530" s="38"/>
      <c r="B1530" s="38"/>
      <c r="C1530" s="38"/>
      <c r="D1530" s="38"/>
      <c r="E1530" s="177"/>
      <c r="F1530" s="177"/>
      <c r="G1530" s="269"/>
      <c r="H1530" s="179"/>
      <c r="I1530" s="177"/>
      <c r="J1530" s="177"/>
      <c r="K1530" s="177"/>
      <c r="L1530" s="177"/>
      <c r="M1530" s="177"/>
      <c r="N1530" s="70"/>
      <c r="O1530" s="38"/>
      <c r="P1530" s="38"/>
      <c r="Q1530" s="760"/>
      <c r="R1530" s="590"/>
      <c r="S1530" s="38"/>
      <c r="T1530" s="38"/>
      <c r="U1530" s="38"/>
      <c r="V1530" s="37"/>
      <c r="W1530" s="39">
        <f>IF(AC1530="Intr",0,G1530*Definitions!$B$53)</f>
        <v>0</v>
      </c>
      <c r="X1530" s="39">
        <f>IF(AC1530="Intr",0,G1530*Definitions!$B$54)</f>
        <v>0</v>
      </c>
      <c r="Y1530" s="39">
        <f>IF(AC1530="Intr",G1530,G1530*Definitions!$B$55)</f>
        <v>0</v>
      </c>
      <c r="Z1530" s="39"/>
      <c r="AA1530" s="39"/>
      <c r="AB1530" s="39"/>
      <c r="AC1530" s="38"/>
      <c r="AD1530" s="38"/>
      <c r="AE1530" s="38"/>
      <c r="AF1530" s="38"/>
      <c r="AG1530" s="40"/>
      <c r="AH1530" s="38"/>
    </row>
    <row r="1531" spans="1:34" x14ac:dyDescent="0.2">
      <c r="A1531" s="38"/>
      <c r="B1531" s="38"/>
      <c r="C1531" s="38"/>
      <c r="D1531" s="38"/>
      <c r="E1531" s="177"/>
      <c r="F1531" s="177"/>
      <c r="G1531" s="269"/>
      <c r="H1531" s="179"/>
      <c r="I1531" s="177"/>
      <c r="J1531" s="177"/>
      <c r="K1531" s="177"/>
      <c r="L1531" s="177"/>
      <c r="M1531" s="177"/>
      <c r="N1531" s="70"/>
      <c r="O1531" s="38"/>
      <c r="P1531" s="38"/>
      <c r="Q1531" s="760"/>
      <c r="R1531" s="590"/>
      <c r="S1531" s="38"/>
      <c r="T1531" s="38"/>
      <c r="U1531" s="38"/>
      <c r="V1531" s="37"/>
      <c r="W1531" s="39">
        <f>IF(AC1531="Intr",0,G1531*Definitions!$B$53)</f>
        <v>0</v>
      </c>
      <c r="X1531" s="39">
        <f>IF(AC1531="Intr",0,G1531*Definitions!$B$54)</f>
        <v>0</v>
      </c>
      <c r="Y1531" s="39">
        <f>IF(AC1531="Intr",G1531,G1531*Definitions!$B$55)</f>
        <v>0</v>
      </c>
      <c r="Z1531" s="39"/>
      <c r="AA1531" s="39"/>
      <c r="AB1531" s="39"/>
      <c r="AC1531" s="38"/>
      <c r="AD1531" s="38"/>
      <c r="AE1531" s="38"/>
      <c r="AF1531" s="38"/>
      <c r="AG1531" s="40"/>
      <c r="AH1531" s="38"/>
    </row>
    <row r="1532" spans="1:34" x14ac:dyDescent="0.2">
      <c r="A1532" s="38"/>
      <c r="B1532" s="38"/>
      <c r="C1532" s="38"/>
      <c r="D1532" s="38"/>
      <c r="E1532" s="177"/>
      <c r="F1532" s="177"/>
      <c r="G1532" s="269"/>
      <c r="H1532" s="179"/>
      <c r="I1532" s="177"/>
      <c r="J1532" s="177"/>
      <c r="K1532" s="177"/>
      <c r="L1532" s="177"/>
      <c r="M1532" s="177"/>
      <c r="N1532" s="70"/>
      <c r="O1532" s="38"/>
      <c r="P1532" s="38"/>
      <c r="Q1532" s="760"/>
      <c r="R1532" s="590"/>
      <c r="S1532" s="38"/>
      <c r="T1532" s="38"/>
      <c r="U1532" s="38"/>
      <c r="V1532" s="37"/>
      <c r="W1532" s="39">
        <f>IF(AC1532="Intr",0,G1532*Definitions!$B$53)</f>
        <v>0</v>
      </c>
      <c r="X1532" s="39">
        <f>IF(AC1532="Intr",0,G1532*Definitions!$B$54)</f>
        <v>0</v>
      </c>
      <c r="Y1532" s="39">
        <f>IF(AC1532="Intr",G1532,G1532*Definitions!$B$55)</f>
        <v>0</v>
      </c>
      <c r="Z1532" s="39"/>
      <c r="AA1532" s="39"/>
      <c r="AB1532" s="39"/>
      <c r="AC1532" s="38"/>
      <c r="AD1532" s="38"/>
      <c r="AE1532" s="38"/>
      <c r="AF1532" s="38"/>
      <c r="AG1532" s="40"/>
      <c r="AH1532" s="38"/>
    </row>
    <row r="1533" spans="1:34" x14ac:dyDescent="0.2">
      <c r="A1533" s="38"/>
      <c r="B1533" s="38"/>
      <c r="C1533" s="38"/>
      <c r="D1533" s="38"/>
      <c r="E1533" s="177"/>
      <c r="F1533" s="177"/>
      <c r="G1533" s="269"/>
      <c r="H1533" s="179"/>
      <c r="I1533" s="177"/>
      <c r="J1533" s="177"/>
      <c r="K1533" s="177"/>
      <c r="L1533" s="177"/>
      <c r="M1533" s="177"/>
      <c r="N1533" s="70"/>
      <c r="O1533" s="38"/>
      <c r="P1533" s="38"/>
      <c r="Q1533" s="760"/>
      <c r="R1533" s="590"/>
      <c r="S1533" s="38"/>
      <c r="T1533" s="38"/>
      <c r="U1533" s="38"/>
      <c r="V1533" s="37"/>
      <c r="W1533" s="39">
        <f>IF(AC1533="Intr",0,G1533*Definitions!$B$53)</f>
        <v>0</v>
      </c>
      <c r="X1533" s="39">
        <f>IF(AC1533="Intr",0,G1533*Definitions!$B$54)</f>
        <v>0</v>
      </c>
      <c r="Y1533" s="39">
        <f>IF(AC1533="Intr",G1533,G1533*Definitions!$B$55)</f>
        <v>0</v>
      </c>
      <c r="Z1533" s="39"/>
      <c r="AA1533" s="39"/>
      <c r="AB1533" s="39"/>
      <c r="AC1533" s="38"/>
      <c r="AD1533" s="38"/>
      <c r="AE1533" s="38"/>
      <c r="AF1533" s="38"/>
      <c r="AG1533" s="40"/>
      <c r="AH1533" s="38"/>
    </row>
    <row r="1534" spans="1:34" x14ac:dyDescent="0.2">
      <c r="A1534" s="38"/>
      <c r="B1534" s="38"/>
      <c r="C1534" s="38"/>
      <c r="D1534" s="38"/>
      <c r="E1534" s="177"/>
      <c r="F1534" s="177"/>
      <c r="G1534" s="269"/>
      <c r="H1534" s="179"/>
      <c r="I1534" s="177"/>
      <c r="J1534" s="177"/>
      <c r="K1534" s="177"/>
      <c r="L1534" s="177"/>
      <c r="M1534" s="177"/>
      <c r="N1534" s="70"/>
      <c r="O1534" s="38"/>
      <c r="P1534" s="38"/>
      <c r="Q1534" s="760"/>
      <c r="R1534" s="590"/>
      <c r="S1534" s="38"/>
      <c r="T1534" s="38"/>
      <c r="U1534" s="38"/>
      <c r="V1534" s="37"/>
      <c r="W1534" s="39">
        <f>IF(AC1534="Intr",0,G1534*Definitions!$B$53)</f>
        <v>0</v>
      </c>
      <c r="X1534" s="39">
        <f>IF(AC1534="Intr",0,G1534*Definitions!$B$54)</f>
        <v>0</v>
      </c>
      <c r="Y1534" s="39">
        <f>IF(AC1534="Intr",G1534,G1534*Definitions!$B$55)</f>
        <v>0</v>
      </c>
      <c r="Z1534" s="39"/>
      <c r="AA1534" s="39"/>
      <c r="AB1534" s="39"/>
      <c r="AC1534" s="38"/>
      <c r="AD1534" s="38"/>
      <c r="AE1534" s="38"/>
      <c r="AF1534" s="38"/>
      <c r="AG1534" s="40"/>
      <c r="AH1534" s="38"/>
    </row>
    <row r="1535" spans="1:34" x14ac:dyDescent="0.2">
      <c r="A1535" s="38"/>
      <c r="B1535" s="38"/>
      <c r="C1535" s="38"/>
      <c r="D1535" s="38"/>
      <c r="E1535" s="177"/>
      <c r="F1535" s="177"/>
      <c r="G1535" s="269"/>
      <c r="H1535" s="179"/>
      <c r="I1535" s="177"/>
      <c r="J1535" s="177"/>
      <c r="K1535" s="177"/>
      <c r="L1535" s="177"/>
      <c r="M1535" s="177"/>
      <c r="N1535" s="70"/>
      <c r="O1535" s="38"/>
      <c r="P1535" s="38"/>
      <c r="Q1535" s="760"/>
      <c r="R1535" s="590"/>
      <c r="S1535" s="38"/>
      <c r="T1535" s="38"/>
      <c r="U1535" s="38"/>
      <c r="V1535" s="37"/>
      <c r="W1535" s="39">
        <f>IF(AC1535="Intr",0,G1535*Definitions!$B$53)</f>
        <v>0</v>
      </c>
      <c r="X1535" s="39">
        <f>IF(AC1535="Intr",0,G1535*Definitions!$B$54)</f>
        <v>0</v>
      </c>
      <c r="Y1535" s="39">
        <f>IF(AC1535="Intr",G1535,G1535*Definitions!$B$55)</f>
        <v>0</v>
      </c>
      <c r="Z1535" s="39"/>
      <c r="AA1535" s="39"/>
      <c r="AB1535" s="39"/>
      <c r="AC1535" s="38"/>
      <c r="AD1535" s="38"/>
      <c r="AE1535" s="38"/>
      <c r="AF1535" s="38"/>
      <c r="AG1535" s="40"/>
      <c r="AH1535" s="38"/>
    </row>
    <row r="1536" spans="1:34" x14ac:dyDescent="0.2">
      <c r="A1536" s="38"/>
      <c r="B1536" s="38"/>
      <c r="C1536" s="38"/>
      <c r="D1536" s="38"/>
      <c r="E1536" s="177"/>
      <c r="F1536" s="177"/>
      <c r="G1536" s="269"/>
      <c r="H1536" s="179"/>
      <c r="I1536" s="177"/>
      <c r="J1536" s="177"/>
      <c r="K1536" s="177"/>
      <c r="L1536" s="177"/>
      <c r="M1536" s="177"/>
      <c r="N1536" s="70"/>
      <c r="O1536" s="38"/>
      <c r="P1536" s="38"/>
      <c r="Q1536" s="760"/>
      <c r="R1536" s="590"/>
      <c r="S1536" s="38"/>
      <c r="T1536" s="38"/>
      <c r="U1536" s="38"/>
      <c r="V1536" s="37"/>
      <c r="W1536" s="39">
        <f>IF(AC1536="Intr",0,G1536*Definitions!$B$53)</f>
        <v>0</v>
      </c>
      <c r="X1536" s="39">
        <f>IF(AC1536="Intr",0,G1536*Definitions!$B$54)</f>
        <v>0</v>
      </c>
      <c r="Y1536" s="39">
        <f>IF(AC1536="Intr",G1536,G1536*Definitions!$B$55)</f>
        <v>0</v>
      </c>
      <c r="Z1536" s="39"/>
      <c r="AA1536" s="39"/>
      <c r="AB1536" s="39"/>
      <c r="AC1536" s="38"/>
      <c r="AD1536" s="38"/>
      <c r="AE1536" s="38"/>
      <c r="AF1536" s="38"/>
      <c r="AG1536" s="40"/>
      <c r="AH1536" s="38"/>
    </row>
    <row r="1537" spans="1:34" x14ac:dyDescent="0.2">
      <c r="A1537" s="38"/>
      <c r="B1537" s="38"/>
      <c r="C1537" s="38"/>
      <c r="D1537" s="38"/>
      <c r="E1537" s="177"/>
      <c r="F1537" s="177"/>
      <c r="G1537" s="269"/>
      <c r="H1537" s="179"/>
      <c r="I1537" s="177"/>
      <c r="J1537" s="177"/>
      <c r="K1537" s="177"/>
      <c r="L1537" s="177"/>
      <c r="M1537" s="177"/>
      <c r="N1537" s="70"/>
      <c r="O1537" s="38"/>
      <c r="P1537" s="38"/>
      <c r="Q1537" s="760"/>
      <c r="R1537" s="590"/>
      <c r="S1537" s="38"/>
      <c r="T1537" s="38"/>
      <c r="U1537" s="38"/>
      <c r="V1537" s="37"/>
      <c r="W1537" s="39">
        <f>IF(AC1537="Intr",0,G1537*Definitions!$B$53)</f>
        <v>0</v>
      </c>
      <c r="X1537" s="39">
        <f>IF(AC1537="Intr",0,G1537*Definitions!$B$54)</f>
        <v>0</v>
      </c>
      <c r="Y1537" s="39">
        <f>IF(AC1537="Intr",G1537,G1537*Definitions!$B$55)</f>
        <v>0</v>
      </c>
      <c r="Z1537" s="39"/>
      <c r="AA1537" s="39"/>
      <c r="AB1537" s="39"/>
      <c r="AC1537" s="38"/>
      <c r="AD1537" s="38"/>
      <c r="AE1537" s="38"/>
      <c r="AF1537" s="38"/>
      <c r="AG1537" s="40"/>
      <c r="AH1537" s="38"/>
    </row>
    <row r="1538" spans="1:34" x14ac:dyDescent="0.2">
      <c r="A1538" s="38"/>
      <c r="B1538" s="38"/>
      <c r="C1538" s="38"/>
      <c r="D1538" s="38"/>
      <c r="E1538" s="177"/>
      <c r="F1538" s="177"/>
      <c r="G1538" s="269"/>
      <c r="H1538" s="179"/>
      <c r="I1538" s="177"/>
      <c r="J1538" s="177"/>
      <c r="K1538" s="177"/>
      <c r="L1538" s="177"/>
      <c r="M1538" s="177"/>
      <c r="N1538" s="70"/>
      <c r="O1538" s="38"/>
      <c r="P1538" s="38"/>
      <c r="Q1538" s="760"/>
      <c r="R1538" s="590"/>
      <c r="S1538" s="38"/>
      <c r="T1538" s="38"/>
      <c r="U1538" s="38"/>
      <c r="V1538" s="37"/>
      <c r="W1538" s="39">
        <f>IF(AC1538="Intr",0,G1538*Definitions!$B$53)</f>
        <v>0</v>
      </c>
      <c r="X1538" s="39">
        <f>IF(AC1538="Intr",0,G1538*Definitions!$B$54)</f>
        <v>0</v>
      </c>
      <c r="Y1538" s="39">
        <f>IF(AC1538="Intr",G1538,G1538*Definitions!$B$55)</f>
        <v>0</v>
      </c>
      <c r="Z1538" s="39"/>
      <c r="AA1538" s="39"/>
      <c r="AB1538" s="39"/>
      <c r="AC1538" s="38"/>
      <c r="AD1538" s="38"/>
      <c r="AE1538" s="38"/>
      <c r="AF1538" s="38"/>
      <c r="AG1538" s="40"/>
      <c r="AH1538" s="38"/>
    </row>
    <row r="1539" spans="1:34" x14ac:dyDescent="0.2">
      <c r="A1539" s="38"/>
      <c r="B1539" s="38"/>
      <c r="C1539" s="38"/>
      <c r="D1539" s="38"/>
      <c r="E1539" s="177"/>
      <c r="F1539" s="177"/>
      <c r="G1539" s="269"/>
      <c r="H1539" s="179"/>
      <c r="I1539" s="177"/>
      <c r="J1539" s="177"/>
      <c r="K1539" s="177"/>
      <c r="L1539" s="177"/>
      <c r="M1539" s="177"/>
      <c r="N1539" s="70"/>
      <c r="O1539" s="38"/>
      <c r="P1539" s="38"/>
      <c r="Q1539" s="760"/>
      <c r="R1539" s="590"/>
      <c r="S1539" s="38"/>
      <c r="T1539" s="38"/>
      <c r="U1539" s="38"/>
      <c r="V1539" s="37"/>
      <c r="W1539" s="39">
        <f>IF(AC1539="Intr",0,G1539*Definitions!$B$53)</f>
        <v>0</v>
      </c>
      <c r="X1539" s="39">
        <f>IF(AC1539="Intr",0,G1539*Definitions!$B$54)</f>
        <v>0</v>
      </c>
      <c r="Y1539" s="39">
        <f>IF(AC1539="Intr",G1539,G1539*Definitions!$B$55)</f>
        <v>0</v>
      </c>
      <c r="Z1539" s="39"/>
      <c r="AA1539" s="39"/>
      <c r="AB1539" s="39"/>
      <c r="AC1539" s="38"/>
      <c r="AD1539" s="38"/>
      <c r="AE1539" s="38"/>
      <c r="AF1539" s="38"/>
      <c r="AG1539" s="40"/>
      <c r="AH1539" s="38"/>
    </row>
    <row r="1540" spans="1:34" x14ac:dyDescent="0.2">
      <c r="A1540" s="38"/>
      <c r="B1540" s="38"/>
      <c r="C1540" s="38"/>
      <c r="D1540" s="38"/>
      <c r="E1540" s="177"/>
      <c r="F1540" s="177"/>
      <c r="G1540" s="269"/>
      <c r="H1540" s="179"/>
      <c r="I1540" s="177"/>
      <c r="J1540" s="177"/>
      <c r="K1540" s="177"/>
      <c r="L1540" s="177"/>
      <c r="M1540" s="177"/>
      <c r="N1540" s="70"/>
      <c r="O1540" s="38"/>
      <c r="P1540" s="38"/>
      <c r="Q1540" s="760"/>
      <c r="R1540" s="590"/>
      <c r="S1540" s="38"/>
      <c r="T1540" s="38"/>
      <c r="U1540" s="38"/>
      <c r="V1540" s="37"/>
      <c r="W1540" s="39">
        <f>IF(AC1540="Intr",0,G1540*Definitions!$B$53)</f>
        <v>0</v>
      </c>
      <c r="X1540" s="39">
        <f>IF(AC1540="Intr",0,G1540*Definitions!$B$54)</f>
        <v>0</v>
      </c>
      <c r="Y1540" s="39">
        <f>IF(AC1540="Intr",G1540,G1540*Definitions!$B$55)</f>
        <v>0</v>
      </c>
      <c r="Z1540" s="39"/>
      <c r="AA1540" s="39"/>
      <c r="AB1540" s="39"/>
      <c r="AC1540" s="38"/>
      <c r="AD1540" s="38"/>
      <c r="AE1540" s="38"/>
      <c r="AF1540" s="38"/>
      <c r="AG1540" s="40"/>
      <c r="AH1540" s="38"/>
    </row>
    <row r="1541" spans="1:34" x14ac:dyDescent="0.2">
      <c r="A1541" s="38"/>
      <c r="B1541" s="38"/>
      <c r="C1541" s="38"/>
      <c r="D1541" s="38"/>
      <c r="E1541" s="177"/>
      <c r="F1541" s="177"/>
      <c r="G1541" s="269"/>
      <c r="H1541" s="179"/>
      <c r="I1541" s="177"/>
      <c r="J1541" s="177"/>
      <c r="K1541" s="177"/>
      <c r="L1541" s="177"/>
      <c r="M1541" s="177"/>
      <c r="N1541" s="70"/>
      <c r="O1541" s="38"/>
      <c r="P1541" s="38"/>
      <c r="Q1541" s="760"/>
      <c r="R1541" s="590"/>
      <c r="S1541" s="38"/>
      <c r="T1541" s="38"/>
      <c r="U1541" s="38"/>
      <c r="V1541" s="37"/>
      <c r="W1541" s="39">
        <f>IF(AC1541="Intr",0,G1541*Definitions!$B$53)</f>
        <v>0</v>
      </c>
      <c r="X1541" s="39">
        <f>IF(AC1541="Intr",0,G1541*Definitions!$B$54)</f>
        <v>0</v>
      </c>
      <c r="Y1541" s="39">
        <f>IF(AC1541="Intr",G1541,G1541*Definitions!$B$55)</f>
        <v>0</v>
      </c>
      <c r="Z1541" s="39"/>
      <c r="AA1541" s="39"/>
      <c r="AB1541" s="39"/>
      <c r="AC1541" s="38"/>
      <c r="AD1541" s="38"/>
      <c r="AE1541" s="38"/>
      <c r="AF1541" s="38"/>
      <c r="AG1541" s="40"/>
      <c r="AH1541" s="38"/>
    </row>
    <row r="1542" spans="1:34" x14ac:dyDescent="0.2">
      <c r="A1542" s="38"/>
      <c r="B1542" s="38"/>
      <c r="C1542" s="38"/>
      <c r="D1542" s="38"/>
      <c r="E1542" s="177"/>
      <c r="F1542" s="177"/>
      <c r="G1542" s="269"/>
      <c r="H1542" s="179"/>
      <c r="I1542" s="177"/>
      <c r="J1542" s="177"/>
      <c r="K1542" s="177"/>
      <c r="L1542" s="177"/>
      <c r="M1542" s="177"/>
      <c r="N1542" s="70"/>
      <c r="O1542" s="38"/>
      <c r="P1542" s="38"/>
      <c r="Q1542" s="760"/>
      <c r="R1542" s="590"/>
      <c r="S1542" s="38"/>
      <c r="T1542" s="38"/>
      <c r="U1542" s="38"/>
      <c r="V1542" s="37"/>
      <c r="W1542" s="39">
        <f>IF(AC1542="Intr",0,G1542*Definitions!$B$53)</f>
        <v>0</v>
      </c>
      <c r="X1542" s="39">
        <f>IF(AC1542="Intr",0,G1542*Definitions!$B$54)</f>
        <v>0</v>
      </c>
      <c r="Y1542" s="39">
        <f>IF(AC1542="Intr",G1542,G1542*Definitions!$B$55)</f>
        <v>0</v>
      </c>
      <c r="Z1542" s="39"/>
      <c r="AA1542" s="39"/>
      <c r="AB1542" s="39"/>
      <c r="AC1542" s="38"/>
      <c r="AD1542" s="38"/>
      <c r="AE1542" s="38"/>
      <c r="AF1542" s="38"/>
      <c r="AG1542" s="40"/>
      <c r="AH1542" s="38"/>
    </row>
    <row r="1543" spans="1:34" x14ac:dyDescent="0.2">
      <c r="A1543" s="38"/>
      <c r="B1543" s="38"/>
      <c r="C1543" s="38"/>
      <c r="D1543" s="38"/>
      <c r="E1543" s="177"/>
      <c r="F1543" s="177"/>
      <c r="G1543" s="269"/>
      <c r="H1543" s="179"/>
      <c r="I1543" s="177"/>
      <c r="J1543" s="177"/>
      <c r="K1543" s="177"/>
      <c r="L1543" s="177"/>
      <c r="M1543" s="177"/>
      <c r="N1543" s="70"/>
      <c r="O1543" s="38"/>
      <c r="P1543" s="38"/>
      <c r="Q1543" s="760"/>
      <c r="R1543" s="590"/>
      <c r="S1543" s="38"/>
      <c r="T1543" s="38"/>
      <c r="U1543" s="38"/>
      <c r="V1543" s="37"/>
      <c r="W1543" s="39">
        <f>IF(AC1543="Intr",0,G1543*Definitions!$B$53)</f>
        <v>0</v>
      </c>
      <c r="X1543" s="39">
        <f>IF(AC1543="Intr",0,G1543*Definitions!$B$54)</f>
        <v>0</v>
      </c>
      <c r="Y1543" s="39">
        <f>IF(AC1543="Intr",G1543,G1543*Definitions!$B$55)</f>
        <v>0</v>
      </c>
      <c r="Z1543" s="39"/>
      <c r="AA1543" s="39"/>
      <c r="AB1543" s="39"/>
      <c r="AC1543" s="38"/>
      <c r="AD1543" s="38"/>
      <c r="AE1543" s="38"/>
      <c r="AF1543" s="38"/>
      <c r="AG1543" s="40"/>
      <c r="AH1543" s="38"/>
    </row>
    <row r="1544" spans="1:34" x14ac:dyDescent="0.2">
      <c r="A1544" s="38"/>
      <c r="B1544" s="38"/>
      <c r="C1544" s="38"/>
      <c r="D1544" s="38"/>
      <c r="E1544" s="177"/>
      <c r="F1544" s="177"/>
      <c r="G1544" s="269"/>
      <c r="H1544" s="179"/>
      <c r="I1544" s="177"/>
      <c r="J1544" s="177"/>
      <c r="K1544" s="177"/>
      <c r="L1544" s="177"/>
      <c r="M1544" s="177"/>
      <c r="N1544" s="70"/>
      <c r="O1544" s="38"/>
      <c r="P1544" s="38"/>
      <c r="Q1544" s="760"/>
      <c r="R1544" s="590"/>
      <c r="S1544" s="38"/>
      <c r="T1544" s="38"/>
      <c r="U1544" s="38"/>
      <c r="V1544" s="37"/>
      <c r="W1544" s="39">
        <f>IF(AC1544="Intr",0,G1544*Definitions!$B$53)</f>
        <v>0</v>
      </c>
      <c r="X1544" s="39">
        <f>IF(AC1544="Intr",0,G1544*Definitions!$B$54)</f>
        <v>0</v>
      </c>
      <c r="Y1544" s="39">
        <f>IF(AC1544="Intr",G1544,G1544*Definitions!$B$55)</f>
        <v>0</v>
      </c>
      <c r="Z1544" s="39"/>
      <c r="AA1544" s="39"/>
      <c r="AB1544" s="39"/>
      <c r="AC1544" s="38"/>
      <c r="AD1544" s="38"/>
      <c r="AE1544" s="38"/>
      <c r="AF1544" s="38"/>
      <c r="AG1544" s="40"/>
      <c r="AH1544" s="38"/>
    </row>
    <row r="1545" spans="1:34" x14ac:dyDescent="0.2">
      <c r="A1545" s="38"/>
      <c r="B1545" s="38"/>
      <c r="C1545" s="38"/>
      <c r="D1545" s="38"/>
      <c r="E1545" s="177"/>
      <c r="F1545" s="177"/>
      <c r="G1545" s="269"/>
      <c r="H1545" s="179"/>
      <c r="I1545" s="177"/>
      <c r="J1545" s="177"/>
      <c r="K1545" s="177"/>
      <c r="L1545" s="177"/>
      <c r="M1545" s="177"/>
      <c r="N1545" s="70"/>
      <c r="O1545" s="38"/>
      <c r="P1545" s="38"/>
      <c r="Q1545" s="760"/>
      <c r="R1545" s="590"/>
      <c r="S1545" s="38"/>
      <c r="T1545" s="38"/>
      <c r="U1545" s="38"/>
      <c r="V1545" s="37"/>
      <c r="W1545" s="39">
        <f>IF(AC1545="Intr",0,G1545*Definitions!$B$53)</f>
        <v>0</v>
      </c>
      <c r="X1545" s="39">
        <f>IF(AC1545="Intr",0,G1545*Definitions!$B$54)</f>
        <v>0</v>
      </c>
      <c r="Y1545" s="39">
        <f>IF(AC1545="Intr",G1545,G1545*Definitions!$B$55)</f>
        <v>0</v>
      </c>
      <c r="Z1545" s="39"/>
      <c r="AA1545" s="39"/>
      <c r="AB1545" s="39"/>
      <c r="AC1545" s="38"/>
      <c r="AD1545" s="38"/>
      <c r="AE1545" s="38"/>
      <c r="AF1545" s="38"/>
      <c r="AG1545" s="40"/>
      <c r="AH1545" s="38"/>
    </row>
    <row r="1546" spans="1:34" x14ac:dyDescent="0.2">
      <c r="A1546" s="38"/>
      <c r="B1546" s="38"/>
      <c r="C1546" s="38"/>
      <c r="D1546" s="38"/>
      <c r="E1546" s="177"/>
      <c r="F1546" s="177"/>
      <c r="G1546" s="269"/>
      <c r="H1546" s="179"/>
      <c r="I1546" s="177"/>
      <c r="J1546" s="177"/>
      <c r="K1546" s="177"/>
      <c r="L1546" s="177"/>
      <c r="M1546" s="177"/>
      <c r="N1546" s="70"/>
      <c r="O1546" s="38"/>
      <c r="P1546" s="38"/>
      <c r="Q1546" s="760"/>
      <c r="R1546" s="590"/>
      <c r="S1546" s="38"/>
      <c r="T1546" s="38"/>
      <c r="U1546" s="38"/>
      <c r="V1546" s="37"/>
      <c r="W1546" s="39">
        <f>IF(AC1546="Intr",0,G1546*Definitions!$B$53)</f>
        <v>0</v>
      </c>
      <c r="X1546" s="39">
        <f>IF(AC1546="Intr",0,G1546*Definitions!$B$54)</f>
        <v>0</v>
      </c>
      <c r="Y1546" s="39">
        <f>IF(AC1546="Intr",G1546,G1546*Definitions!$B$55)</f>
        <v>0</v>
      </c>
      <c r="Z1546" s="39"/>
      <c r="AA1546" s="39"/>
      <c r="AB1546" s="39"/>
      <c r="AC1546" s="38"/>
      <c r="AD1546" s="38"/>
      <c r="AE1546" s="38"/>
      <c r="AF1546" s="38"/>
      <c r="AG1546" s="40"/>
      <c r="AH1546" s="38"/>
    </row>
    <row r="1547" spans="1:34" x14ac:dyDescent="0.2">
      <c r="A1547" s="38"/>
      <c r="B1547" s="38"/>
      <c r="C1547" s="38"/>
      <c r="D1547" s="38"/>
      <c r="E1547" s="177"/>
      <c r="F1547" s="177"/>
      <c r="G1547" s="269"/>
      <c r="H1547" s="179"/>
      <c r="I1547" s="177"/>
      <c r="J1547" s="177"/>
      <c r="K1547" s="177"/>
      <c r="L1547" s="177"/>
      <c r="M1547" s="177"/>
      <c r="N1547" s="70"/>
      <c r="O1547" s="38"/>
      <c r="P1547" s="38"/>
      <c r="Q1547" s="760"/>
      <c r="R1547" s="590"/>
      <c r="S1547" s="38"/>
      <c r="T1547" s="38"/>
      <c r="U1547" s="38"/>
      <c r="V1547" s="37"/>
      <c r="W1547" s="39">
        <f>IF(AC1547="Intr",0,G1547*Definitions!$B$53)</f>
        <v>0</v>
      </c>
      <c r="X1547" s="39">
        <f>IF(AC1547="Intr",0,G1547*Definitions!$B$54)</f>
        <v>0</v>
      </c>
      <c r="Y1547" s="39">
        <f>IF(AC1547="Intr",G1547,G1547*Definitions!$B$55)</f>
        <v>0</v>
      </c>
      <c r="Z1547" s="39"/>
      <c r="AA1547" s="39"/>
      <c r="AB1547" s="39"/>
      <c r="AC1547" s="38"/>
      <c r="AD1547" s="38"/>
      <c r="AE1547" s="38"/>
      <c r="AF1547" s="38"/>
      <c r="AG1547" s="40"/>
      <c r="AH1547" s="38"/>
    </row>
    <row r="1548" spans="1:34" x14ac:dyDescent="0.2">
      <c r="A1548" s="38"/>
      <c r="B1548" s="38"/>
      <c r="C1548" s="38"/>
      <c r="D1548" s="38"/>
      <c r="E1548" s="177"/>
      <c r="F1548" s="177"/>
      <c r="G1548" s="269"/>
      <c r="H1548" s="179"/>
      <c r="I1548" s="177"/>
      <c r="J1548" s="177"/>
      <c r="K1548" s="177"/>
      <c r="L1548" s="177"/>
      <c r="M1548" s="177"/>
      <c r="N1548" s="70"/>
      <c r="O1548" s="38"/>
      <c r="P1548" s="38"/>
      <c r="Q1548" s="760"/>
      <c r="R1548" s="590"/>
      <c r="S1548" s="38"/>
      <c r="T1548" s="38"/>
      <c r="U1548" s="38"/>
      <c r="V1548" s="37"/>
      <c r="W1548" s="39">
        <f>IF(AC1548="Intr",0,G1548*Definitions!$B$53)</f>
        <v>0</v>
      </c>
      <c r="X1548" s="39">
        <f>IF(AC1548="Intr",0,G1548*Definitions!$B$54)</f>
        <v>0</v>
      </c>
      <c r="Y1548" s="39">
        <f>IF(AC1548="Intr",G1548,G1548*Definitions!$B$55)</f>
        <v>0</v>
      </c>
      <c r="Z1548" s="39"/>
      <c r="AA1548" s="39"/>
      <c r="AB1548" s="39"/>
      <c r="AC1548" s="38"/>
      <c r="AD1548" s="38"/>
      <c r="AE1548" s="38"/>
      <c r="AF1548" s="38"/>
      <c r="AG1548" s="40"/>
      <c r="AH1548" s="38"/>
    </row>
    <row r="1549" spans="1:34" x14ac:dyDescent="0.2">
      <c r="A1549" s="38"/>
      <c r="B1549" s="38"/>
      <c r="C1549" s="38"/>
      <c r="D1549" s="38"/>
      <c r="E1549" s="177"/>
      <c r="F1549" s="177"/>
      <c r="G1549" s="269"/>
      <c r="H1549" s="179"/>
      <c r="I1549" s="177"/>
      <c r="J1549" s="177"/>
      <c r="K1549" s="177"/>
      <c r="L1549" s="177"/>
      <c r="M1549" s="177"/>
      <c r="N1549" s="70"/>
      <c r="O1549" s="38"/>
      <c r="P1549" s="38"/>
      <c r="Q1549" s="760"/>
      <c r="R1549" s="590"/>
      <c r="S1549" s="38"/>
      <c r="T1549" s="38"/>
      <c r="U1549" s="38"/>
      <c r="V1549" s="37"/>
      <c r="W1549" s="39">
        <f>IF(AC1549="Intr",0,G1549*Definitions!$B$53)</f>
        <v>0</v>
      </c>
      <c r="X1549" s="39">
        <f>IF(AC1549="Intr",0,G1549*Definitions!$B$54)</f>
        <v>0</v>
      </c>
      <c r="Y1549" s="39">
        <f>IF(AC1549="Intr",G1549,G1549*Definitions!$B$55)</f>
        <v>0</v>
      </c>
      <c r="Z1549" s="39"/>
      <c r="AA1549" s="39"/>
      <c r="AB1549" s="39"/>
      <c r="AC1549" s="38"/>
      <c r="AD1549" s="38"/>
      <c r="AE1549" s="38"/>
      <c r="AF1549" s="38"/>
      <c r="AG1549" s="40"/>
      <c r="AH1549" s="38"/>
    </row>
    <row r="1550" spans="1:34" x14ac:dyDescent="0.2">
      <c r="A1550" s="38"/>
      <c r="B1550" s="38"/>
      <c r="C1550" s="38"/>
      <c r="D1550" s="38"/>
      <c r="E1550" s="177"/>
      <c r="F1550" s="177"/>
      <c r="G1550" s="269"/>
      <c r="H1550" s="179"/>
      <c r="I1550" s="177"/>
      <c r="J1550" s="177"/>
      <c r="K1550" s="177"/>
      <c r="L1550" s="177"/>
      <c r="M1550" s="177"/>
      <c r="N1550" s="70"/>
      <c r="O1550" s="38"/>
      <c r="P1550" s="38"/>
      <c r="Q1550" s="760"/>
      <c r="R1550" s="590"/>
      <c r="S1550" s="38"/>
      <c r="T1550" s="38"/>
      <c r="U1550" s="38"/>
      <c r="V1550" s="37"/>
      <c r="W1550" s="39">
        <f>IF(AC1550="Intr",0,G1550*Definitions!$B$53)</f>
        <v>0</v>
      </c>
      <c r="X1550" s="39">
        <f>IF(AC1550="Intr",0,G1550*Definitions!$B$54)</f>
        <v>0</v>
      </c>
      <c r="Y1550" s="39">
        <f>IF(AC1550="Intr",G1550,G1550*Definitions!$B$55)</f>
        <v>0</v>
      </c>
      <c r="Z1550" s="39"/>
      <c r="AA1550" s="39"/>
      <c r="AB1550" s="39"/>
      <c r="AC1550" s="38"/>
      <c r="AD1550" s="38"/>
      <c r="AE1550" s="38"/>
      <c r="AF1550" s="38"/>
      <c r="AG1550" s="40"/>
      <c r="AH1550" s="38"/>
    </row>
    <row r="1551" spans="1:34" x14ac:dyDescent="0.2">
      <c r="A1551" s="38"/>
      <c r="B1551" s="38"/>
      <c r="C1551" s="38"/>
      <c r="D1551" s="38"/>
      <c r="E1551" s="177"/>
      <c r="F1551" s="177"/>
      <c r="G1551" s="269"/>
      <c r="H1551" s="179"/>
      <c r="I1551" s="177"/>
      <c r="J1551" s="177"/>
      <c r="K1551" s="177"/>
      <c r="L1551" s="177"/>
      <c r="M1551" s="177"/>
      <c r="N1551" s="70"/>
      <c r="O1551" s="38"/>
      <c r="P1551" s="38"/>
      <c r="Q1551" s="760"/>
      <c r="R1551" s="590"/>
      <c r="S1551" s="38"/>
      <c r="T1551" s="38"/>
      <c r="U1551" s="38"/>
      <c r="V1551" s="37"/>
      <c r="W1551" s="39">
        <f>IF(AC1551="Intr",0,G1551*Definitions!$B$53)</f>
        <v>0</v>
      </c>
      <c r="X1551" s="39">
        <f>IF(AC1551="Intr",0,G1551*Definitions!$B$54)</f>
        <v>0</v>
      </c>
      <c r="Y1551" s="39">
        <f>IF(AC1551="Intr",G1551,G1551*Definitions!$B$55)</f>
        <v>0</v>
      </c>
      <c r="Z1551" s="39"/>
      <c r="AA1551" s="39"/>
      <c r="AB1551" s="39"/>
      <c r="AC1551" s="38"/>
      <c r="AD1551" s="38"/>
      <c r="AE1551" s="38"/>
      <c r="AF1551" s="38"/>
      <c r="AG1551" s="40"/>
      <c r="AH1551" s="38"/>
    </row>
    <row r="1552" spans="1:34" x14ac:dyDescent="0.2">
      <c r="A1552" s="38"/>
      <c r="B1552" s="38"/>
      <c r="C1552" s="38"/>
      <c r="D1552" s="38"/>
      <c r="E1552" s="177"/>
      <c r="F1552" s="177"/>
      <c r="G1552" s="269"/>
      <c r="H1552" s="179"/>
      <c r="I1552" s="177"/>
      <c r="J1552" s="177"/>
      <c r="K1552" s="177"/>
      <c r="L1552" s="177"/>
      <c r="M1552" s="177"/>
      <c r="N1552" s="70"/>
      <c r="O1552" s="38"/>
      <c r="P1552" s="38"/>
      <c r="Q1552" s="760"/>
      <c r="R1552" s="590"/>
      <c r="S1552" s="38"/>
      <c r="T1552" s="38"/>
      <c r="U1552" s="38"/>
      <c r="V1552" s="37"/>
      <c r="W1552" s="39">
        <f>IF(AC1552="Intr",0,G1552*Definitions!$B$53)</f>
        <v>0</v>
      </c>
      <c r="X1552" s="39">
        <f>IF(AC1552="Intr",0,G1552*Definitions!$B$54)</f>
        <v>0</v>
      </c>
      <c r="Y1552" s="39">
        <f>IF(AC1552="Intr",G1552,G1552*Definitions!$B$55)</f>
        <v>0</v>
      </c>
      <c r="Z1552" s="39"/>
      <c r="AA1552" s="39"/>
      <c r="AB1552" s="39"/>
      <c r="AC1552" s="38"/>
      <c r="AD1552" s="38"/>
      <c r="AE1552" s="38"/>
      <c r="AF1552" s="38"/>
      <c r="AG1552" s="40"/>
      <c r="AH1552" s="38"/>
    </row>
    <row r="1553" spans="1:34" x14ac:dyDescent="0.2">
      <c r="A1553" s="38"/>
      <c r="B1553" s="38"/>
      <c r="C1553" s="38"/>
      <c r="D1553" s="38"/>
      <c r="E1553" s="177"/>
      <c r="F1553" s="177"/>
      <c r="G1553" s="269"/>
      <c r="H1553" s="179"/>
      <c r="I1553" s="177"/>
      <c r="J1553" s="177"/>
      <c r="K1553" s="177"/>
      <c r="L1553" s="177"/>
      <c r="M1553" s="177"/>
      <c r="N1553" s="70"/>
      <c r="O1553" s="38"/>
      <c r="P1553" s="38"/>
      <c r="Q1553" s="760"/>
      <c r="R1553" s="590"/>
      <c r="S1553" s="38"/>
      <c r="T1553" s="38"/>
      <c r="U1553" s="38"/>
      <c r="V1553" s="37"/>
      <c r="W1553" s="39">
        <f>IF(AC1553="Intr",0,G1553*Definitions!$B$53)</f>
        <v>0</v>
      </c>
      <c r="X1553" s="39">
        <f>IF(AC1553="Intr",0,G1553*Definitions!$B$54)</f>
        <v>0</v>
      </c>
      <c r="Y1553" s="39">
        <f>IF(AC1553="Intr",G1553,G1553*Definitions!$B$55)</f>
        <v>0</v>
      </c>
      <c r="Z1553" s="39"/>
      <c r="AA1553" s="39"/>
      <c r="AB1553" s="39"/>
      <c r="AC1553" s="38"/>
      <c r="AD1553" s="38"/>
      <c r="AE1553" s="38"/>
      <c r="AF1553" s="38"/>
      <c r="AG1553" s="40"/>
      <c r="AH1553" s="38"/>
    </row>
    <row r="1554" spans="1:34" x14ac:dyDescent="0.2">
      <c r="A1554" s="38"/>
      <c r="B1554" s="38"/>
      <c r="C1554" s="38"/>
      <c r="D1554" s="38"/>
      <c r="E1554" s="177"/>
      <c r="F1554" s="177"/>
      <c r="G1554" s="269"/>
      <c r="H1554" s="179"/>
      <c r="I1554" s="177"/>
      <c r="J1554" s="177"/>
      <c r="K1554" s="177"/>
      <c r="L1554" s="177"/>
      <c r="M1554" s="177"/>
      <c r="N1554" s="70"/>
      <c r="O1554" s="38"/>
      <c r="P1554" s="38"/>
      <c r="Q1554" s="760"/>
      <c r="R1554" s="590"/>
      <c r="S1554" s="38"/>
      <c r="T1554" s="38"/>
      <c r="U1554" s="38"/>
      <c r="V1554" s="37"/>
      <c r="W1554" s="39">
        <f>IF(AC1554="Intr",0,G1554*Definitions!$B$53)</f>
        <v>0</v>
      </c>
      <c r="X1554" s="39">
        <f>IF(AC1554="Intr",0,G1554*Definitions!$B$54)</f>
        <v>0</v>
      </c>
      <c r="Y1554" s="39">
        <f>IF(AC1554="Intr",G1554,G1554*Definitions!$B$55)</f>
        <v>0</v>
      </c>
      <c r="Z1554" s="39"/>
      <c r="AA1554" s="39"/>
      <c r="AB1554" s="39"/>
      <c r="AC1554" s="38"/>
      <c r="AD1554" s="38"/>
      <c r="AE1554" s="38"/>
      <c r="AF1554" s="38"/>
      <c r="AG1554" s="40"/>
      <c r="AH1554" s="38"/>
    </row>
    <row r="1555" spans="1:34" x14ac:dyDescent="0.2">
      <c r="A1555" s="38"/>
      <c r="B1555" s="38"/>
      <c r="C1555" s="38"/>
      <c r="D1555" s="38"/>
      <c r="E1555" s="177"/>
      <c r="F1555" s="177"/>
      <c r="G1555" s="269"/>
      <c r="H1555" s="179"/>
      <c r="I1555" s="177"/>
      <c r="J1555" s="177"/>
      <c r="K1555" s="177"/>
      <c r="L1555" s="177"/>
      <c r="M1555" s="177"/>
      <c r="N1555" s="70"/>
      <c r="O1555" s="38"/>
      <c r="P1555" s="38"/>
      <c r="Q1555" s="760"/>
      <c r="R1555" s="590"/>
      <c r="S1555" s="38"/>
      <c r="T1555" s="38"/>
      <c r="U1555" s="38"/>
      <c r="V1555" s="37"/>
      <c r="W1555" s="39">
        <f>IF(AC1555="Intr",0,G1555*Definitions!$B$53)</f>
        <v>0</v>
      </c>
      <c r="X1555" s="39">
        <f>IF(AC1555="Intr",0,G1555*Definitions!$B$54)</f>
        <v>0</v>
      </c>
      <c r="Y1555" s="39">
        <f>IF(AC1555="Intr",G1555,G1555*Definitions!$B$55)</f>
        <v>0</v>
      </c>
      <c r="Z1555" s="39"/>
      <c r="AA1555" s="39"/>
      <c r="AB1555" s="39"/>
      <c r="AC1555" s="38"/>
      <c r="AD1555" s="38"/>
      <c r="AE1555" s="38"/>
      <c r="AF1555" s="38"/>
      <c r="AG1555" s="40"/>
      <c r="AH1555" s="38"/>
    </row>
    <row r="1556" spans="1:34" x14ac:dyDescent="0.2">
      <c r="A1556" s="38"/>
      <c r="B1556" s="38"/>
      <c r="C1556" s="38"/>
      <c r="D1556" s="38"/>
      <c r="E1556" s="177"/>
      <c r="F1556" s="177"/>
      <c r="G1556" s="269"/>
      <c r="H1556" s="179"/>
      <c r="I1556" s="177"/>
      <c r="J1556" s="177"/>
      <c r="K1556" s="177"/>
      <c r="L1556" s="177"/>
      <c r="M1556" s="177"/>
      <c r="N1556" s="70"/>
      <c r="O1556" s="38"/>
      <c r="P1556" s="38"/>
      <c r="Q1556" s="760"/>
      <c r="R1556" s="590"/>
      <c r="S1556" s="38"/>
      <c r="T1556" s="38"/>
      <c r="U1556" s="38"/>
      <c r="V1556" s="37"/>
      <c r="W1556" s="39">
        <f>IF(AC1556="Intr",0,G1556*Definitions!$B$53)</f>
        <v>0</v>
      </c>
      <c r="X1556" s="39">
        <f>IF(AC1556="Intr",0,G1556*Definitions!$B$54)</f>
        <v>0</v>
      </c>
      <c r="Y1556" s="39">
        <f>IF(AC1556="Intr",G1556,G1556*Definitions!$B$55)</f>
        <v>0</v>
      </c>
      <c r="Z1556" s="39"/>
      <c r="AA1556" s="39"/>
      <c r="AB1556" s="39"/>
      <c r="AC1556" s="38"/>
      <c r="AD1556" s="38"/>
      <c r="AE1556" s="38"/>
      <c r="AF1556" s="38"/>
      <c r="AG1556" s="40"/>
      <c r="AH1556" s="38"/>
    </row>
    <row r="1557" spans="1:34" x14ac:dyDescent="0.2">
      <c r="A1557" s="38"/>
      <c r="B1557" s="38"/>
      <c r="C1557" s="38"/>
      <c r="D1557" s="38"/>
      <c r="E1557" s="177"/>
      <c r="F1557" s="177"/>
      <c r="G1557" s="269"/>
      <c r="H1557" s="179"/>
      <c r="I1557" s="177"/>
      <c r="J1557" s="177"/>
      <c r="K1557" s="177"/>
      <c r="L1557" s="177"/>
      <c r="M1557" s="177"/>
      <c r="N1557" s="70"/>
      <c r="O1557" s="38"/>
      <c r="P1557" s="38"/>
      <c r="Q1557" s="760"/>
      <c r="R1557" s="590"/>
      <c r="S1557" s="38"/>
      <c r="T1557" s="38"/>
      <c r="U1557" s="38"/>
      <c r="V1557" s="37"/>
      <c r="W1557" s="39">
        <f>IF(AC1557="Intr",0,G1557*Definitions!$B$53)</f>
        <v>0</v>
      </c>
      <c r="X1557" s="39">
        <f>IF(AC1557="Intr",0,G1557*Definitions!$B$54)</f>
        <v>0</v>
      </c>
      <c r="Y1557" s="39">
        <f>IF(AC1557="Intr",G1557,G1557*Definitions!$B$55)</f>
        <v>0</v>
      </c>
      <c r="Z1557" s="39"/>
      <c r="AA1557" s="39"/>
      <c r="AB1557" s="39"/>
      <c r="AC1557" s="38"/>
      <c r="AD1557" s="38"/>
      <c r="AE1557" s="38"/>
      <c r="AF1557" s="38"/>
      <c r="AG1557" s="40"/>
      <c r="AH1557" s="38"/>
    </row>
    <row r="1558" spans="1:34" x14ac:dyDescent="0.2">
      <c r="A1558" s="38"/>
      <c r="B1558" s="38"/>
      <c r="C1558" s="38"/>
      <c r="D1558" s="38"/>
      <c r="E1558" s="177"/>
      <c r="F1558" s="177"/>
      <c r="G1558" s="269"/>
      <c r="H1558" s="179"/>
      <c r="I1558" s="177"/>
      <c r="J1558" s="177"/>
      <c r="K1558" s="177"/>
      <c r="L1558" s="177"/>
      <c r="M1558" s="177"/>
      <c r="N1558" s="70"/>
      <c r="O1558" s="38"/>
      <c r="P1558" s="38"/>
      <c r="Q1558" s="760"/>
      <c r="R1558" s="590"/>
      <c r="S1558" s="38"/>
      <c r="T1558" s="38"/>
      <c r="U1558" s="38"/>
      <c r="V1558" s="37"/>
      <c r="W1558" s="39">
        <f>IF(AC1558="Intr",0,G1558*Definitions!$B$53)</f>
        <v>0</v>
      </c>
      <c r="X1558" s="39">
        <f>IF(AC1558="Intr",0,G1558*Definitions!$B$54)</f>
        <v>0</v>
      </c>
      <c r="Y1558" s="39">
        <f>IF(AC1558="Intr",G1558,G1558*Definitions!$B$55)</f>
        <v>0</v>
      </c>
      <c r="Z1558" s="39"/>
      <c r="AA1558" s="39"/>
      <c r="AB1558" s="39"/>
      <c r="AC1558" s="38"/>
      <c r="AD1558" s="38"/>
      <c r="AE1558" s="38"/>
      <c r="AF1558" s="38"/>
      <c r="AG1558" s="40"/>
      <c r="AH1558" s="38"/>
    </row>
    <row r="1559" spans="1:34" x14ac:dyDescent="0.2">
      <c r="A1559" s="38"/>
      <c r="B1559" s="38"/>
      <c r="C1559" s="38"/>
      <c r="D1559" s="38"/>
      <c r="E1559" s="177"/>
      <c r="F1559" s="177"/>
      <c r="G1559" s="269"/>
      <c r="H1559" s="179"/>
      <c r="I1559" s="177"/>
      <c r="J1559" s="177"/>
      <c r="K1559" s="177"/>
      <c r="L1559" s="177"/>
      <c r="M1559" s="177"/>
      <c r="N1559" s="70"/>
      <c r="O1559" s="38"/>
      <c r="P1559" s="38"/>
      <c r="Q1559" s="760"/>
      <c r="R1559" s="590"/>
      <c r="S1559" s="38"/>
      <c r="T1559" s="38"/>
      <c r="U1559" s="38"/>
      <c r="V1559" s="37"/>
      <c r="W1559" s="39">
        <f>IF(AC1559="Intr",0,G1559*Definitions!$B$53)</f>
        <v>0</v>
      </c>
      <c r="X1559" s="39">
        <f>IF(AC1559="Intr",0,G1559*Definitions!$B$54)</f>
        <v>0</v>
      </c>
      <c r="Y1559" s="39">
        <f>IF(AC1559="Intr",G1559,G1559*Definitions!$B$55)</f>
        <v>0</v>
      </c>
      <c r="Z1559" s="39"/>
      <c r="AA1559" s="39"/>
      <c r="AB1559" s="39"/>
      <c r="AC1559" s="38"/>
      <c r="AD1559" s="38"/>
      <c r="AE1559" s="38"/>
      <c r="AF1559" s="38"/>
      <c r="AG1559" s="40"/>
      <c r="AH1559" s="38"/>
    </row>
    <row r="1560" spans="1:34" x14ac:dyDescent="0.2">
      <c r="A1560" s="38"/>
      <c r="B1560" s="38"/>
      <c r="C1560" s="38"/>
      <c r="D1560" s="38"/>
      <c r="E1560" s="177"/>
      <c r="F1560" s="177"/>
      <c r="G1560" s="269"/>
      <c r="H1560" s="179"/>
      <c r="I1560" s="177"/>
      <c r="J1560" s="177"/>
      <c r="K1560" s="177"/>
      <c r="L1560" s="177"/>
      <c r="M1560" s="177"/>
      <c r="N1560" s="70"/>
      <c r="O1560" s="38"/>
      <c r="P1560" s="38"/>
      <c r="Q1560" s="760"/>
      <c r="R1560" s="590"/>
      <c r="S1560" s="38"/>
      <c r="T1560" s="38"/>
      <c r="U1560" s="38"/>
      <c r="V1560" s="37"/>
      <c r="W1560" s="39">
        <f>IF(AC1560="Intr",0,G1560*Definitions!$B$53)</f>
        <v>0</v>
      </c>
      <c r="X1560" s="39">
        <f>IF(AC1560="Intr",0,G1560*Definitions!$B$54)</f>
        <v>0</v>
      </c>
      <c r="Y1560" s="39">
        <f>IF(AC1560="Intr",G1560,G1560*Definitions!$B$55)</f>
        <v>0</v>
      </c>
      <c r="Z1560" s="39"/>
      <c r="AA1560" s="39"/>
      <c r="AB1560" s="39"/>
      <c r="AC1560" s="38"/>
      <c r="AD1560" s="38"/>
      <c r="AE1560" s="38"/>
      <c r="AF1560" s="38"/>
      <c r="AG1560" s="40"/>
      <c r="AH1560" s="38"/>
    </row>
    <row r="1561" spans="1:34" x14ac:dyDescent="0.2">
      <c r="A1561" s="38"/>
      <c r="B1561" s="38"/>
      <c r="C1561" s="38"/>
      <c r="D1561" s="38"/>
      <c r="E1561" s="177"/>
      <c r="F1561" s="177"/>
      <c r="G1561" s="269"/>
      <c r="H1561" s="179"/>
      <c r="I1561" s="177"/>
      <c r="J1561" s="177"/>
      <c r="K1561" s="177"/>
      <c r="L1561" s="177"/>
      <c r="M1561" s="177"/>
      <c r="N1561" s="70"/>
      <c r="O1561" s="38"/>
      <c r="P1561" s="38"/>
      <c r="Q1561" s="760"/>
      <c r="R1561" s="590"/>
      <c r="S1561" s="38"/>
      <c r="T1561" s="38"/>
      <c r="U1561" s="38"/>
      <c r="V1561" s="37"/>
      <c r="W1561" s="39">
        <f>IF(AC1561="Intr",0,G1561*Definitions!$B$53)</f>
        <v>0</v>
      </c>
      <c r="X1561" s="39">
        <f>IF(AC1561="Intr",0,G1561*Definitions!$B$54)</f>
        <v>0</v>
      </c>
      <c r="Y1561" s="39">
        <f>IF(AC1561="Intr",G1561,G1561*Definitions!$B$55)</f>
        <v>0</v>
      </c>
      <c r="Z1561" s="39"/>
      <c r="AA1561" s="39"/>
      <c r="AB1561" s="39"/>
      <c r="AC1561" s="38"/>
      <c r="AD1561" s="38"/>
      <c r="AE1561" s="38"/>
      <c r="AF1561" s="38"/>
      <c r="AG1561" s="40"/>
      <c r="AH1561" s="38"/>
    </row>
    <row r="1562" spans="1:34" x14ac:dyDescent="0.2">
      <c r="A1562" s="38"/>
      <c r="B1562" s="38"/>
      <c r="C1562" s="38"/>
      <c r="D1562" s="38"/>
      <c r="E1562" s="177"/>
      <c r="F1562" s="177"/>
      <c r="G1562" s="269"/>
      <c r="H1562" s="179"/>
      <c r="I1562" s="177"/>
      <c r="J1562" s="177"/>
      <c r="K1562" s="177"/>
      <c r="L1562" s="177"/>
      <c r="M1562" s="177"/>
      <c r="N1562" s="70"/>
      <c r="O1562" s="38"/>
      <c r="P1562" s="38"/>
      <c r="Q1562" s="760"/>
      <c r="R1562" s="590"/>
      <c r="S1562" s="38"/>
      <c r="T1562" s="38"/>
      <c r="U1562" s="38"/>
      <c r="V1562" s="37"/>
      <c r="W1562" s="39">
        <f>IF(AC1562="Intr",0,G1562*Definitions!$B$53)</f>
        <v>0</v>
      </c>
      <c r="X1562" s="39">
        <f>IF(AC1562="Intr",0,G1562*Definitions!$B$54)</f>
        <v>0</v>
      </c>
      <c r="Y1562" s="39">
        <f>IF(AC1562="Intr",G1562,G1562*Definitions!$B$55)</f>
        <v>0</v>
      </c>
      <c r="Z1562" s="39"/>
      <c r="AA1562" s="39"/>
      <c r="AB1562" s="39"/>
      <c r="AC1562" s="38"/>
      <c r="AD1562" s="38"/>
      <c r="AE1562" s="38"/>
      <c r="AF1562" s="38"/>
      <c r="AG1562" s="40"/>
      <c r="AH1562" s="38"/>
    </row>
    <row r="1563" spans="1:34" x14ac:dyDescent="0.2">
      <c r="A1563" s="38"/>
      <c r="B1563" s="38"/>
      <c r="C1563" s="38"/>
      <c r="D1563" s="38"/>
      <c r="E1563" s="177"/>
      <c r="F1563" s="177"/>
      <c r="G1563" s="269"/>
      <c r="H1563" s="179"/>
      <c r="I1563" s="177"/>
      <c r="J1563" s="177"/>
      <c r="K1563" s="177"/>
      <c r="L1563" s="177"/>
      <c r="M1563" s="177"/>
      <c r="N1563" s="70"/>
      <c r="O1563" s="38"/>
      <c r="P1563" s="38"/>
      <c r="Q1563" s="760"/>
      <c r="R1563" s="590"/>
      <c r="S1563" s="38"/>
      <c r="T1563" s="38"/>
      <c r="U1563" s="38"/>
      <c r="V1563" s="37"/>
      <c r="W1563" s="39">
        <f>IF(AC1563="Intr",0,G1563*Definitions!$B$53)</f>
        <v>0</v>
      </c>
      <c r="X1563" s="39">
        <f>IF(AC1563="Intr",0,G1563*Definitions!$B$54)</f>
        <v>0</v>
      </c>
      <c r="Y1563" s="39">
        <f>IF(AC1563="Intr",G1563,G1563*Definitions!$B$55)</f>
        <v>0</v>
      </c>
      <c r="Z1563" s="39"/>
      <c r="AA1563" s="39"/>
      <c r="AB1563" s="39"/>
      <c r="AC1563" s="38"/>
      <c r="AD1563" s="38"/>
      <c r="AE1563" s="38"/>
      <c r="AF1563" s="38"/>
      <c r="AG1563" s="40"/>
      <c r="AH1563" s="38"/>
    </row>
    <row r="1564" spans="1:34" x14ac:dyDescent="0.2">
      <c r="A1564" s="38"/>
      <c r="B1564" s="38"/>
      <c r="C1564" s="38"/>
      <c r="D1564" s="38"/>
      <c r="E1564" s="177"/>
      <c r="F1564" s="177"/>
      <c r="G1564" s="269"/>
      <c r="H1564" s="179"/>
      <c r="I1564" s="177"/>
      <c r="J1564" s="177"/>
      <c r="K1564" s="177"/>
      <c r="L1564" s="177"/>
      <c r="M1564" s="177"/>
      <c r="N1564" s="70"/>
      <c r="O1564" s="38"/>
      <c r="P1564" s="38"/>
      <c r="Q1564" s="760"/>
      <c r="R1564" s="590"/>
      <c r="S1564" s="38"/>
      <c r="T1564" s="38"/>
      <c r="U1564" s="38"/>
      <c r="V1564" s="37"/>
      <c r="W1564" s="39">
        <f>IF(AC1564="Intr",0,G1564*Definitions!$B$53)</f>
        <v>0</v>
      </c>
      <c r="X1564" s="39">
        <f>IF(AC1564="Intr",0,G1564*Definitions!$B$54)</f>
        <v>0</v>
      </c>
      <c r="Y1564" s="39">
        <f>IF(AC1564="Intr",G1564,G1564*Definitions!$B$55)</f>
        <v>0</v>
      </c>
      <c r="Z1564" s="39"/>
      <c r="AA1564" s="39"/>
      <c r="AB1564" s="39"/>
      <c r="AC1564" s="38"/>
      <c r="AD1564" s="38"/>
      <c r="AE1564" s="38"/>
      <c r="AF1564" s="38"/>
      <c r="AG1564" s="40"/>
      <c r="AH1564" s="38"/>
    </row>
    <row r="1565" spans="1:34" x14ac:dyDescent="0.2">
      <c r="A1565" s="38"/>
      <c r="B1565" s="38"/>
      <c r="C1565" s="38"/>
      <c r="D1565" s="38"/>
      <c r="E1565" s="177"/>
      <c r="F1565" s="177"/>
      <c r="G1565" s="269"/>
      <c r="H1565" s="179"/>
      <c r="I1565" s="177"/>
      <c r="J1565" s="177"/>
      <c r="K1565" s="177"/>
      <c r="L1565" s="177"/>
      <c r="M1565" s="177"/>
      <c r="N1565" s="70"/>
      <c r="O1565" s="38"/>
      <c r="P1565" s="38"/>
      <c r="Q1565" s="760"/>
      <c r="R1565" s="590"/>
      <c r="S1565" s="38"/>
      <c r="T1565" s="38"/>
      <c r="U1565" s="38"/>
      <c r="V1565" s="37"/>
      <c r="W1565" s="39">
        <f>IF(AC1565="Intr",0,G1565*Definitions!$B$53)</f>
        <v>0</v>
      </c>
      <c r="X1565" s="39">
        <f>IF(AC1565="Intr",0,G1565*Definitions!$B$54)</f>
        <v>0</v>
      </c>
      <c r="Y1565" s="39">
        <f>IF(AC1565="Intr",G1565,G1565*Definitions!$B$55)</f>
        <v>0</v>
      </c>
      <c r="Z1565" s="39"/>
      <c r="AA1565" s="39"/>
      <c r="AB1565" s="39"/>
      <c r="AC1565" s="38"/>
      <c r="AD1565" s="38"/>
      <c r="AE1565" s="38"/>
      <c r="AF1565" s="38"/>
      <c r="AG1565" s="40"/>
      <c r="AH1565" s="38"/>
    </row>
    <row r="1566" spans="1:34" x14ac:dyDescent="0.2">
      <c r="A1566" s="38"/>
      <c r="B1566" s="38"/>
      <c r="C1566" s="38"/>
      <c r="D1566" s="38"/>
      <c r="E1566" s="177"/>
      <c r="F1566" s="177"/>
      <c r="G1566" s="269"/>
      <c r="H1566" s="179"/>
      <c r="I1566" s="177"/>
      <c r="J1566" s="177"/>
      <c r="K1566" s="177"/>
      <c r="L1566" s="177"/>
      <c r="M1566" s="177"/>
      <c r="N1566" s="70"/>
      <c r="O1566" s="38"/>
      <c r="P1566" s="38"/>
      <c r="Q1566" s="760"/>
      <c r="R1566" s="590"/>
      <c r="S1566" s="38"/>
      <c r="T1566" s="38"/>
      <c r="U1566" s="38"/>
      <c r="V1566" s="37"/>
      <c r="W1566" s="39">
        <f>IF(AC1566="Intr",0,G1566*Definitions!$B$53)</f>
        <v>0</v>
      </c>
      <c r="X1566" s="39">
        <f>IF(AC1566="Intr",0,G1566*Definitions!$B$54)</f>
        <v>0</v>
      </c>
      <c r="Y1566" s="39">
        <f>IF(AC1566="Intr",G1566,G1566*Definitions!$B$55)</f>
        <v>0</v>
      </c>
      <c r="Z1566" s="39"/>
      <c r="AA1566" s="39"/>
      <c r="AB1566" s="39"/>
      <c r="AC1566" s="38"/>
      <c r="AD1566" s="38"/>
      <c r="AE1566" s="38"/>
      <c r="AF1566" s="38"/>
      <c r="AG1566" s="40"/>
      <c r="AH1566" s="38"/>
    </row>
    <row r="1567" spans="1:34" x14ac:dyDescent="0.2">
      <c r="A1567" s="38"/>
      <c r="B1567" s="38"/>
      <c r="C1567" s="38"/>
      <c r="D1567" s="38"/>
      <c r="E1567" s="177"/>
      <c r="F1567" s="177"/>
      <c r="G1567" s="269"/>
      <c r="H1567" s="179"/>
      <c r="I1567" s="177"/>
      <c r="J1567" s="177"/>
      <c r="K1567" s="177"/>
      <c r="L1567" s="177"/>
      <c r="M1567" s="177"/>
      <c r="N1567" s="70"/>
      <c r="O1567" s="38"/>
      <c r="P1567" s="38"/>
      <c r="Q1567" s="760"/>
      <c r="R1567" s="590"/>
      <c r="S1567" s="38"/>
      <c r="T1567" s="38"/>
      <c r="U1567" s="38"/>
      <c r="V1567" s="37"/>
      <c r="W1567" s="39">
        <f>IF(AC1567="Intr",0,G1567*Definitions!$B$53)</f>
        <v>0</v>
      </c>
      <c r="X1567" s="39">
        <f>IF(AC1567="Intr",0,G1567*Definitions!$B$54)</f>
        <v>0</v>
      </c>
      <c r="Y1567" s="39">
        <f>IF(AC1567="Intr",G1567,G1567*Definitions!$B$55)</f>
        <v>0</v>
      </c>
      <c r="Z1567" s="39"/>
      <c r="AA1567" s="39"/>
      <c r="AB1567" s="39"/>
      <c r="AC1567" s="38"/>
      <c r="AD1567" s="38"/>
      <c r="AE1567" s="38"/>
      <c r="AF1567" s="38"/>
      <c r="AG1567" s="40"/>
      <c r="AH1567" s="38"/>
    </row>
    <row r="1568" spans="1:34" x14ac:dyDescent="0.2">
      <c r="A1568" s="38"/>
      <c r="B1568" s="38"/>
      <c r="C1568" s="38"/>
      <c r="D1568" s="38"/>
      <c r="E1568" s="177"/>
      <c r="F1568" s="177"/>
      <c r="G1568" s="269"/>
      <c r="H1568" s="179"/>
      <c r="I1568" s="177"/>
      <c r="J1568" s="177"/>
      <c r="K1568" s="177"/>
      <c r="L1568" s="177"/>
      <c r="M1568" s="177"/>
      <c r="N1568" s="70"/>
      <c r="O1568" s="38"/>
      <c r="P1568" s="38"/>
      <c r="Q1568" s="760"/>
      <c r="R1568" s="590"/>
      <c r="S1568" s="38"/>
      <c r="T1568" s="38"/>
      <c r="U1568" s="38"/>
      <c r="V1568" s="37"/>
      <c r="W1568" s="39">
        <f>IF(AC1568="Intr",0,G1568*Definitions!$B$53)</f>
        <v>0</v>
      </c>
      <c r="X1568" s="39">
        <f>IF(AC1568="Intr",0,G1568*Definitions!$B$54)</f>
        <v>0</v>
      </c>
      <c r="Y1568" s="39">
        <f>IF(AC1568="Intr",G1568,G1568*Definitions!$B$55)</f>
        <v>0</v>
      </c>
      <c r="Z1568" s="39"/>
      <c r="AA1568" s="39"/>
      <c r="AB1568" s="39"/>
      <c r="AC1568" s="38"/>
      <c r="AD1568" s="38"/>
      <c r="AE1568" s="38"/>
      <c r="AF1568" s="38"/>
      <c r="AG1568" s="40"/>
      <c r="AH1568" s="38"/>
    </row>
    <row r="1569" spans="1:34" x14ac:dyDescent="0.2">
      <c r="A1569" s="38"/>
      <c r="B1569" s="38"/>
      <c r="C1569" s="38"/>
      <c r="D1569" s="38"/>
      <c r="E1569" s="177"/>
      <c r="F1569" s="177"/>
      <c r="G1569" s="269"/>
      <c r="H1569" s="179"/>
      <c r="I1569" s="177"/>
      <c r="J1569" s="177"/>
      <c r="K1569" s="177"/>
      <c r="L1569" s="177"/>
      <c r="M1569" s="177"/>
      <c r="N1569" s="70"/>
      <c r="O1569" s="38"/>
      <c r="P1569" s="38"/>
      <c r="Q1569" s="760"/>
      <c r="R1569" s="590"/>
      <c r="S1569" s="38"/>
      <c r="T1569" s="38"/>
      <c r="U1569" s="38"/>
      <c r="V1569" s="37"/>
      <c r="W1569" s="39">
        <f>IF(AC1569="Intr",0,G1569*Definitions!$B$53)</f>
        <v>0</v>
      </c>
      <c r="X1569" s="39">
        <f>IF(AC1569="Intr",0,G1569*Definitions!$B$54)</f>
        <v>0</v>
      </c>
      <c r="Y1569" s="39">
        <f>IF(AC1569="Intr",G1569,G1569*Definitions!$B$55)</f>
        <v>0</v>
      </c>
      <c r="Z1569" s="39"/>
      <c r="AA1569" s="39"/>
      <c r="AB1569" s="39"/>
      <c r="AC1569" s="38"/>
      <c r="AD1569" s="38"/>
      <c r="AE1569" s="38"/>
      <c r="AF1569" s="38"/>
      <c r="AG1569" s="40"/>
      <c r="AH1569" s="38"/>
    </row>
    <row r="1570" spans="1:34" x14ac:dyDescent="0.2">
      <c r="A1570" s="38"/>
      <c r="B1570" s="38"/>
      <c r="C1570" s="38"/>
      <c r="D1570" s="38"/>
      <c r="E1570" s="177"/>
      <c r="F1570" s="177"/>
      <c r="G1570" s="269"/>
      <c r="H1570" s="179"/>
      <c r="I1570" s="177"/>
      <c r="J1570" s="177"/>
      <c r="K1570" s="177"/>
      <c r="L1570" s="177"/>
      <c r="M1570" s="177"/>
      <c r="N1570" s="70"/>
      <c r="O1570" s="38"/>
      <c r="P1570" s="38"/>
      <c r="Q1570" s="760"/>
      <c r="R1570" s="590"/>
      <c r="S1570" s="38"/>
      <c r="T1570" s="38"/>
      <c r="U1570" s="38"/>
      <c r="V1570" s="37"/>
      <c r="W1570" s="39">
        <f>IF(AC1570="Intr",0,G1570*Definitions!$B$53)</f>
        <v>0</v>
      </c>
      <c r="X1570" s="39">
        <f>IF(AC1570="Intr",0,G1570*Definitions!$B$54)</f>
        <v>0</v>
      </c>
      <c r="Y1570" s="39">
        <f>IF(AC1570="Intr",G1570,G1570*Definitions!$B$55)</f>
        <v>0</v>
      </c>
      <c r="Z1570" s="39"/>
      <c r="AA1570" s="39"/>
      <c r="AB1570" s="39"/>
      <c r="AC1570" s="38"/>
      <c r="AD1570" s="38"/>
      <c r="AE1570" s="38"/>
      <c r="AF1570" s="38"/>
      <c r="AG1570" s="40"/>
      <c r="AH1570" s="38"/>
    </row>
    <row r="1571" spans="1:34" x14ac:dyDescent="0.2">
      <c r="A1571" s="38"/>
      <c r="B1571" s="38"/>
      <c r="C1571" s="38"/>
      <c r="D1571" s="38"/>
      <c r="E1571" s="177"/>
      <c r="F1571" s="177"/>
      <c r="G1571" s="269"/>
      <c r="H1571" s="179"/>
      <c r="I1571" s="177"/>
      <c r="J1571" s="177"/>
      <c r="K1571" s="177"/>
      <c r="L1571" s="177"/>
      <c r="M1571" s="177"/>
      <c r="N1571" s="70"/>
      <c r="O1571" s="38"/>
      <c r="P1571" s="38"/>
      <c r="Q1571" s="760"/>
      <c r="R1571" s="590"/>
      <c r="S1571" s="38"/>
      <c r="T1571" s="38"/>
      <c r="U1571" s="38"/>
      <c r="V1571" s="37"/>
      <c r="W1571" s="39">
        <f>IF(AC1571="Intr",0,G1571*Definitions!$B$53)</f>
        <v>0</v>
      </c>
      <c r="X1571" s="39">
        <f>IF(AC1571="Intr",0,G1571*Definitions!$B$54)</f>
        <v>0</v>
      </c>
      <c r="Y1571" s="39">
        <f>IF(AC1571="Intr",G1571,G1571*Definitions!$B$55)</f>
        <v>0</v>
      </c>
      <c r="Z1571" s="39"/>
      <c r="AA1571" s="39"/>
      <c r="AB1571" s="39"/>
      <c r="AC1571" s="38"/>
      <c r="AD1571" s="38"/>
      <c r="AE1571" s="38"/>
      <c r="AF1571" s="38"/>
      <c r="AG1571" s="40"/>
      <c r="AH1571" s="38"/>
    </row>
    <row r="1572" spans="1:34" x14ac:dyDescent="0.2">
      <c r="A1572" s="38"/>
      <c r="B1572" s="38"/>
      <c r="C1572" s="38"/>
      <c r="D1572" s="38"/>
      <c r="E1572" s="177"/>
      <c r="F1572" s="177"/>
      <c r="G1572" s="269"/>
      <c r="H1572" s="179"/>
      <c r="I1572" s="177"/>
      <c r="J1572" s="177"/>
      <c r="K1572" s="177"/>
      <c r="L1572" s="177"/>
      <c r="M1572" s="177"/>
      <c r="N1572" s="70"/>
      <c r="O1572" s="38"/>
      <c r="P1572" s="38"/>
      <c r="Q1572" s="760"/>
      <c r="R1572" s="590"/>
      <c r="S1572" s="38"/>
      <c r="T1572" s="38"/>
      <c r="U1572" s="38"/>
      <c r="V1572" s="37"/>
      <c r="W1572" s="39">
        <f>IF(AC1572="Intr",0,G1572*Definitions!$B$53)</f>
        <v>0</v>
      </c>
      <c r="X1572" s="39">
        <f>IF(AC1572="Intr",0,G1572*Definitions!$B$54)</f>
        <v>0</v>
      </c>
      <c r="Y1572" s="39">
        <f>IF(AC1572="Intr",G1572,G1572*Definitions!$B$55)</f>
        <v>0</v>
      </c>
      <c r="Z1572" s="39"/>
      <c r="AA1572" s="39"/>
      <c r="AB1572" s="39"/>
      <c r="AC1572" s="38"/>
      <c r="AD1572" s="38"/>
      <c r="AE1572" s="38"/>
      <c r="AF1572" s="38"/>
      <c r="AG1572" s="40"/>
      <c r="AH1572" s="38"/>
    </row>
    <row r="1573" spans="1:34" x14ac:dyDescent="0.2">
      <c r="A1573" s="38"/>
      <c r="B1573" s="38"/>
      <c r="C1573" s="38"/>
      <c r="D1573" s="38"/>
      <c r="E1573" s="177"/>
      <c r="F1573" s="177"/>
      <c r="G1573" s="269"/>
      <c r="H1573" s="179"/>
      <c r="I1573" s="177"/>
      <c r="J1573" s="177"/>
      <c r="K1573" s="177"/>
      <c r="L1573" s="177"/>
      <c r="M1573" s="177"/>
      <c r="N1573" s="70"/>
      <c r="O1573" s="38"/>
      <c r="P1573" s="38"/>
      <c r="Q1573" s="760"/>
      <c r="R1573" s="590"/>
      <c r="S1573" s="38"/>
      <c r="T1573" s="38"/>
      <c r="U1573" s="38"/>
      <c r="V1573" s="37"/>
      <c r="W1573" s="39">
        <f>IF(AC1573="Intr",0,G1573*Definitions!$B$53)</f>
        <v>0</v>
      </c>
      <c r="X1573" s="39">
        <f>IF(AC1573="Intr",0,G1573*Definitions!$B$54)</f>
        <v>0</v>
      </c>
      <c r="Y1573" s="39">
        <f>IF(AC1573="Intr",G1573,G1573*Definitions!$B$55)</f>
        <v>0</v>
      </c>
      <c r="Z1573" s="39"/>
      <c r="AA1573" s="39"/>
      <c r="AB1573" s="39"/>
      <c r="AC1573" s="38"/>
      <c r="AD1573" s="38"/>
      <c r="AE1573" s="38"/>
      <c r="AF1573" s="38"/>
      <c r="AG1573" s="40"/>
      <c r="AH1573" s="38"/>
    </row>
    <row r="1574" spans="1:34" x14ac:dyDescent="0.2">
      <c r="A1574" s="38"/>
      <c r="B1574" s="38"/>
      <c r="C1574" s="38"/>
      <c r="D1574" s="38"/>
      <c r="E1574" s="177"/>
      <c r="F1574" s="177"/>
      <c r="G1574" s="269"/>
      <c r="H1574" s="179"/>
      <c r="I1574" s="177"/>
      <c r="J1574" s="177"/>
      <c r="K1574" s="177"/>
      <c r="L1574" s="177"/>
      <c r="M1574" s="177"/>
      <c r="N1574" s="70"/>
      <c r="O1574" s="38"/>
      <c r="P1574" s="38"/>
      <c r="Q1574" s="760"/>
      <c r="R1574" s="590"/>
      <c r="S1574" s="38"/>
      <c r="T1574" s="38"/>
      <c r="U1574" s="38"/>
      <c r="V1574" s="37"/>
      <c r="W1574" s="39">
        <f>IF(AC1574="Intr",0,G1574*Definitions!$B$53)</f>
        <v>0</v>
      </c>
      <c r="X1574" s="39">
        <f>IF(AC1574="Intr",0,G1574*Definitions!$B$54)</f>
        <v>0</v>
      </c>
      <c r="Y1574" s="39">
        <f>IF(AC1574="Intr",G1574,G1574*Definitions!$B$55)</f>
        <v>0</v>
      </c>
      <c r="Z1574" s="39"/>
      <c r="AA1574" s="39"/>
      <c r="AB1574" s="39"/>
      <c r="AC1574" s="38"/>
      <c r="AD1574" s="38"/>
      <c r="AE1574" s="38"/>
      <c r="AF1574" s="38"/>
      <c r="AG1574" s="40"/>
      <c r="AH1574" s="38"/>
    </row>
    <row r="1575" spans="1:34" x14ac:dyDescent="0.2">
      <c r="A1575" s="38"/>
      <c r="B1575" s="38"/>
      <c r="C1575" s="38"/>
      <c r="D1575" s="38"/>
      <c r="E1575" s="177"/>
      <c r="F1575" s="177"/>
      <c r="G1575" s="269"/>
      <c r="H1575" s="179"/>
      <c r="I1575" s="177"/>
      <c r="J1575" s="177"/>
      <c r="K1575" s="177"/>
      <c r="L1575" s="177"/>
      <c r="M1575" s="177"/>
      <c r="N1575" s="70"/>
      <c r="O1575" s="38"/>
      <c r="P1575" s="38"/>
      <c r="Q1575" s="760"/>
      <c r="R1575" s="590"/>
      <c r="S1575" s="38"/>
      <c r="T1575" s="38"/>
      <c r="U1575" s="38"/>
      <c r="V1575" s="37"/>
      <c r="W1575" s="39">
        <f>IF(AC1575="Intr",0,G1575*Definitions!$B$53)</f>
        <v>0</v>
      </c>
      <c r="X1575" s="39">
        <f>IF(AC1575="Intr",0,G1575*Definitions!$B$54)</f>
        <v>0</v>
      </c>
      <c r="Y1575" s="39">
        <f>IF(AC1575="Intr",G1575,G1575*Definitions!$B$55)</f>
        <v>0</v>
      </c>
      <c r="Z1575" s="39"/>
      <c r="AA1575" s="39"/>
      <c r="AB1575" s="39"/>
      <c r="AC1575" s="38"/>
      <c r="AD1575" s="38"/>
      <c r="AE1575" s="38"/>
      <c r="AF1575" s="38"/>
      <c r="AG1575" s="40"/>
      <c r="AH1575" s="38"/>
    </row>
    <row r="1576" spans="1:34" x14ac:dyDescent="0.2">
      <c r="A1576" s="38"/>
      <c r="B1576" s="38"/>
      <c r="C1576" s="38"/>
      <c r="D1576" s="38"/>
      <c r="E1576" s="177"/>
      <c r="F1576" s="177"/>
      <c r="G1576" s="269"/>
      <c r="H1576" s="179"/>
      <c r="I1576" s="177"/>
      <c r="J1576" s="177"/>
      <c r="K1576" s="177"/>
      <c r="L1576" s="177"/>
      <c r="M1576" s="177"/>
      <c r="N1576" s="70"/>
      <c r="O1576" s="38"/>
      <c r="P1576" s="38"/>
      <c r="Q1576" s="760"/>
      <c r="R1576" s="590"/>
      <c r="S1576" s="38"/>
      <c r="T1576" s="38"/>
      <c r="U1576" s="38"/>
      <c r="V1576" s="37"/>
      <c r="W1576" s="39">
        <f>IF(AC1576="Intr",0,G1576*Definitions!$B$53)</f>
        <v>0</v>
      </c>
      <c r="X1576" s="39">
        <f>IF(AC1576="Intr",0,G1576*Definitions!$B$54)</f>
        <v>0</v>
      </c>
      <c r="Y1576" s="39">
        <f>IF(AC1576="Intr",G1576,G1576*Definitions!$B$55)</f>
        <v>0</v>
      </c>
      <c r="Z1576" s="39"/>
      <c r="AA1576" s="39"/>
      <c r="AB1576" s="39"/>
      <c r="AC1576" s="38"/>
      <c r="AD1576" s="38"/>
      <c r="AE1576" s="38"/>
      <c r="AF1576" s="38"/>
      <c r="AG1576" s="40"/>
      <c r="AH1576" s="38"/>
    </row>
    <row r="1577" spans="1:34" x14ac:dyDescent="0.2">
      <c r="A1577" s="38"/>
      <c r="B1577" s="38"/>
      <c r="C1577" s="38"/>
      <c r="D1577" s="38"/>
      <c r="E1577" s="177"/>
      <c r="F1577" s="177"/>
      <c r="G1577" s="269"/>
      <c r="H1577" s="179"/>
      <c r="I1577" s="177"/>
      <c r="J1577" s="177"/>
      <c r="K1577" s="177"/>
      <c r="L1577" s="177"/>
      <c r="M1577" s="177"/>
      <c r="N1577" s="70"/>
      <c r="O1577" s="38"/>
      <c r="P1577" s="38"/>
      <c r="Q1577" s="760"/>
      <c r="R1577" s="590"/>
      <c r="S1577" s="38"/>
      <c r="T1577" s="38"/>
      <c r="U1577" s="38"/>
      <c r="V1577" s="37"/>
      <c r="W1577" s="39">
        <f>IF(AC1577="Intr",0,G1577*Definitions!$B$53)</f>
        <v>0</v>
      </c>
      <c r="X1577" s="39">
        <f>IF(AC1577="Intr",0,G1577*Definitions!$B$54)</f>
        <v>0</v>
      </c>
      <c r="Y1577" s="39">
        <f>IF(AC1577="Intr",G1577,G1577*Definitions!$B$55)</f>
        <v>0</v>
      </c>
      <c r="Z1577" s="39"/>
      <c r="AA1577" s="39"/>
      <c r="AB1577" s="39"/>
      <c r="AC1577" s="38"/>
      <c r="AD1577" s="38"/>
      <c r="AE1577" s="38"/>
      <c r="AF1577" s="38"/>
      <c r="AG1577" s="40"/>
      <c r="AH1577" s="38"/>
    </row>
    <row r="1578" spans="1:34" x14ac:dyDescent="0.2">
      <c r="A1578" s="38"/>
      <c r="B1578" s="38"/>
      <c r="C1578" s="38"/>
      <c r="D1578" s="38"/>
      <c r="E1578" s="177"/>
      <c r="F1578" s="177"/>
      <c r="G1578" s="269"/>
      <c r="H1578" s="179"/>
      <c r="I1578" s="177"/>
      <c r="J1578" s="177"/>
      <c r="K1578" s="177"/>
      <c r="L1578" s="177"/>
      <c r="M1578" s="177"/>
      <c r="N1578" s="70"/>
      <c r="O1578" s="38"/>
      <c r="P1578" s="38"/>
      <c r="Q1578" s="760"/>
      <c r="R1578" s="590"/>
      <c r="S1578" s="38"/>
      <c r="T1578" s="38"/>
      <c r="U1578" s="38"/>
      <c r="V1578" s="37"/>
      <c r="W1578" s="39">
        <f>IF(AC1578="Intr",0,G1578*Definitions!$B$53)</f>
        <v>0</v>
      </c>
      <c r="X1578" s="39">
        <f>IF(AC1578="Intr",0,G1578*Definitions!$B$54)</f>
        <v>0</v>
      </c>
      <c r="Y1578" s="39">
        <f>IF(AC1578="Intr",G1578,G1578*Definitions!$B$55)</f>
        <v>0</v>
      </c>
      <c r="Z1578" s="39"/>
      <c r="AA1578" s="39"/>
      <c r="AB1578" s="39"/>
      <c r="AC1578" s="38"/>
      <c r="AD1578" s="38"/>
      <c r="AE1578" s="38"/>
      <c r="AF1578" s="38"/>
      <c r="AG1578" s="40"/>
      <c r="AH1578" s="38"/>
    </row>
    <row r="1579" spans="1:34" x14ac:dyDescent="0.2">
      <c r="A1579" s="38"/>
      <c r="B1579" s="38"/>
      <c r="C1579" s="38"/>
      <c r="D1579" s="38"/>
      <c r="E1579" s="177"/>
      <c r="F1579" s="177"/>
      <c r="G1579" s="269"/>
      <c r="H1579" s="179"/>
      <c r="I1579" s="177"/>
      <c r="J1579" s="177"/>
      <c r="K1579" s="177"/>
      <c r="L1579" s="177"/>
      <c r="M1579" s="177"/>
      <c r="N1579" s="70"/>
      <c r="O1579" s="38"/>
      <c r="P1579" s="38"/>
      <c r="Q1579" s="760"/>
      <c r="R1579" s="590"/>
      <c r="S1579" s="38"/>
      <c r="T1579" s="38"/>
      <c r="U1579" s="38"/>
      <c r="V1579" s="37"/>
      <c r="W1579" s="39">
        <f>IF(AC1579="Intr",0,G1579*Definitions!$B$53)</f>
        <v>0</v>
      </c>
      <c r="X1579" s="39">
        <f>IF(AC1579="Intr",0,G1579*Definitions!$B$54)</f>
        <v>0</v>
      </c>
      <c r="Y1579" s="39">
        <f>IF(AC1579="Intr",G1579,G1579*Definitions!$B$55)</f>
        <v>0</v>
      </c>
      <c r="Z1579" s="39"/>
      <c r="AA1579" s="39"/>
      <c r="AB1579" s="39"/>
      <c r="AC1579" s="38"/>
      <c r="AD1579" s="38"/>
      <c r="AE1579" s="38"/>
      <c r="AF1579" s="38"/>
      <c r="AG1579" s="40"/>
      <c r="AH1579" s="38"/>
    </row>
    <row r="1580" spans="1:34" x14ac:dyDescent="0.2">
      <c r="A1580" s="38"/>
      <c r="B1580" s="38"/>
      <c r="C1580" s="38"/>
      <c r="D1580" s="38"/>
      <c r="E1580" s="177"/>
      <c r="F1580" s="177"/>
      <c r="G1580" s="269"/>
      <c r="H1580" s="179"/>
      <c r="I1580" s="177"/>
      <c r="J1580" s="177"/>
      <c r="K1580" s="177"/>
      <c r="L1580" s="177"/>
      <c r="M1580" s="177"/>
      <c r="N1580" s="70"/>
      <c r="O1580" s="38"/>
      <c r="P1580" s="38"/>
      <c r="Q1580" s="760"/>
      <c r="R1580" s="590"/>
      <c r="S1580" s="38"/>
      <c r="T1580" s="38"/>
      <c r="U1580" s="38"/>
      <c r="V1580" s="37"/>
      <c r="W1580" s="39">
        <f>IF(AC1580="Intr",0,G1580*Definitions!$B$53)</f>
        <v>0</v>
      </c>
      <c r="X1580" s="39">
        <f>IF(AC1580="Intr",0,G1580*Definitions!$B$54)</f>
        <v>0</v>
      </c>
      <c r="Y1580" s="39">
        <f>IF(AC1580="Intr",G1580,G1580*Definitions!$B$55)</f>
        <v>0</v>
      </c>
      <c r="Z1580" s="39"/>
      <c r="AA1580" s="39"/>
      <c r="AB1580" s="39"/>
      <c r="AC1580" s="38"/>
      <c r="AD1580" s="38"/>
      <c r="AE1580" s="38"/>
      <c r="AF1580" s="38"/>
      <c r="AG1580" s="40"/>
      <c r="AH1580" s="38"/>
    </row>
    <row r="1581" spans="1:34" x14ac:dyDescent="0.2">
      <c r="A1581" s="38"/>
      <c r="B1581" s="38"/>
      <c r="C1581" s="38"/>
      <c r="D1581" s="38"/>
      <c r="E1581" s="177"/>
      <c r="F1581" s="177"/>
      <c r="G1581" s="269"/>
      <c r="H1581" s="179"/>
      <c r="I1581" s="177"/>
      <c r="J1581" s="177"/>
      <c r="K1581" s="177"/>
      <c r="L1581" s="177"/>
      <c r="M1581" s="177"/>
      <c r="N1581" s="70"/>
      <c r="O1581" s="38"/>
      <c r="P1581" s="38"/>
      <c r="Q1581" s="760"/>
      <c r="R1581" s="590"/>
      <c r="S1581" s="38"/>
      <c r="T1581" s="38"/>
      <c r="U1581" s="38"/>
      <c r="V1581" s="37"/>
      <c r="W1581" s="39">
        <f>IF(AC1581="Intr",0,G1581*Definitions!$B$53)</f>
        <v>0</v>
      </c>
      <c r="X1581" s="39">
        <f>IF(AC1581="Intr",0,G1581*Definitions!$B$54)</f>
        <v>0</v>
      </c>
      <c r="Y1581" s="39">
        <f>IF(AC1581="Intr",G1581,G1581*Definitions!$B$55)</f>
        <v>0</v>
      </c>
      <c r="Z1581" s="39"/>
      <c r="AA1581" s="39"/>
      <c r="AB1581" s="39"/>
      <c r="AC1581" s="38"/>
      <c r="AD1581" s="38"/>
      <c r="AE1581" s="38"/>
      <c r="AF1581" s="38"/>
      <c r="AG1581" s="40"/>
      <c r="AH1581" s="38"/>
    </row>
    <row r="1582" spans="1:34" x14ac:dyDescent="0.2">
      <c r="A1582" s="38"/>
      <c r="B1582" s="38"/>
      <c r="C1582" s="38"/>
      <c r="D1582" s="38"/>
      <c r="E1582" s="177"/>
      <c r="F1582" s="177"/>
      <c r="G1582" s="269"/>
      <c r="H1582" s="179"/>
      <c r="I1582" s="177"/>
      <c r="J1582" s="177"/>
      <c r="K1582" s="177"/>
      <c r="L1582" s="177"/>
      <c r="M1582" s="177"/>
      <c r="N1582" s="70"/>
      <c r="O1582" s="38"/>
      <c r="P1582" s="38"/>
      <c r="Q1582" s="760"/>
      <c r="R1582" s="590"/>
      <c r="S1582" s="38"/>
      <c r="T1582" s="38"/>
      <c r="U1582" s="38"/>
      <c r="V1582" s="37"/>
      <c r="W1582" s="39">
        <f>IF(AC1582="Intr",0,G1582*Definitions!$B$53)</f>
        <v>0</v>
      </c>
      <c r="X1582" s="39">
        <f>IF(AC1582="Intr",0,G1582*Definitions!$B$54)</f>
        <v>0</v>
      </c>
      <c r="Y1582" s="39">
        <f>IF(AC1582="Intr",G1582,G1582*Definitions!$B$55)</f>
        <v>0</v>
      </c>
      <c r="Z1582" s="39"/>
      <c r="AA1582" s="39"/>
      <c r="AB1582" s="39"/>
      <c r="AC1582" s="38"/>
      <c r="AD1582" s="38"/>
      <c r="AE1582" s="38"/>
      <c r="AF1582" s="38"/>
      <c r="AG1582" s="40"/>
      <c r="AH1582" s="38"/>
    </row>
    <row r="1583" spans="1:34" x14ac:dyDescent="0.2">
      <c r="A1583" s="38"/>
      <c r="B1583" s="38"/>
      <c r="C1583" s="38"/>
      <c r="D1583" s="38"/>
      <c r="E1583" s="177"/>
      <c r="F1583" s="177"/>
      <c r="G1583" s="269"/>
      <c r="H1583" s="179"/>
      <c r="I1583" s="177"/>
      <c r="J1583" s="177"/>
      <c r="K1583" s="177"/>
      <c r="L1583" s="177"/>
      <c r="M1583" s="177"/>
      <c r="N1583" s="70"/>
      <c r="O1583" s="38"/>
      <c r="P1583" s="38"/>
      <c r="Q1583" s="760"/>
      <c r="R1583" s="590"/>
      <c r="S1583" s="38"/>
      <c r="T1583" s="38"/>
      <c r="U1583" s="38"/>
      <c r="V1583" s="37"/>
      <c r="W1583" s="39">
        <f>IF(AC1583="Intr",0,G1583*Definitions!$B$53)</f>
        <v>0</v>
      </c>
      <c r="X1583" s="39">
        <f>IF(AC1583="Intr",0,G1583*Definitions!$B$54)</f>
        <v>0</v>
      </c>
      <c r="Y1583" s="39">
        <f>IF(AC1583="Intr",G1583,G1583*Definitions!$B$55)</f>
        <v>0</v>
      </c>
      <c r="Z1583" s="39"/>
      <c r="AA1583" s="39"/>
      <c r="AB1583" s="39"/>
      <c r="AC1583" s="38"/>
      <c r="AD1583" s="38"/>
      <c r="AE1583" s="38"/>
      <c r="AF1583" s="38"/>
      <c r="AG1583" s="40"/>
      <c r="AH1583" s="38"/>
    </row>
    <row r="1584" spans="1:34" x14ac:dyDescent="0.2">
      <c r="A1584" s="38"/>
      <c r="B1584" s="38"/>
      <c r="C1584" s="38"/>
      <c r="D1584" s="38"/>
      <c r="E1584" s="177"/>
      <c r="F1584" s="177"/>
      <c r="G1584" s="269"/>
      <c r="H1584" s="179"/>
      <c r="I1584" s="177"/>
      <c r="J1584" s="177"/>
      <c r="K1584" s="177"/>
      <c r="L1584" s="177"/>
      <c r="M1584" s="177"/>
      <c r="N1584" s="70"/>
      <c r="O1584" s="38"/>
      <c r="P1584" s="38"/>
      <c r="Q1584" s="760"/>
      <c r="R1584" s="590"/>
      <c r="S1584" s="38"/>
      <c r="T1584" s="38"/>
      <c r="U1584" s="38"/>
      <c r="V1584" s="37"/>
      <c r="W1584" s="39">
        <f>IF(AC1584="Intr",0,G1584*Definitions!$B$53)</f>
        <v>0</v>
      </c>
      <c r="X1584" s="39">
        <f>IF(AC1584="Intr",0,G1584*Definitions!$B$54)</f>
        <v>0</v>
      </c>
      <c r="Y1584" s="39">
        <f>IF(AC1584="Intr",G1584,G1584*Definitions!$B$55)</f>
        <v>0</v>
      </c>
      <c r="Z1584" s="39"/>
      <c r="AA1584" s="39"/>
      <c r="AB1584" s="39"/>
      <c r="AC1584" s="38"/>
      <c r="AD1584" s="38"/>
      <c r="AE1584" s="38"/>
      <c r="AF1584" s="38"/>
      <c r="AG1584" s="40"/>
      <c r="AH1584" s="38"/>
    </row>
    <row r="1585" spans="1:34" x14ac:dyDescent="0.2">
      <c r="A1585" s="38"/>
      <c r="B1585" s="38"/>
      <c r="C1585" s="38"/>
      <c r="D1585" s="38"/>
      <c r="E1585" s="177"/>
      <c r="F1585" s="177"/>
      <c r="G1585" s="269"/>
      <c r="H1585" s="179"/>
      <c r="I1585" s="177"/>
      <c r="J1585" s="177"/>
      <c r="K1585" s="177"/>
      <c r="L1585" s="177"/>
      <c r="M1585" s="177"/>
      <c r="N1585" s="70"/>
      <c r="O1585" s="38"/>
      <c r="P1585" s="38"/>
      <c r="Q1585" s="760"/>
      <c r="R1585" s="590"/>
      <c r="S1585" s="38"/>
      <c r="T1585" s="38"/>
      <c r="U1585" s="38"/>
      <c r="V1585" s="37"/>
      <c r="W1585" s="39">
        <f>IF(AC1585="Intr",0,G1585*Definitions!$B$53)</f>
        <v>0</v>
      </c>
      <c r="X1585" s="39">
        <f>IF(AC1585="Intr",0,G1585*Definitions!$B$54)</f>
        <v>0</v>
      </c>
      <c r="Y1585" s="39">
        <f>IF(AC1585="Intr",G1585,G1585*Definitions!$B$55)</f>
        <v>0</v>
      </c>
      <c r="Z1585" s="39"/>
      <c r="AA1585" s="39"/>
      <c r="AB1585" s="39"/>
      <c r="AC1585" s="38"/>
      <c r="AD1585" s="38"/>
      <c r="AE1585" s="38"/>
      <c r="AF1585" s="38"/>
      <c r="AG1585" s="40"/>
      <c r="AH1585" s="38"/>
    </row>
    <row r="1586" spans="1:34" x14ac:dyDescent="0.2">
      <c r="A1586" s="38"/>
      <c r="B1586" s="38"/>
      <c r="C1586" s="38"/>
      <c r="D1586" s="38"/>
      <c r="E1586" s="177"/>
      <c r="F1586" s="177"/>
      <c r="G1586" s="269"/>
      <c r="H1586" s="179"/>
      <c r="I1586" s="177"/>
      <c r="J1586" s="177"/>
      <c r="K1586" s="177"/>
      <c r="L1586" s="177"/>
      <c r="M1586" s="177"/>
      <c r="N1586" s="70"/>
      <c r="O1586" s="38"/>
      <c r="P1586" s="38"/>
      <c r="Q1586" s="760"/>
      <c r="R1586" s="590"/>
      <c r="S1586" s="38"/>
      <c r="T1586" s="38"/>
      <c r="U1586" s="38"/>
      <c r="V1586" s="37"/>
      <c r="W1586" s="39">
        <f>IF(AC1586="Intr",0,G1586*Definitions!$B$53)</f>
        <v>0</v>
      </c>
      <c r="X1586" s="39">
        <f>IF(AC1586="Intr",0,G1586*Definitions!$B$54)</f>
        <v>0</v>
      </c>
      <c r="Y1586" s="39">
        <f>IF(AC1586="Intr",G1586,G1586*Definitions!$B$55)</f>
        <v>0</v>
      </c>
      <c r="Z1586" s="39"/>
      <c r="AA1586" s="39"/>
      <c r="AB1586" s="39"/>
      <c r="AC1586" s="38"/>
      <c r="AD1586" s="38"/>
      <c r="AE1586" s="38"/>
      <c r="AF1586" s="38"/>
      <c r="AG1586" s="40"/>
      <c r="AH1586" s="38"/>
    </row>
    <row r="1587" spans="1:34" x14ac:dyDescent="0.2">
      <c r="A1587" s="38"/>
      <c r="B1587" s="38"/>
      <c r="C1587" s="38"/>
      <c r="D1587" s="38"/>
      <c r="E1587" s="177"/>
      <c r="F1587" s="177"/>
      <c r="G1587" s="269"/>
      <c r="H1587" s="179"/>
      <c r="I1587" s="177"/>
      <c r="J1587" s="177"/>
      <c r="K1587" s="177"/>
      <c r="L1587" s="177"/>
      <c r="M1587" s="177"/>
      <c r="N1587" s="70"/>
      <c r="O1587" s="38"/>
      <c r="P1587" s="38"/>
      <c r="Q1587" s="760"/>
      <c r="R1587" s="590"/>
      <c r="S1587" s="38"/>
      <c r="T1587" s="38"/>
      <c r="U1587" s="38"/>
      <c r="V1587" s="37"/>
      <c r="W1587" s="39">
        <f>IF(AC1587="Intr",0,G1587*Definitions!$B$53)</f>
        <v>0</v>
      </c>
      <c r="X1587" s="39">
        <f>IF(AC1587="Intr",0,G1587*Definitions!$B$54)</f>
        <v>0</v>
      </c>
      <c r="Y1587" s="39">
        <f>IF(AC1587="Intr",G1587,G1587*Definitions!$B$55)</f>
        <v>0</v>
      </c>
      <c r="Z1587" s="39"/>
      <c r="AA1587" s="39"/>
      <c r="AB1587" s="39"/>
      <c r="AC1587" s="38"/>
      <c r="AD1587" s="38"/>
      <c r="AE1587" s="38"/>
      <c r="AF1587" s="38"/>
      <c r="AG1587" s="40"/>
      <c r="AH1587" s="38"/>
    </row>
    <row r="1588" spans="1:34" x14ac:dyDescent="0.2">
      <c r="A1588" s="38"/>
      <c r="B1588" s="38"/>
      <c r="C1588" s="38"/>
      <c r="D1588" s="38"/>
      <c r="E1588" s="177"/>
      <c r="F1588" s="177"/>
      <c r="G1588" s="269"/>
      <c r="H1588" s="179"/>
      <c r="I1588" s="177"/>
      <c r="J1588" s="177"/>
      <c r="K1588" s="177"/>
      <c r="L1588" s="177"/>
      <c r="M1588" s="177"/>
      <c r="N1588" s="70"/>
      <c r="O1588" s="38"/>
      <c r="P1588" s="38"/>
      <c r="Q1588" s="760"/>
      <c r="R1588" s="590"/>
      <c r="S1588" s="38"/>
      <c r="T1588" s="38"/>
      <c r="U1588" s="38"/>
      <c r="V1588" s="37"/>
      <c r="W1588" s="39">
        <f>IF(AC1588="Intr",0,G1588*Definitions!$B$53)</f>
        <v>0</v>
      </c>
      <c r="X1588" s="39">
        <f>IF(AC1588="Intr",0,G1588*Definitions!$B$54)</f>
        <v>0</v>
      </c>
      <c r="Y1588" s="39">
        <f>IF(AC1588="Intr",G1588,G1588*Definitions!$B$55)</f>
        <v>0</v>
      </c>
      <c r="Z1588" s="39"/>
      <c r="AA1588" s="39"/>
      <c r="AB1588" s="39"/>
      <c r="AC1588" s="38"/>
      <c r="AD1588" s="38"/>
      <c r="AE1588" s="38"/>
      <c r="AF1588" s="38"/>
      <c r="AG1588" s="40"/>
      <c r="AH1588" s="38"/>
    </row>
    <row r="1589" spans="1:34" x14ac:dyDescent="0.2">
      <c r="A1589" s="38"/>
      <c r="B1589" s="38"/>
      <c r="C1589" s="38"/>
      <c r="D1589" s="38"/>
      <c r="E1589" s="177"/>
      <c r="F1589" s="177"/>
      <c r="G1589" s="269"/>
      <c r="H1589" s="179"/>
      <c r="I1589" s="177"/>
      <c r="J1589" s="177"/>
      <c r="K1589" s="177"/>
      <c r="L1589" s="177"/>
      <c r="M1589" s="177"/>
      <c r="N1589" s="70"/>
      <c r="O1589" s="38"/>
      <c r="P1589" s="38"/>
      <c r="Q1589" s="760"/>
      <c r="R1589" s="590"/>
      <c r="S1589" s="38"/>
      <c r="T1589" s="38"/>
      <c r="U1589" s="38"/>
      <c r="V1589" s="37"/>
      <c r="W1589" s="39">
        <f>IF(AC1589="Intr",0,G1589*Definitions!$B$53)</f>
        <v>0</v>
      </c>
      <c r="X1589" s="39">
        <f>IF(AC1589="Intr",0,G1589*Definitions!$B$54)</f>
        <v>0</v>
      </c>
      <c r="Y1589" s="39">
        <f>IF(AC1589="Intr",G1589,G1589*Definitions!$B$55)</f>
        <v>0</v>
      </c>
      <c r="Z1589" s="39"/>
      <c r="AA1589" s="39"/>
      <c r="AB1589" s="39"/>
      <c r="AC1589" s="38"/>
      <c r="AD1589" s="38"/>
      <c r="AE1589" s="38"/>
      <c r="AF1589" s="38"/>
      <c r="AG1589" s="40"/>
      <c r="AH1589" s="38"/>
    </row>
    <row r="1590" spans="1:34" x14ac:dyDescent="0.2">
      <c r="A1590" s="38"/>
      <c r="B1590" s="38"/>
      <c r="C1590" s="38"/>
      <c r="D1590" s="38"/>
      <c r="E1590" s="177"/>
      <c r="F1590" s="177"/>
      <c r="G1590" s="269"/>
      <c r="H1590" s="179"/>
      <c r="I1590" s="177"/>
      <c r="J1590" s="177"/>
      <c r="K1590" s="177"/>
      <c r="L1590" s="177"/>
      <c r="M1590" s="177"/>
      <c r="N1590" s="70"/>
      <c r="O1590" s="38"/>
      <c r="P1590" s="38"/>
      <c r="Q1590" s="760"/>
      <c r="R1590" s="590"/>
      <c r="S1590" s="38"/>
      <c r="T1590" s="38"/>
      <c r="U1590" s="38"/>
      <c r="V1590" s="37"/>
      <c r="W1590" s="39">
        <f>IF(AC1590="Intr",0,G1590*Definitions!$B$53)</f>
        <v>0</v>
      </c>
      <c r="X1590" s="39">
        <f>IF(AC1590="Intr",0,G1590*Definitions!$B$54)</f>
        <v>0</v>
      </c>
      <c r="Y1590" s="39">
        <f>IF(AC1590="Intr",G1590,G1590*Definitions!$B$55)</f>
        <v>0</v>
      </c>
      <c r="Z1590" s="39"/>
      <c r="AA1590" s="39"/>
      <c r="AB1590" s="39"/>
      <c r="AC1590" s="38"/>
      <c r="AD1590" s="38"/>
      <c r="AE1590" s="38"/>
      <c r="AF1590" s="38"/>
      <c r="AG1590" s="40"/>
      <c r="AH1590" s="38"/>
    </row>
    <row r="1591" spans="1:34" x14ac:dyDescent="0.2">
      <c r="A1591" s="38"/>
      <c r="B1591" s="38"/>
      <c r="C1591" s="38"/>
      <c r="D1591" s="38"/>
      <c r="E1591" s="177"/>
      <c r="F1591" s="177"/>
      <c r="G1591" s="269"/>
      <c r="H1591" s="179"/>
      <c r="I1591" s="177"/>
      <c r="J1591" s="177"/>
      <c r="K1591" s="177"/>
      <c r="L1591" s="177"/>
      <c r="M1591" s="177"/>
      <c r="N1591" s="70"/>
      <c r="O1591" s="38"/>
      <c r="P1591" s="38"/>
      <c r="Q1591" s="760"/>
      <c r="R1591" s="590"/>
      <c r="S1591" s="38"/>
      <c r="T1591" s="38"/>
      <c r="U1591" s="38"/>
      <c r="V1591" s="37"/>
      <c r="W1591" s="39">
        <f>IF(AC1591="Intr",0,G1591*Definitions!$B$53)</f>
        <v>0</v>
      </c>
      <c r="X1591" s="39">
        <f>IF(AC1591="Intr",0,G1591*Definitions!$B$54)</f>
        <v>0</v>
      </c>
      <c r="Y1591" s="39">
        <f>IF(AC1591="Intr",G1591,G1591*Definitions!$B$55)</f>
        <v>0</v>
      </c>
      <c r="Z1591" s="39"/>
      <c r="AA1591" s="39"/>
      <c r="AB1591" s="39"/>
      <c r="AC1591" s="38"/>
      <c r="AD1591" s="38"/>
      <c r="AE1591" s="38"/>
      <c r="AF1591" s="38"/>
      <c r="AG1591" s="40"/>
      <c r="AH1591" s="38"/>
    </row>
    <row r="1592" spans="1:34" x14ac:dyDescent="0.2">
      <c r="A1592" s="38"/>
      <c r="B1592" s="38"/>
      <c r="C1592" s="38"/>
      <c r="D1592" s="38"/>
      <c r="E1592" s="177"/>
      <c r="F1592" s="177"/>
      <c r="G1592" s="269"/>
      <c r="H1592" s="179"/>
      <c r="I1592" s="177"/>
      <c r="J1592" s="177"/>
      <c r="K1592" s="177"/>
      <c r="L1592" s="177"/>
      <c r="M1592" s="177"/>
      <c r="N1592" s="70"/>
      <c r="O1592" s="38"/>
      <c r="P1592" s="38"/>
      <c r="Q1592" s="760"/>
      <c r="R1592" s="590"/>
      <c r="S1592" s="38"/>
      <c r="T1592" s="38"/>
      <c r="U1592" s="38"/>
      <c r="V1592" s="37"/>
      <c r="W1592" s="39">
        <f>IF(AC1592="Intr",0,G1592*Definitions!$B$53)</f>
        <v>0</v>
      </c>
      <c r="X1592" s="39">
        <f>IF(AC1592="Intr",0,G1592*Definitions!$B$54)</f>
        <v>0</v>
      </c>
      <c r="Y1592" s="39">
        <f>IF(AC1592="Intr",G1592,G1592*Definitions!$B$55)</f>
        <v>0</v>
      </c>
      <c r="Z1592" s="39"/>
      <c r="AA1592" s="39"/>
      <c r="AB1592" s="39"/>
      <c r="AC1592" s="38"/>
      <c r="AD1592" s="38"/>
      <c r="AE1592" s="38"/>
      <c r="AF1592" s="38"/>
      <c r="AG1592" s="40"/>
      <c r="AH1592" s="38"/>
    </row>
    <row r="1593" spans="1:34" x14ac:dyDescent="0.2">
      <c r="A1593" s="38"/>
      <c r="B1593" s="38"/>
      <c r="C1593" s="38"/>
      <c r="D1593" s="38"/>
      <c r="E1593" s="177"/>
      <c r="F1593" s="177"/>
      <c r="G1593" s="269"/>
      <c r="H1593" s="179"/>
      <c r="I1593" s="177"/>
      <c r="J1593" s="177"/>
      <c r="K1593" s="177"/>
      <c r="L1593" s="177"/>
      <c r="M1593" s="177"/>
      <c r="N1593" s="70"/>
      <c r="O1593" s="38"/>
      <c r="P1593" s="38"/>
      <c r="Q1593" s="760"/>
      <c r="R1593" s="590"/>
      <c r="S1593" s="38"/>
      <c r="T1593" s="38"/>
      <c r="U1593" s="38"/>
      <c r="V1593" s="37"/>
      <c r="W1593" s="39">
        <f>IF(AC1593="Intr",0,G1593*Definitions!$B$53)</f>
        <v>0</v>
      </c>
      <c r="X1593" s="39">
        <f>IF(AC1593="Intr",0,G1593*Definitions!$B$54)</f>
        <v>0</v>
      </c>
      <c r="Y1593" s="39">
        <f>IF(AC1593="Intr",G1593,G1593*Definitions!$B$55)</f>
        <v>0</v>
      </c>
      <c r="Z1593" s="39"/>
      <c r="AA1593" s="39"/>
      <c r="AB1593" s="39"/>
      <c r="AC1593" s="38"/>
      <c r="AD1593" s="38"/>
      <c r="AE1593" s="38"/>
      <c r="AF1593" s="38"/>
      <c r="AG1593" s="40"/>
      <c r="AH1593" s="38"/>
    </row>
    <row r="1594" spans="1:34" x14ac:dyDescent="0.2">
      <c r="A1594" s="38"/>
      <c r="B1594" s="38"/>
      <c r="C1594" s="38"/>
      <c r="D1594" s="38"/>
      <c r="E1594" s="177"/>
      <c r="F1594" s="177"/>
      <c r="G1594" s="269"/>
      <c r="H1594" s="179"/>
      <c r="I1594" s="177"/>
      <c r="J1594" s="177"/>
      <c r="K1594" s="177"/>
      <c r="L1594" s="177"/>
      <c r="M1594" s="177"/>
      <c r="N1594" s="70"/>
      <c r="O1594" s="38"/>
      <c r="P1594" s="38"/>
      <c r="Q1594" s="760"/>
      <c r="R1594" s="590"/>
      <c r="S1594" s="38"/>
      <c r="T1594" s="38"/>
      <c r="U1594" s="38"/>
      <c r="V1594" s="37"/>
      <c r="W1594" s="39">
        <f>IF(AC1594="Intr",0,G1594*Definitions!$B$53)</f>
        <v>0</v>
      </c>
      <c r="X1594" s="39">
        <f>IF(AC1594="Intr",0,G1594*Definitions!$B$54)</f>
        <v>0</v>
      </c>
      <c r="Y1594" s="39">
        <f>IF(AC1594="Intr",G1594,G1594*Definitions!$B$55)</f>
        <v>0</v>
      </c>
      <c r="Z1594" s="39"/>
      <c r="AA1594" s="39"/>
      <c r="AB1594" s="39"/>
      <c r="AC1594" s="38"/>
      <c r="AD1594" s="38"/>
      <c r="AE1594" s="38"/>
      <c r="AF1594" s="38"/>
      <c r="AG1594" s="40"/>
      <c r="AH1594" s="38"/>
    </row>
    <row r="1595" spans="1:34" x14ac:dyDescent="0.2">
      <c r="A1595" s="38"/>
      <c r="B1595" s="38"/>
      <c r="C1595" s="38"/>
      <c r="D1595" s="38"/>
      <c r="E1595" s="177"/>
      <c r="F1595" s="177"/>
      <c r="G1595" s="269"/>
      <c r="H1595" s="179"/>
      <c r="I1595" s="177"/>
      <c r="J1595" s="177"/>
      <c r="K1595" s="177"/>
      <c r="L1595" s="177"/>
      <c r="M1595" s="177"/>
      <c r="N1595" s="70"/>
      <c r="O1595" s="38"/>
      <c r="P1595" s="38"/>
      <c r="Q1595" s="760"/>
      <c r="R1595" s="590"/>
      <c r="S1595" s="38"/>
      <c r="T1595" s="38"/>
      <c r="U1595" s="38"/>
      <c r="V1595" s="37"/>
      <c r="W1595" s="39">
        <f>IF(AC1595="Intr",0,G1595*Definitions!$B$53)</f>
        <v>0</v>
      </c>
      <c r="X1595" s="39">
        <f>IF(AC1595="Intr",0,G1595*Definitions!$B$54)</f>
        <v>0</v>
      </c>
      <c r="Y1595" s="39">
        <f>IF(AC1595="Intr",G1595,G1595*Definitions!$B$55)</f>
        <v>0</v>
      </c>
      <c r="Z1595" s="39"/>
      <c r="AA1595" s="39"/>
      <c r="AB1595" s="39"/>
      <c r="AC1595" s="38"/>
      <c r="AD1595" s="38"/>
      <c r="AE1595" s="38"/>
      <c r="AF1595" s="38"/>
      <c r="AG1595" s="40"/>
      <c r="AH1595" s="38"/>
    </row>
    <row r="1596" spans="1:34" x14ac:dyDescent="0.2">
      <c r="A1596" s="38"/>
      <c r="B1596" s="38"/>
      <c r="C1596" s="38"/>
      <c r="D1596" s="38"/>
      <c r="E1596" s="177"/>
      <c r="F1596" s="177"/>
      <c r="G1596" s="269"/>
      <c r="H1596" s="179"/>
      <c r="I1596" s="177"/>
      <c r="J1596" s="177"/>
      <c r="K1596" s="177"/>
      <c r="L1596" s="177"/>
      <c r="M1596" s="177"/>
      <c r="N1596" s="70"/>
      <c r="O1596" s="38"/>
      <c r="P1596" s="38"/>
      <c r="Q1596" s="760"/>
      <c r="R1596" s="590"/>
      <c r="S1596" s="38"/>
      <c r="T1596" s="38"/>
      <c r="U1596" s="38"/>
      <c r="V1596" s="37"/>
      <c r="W1596" s="39">
        <f>IF(AC1596="Intr",0,G1596*Definitions!$B$53)</f>
        <v>0</v>
      </c>
      <c r="X1596" s="39">
        <f>IF(AC1596="Intr",0,G1596*Definitions!$B$54)</f>
        <v>0</v>
      </c>
      <c r="Y1596" s="39">
        <f>IF(AC1596="Intr",G1596,G1596*Definitions!$B$55)</f>
        <v>0</v>
      </c>
      <c r="Z1596" s="39"/>
      <c r="AA1596" s="39"/>
      <c r="AB1596" s="39"/>
      <c r="AC1596" s="38"/>
      <c r="AD1596" s="38"/>
      <c r="AE1596" s="38"/>
      <c r="AF1596" s="38"/>
      <c r="AG1596" s="40"/>
      <c r="AH1596" s="38"/>
    </row>
    <row r="1597" spans="1:34" x14ac:dyDescent="0.2">
      <c r="A1597" s="38"/>
      <c r="B1597" s="38"/>
      <c r="C1597" s="38"/>
      <c r="D1597" s="38"/>
      <c r="E1597" s="177"/>
      <c r="F1597" s="177"/>
      <c r="G1597" s="269"/>
      <c r="H1597" s="179"/>
      <c r="I1597" s="177"/>
      <c r="J1597" s="177"/>
      <c r="K1597" s="177"/>
      <c r="L1597" s="177"/>
      <c r="M1597" s="177"/>
      <c r="N1597" s="70"/>
      <c r="O1597" s="38"/>
      <c r="P1597" s="38"/>
      <c r="Q1597" s="760"/>
      <c r="R1597" s="590"/>
      <c r="S1597" s="38"/>
      <c r="T1597" s="38"/>
      <c r="U1597" s="38"/>
      <c r="V1597" s="37"/>
      <c r="W1597" s="39">
        <f>IF(AC1597="Intr",0,G1597*Definitions!$B$53)</f>
        <v>0</v>
      </c>
      <c r="X1597" s="39">
        <f>IF(AC1597="Intr",0,G1597*Definitions!$B$54)</f>
        <v>0</v>
      </c>
      <c r="Y1597" s="39">
        <f>IF(AC1597="Intr",G1597,G1597*Definitions!$B$55)</f>
        <v>0</v>
      </c>
      <c r="Z1597" s="39"/>
      <c r="AA1597" s="39"/>
      <c r="AB1597" s="39"/>
      <c r="AC1597" s="38"/>
      <c r="AD1597" s="38"/>
      <c r="AE1597" s="38"/>
      <c r="AF1597" s="38"/>
      <c r="AG1597" s="40"/>
      <c r="AH1597" s="38"/>
    </row>
    <row r="1598" spans="1:34" x14ac:dyDescent="0.2">
      <c r="A1598" s="38"/>
      <c r="B1598" s="38"/>
      <c r="C1598" s="38"/>
      <c r="D1598" s="38"/>
      <c r="E1598" s="177"/>
      <c r="F1598" s="177"/>
      <c r="G1598" s="269"/>
      <c r="H1598" s="179"/>
      <c r="I1598" s="177"/>
      <c r="J1598" s="177"/>
      <c r="K1598" s="177"/>
      <c r="L1598" s="177"/>
      <c r="M1598" s="177"/>
      <c r="N1598" s="70"/>
      <c r="O1598" s="38"/>
      <c r="P1598" s="38"/>
      <c r="Q1598" s="760"/>
      <c r="R1598" s="590"/>
      <c r="S1598" s="38"/>
      <c r="T1598" s="38"/>
      <c r="U1598" s="38"/>
      <c r="V1598" s="37"/>
      <c r="W1598" s="39">
        <f>IF(AC1598="Intr",0,G1598*Definitions!$B$53)</f>
        <v>0</v>
      </c>
      <c r="X1598" s="39">
        <f>IF(AC1598="Intr",0,G1598*Definitions!$B$54)</f>
        <v>0</v>
      </c>
      <c r="Y1598" s="39">
        <f>IF(AC1598="Intr",G1598,G1598*Definitions!$B$55)</f>
        <v>0</v>
      </c>
      <c r="Z1598" s="39"/>
      <c r="AA1598" s="39"/>
      <c r="AB1598" s="39"/>
      <c r="AC1598" s="38"/>
      <c r="AD1598" s="38"/>
      <c r="AE1598" s="38"/>
      <c r="AF1598" s="38"/>
      <c r="AG1598" s="40"/>
      <c r="AH1598" s="38"/>
    </row>
    <row r="1599" spans="1:34" x14ac:dyDescent="0.2">
      <c r="A1599" s="38"/>
      <c r="B1599" s="38"/>
      <c r="C1599" s="38"/>
      <c r="D1599" s="38"/>
      <c r="E1599" s="177"/>
      <c r="F1599" s="177"/>
      <c r="G1599" s="269"/>
      <c r="H1599" s="179"/>
      <c r="I1599" s="177"/>
      <c r="J1599" s="177"/>
      <c r="K1599" s="177"/>
      <c r="L1599" s="177"/>
      <c r="M1599" s="177"/>
      <c r="N1599" s="70"/>
      <c r="O1599" s="38"/>
      <c r="P1599" s="38"/>
      <c r="Q1599" s="760"/>
      <c r="R1599" s="590"/>
      <c r="S1599" s="38"/>
      <c r="T1599" s="38"/>
      <c r="U1599" s="38"/>
      <c r="V1599" s="37"/>
      <c r="W1599" s="39">
        <f>IF(AC1599="Intr",0,G1599*Definitions!$B$53)</f>
        <v>0</v>
      </c>
      <c r="X1599" s="39">
        <f>IF(AC1599="Intr",0,G1599*Definitions!$B$54)</f>
        <v>0</v>
      </c>
      <c r="Y1599" s="39">
        <f>IF(AC1599="Intr",G1599,G1599*Definitions!$B$55)</f>
        <v>0</v>
      </c>
      <c r="Z1599" s="39"/>
      <c r="AA1599" s="39"/>
      <c r="AB1599" s="39"/>
      <c r="AC1599" s="38"/>
      <c r="AD1599" s="38"/>
      <c r="AE1599" s="38"/>
      <c r="AF1599" s="38"/>
      <c r="AG1599" s="40"/>
      <c r="AH1599" s="38"/>
    </row>
    <row r="1600" spans="1:34" x14ac:dyDescent="0.2">
      <c r="A1600" s="38"/>
      <c r="B1600" s="38"/>
      <c r="C1600" s="38"/>
      <c r="D1600" s="38"/>
      <c r="E1600" s="177"/>
      <c r="F1600" s="177"/>
      <c r="G1600" s="269"/>
      <c r="H1600" s="179"/>
      <c r="I1600" s="177"/>
      <c r="J1600" s="177"/>
      <c r="K1600" s="177"/>
      <c r="L1600" s="177"/>
      <c r="M1600" s="177"/>
      <c r="N1600" s="70"/>
      <c r="O1600" s="38"/>
      <c r="P1600" s="38"/>
      <c r="Q1600" s="760"/>
      <c r="R1600" s="590"/>
      <c r="S1600" s="38"/>
      <c r="T1600" s="38"/>
      <c r="U1600" s="38"/>
      <c r="V1600" s="37"/>
      <c r="W1600" s="39">
        <f>IF(AC1600="Intr",0,G1600*Definitions!$B$53)</f>
        <v>0</v>
      </c>
      <c r="X1600" s="39">
        <f>IF(AC1600="Intr",0,G1600*Definitions!$B$54)</f>
        <v>0</v>
      </c>
      <c r="Y1600" s="39">
        <f>IF(AC1600="Intr",G1600,G1600*Definitions!$B$55)</f>
        <v>0</v>
      </c>
      <c r="Z1600" s="39"/>
      <c r="AA1600" s="39"/>
      <c r="AB1600" s="39"/>
      <c r="AC1600" s="38"/>
      <c r="AD1600" s="38"/>
      <c r="AE1600" s="38"/>
      <c r="AF1600" s="38"/>
      <c r="AG1600" s="40"/>
      <c r="AH1600" s="38"/>
    </row>
    <row r="1601" spans="1:34" x14ac:dyDescent="0.2">
      <c r="A1601" s="38"/>
      <c r="B1601" s="38"/>
      <c r="C1601" s="38"/>
      <c r="D1601" s="38"/>
      <c r="E1601" s="177"/>
      <c r="F1601" s="177"/>
      <c r="G1601" s="269"/>
      <c r="H1601" s="179"/>
      <c r="I1601" s="177"/>
      <c r="J1601" s="177"/>
      <c r="K1601" s="177"/>
      <c r="L1601" s="177"/>
      <c r="M1601" s="177"/>
      <c r="N1601" s="70"/>
      <c r="O1601" s="38"/>
      <c r="P1601" s="38"/>
      <c r="Q1601" s="760"/>
      <c r="R1601" s="590"/>
      <c r="S1601" s="38"/>
      <c r="T1601" s="38"/>
      <c r="U1601" s="38"/>
      <c r="V1601" s="37"/>
      <c r="W1601" s="39">
        <f>IF(AC1601="Intr",0,G1601*Definitions!$B$53)</f>
        <v>0</v>
      </c>
      <c r="X1601" s="39">
        <f>IF(AC1601="Intr",0,G1601*Definitions!$B$54)</f>
        <v>0</v>
      </c>
      <c r="Y1601" s="39">
        <f>IF(AC1601="Intr",G1601,G1601*Definitions!$B$55)</f>
        <v>0</v>
      </c>
      <c r="Z1601" s="39"/>
      <c r="AA1601" s="39"/>
      <c r="AB1601" s="39"/>
      <c r="AC1601" s="38"/>
      <c r="AD1601" s="38"/>
      <c r="AE1601" s="38"/>
      <c r="AF1601" s="38"/>
      <c r="AG1601" s="40"/>
      <c r="AH1601" s="38"/>
    </row>
    <row r="1602" spans="1:34" x14ac:dyDescent="0.2">
      <c r="A1602" s="38"/>
      <c r="B1602" s="38"/>
      <c r="C1602" s="38"/>
      <c r="D1602" s="38"/>
      <c r="E1602" s="177"/>
      <c r="F1602" s="177"/>
      <c r="G1602" s="269"/>
      <c r="H1602" s="179"/>
      <c r="I1602" s="177"/>
      <c r="J1602" s="177"/>
      <c r="K1602" s="177"/>
      <c r="L1602" s="177"/>
      <c r="M1602" s="177"/>
      <c r="N1602" s="70"/>
      <c r="O1602" s="38"/>
      <c r="P1602" s="38"/>
      <c r="Q1602" s="760"/>
      <c r="R1602" s="590"/>
      <c r="S1602" s="38"/>
      <c r="T1602" s="38"/>
      <c r="U1602" s="38"/>
      <c r="V1602" s="37"/>
      <c r="W1602" s="39">
        <f>IF(AC1602="Intr",0,G1602*Definitions!$B$53)</f>
        <v>0</v>
      </c>
      <c r="X1602" s="39">
        <f>IF(AC1602="Intr",0,G1602*Definitions!$B$54)</f>
        <v>0</v>
      </c>
      <c r="Y1602" s="39">
        <f>IF(AC1602="Intr",G1602,G1602*Definitions!$B$55)</f>
        <v>0</v>
      </c>
      <c r="Z1602" s="39"/>
      <c r="AA1602" s="39"/>
      <c r="AB1602" s="39"/>
      <c r="AC1602" s="38"/>
      <c r="AD1602" s="38"/>
      <c r="AE1602" s="38"/>
      <c r="AF1602" s="38"/>
      <c r="AG1602" s="40"/>
      <c r="AH1602" s="38"/>
    </row>
    <row r="1603" spans="1:34" x14ac:dyDescent="0.2">
      <c r="A1603" s="38"/>
      <c r="B1603" s="38"/>
      <c r="C1603" s="38"/>
      <c r="D1603" s="38"/>
      <c r="E1603" s="177"/>
      <c r="F1603" s="177"/>
      <c r="G1603" s="269"/>
      <c r="H1603" s="179"/>
      <c r="I1603" s="177"/>
      <c r="J1603" s="177"/>
      <c r="K1603" s="177"/>
      <c r="L1603" s="177"/>
      <c r="M1603" s="177"/>
      <c r="N1603" s="70"/>
      <c r="O1603" s="38"/>
      <c r="P1603" s="38"/>
      <c r="Q1603" s="760"/>
      <c r="R1603" s="590"/>
      <c r="S1603" s="38"/>
      <c r="T1603" s="38"/>
      <c r="U1603" s="38"/>
      <c r="V1603" s="37"/>
      <c r="W1603" s="39">
        <f>IF(AC1603="Intr",0,G1603*Definitions!$B$53)</f>
        <v>0</v>
      </c>
      <c r="X1603" s="39">
        <f>IF(AC1603="Intr",0,G1603*Definitions!$B$54)</f>
        <v>0</v>
      </c>
      <c r="Y1603" s="39">
        <f>IF(AC1603="Intr",G1603,G1603*Definitions!$B$55)</f>
        <v>0</v>
      </c>
      <c r="Z1603" s="39"/>
      <c r="AA1603" s="39"/>
      <c r="AB1603" s="39"/>
      <c r="AC1603" s="38"/>
      <c r="AD1603" s="38"/>
      <c r="AE1603" s="38"/>
      <c r="AF1603" s="38"/>
      <c r="AG1603" s="40"/>
      <c r="AH1603" s="38"/>
    </row>
    <row r="1604" spans="1:34" x14ac:dyDescent="0.2">
      <c r="A1604" s="38"/>
      <c r="B1604" s="38"/>
      <c r="C1604" s="38"/>
      <c r="D1604" s="38"/>
      <c r="E1604" s="177"/>
      <c r="F1604" s="177"/>
      <c r="G1604" s="269"/>
      <c r="H1604" s="179"/>
      <c r="I1604" s="177"/>
      <c r="J1604" s="177"/>
      <c r="K1604" s="177"/>
      <c r="L1604" s="177"/>
      <c r="M1604" s="177"/>
      <c r="N1604" s="70"/>
      <c r="O1604" s="38"/>
      <c r="P1604" s="38"/>
      <c r="Q1604" s="760"/>
      <c r="R1604" s="590"/>
      <c r="S1604" s="38"/>
      <c r="T1604" s="38"/>
      <c r="U1604" s="38"/>
      <c r="V1604" s="37"/>
      <c r="W1604" s="39">
        <f>IF(AC1604="Intr",0,G1604*Definitions!$B$53)</f>
        <v>0</v>
      </c>
      <c r="X1604" s="39">
        <f>IF(AC1604="Intr",0,G1604*Definitions!$B$54)</f>
        <v>0</v>
      </c>
      <c r="Y1604" s="39">
        <f>IF(AC1604="Intr",G1604,G1604*Definitions!$B$55)</f>
        <v>0</v>
      </c>
      <c r="Z1604" s="39"/>
      <c r="AA1604" s="39"/>
      <c r="AB1604" s="39"/>
      <c r="AC1604" s="38"/>
      <c r="AD1604" s="38"/>
      <c r="AE1604" s="38"/>
      <c r="AF1604" s="38"/>
      <c r="AG1604" s="40"/>
      <c r="AH1604" s="38"/>
    </row>
    <row r="1605" spans="1:34" x14ac:dyDescent="0.2">
      <c r="A1605" s="38"/>
      <c r="B1605" s="38"/>
      <c r="C1605" s="38"/>
      <c r="D1605" s="38"/>
      <c r="E1605" s="177"/>
      <c r="F1605" s="177"/>
      <c r="G1605" s="269"/>
      <c r="H1605" s="179"/>
      <c r="I1605" s="177"/>
      <c r="J1605" s="177"/>
      <c r="K1605" s="177"/>
      <c r="L1605" s="177"/>
      <c r="M1605" s="177"/>
      <c r="N1605" s="70"/>
      <c r="O1605" s="38"/>
      <c r="P1605" s="38"/>
      <c r="Q1605" s="760"/>
      <c r="R1605" s="590"/>
      <c r="S1605" s="38"/>
      <c r="T1605" s="38"/>
      <c r="U1605" s="38"/>
      <c r="V1605" s="37"/>
      <c r="W1605" s="39">
        <f>IF(AC1605="Intr",0,G1605*Definitions!$B$53)</f>
        <v>0</v>
      </c>
      <c r="X1605" s="39">
        <f>IF(AC1605="Intr",0,G1605*Definitions!$B$54)</f>
        <v>0</v>
      </c>
      <c r="Y1605" s="39">
        <f>IF(AC1605="Intr",G1605,G1605*Definitions!$B$55)</f>
        <v>0</v>
      </c>
      <c r="Z1605" s="39"/>
      <c r="AA1605" s="39"/>
      <c r="AB1605" s="39"/>
      <c r="AC1605" s="38"/>
      <c r="AD1605" s="38"/>
      <c r="AE1605" s="38"/>
      <c r="AF1605" s="38"/>
      <c r="AG1605" s="40"/>
      <c r="AH1605" s="38"/>
    </row>
    <row r="1606" spans="1:34" x14ac:dyDescent="0.2">
      <c r="A1606" s="38"/>
      <c r="B1606" s="38"/>
      <c r="C1606" s="38"/>
      <c r="D1606" s="38"/>
      <c r="E1606" s="177"/>
      <c r="F1606" s="177"/>
      <c r="G1606" s="269"/>
      <c r="H1606" s="179"/>
      <c r="I1606" s="177"/>
      <c r="J1606" s="177"/>
      <c r="K1606" s="177"/>
      <c r="L1606" s="177"/>
      <c r="M1606" s="177"/>
      <c r="N1606" s="70"/>
      <c r="O1606" s="38"/>
      <c r="P1606" s="38"/>
      <c r="Q1606" s="760"/>
      <c r="R1606" s="590"/>
      <c r="S1606" s="38"/>
      <c r="T1606" s="38"/>
      <c r="U1606" s="38"/>
      <c r="V1606" s="37"/>
      <c r="W1606" s="39">
        <f>IF(AC1606="Intr",0,G1606*Definitions!$B$53)</f>
        <v>0</v>
      </c>
      <c r="X1606" s="39">
        <f>IF(AC1606="Intr",0,G1606*Definitions!$B$54)</f>
        <v>0</v>
      </c>
      <c r="Y1606" s="39">
        <f>IF(AC1606="Intr",G1606,G1606*Definitions!$B$55)</f>
        <v>0</v>
      </c>
      <c r="Z1606" s="39"/>
      <c r="AA1606" s="39"/>
      <c r="AB1606" s="39"/>
      <c r="AC1606" s="38"/>
      <c r="AD1606" s="38"/>
      <c r="AE1606" s="38"/>
      <c r="AF1606" s="38"/>
      <c r="AG1606" s="40"/>
      <c r="AH1606" s="38"/>
    </row>
    <row r="1607" spans="1:34" x14ac:dyDescent="0.2">
      <c r="A1607" s="38"/>
      <c r="B1607" s="38"/>
      <c r="C1607" s="38"/>
      <c r="D1607" s="38"/>
      <c r="E1607" s="177"/>
      <c r="F1607" s="177"/>
      <c r="G1607" s="269"/>
      <c r="H1607" s="179"/>
      <c r="I1607" s="177"/>
      <c r="J1607" s="177"/>
      <c r="K1607" s="177"/>
      <c r="L1607" s="177"/>
      <c r="M1607" s="177"/>
      <c r="N1607" s="70"/>
      <c r="O1607" s="38"/>
      <c r="P1607" s="38"/>
      <c r="Q1607" s="760"/>
      <c r="R1607" s="590"/>
      <c r="S1607" s="38"/>
      <c r="T1607" s="38"/>
      <c r="U1607" s="38"/>
      <c r="V1607" s="37"/>
      <c r="W1607" s="39">
        <f>IF(AC1607="Intr",0,G1607*Definitions!$B$53)</f>
        <v>0</v>
      </c>
      <c r="X1607" s="39">
        <f>IF(AC1607="Intr",0,G1607*Definitions!$B$54)</f>
        <v>0</v>
      </c>
      <c r="Y1607" s="39">
        <f>IF(AC1607="Intr",G1607,G1607*Definitions!$B$55)</f>
        <v>0</v>
      </c>
      <c r="Z1607" s="39"/>
      <c r="AA1607" s="39"/>
      <c r="AB1607" s="39"/>
      <c r="AC1607" s="38"/>
      <c r="AD1607" s="38"/>
      <c r="AE1607" s="38"/>
      <c r="AF1607" s="38"/>
      <c r="AG1607" s="40"/>
      <c r="AH1607" s="38"/>
    </row>
    <row r="1608" spans="1:34" x14ac:dyDescent="0.2">
      <c r="A1608" s="38"/>
      <c r="B1608" s="38"/>
      <c r="C1608" s="38"/>
      <c r="D1608" s="38"/>
      <c r="E1608" s="177"/>
      <c r="F1608" s="177"/>
      <c r="G1608" s="269"/>
      <c r="H1608" s="179"/>
      <c r="I1608" s="177"/>
      <c r="J1608" s="177"/>
      <c r="K1608" s="177"/>
      <c r="L1608" s="177"/>
      <c r="M1608" s="177"/>
      <c r="N1608" s="70"/>
      <c r="O1608" s="38"/>
      <c r="P1608" s="38"/>
      <c r="Q1608" s="760"/>
      <c r="R1608" s="590"/>
      <c r="S1608" s="38"/>
      <c r="T1608" s="38"/>
      <c r="U1608" s="38"/>
      <c r="V1608" s="37"/>
      <c r="W1608" s="39">
        <f>IF(AC1608="Intr",0,G1608*Definitions!$B$53)</f>
        <v>0</v>
      </c>
      <c r="X1608" s="39">
        <f>IF(AC1608="Intr",0,G1608*Definitions!$B$54)</f>
        <v>0</v>
      </c>
      <c r="Y1608" s="39">
        <f>IF(AC1608="Intr",G1608,G1608*Definitions!$B$55)</f>
        <v>0</v>
      </c>
      <c r="Z1608" s="39"/>
      <c r="AA1608" s="39"/>
      <c r="AB1608" s="39"/>
      <c r="AC1608" s="38"/>
      <c r="AD1608" s="38"/>
      <c r="AE1608" s="38"/>
      <c r="AF1608" s="38"/>
      <c r="AG1608" s="40"/>
      <c r="AH1608" s="38"/>
    </row>
    <row r="1609" spans="1:34" x14ac:dyDescent="0.2">
      <c r="A1609" s="38"/>
      <c r="B1609" s="38"/>
      <c r="C1609" s="38"/>
      <c r="D1609" s="38"/>
      <c r="E1609" s="177"/>
      <c r="F1609" s="177"/>
      <c r="G1609" s="269"/>
      <c r="H1609" s="179"/>
      <c r="I1609" s="177"/>
      <c r="J1609" s="177"/>
      <c r="K1609" s="177"/>
      <c r="L1609" s="177"/>
      <c r="M1609" s="177"/>
      <c r="N1609" s="70"/>
      <c r="O1609" s="38"/>
      <c r="P1609" s="38"/>
      <c r="Q1609" s="760"/>
      <c r="R1609" s="590"/>
      <c r="S1609" s="38"/>
      <c r="T1609" s="38"/>
      <c r="U1609" s="38"/>
      <c r="V1609" s="37"/>
      <c r="W1609" s="39">
        <f>IF(AC1609="Intr",0,G1609*Definitions!$B$53)</f>
        <v>0</v>
      </c>
      <c r="X1609" s="39">
        <f>IF(AC1609="Intr",0,G1609*Definitions!$B$54)</f>
        <v>0</v>
      </c>
      <c r="Y1609" s="39">
        <f>IF(AC1609="Intr",G1609,G1609*Definitions!$B$55)</f>
        <v>0</v>
      </c>
      <c r="Z1609" s="39"/>
      <c r="AA1609" s="39"/>
      <c r="AB1609" s="39"/>
      <c r="AC1609" s="38"/>
      <c r="AD1609" s="38"/>
      <c r="AE1609" s="38"/>
      <c r="AF1609" s="38"/>
      <c r="AG1609" s="40"/>
      <c r="AH1609" s="38"/>
    </row>
    <row r="1610" spans="1:34" x14ac:dyDescent="0.2">
      <c r="A1610" s="38"/>
      <c r="B1610" s="38"/>
      <c r="C1610" s="38"/>
      <c r="D1610" s="38"/>
      <c r="E1610" s="177"/>
      <c r="F1610" s="177"/>
      <c r="G1610" s="269"/>
      <c r="H1610" s="179"/>
      <c r="I1610" s="177"/>
      <c r="J1610" s="177"/>
      <c r="K1610" s="177"/>
      <c r="L1610" s="177"/>
      <c r="M1610" s="177"/>
      <c r="N1610" s="70"/>
      <c r="O1610" s="38"/>
      <c r="P1610" s="38"/>
      <c r="Q1610" s="760"/>
      <c r="R1610" s="590"/>
      <c r="S1610" s="38"/>
      <c r="T1610" s="38"/>
      <c r="U1610" s="38"/>
      <c r="V1610" s="37"/>
      <c r="W1610" s="39">
        <f>IF(AC1610="Intr",0,G1610*Definitions!$B$53)</f>
        <v>0</v>
      </c>
      <c r="X1610" s="39">
        <f>IF(AC1610="Intr",0,G1610*Definitions!$B$54)</f>
        <v>0</v>
      </c>
      <c r="Y1610" s="39">
        <f>IF(AC1610="Intr",G1610,G1610*Definitions!$B$55)</f>
        <v>0</v>
      </c>
      <c r="Z1610" s="39"/>
      <c r="AA1610" s="39"/>
      <c r="AB1610" s="39"/>
      <c r="AC1610" s="38"/>
      <c r="AD1610" s="38"/>
      <c r="AE1610" s="38"/>
      <c r="AF1610" s="38"/>
      <c r="AG1610" s="40"/>
      <c r="AH1610" s="38"/>
    </row>
    <row r="1611" spans="1:34" x14ac:dyDescent="0.2">
      <c r="A1611" s="38"/>
      <c r="B1611" s="38"/>
      <c r="C1611" s="38"/>
      <c r="D1611" s="38"/>
      <c r="E1611" s="177"/>
      <c r="F1611" s="177"/>
      <c r="G1611" s="269"/>
      <c r="H1611" s="179"/>
      <c r="I1611" s="177"/>
      <c r="J1611" s="177"/>
      <c r="K1611" s="177"/>
      <c r="L1611" s="177"/>
      <c r="M1611" s="177"/>
      <c r="N1611" s="70"/>
      <c r="O1611" s="38"/>
      <c r="P1611" s="38"/>
      <c r="Q1611" s="760"/>
      <c r="R1611" s="590"/>
      <c r="S1611" s="38"/>
      <c r="T1611" s="38"/>
      <c r="U1611" s="38"/>
      <c r="V1611" s="37"/>
      <c r="W1611" s="39">
        <f>IF(AC1611="Intr",0,G1611*Definitions!$B$53)</f>
        <v>0</v>
      </c>
      <c r="X1611" s="39">
        <f>IF(AC1611="Intr",0,G1611*Definitions!$B$54)</f>
        <v>0</v>
      </c>
      <c r="Y1611" s="39">
        <f>IF(AC1611="Intr",G1611,G1611*Definitions!$B$55)</f>
        <v>0</v>
      </c>
      <c r="Z1611" s="39"/>
      <c r="AA1611" s="39"/>
      <c r="AB1611" s="39"/>
      <c r="AC1611" s="38"/>
      <c r="AD1611" s="38"/>
      <c r="AE1611" s="38"/>
      <c r="AF1611" s="38"/>
      <c r="AG1611" s="40"/>
      <c r="AH1611" s="38"/>
    </row>
    <row r="1612" spans="1:34" x14ac:dyDescent="0.2">
      <c r="A1612" s="38"/>
      <c r="B1612" s="38"/>
      <c r="C1612" s="38"/>
      <c r="D1612" s="38"/>
      <c r="E1612" s="177"/>
      <c r="F1612" s="177"/>
      <c r="G1612" s="269"/>
      <c r="H1612" s="179"/>
      <c r="I1612" s="177"/>
      <c r="J1612" s="177"/>
      <c r="K1612" s="177"/>
      <c r="L1612" s="177"/>
      <c r="M1612" s="177"/>
      <c r="N1612" s="70"/>
      <c r="O1612" s="38"/>
      <c r="P1612" s="38"/>
      <c r="Q1612" s="760"/>
      <c r="R1612" s="590"/>
      <c r="S1612" s="38"/>
      <c r="T1612" s="38"/>
      <c r="U1612" s="38"/>
      <c r="V1612" s="37"/>
      <c r="W1612" s="39">
        <f>IF(AC1612="Intr",0,G1612*Definitions!$B$53)</f>
        <v>0</v>
      </c>
      <c r="X1612" s="39">
        <f>IF(AC1612="Intr",0,G1612*Definitions!$B$54)</f>
        <v>0</v>
      </c>
      <c r="Y1612" s="39">
        <f>IF(AC1612="Intr",G1612,G1612*Definitions!$B$55)</f>
        <v>0</v>
      </c>
      <c r="Z1612" s="39"/>
      <c r="AA1612" s="39"/>
      <c r="AB1612" s="39"/>
      <c r="AC1612" s="38"/>
      <c r="AD1612" s="38"/>
      <c r="AE1612" s="38"/>
      <c r="AF1612" s="38"/>
      <c r="AG1612" s="40"/>
      <c r="AH1612" s="38"/>
    </row>
    <row r="1613" spans="1:34" x14ac:dyDescent="0.2">
      <c r="A1613" s="38"/>
      <c r="B1613" s="38"/>
      <c r="C1613" s="38"/>
      <c r="D1613" s="38"/>
      <c r="E1613" s="177"/>
      <c r="F1613" s="177"/>
      <c r="G1613" s="269"/>
      <c r="H1613" s="179"/>
      <c r="I1613" s="177"/>
      <c r="J1613" s="177"/>
      <c r="K1613" s="177"/>
      <c r="L1613" s="177"/>
      <c r="M1613" s="177"/>
      <c r="N1613" s="70"/>
      <c r="O1613" s="38"/>
      <c r="P1613" s="38"/>
      <c r="Q1613" s="760"/>
      <c r="R1613" s="590"/>
      <c r="S1613" s="38"/>
      <c r="T1613" s="38"/>
      <c r="U1613" s="38"/>
      <c r="V1613" s="37"/>
      <c r="W1613" s="39">
        <f>IF(AC1613="Intr",0,G1613*Definitions!$B$53)</f>
        <v>0</v>
      </c>
      <c r="X1613" s="39">
        <f>IF(AC1613="Intr",0,G1613*Definitions!$B$54)</f>
        <v>0</v>
      </c>
      <c r="Y1613" s="39">
        <f>IF(AC1613="Intr",G1613,G1613*Definitions!$B$55)</f>
        <v>0</v>
      </c>
      <c r="Z1613" s="39"/>
      <c r="AA1613" s="39"/>
      <c r="AB1613" s="39"/>
      <c r="AC1613" s="38"/>
      <c r="AD1613" s="38"/>
      <c r="AE1613" s="38"/>
      <c r="AF1613" s="38"/>
      <c r="AG1613" s="40"/>
      <c r="AH1613" s="38"/>
    </row>
    <row r="1614" spans="1:34" x14ac:dyDescent="0.2">
      <c r="A1614" s="38"/>
      <c r="B1614" s="38"/>
      <c r="C1614" s="38"/>
      <c r="D1614" s="38"/>
      <c r="E1614" s="177"/>
      <c r="F1614" s="177"/>
      <c r="G1614" s="269"/>
      <c r="H1614" s="179"/>
      <c r="I1614" s="177"/>
      <c r="J1614" s="177"/>
      <c r="K1614" s="177"/>
      <c r="L1614" s="177"/>
      <c r="M1614" s="177"/>
      <c r="N1614" s="70"/>
      <c r="O1614" s="38"/>
      <c r="P1614" s="38"/>
      <c r="Q1614" s="760"/>
      <c r="R1614" s="590"/>
      <c r="S1614" s="38"/>
      <c r="T1614" s="38"/>
      <c r="U1614" s="38"/>
      <c r="V1614" s="37"/>
      <c r="W1614" s="39">
        <f>IF(AC1614="Intr",0,G1614*Definitions!$B$53)</f>
        <v>0</v>
      </c>
      <c r="X1614" s="39">
        <f>IF(AC1614="Intr",0,G1614*Definitions!$B$54)</f>
        <v>0</v>
      </c>
      <c r="Y1614" s="39">
        <f>IF(AC1614="Intr",G1614,G1614*Definitions!$B$55)</f>
        <v>0</v>
      </c>
      <c r="Z1614" s="39"/>
      <c r="AA1614" s="39"/>
      <c r="AB1614" s="39"/>
      <c r="AC1614" s="38"/>
      <c r="AD1614" s="38"/>
      <c r="AE1614" s="38"/>
      <c r="AF1614" s="38"/>
      <c r="AG1614" s="40"/>
      <c r="AH1614" s="38"/>
    </row>
    <row r="1615" spans="1:34" x14ac:dyDescent="0.2">
      <c r="A1615" s="38"/>
      <c r="B1615" s="38"/>
      <c r="C1615" s="38"/>
      <c r="D1615" s="38"/>
      <c r="E1615" s="177"/>
      <c r="F1615" s="177"/>
      <c r="G1615" s="269"/>
      <c r="H1615" s="179"/>
      <c r="I1615" s="177"/>
      <c r="J1615" s="177"/>
      <c r="K1615" s="177"/>
      <c r="L1615" s="177"/>
      <c r="M1615" s="177"/>
      <c r="N1615" s="70"/>
      <c r="O1615" s="38"/>
      <c r="P1615" s="38"/>
      <c r="Q1615" s="760"/>
      <c r="R1615" s="590"/>
      <c r="S1615" s="38"/>
      <c r="T1615" s="38"/>
      <c r="U1615" s="38"/>
      <c r="V1615" s="37"/>
      <c r="W1615" s="39">
        <f>IF(AC1615="Intr",0,G1615*Definitions!$B$53)</f>
        <v>0</v>
      </c>
      <c r="X1615" s="39">
        <f>IF(AC1615="Intr",0,G1615*Definitions!$B$54)</f>
        <v>0</v>
      </c>
      <c r="Y1615" s="39">
        <f>IF(AC1615="Intr",G1615,G1615*Definitions!$B$55)</f>
        <v>0</v>
      </c>
      <c r="Z1615" s="39"/>
      <c r="AA1615" s="39"/>
      <c r="AB1615" s="39"/>
      <c r="AC1615" s="38"/>
      <c r="AD1615" s="38"/>
      <c r="AE1615" s="38"/>
      <c r="AF1615" s="38"/>
      <c r="AG1615" s="40"/>
      <c r="AH1615" s="38"/>
    </row>
    <row r="1616" spans="1:34" x14ac:dyDescent="0.2">
      <c r="A1616" s="38"/>
      <c r="B1616" s="38"/>
      <c r="C1616" s="38"/>
      <c r="D1616" s="38"/>
      <c r="E1616" s="177"/>
      <c r="F1616" s="177"/>
      <c r="G1616" s="269"/>
      <c r="H1616" s="179"/>
      <c r="I1616" s="177"/>
      <c r="J1616" s="177"/>
      <c r="K1616" s="177"/>
      <c r="L1616" s="177"/>
      <c r="M1616" s="177"/>
      <c r="N1616" s="70"/>
      <c r="O1616" s="38"/>
      <c r="P1616" s="38"/>
      <c r="Q1616" s="760"/>
      <c r="R1616" s="590"/>
      <c r="S1616" s="38"/>
      <c r="T1616" s="38"/>
      <c r="U1616" s="38"/>
      <c r="V1616" s="37"/>
      <c r="W1616" s="39">
        <f>IF(AC1616="Intr",0,G1616*Definitions!$B$53)</f>
        <v>0</v>
      </c>
      <c r="X1616" s="39">
        <f>IF(AC1616="Intr",0,G1616*Definitions!$B$54)</f>
        <v>0</v>
      </c>
      <c r="Y1616" s="39">
        <f>IF(AC1616="Intr",G1616,G1616*Definitions!$B$55)</f>
        <v>0</v>
      </c>
      <c r="Z1616" s="39"/>
      <c r="AA1616" s="39"/>
      <c r="AB1616" s="39"/>
      <c r="AC1616" s="38"/>
      <c r="AD1616" s="38"/>
      <c r="AE1616" s="38"/>
      <c r="AF1616" s="38"/>
      <c r="AG1616" s="40"/>
      <c r="AH1616" s="38"/>
    </row>
    <row r="1617" spans="1:34" x14ac:dyDescent="0.2">
      <c r="A1617" s="38"/>
      <c r="B1617" s="38"/>
      <c r="C1617" s="38"/>
      <c r="D1617" s="38"/>
      <c r="E1617" s="177"/>
      <c r="F1617" s="177"/>
      <c r="G1617" s="269"/>
      <c r="H1617" s="179"/>
      <c r="I1617" s="177"/>
      <c r="J1617" s="177"/>
      <c r="K1617" s="177"/>
      <c r="L1617" s="177"/>
      <c r="M1617" s="177"/>
      <c r="N1617" s="70"/>
      <c r="O1617" s="38"/>
      <c r="P1617" s="38"/>
      <c r="Q1617" s="760"/>
      <c r="R1617" s="590"/>
      <c r="S1617" s="38"/>
      <c r="T1617" s="38"/>
      <c r="U1617" s="38"/>
      <c r="V1617" s="37"/>
      <c r="W1617" s="39">
        <f>IF(AC1617="Intr",0,G1617*Definitions!$B$53)</f>
        <v>0</v>
      </c>
      <c r="X1617" s="39">
        <f>IF(AC1617="Intr",0,G1617*Definitions!$B$54)</f>
        <v>0</v>
      </c>
      <c r="Y1617" s="39">
        <f>IF(AC1617="Intr",G1617,G1617*Definitions!$B$55)</f>
        <v>0</v>
      </c>
      <c r="Z1617" s="39"/>
      <c r="AA1617" s="39"/>
      <c r="AB1617" s="39"/>
      <c r="AC1617" s="38"/>
      <c r="AD1617" s="38"/>
      <c r="AE1617" s="38"/>
      <c r="AF1617" s="38"/>
      <c r="AG1617" s="40"/>
      <c r="AH1617" s="38"/>
    </row>
    <row r="1618" spans="1:34" x14ac:dyDescent="0.2">
      <c r="A1618" s="38"/>
      <c r="B1618" s="38"/>
      <c r="C1618" s="38"/>
      <c r="D1618" s="38"/>
      <c r="E1618" s="177"/>
      <c r="F1618" s="177"/>
      <c r="G1618" s="269"/>
      <c r="H1618" s="179"/>
      <c r="I1618" s="177"/>
      <c r="J1618" s="177"/>
      <c r="K1618" s="177"/>
      <c r="L1618" s="177"/>
      <c r="M1618" s="177"/>
      <c r="N1618" s="70"/>
      <c r="O1618" s="38"/>
      <c r="P1618" s="38"/>
      <c r="Q1618" s="760"/>
      <c r="R1618" s="590"/>
      <c r="S1618" s="38"/>
      <c r="T1618" s="38"/>
      <c r="U1618" s="38"/>
      <c r="V1618" s="37"/>
      <c r="W1618" s="39">
        <f>IF(AC1618="Intr",0,G1618*Definitions!$B$53)</f>
        <v>0</v>
      </c>
      <c r="X1618" s="39">
        <f>IF(AC1618="Intr",0,G1618*Definitions!$B$54)</f>
        <v>0</v>
      </c>
      <c r="Y1618" s="39">
        <f>IF(AC1618="Intr",G1618,G1618*Definitions!$B$55)</f>
        <v>0</v>
      </c>
      <c r="Z1618" s="39"/>
      <c r="AA1618" s="39"/>
      <c r="AB1618" s="39"/>
      <c r="AC1618" s="38"/>
      <c r="AD1618" s="38"/>
      <c r="AE1618" s="38"/>
      <c r="AF1618" s="38"/>
      <c r="AG1618" s="40"/>
      <c r="AH1618" s="38"/>
    </row>
    <row r="1619" spans="1:34" x14ac:dyDescent="0.2">
      <c r="A1619" s="38"/>
      <c r="B1619" s="38"/>
      <c r="C1619" s="38"/>
      <c r="D1619" s="38"/>
      <c r="E1619" s="177"/>
      <c r="F1619" s="177"/>
      <c r="G1619" s="269"/>
      <c r="H1619" s="179"/>
      <c r="I1619" s="177"/>
      <c r="J1619" s="177"/>
      <c r="K1619" s="177"/>
      <c r="L1619" s="177"/>
      <c r="M1619" s="177"/>
      <c r="N1619" s="70"/>
      <c r="O1619" s="38"/>
      <c r="P1619" s="38"/>
      <c r="Q1619" s="760"/>
      <c r="R1619" s="590"/>
      <c r="S1619" s="38"/>
      <c r="T1619" s="38"/>
      <c r="U1619" s="38"/>
      <c r="V1619" s="37"/>
      <c r="W1619" s="39">
        <f>IF(AC1619="Intr",0,G1619*Definitions!$B$53)</f>
        <v>0</v>
      </c>
      <c r="X1619" s="39">
        <f>IF(AC1619="Intr",0,G1619*Definitions!$B$54)</f>
        <v>0</v>
      </c>
      <c r="Y1619" s="39">
        <f>IF(AC1619="Intr",G1619,G1619*Definitions!$B$55)</f>
        <v>0</v>
      </c>
      <c r="Z1619" s="39"/>
      <c r="AA1619" s="39"/>
      <c r="AB1619" s="39"/>
      <c r="AC1619" s="38"/>
      <c r="AD1619" s="38"/>
      <c r="AE1619" s="38"/>
      <c r="AF1619" s="38"/>
      <c r="AG1619" s="40"/>
      <c r="AH1619" s="38"/>
    </row>
    <row r="1620" spans="1:34" x14ac:dyDescent="0.2">
      <c r="A1620" s="38"/>
      <c r="B1620" s="38"/>
      <c r="C1620" s="38"/>
      <c r="D1620" s="38"/>
      <c r="E1620" s="177"/>
      <c r="F1620" s="177"/>
      <c r="G1620" s="269"/>
      <c r="H1620" s="179"/>
      <c r="I1620" s="177"/>
      <c r="J1620" s="177"/>
      <c r="K1620" s="177"/>
      <c r="L1620" s="177"/>
      <c r="M1620" s="177"/>
      <c r="N1620" s="70"/>
      <c r="O1620" s="38"/>
      <c r="P1620" s="38"/>
      <c r="Q1620" s="760"/>
      <c r="R1620" s="590"/>
      <c r="S1620" s="38"/>
      <c r="T1620" s="38"/>
      <c r="U1620" s="38"/>
      <c r="V1620" s="37"/>
      <c r="W1620" s="39">
        <f>IF(AC1620="Intr",0,G1620*Definitions!$B$53)</f>
        <v>0</v>
      </c>
      <c r="X1620" s="39">
        <f>IF(AC1620="Intr",0,G1620*Definitions!$B$54)</f>
        <v>0</v>
      </c>
      <c r="Y1620" s="39">
        <f>IF(AC1620="Intr",G1620,G1620*Definitions!$B$55)</f>
        <v>0</v>
      </c>
      <c r="Z1620" s="39"/>
      <c r="AA1620" s="39"/>
      <c r="AB1620" s="39"/>
      <c r="AC1620" s="38"/>
      <c r="AD1620" s="38"/>
      <c r="AE1620" s="38"/>
      <c r="AF1620" s="38"/>
      <c r="AG1620" s="40"/>
      <c r="AH1620" s="38"/>
    </row>
    <row r="1621" spans="1:34" x14ac:dyDescent="0.2">
      <c r="A1621" s="38"/>
      <c r="B1621" s="38"/>
      <c r="C1621" s="38"/>
      <c r="D1621" s="38"/>
      <c r="E1621" s="177"/>
      <c r="F1621" s="177"/>
      <c r="G1621" s="269"/>
      <c r="H1621" s="179"/>
      <c r="I1621" s="177"/>
      <c r="J1621" s="177"/>
      <c r="K1621" s="177"/>
      <c r="L1621" s="177"/>
      <c r="M1621" s="177"/>
      <c r="N1621" s="70"/>
      <c r="O1621" s="38"/>
      <c r="P1621" s="38"/>
      <c r="Q1621" s="760"/>
      <c r="R1621" s="590"/>
      <c r="S1621" s="38"/>
      <c r="T1621" s="38"/>
      <c r="U1621" s="38"/>
      <c r="V1621" s="37"/>
      <c r="W1621" s="39">
        <f>IF(AC1621="Intr",0,G1621*Definitions!$B$53)</f>
        <v>0</v>
      </c>
      <c r="X1621" s="39">
        <f>IF(AC1621="Intr",0,G1621*Definitions!$B$54)</f>
        <v>0</v>
      </c>
      <c r="Y1621" s="39">
        <f>IF(AC1621="Intr",G1621,G1621*Definitions!$B$55)</f>
        <v>0</v>
      </c>
      <c r="Z1621" s="39"/>
      <c r="AA1621" s="39"/>
      <c r="AB1621" s="39"/>
      <c r="AC1621" s="38"/>
      <c r="AD1621" s="38"/>
      <c r="AE1621" s="38"/>
      <c r="AF1621" s="38"/>
      <c r="AG1621" s="40"/>
      <c r="AH1621" s="38"/>
    </row>
    <row r="1622" spans="1:34" x14ac:dyDescent="0.2">
      <c r="A1622" s="38"/>
      <c r="B1622" s="38"/>
      <c r="C1622" s="38"/>
      <c r="D1622" s="38"/>
      <c r="E1622" s="177"/>
      <c r="F1622" s="177"/>
      <c r="G1622" s="269"/>
      <c r="H1622" s="179"/>
      <c r="I1622" s="177"/>
      <c r="J1622" s="177"/>
      <c r="K1622" s="177"/>
      <c r="L1622" s="177"/>
      <c r="M1622" s="177"/>
      <c r="N1622" s="70"/>
      <c r="O1622" s="38"/>
      <c r="P1622" s="38"/>
      <c r="Q1622" s="760"/>
      <c r="R1622" s="590"/>
      <c r="S1622" s="38"/>
      <c r="T1622" s="38"/>
      <c r="U1622" s="38"/>
      <c r="V1622" s="37"/>
      <c r="W1622" s="39">
        <f>IF(AC1622="Intr",0,G1622*Definitions!$B$53)</f>
        <v>0</v>
      </c>
      <c r="X1622" s="39">
        <f>IF(AC1622="Intr",0,G1622*Definitions!$B$54)</f>
        <v>0</v>
      </c>
      <c r="Y1622" s="39">
        <f>IF(AC1622="Intr",G1622,G1622*Definitions!$B$55)</f>
        <v>0</v>
      </c>
      <c r="Z1622" s="39"/>
      <c r="AA1622" s="39"/>
      <c r="AB1622" s="39"/>
      <c r="AC1622" s="38"/>
      <c r="AD1622" s="38"/>
      <c r="AE1622" s="38"/>
      <c r="AF1622" s="38"/>
      <c r="AG1622" s="40"/>
      <c r="AH1622" s="38"/>
    </row>
    <row r="1623" spans="1:34" x14ac:dyDescent="0.2">
      <c r="A1623" s="38"/>
      <c r="B1623" s="38"/>
      <c r="C1623" s="38"/>
      <c r="D1623" s="38"/>
      <c r="E1623" s="177"/>
      <c r="F1623" s="177"/>
      <c r="G1623" s="269"/>
      <c r="H1623" s="179"/>
      <c r="I1623" s="177"/>
      <c r="J1623" s="177"/>
      <c r="K1623" s="177"/>
      <c r="L1623" s="177"/>
      <c r="M1623" s="177"/>
      <c r="N1623" s="70"/>
      <c r="O1623" s="38"/>
      <c r="P1623" s="38"/>
      <c r="Q1623" s="760"/>
      <c r="R1623" s="590"/>
      <c r="S1623" s="38"/>
      <c r="T1623" s="38"/>
      <c r="U1623" s="38"/>
      <c r="V1623" s="37"/>
      <c r="W1623" s="39">
        <f>IF(AC1623="Intr",0,G1623*Definitions!$B$53)</f>
        <v>0</v>
      </c>
      <c r="X1623" s="39">
        <f>IF(AC1623="Intr",0,G1623*Definitions!$B$54)</f>
        <v>0</v>
      </c>
      <c r="Y1623" s="39">
        <f>IF(AC1623="Intr",G1623,G1623*Definitions!$B$55)</f>
        <v>0</v>
      </c>
      <c r="Z1623" s="39"/>
      <c r="AA1623" s="39"/>
      <c r="AB1623" s="39"/>
      <c r="AC1623" s="38"/>
      <c r="AD1623" s="38"/>
      <c r="AE1623" s="38"/>
      <c r="AF1623" s="38"/>
      <c r="AG1623" s="40"/>
      <c r="AH1623" s="38"/>
    </row>
    <row r="1624" spans="1:34" x14ac:dyDescent="0.2">
      <c r="A1624" s="38"/>
      <c r="B1624" s="38"/>
      <c r="C1624" s="38"/>
      <c r="D1624" s="38"/>
      <c r="E1624" s="177"/>
      <c r="F1624" s="177"/>
      <c r="G1624" s="269"/>
      <c r="H1624" s="179"/>
      <c r="I1624" s="177"/>
      <c r="J1624" s="177"/>
      <c r="K1624" s="177"/>
      <c r="L1624" s="177"/>
      <c r="M1624" s="177"/>
      <c r="N1624" s="70"/>
      <c r="O1624" s="38"/>
      <c r="P1624" s="38"/>
      <c r="Q1624" s="760"/>
      <c r="R1624" s="590"/>
      <c r="S1624" s="38"/>
      <c r="T1624" s="38"/>
      <c r="U1624" s="38"/>
      <c r="V1624" s="37"/>
      <c r="W1624" s="39">
        <f>IF(AC1624="Intr",0,G1624*Definitions!$B$53)</f>
        <v>0</v>
      </c>
      <c r="X1624" s="39">
        <f>IF(AC1624="Intr",0,G1624*Definitions!$B$54)</f>
        <v>0</v>
      </c>
      <c r="Y1624" s="39">
        <f>IF(AC1624="Intr",G1624,G1624*Definitions!$B$55)</f>
        <v>0</v>
      </c>
      <c r="Z1624" s="39"/>
      <c r="AA1624" s="39"/>
      <c r="AB1624" s="39"/>
      <c r="AC1624" s="38"/>
      <c r="AD1624" s="38"/>
      <c r="AE1624" s="38"/>
      <c r="AF1624" s="38"/>
      <c r="AG1624" s="40"/>
      <c r="AH1624" s="38"/>
    </row>
    <row r="1625" spans="1:34" x14ac:dyDescent="0.2">
      <c r="A1625" s="38"/>
      <c r="B1625" s="38"/>
      <c r="C1625" s="38"/>
      <c r="D1625" s="38"/>
      <c r="E1625" s="177"/>
      <c r="F1625" s="177"/>
      <c r="G1625" s="269"/>
      <c r="H1625" s="179"/>
      <c r="I1625" s="177"/>
      <c r="J1625" s="177"/>
      <c r="K1625" s="177"/>
      <c r="L1625" s="177"/>
      <c r="M1625" s="177"/>
      <c r="N1625" s="70"/>
      <c r="O1625" s="38"/>
      <c r="P1625" s="38"/>
      <c r="Q1625" s="760"/>
      <c r="R1625" s="590"/>
      <c r="S1625" s="38"/>
      <c r="T1625" s="38"/>
      <c r="U1625" s="38"/>
      <c r="V1625" s="37"/>
      <c r="W1625" s="39">
        <f>IF(AC1625="Intr",0,G1625*Definitions!$B$53)</f>
        <v>0</v>
      </c>
      <c r="X1625" s="39">
        <f>IF(AC1625="Intr",0,G1625*Definitions!$B$54)</f>
        <v>0</v>
      </c>
      <c r="Y1625" s="39">
        <f>IF(AC1625="Intr",G1625,G1625*Definitions!$B$55)</f>
        <v>0</v>
      </c>
      <c r="Z1625" s="39"/>
      <c r="AA1625" s="39"/>
      <c r="AB1625" s="39"/>
      <c r="AC1625" s="38"/>
      <c r="AD1625" s="38"/>
      <c r="AE1625" s="38"/>
      <c r="AF1625" s="38"/>
      <c r="AG1625" s="40"/>
      <c r="AH1625" s="38"/>
    </row>
    <row r="1626" spans="1:34" x14ac:dyDescent="0.2">
      <c r="A1626" s="38"/>
      <c r="B1626" s="38"/>
      <c r="C1626" s="38"/>
      <c r="D1626" s="38"/>
      <c r="E1626" s="177"/>
      <c r="F1626" s="177"/>
      <c r="G1626" s="269"/>
      <c r="H1626" s="179"/>
      <c r="I1626" s="177"/>
      <c r="J1626" s="177"/>
      <c r="K1626" s="177"/>
      <c r="L1626" s="177"/>
      <c r="M1626" s="177"/>
      <c r="N1626" s="70"/>
      <c r="O1626" s="38"/>
      <c r="P1626" s="38"/>
      <c r="Q1626" s="760"/>
      <c r="R1626" s="590"/>
      <c r="S1626" s="38"/>
      <c r="T1626" s="38"/>
      <c r="U1626" s="38"/>
      <c r="V1626" s="37"/>
      <c r="W1626" s="39">
        <f>IF(AC1626="Intr",0,G1626*Definitions!$B$53)</f>
        <v>0</v>
      </c>
      <c r="X1626" s="39">
        <f>IF(AC1626="Intr",0,G1626*Definitions!$B$54)</f>
        <v>0</v>
      </c>
      <c r="Y1626" s="39">
        <f>IF(AC1626="Intr",G1626,G1626*Definitions!$B$55)</f>
        <v>0</v>
      </c>
      <c r="Z1626" s="39"/>
      <c r="AA1626" s="39"/>
      <c r="AB1626" s="39"/>
      <c r="AC1626" s="38"/>
      <c r="AD1626" s="38"/>
      <c r="AE1626" s="38"/>
      <c r="AF1626" s="38"/>
      <c r="AG1626" s="40"/>
      <c r="AH1626" s="38"/>
    </row>
    <row r="1627" spans="1:34" x14ac:dyDescent="0.2">
      <c r="A1627" s="38"/>
      <c r="B1627" s="38"/>
      <c r="C1627" s="38"/>
      <c r="D1627" s="38"/>
      <c r="E1627" s="177"/>
      <c r="F1627" s="177"/>
      <c r="G1627" s="269"/>
      <c r="H1627" s="179"/>
      <c r="I1627" s="177"/>
      <c r="J1627" s="177"/>
      <c r="K1627" s="177"/>
      <c r="L1627" s="177"/>
      <c r="M1627" s="177"/>
      <c r="N1627" s="70"/>
      <c r="O1627" s="38"/>
      <c r="P1627" s="38"/>
      <c r="Q1627" s="760"/>
      <c r="R1627" s="590"/>
      <c r="S1627" s="38"/>
      <c r="T1627" s="38"/>
      <c r="U1627" s="38"/>
      <c r="V1627" s="37"/>
      <c r="W1627" s="39">
        <f>IF(AC1627="Intr",0,G1627*Definitions!$B$53)</f>
        <v>0</v>
      </c>
      <c r="X1627" s="39">
        <f>IF(AC1627="Intr",0,G1627*Definitions!$B$54)</f>
        <v>0</v>
      </c>
      <c r="Y1627" s="39">
        <f>IF(AC1627="Intr",G1627,G1627*Definitions!$B$55)</f>
        <v>0</v>
      </c>
      <c r="Z1627" s="39"/>
      <c r="AA1627" s="39"/>
      <c r="AB1627" s="39"/>
      <c r="AC1627" s="38"/>
      <c r="AD1627" s="38"/>
      <c r="AE1627" s="38"/>
      <c r="AF1627" s="38"/>
      <c r="AG1627" s="40"/>
      <c r="AH1627" s="38"/>
    </row>
    <row r="1628" spans="1:34" x14ac:dyDescent="0.2">
      <c r="A1628" s="38"/>
      <c r="B1628" s="38"/>
      <c r="C1628" s="38"/>
      <c r="D1628" s="38"/>
      <c r="E1628" s="177"/>
      <c r="F1628" s="177"/>
      <c r="G1628" s="269"/>
      <c r="H1628" s="179"/>
      <c r="I1628" s="177"/>
      <c r="J1628" s="177"/>
      <c r="K1628" s="177"/>
      <c r="L1628" s="177"/>
      <c r="M1628" s="177"/>
      <c r="N1628" s="70"/>
      <c r="O1628" s="38"/>
      <c r="P1628" s="38"/>
      <c r="Q1628" s="760"/>
      <c r="R1628" s="590"/>
      <c r="S1628" s="38"/>
      <c r="T1628" s="38"/>
      <c r="U1628" s="38"/>
      <c r="V1628" s="37"/>
      <c r="W1628" s="39">
        <f>IF(AC1628="Intr",0,G1628*Definitions!$B$53)</f>
        <v>0</v>
      </c>
      <c r="X1628" s="39">
        <f>IF(AC1628="Intr",0,G1628*Definitions!$B$54)</f>
        <v>0</v>
      </c>
      <c r="Y1628" s="39">
        <f>IF(AC1628="Intr",G1628,G1628*Definitions!$B$55)</f>
        <v>0</v>
      </c>
      <c r="Z1628" s="39"/>
      <c r="AA1628" s="39"/>
      <c r="AB1628" s="39"/>
      <c r="AC1628" s="38"/>
      <c r="AD1628" s="38"/>
      <c r="AE1628" s="38"/>
      <c r="AF1628" s="38"/>
      <c r="AG1628" s="40"/>
      <c r="AH1628" s="38"/>
    </row>
    <row r="1629" spans="1:34" x14ac:dyDescent="0.2">
      <c r="A1629" s="38"/>
      <c r="B1629" s="38"/>
      <c r="C1629" s="38"/>
      <c r="D1629" s="38"/>
      <c r="E1629" s="177"/>
      <c r="F1629" s="177"/>
      <c r="G1629" s="269"/>
      <c r="H1629" s="179"/>
      <c r="I1629" s="177"/>
      <c r="J1629" s="177"/>
      <c r="K1629" s="177"/>
      <c r="L1629" s="177"/>
      <c r="M1629" s="177"/>
      <c r="N1629" s="70"/>
      <c r="O1629" s="38"/>
      <c r="P1629" s="38"/>
      <c r="Q1629" s="760"/>
      <c r="R1629" s="590"/>
      <c r="S1629" s="38"/>
      <c r="T1629" s="38"/>
      <c r="U1629" s="38"/>
      <c r="V1629" s="37"/>
      <c r="W1629" s="39">
        <f>IF(AC1629="Intr",0,G1629*Definitions!$B$53)</f>
        <v>0</v>
      </c>
      <c r="X1629" s="39">
        <f>IF(AC1629="Intr",0,G1629*Definitions!$B$54)</f>
        <v>0</v>
      </c>
      <c r="Y1629" s="39">
        <f>IF(AC1629="Intr",G1629,G1629*Definitions!$B$55)</f>
        <v>0</v>
      </c>
      <c r="Z1629" s="39"/>
      <c r="AA1629" s="39"/>
      <c r="AB1629" s="39"/>
      <c r="AC1629" s="38"/>
      <c r="AD1629" s="38"/>
      <c r="AE1629" s="38"/>
      <c r="AF1629" s="38"/>
      <c r="AG1629" s="40"/>
      <c r="AH1629" s="38"/>
    </row>
    <row r="1630" spans="1:34" x14ac:dyDescent="0.2">
      <c r="A1630" s="38"/>
      <c r="B1630" s="38"/>
      <c r="C1630" s="38"/>
      <c r="D1630" s="38"/>
      <c r="E1630" s="177"/>
      <c r="F1630" s="177"/>
      <c r="G1630" s="269"/>
      <c r="H1630" s="179"/>
      <c r="I1630" s="177"/>
      <c r="J1630" s="177"/>
      <c r="K1630" s="177"/>
      <c r="L1630" s="177"/>
      <c r="M1630" s="177"/>
      <c r="N1630" s="70"/>
      <c r="O1630" s="38"/>
      <c r="P1630" s="38"/>
      <c r="Q1630" s="760"/>
      <c r="R1630" s="590"/>
      <c r="S1630" s="38"/>
      <c r="T1630" s="38"/>
      <c r="U1630" s="38"/>
      <c r="V1630" s="37"/>
      <c r="W1630" s="39">
        <f>IF(AC1630="Intr",0,G1630*Definitions!$B$53)</f>
        <v>0</v>
      </c>
      <c r="X1630" s="39">
        <f>IF(AC1630="Intr",0,G1630*Definitions!$B$54)</f>
        <v>0</v>
      </c>
      <c r="Y1630" s="39">
        <f>IF(AC1630="Intr",G1630,G1630*Definitions!$B$55)</f>
        <v>0</v>
      </c>
      <c r="Z1630" s="39"/>
      <c r="AA1630" s="39"/>
      <c r="AB1630" s="39"/>
      <c r="AC1630" s="38"/>
      <c r="AD1630" s="38"/>
      <c r="AE1630" s="38"/>
      <c r="AF1630" s="38"/>
      <c r="AG1630" s="40"/>
      <c r="AH1630" s="38"/>
    </row>
    <row r="1631" spans="1:34" x14ac:dyDescent="0.2">
      <c r="A1631" s="38"/>
      <c r="B1631" s="38"/>
      <c r="C1631" s="38"/>
      <c r="D1631" s="38"/>
      <c r="E1631" s="177"/>
      <c r="F1631" s="177"/>
      <c r="G1631" s="269"/>
      <c r="H1631" s="179"/>
      <c r="I1631" s="177"/>
      <c r="J1631" s="177"/>
      <c r="K1631" s="177"/>
      <c r="L1631" s="177"/>
      <c r="M1631" s="177"/>
      <c r="N1631" s="70"/>
      <c r="O1631" s="38"/>
      <c r="P1631" s="38"/>
      <c r="Q1631" s="760"/>
      <c r="R1631" s="590"/>
      <c r="S1631" s="38"/>
      <c r="T1631" s="38"/>
      <c r="U1631" s="38"/>
      <c r="V1631" s="37"/>
      <c r="W1631" s="39">
        <f>IF(AC1631="Intr",0,G1631*Definitions!$B$53)</f>
        <v>0</v>
      </c>
      <c r="X1631" s="39">
        <f>IF(AC1631="Intr",0,G1631*Definitions!$B$54)</f>
        <v>0</v>
      </c>
      <c r="Y1631" s="39">
        <f>IF(AC1631="Intr",G1631,G1631*Definitions!$B$55)</f>
        <v>0</v>
      </c>
      <c r="Z1631" s="39"/>
      <c r="AA1631" s="39"/>
      <c r="AB1631" s="39"/>
      <c r="AC1631" s="38"/>
      <c r="AD1631" s="38"/>
      <c r="AE1631" s="38"/>
      <c r="AF1631" s="38"/>
      <c r="AG1631" s="40"/>
      <c r="AH1631" s="38"/>
    </row>
    <row r="1632" spans="1:34" x14ac:dyDescent="0.2">
      <c r="A1632" s="38"/>
      <c r="B1632" s="38"/>
      <c r="C1632" s="38"/>
      <c r="D1632" s="38"/>
      <c r="E1632" s="177"/>
      <c r="F1632" s="177"/>
      <c r="G1632" s="269"/>
      <c r="H1632" s="179"/>
      <c r="I1632" s="177"/>
      <c r="J1632" s="177"/>
      <c r="K1632" s="177"/>
      <c r="L1632" s="177"/>
      <c r="M1632" s="177"/>
      <c r="N1632" s="70"/>
      <c r="O1632" s="38"/>
      <c r="P1632" s="38"/>
      <c r="Q1632" s="760"/>
      <c r="R1632" s="590"/>
      <c r="S1632" s="38"/>
      <c r="T1632" s="38"/>
      <c r="U1632" s="38"/>
      <c r="V1632" s="37"/>
      <c r="W1632" s="39">
        <f>IF(AC1632="Intr",0,G1632*Definitions!$B$53)</f>
        <v>0</v>
      </c>
      <c r="X1632" s="39">
        <f>IF(AC1632="Intr",0,G1632*Definitions!$B$54)</f>
        <v>0</v>
      </c>
      <c r="Y1632" s="39">
        <f>IF(AC1632="Intr",G1632,G1632*Definitions!$B$55)</f>
        <v>0</v>
      </c>
      <c r="Z1632" s="39"/>
      <c r="AA1632" s="39"/>
      <c r="AB1632" s="39"/>
      <c r="AC1632" s="38"/>
      <c r="AD1632" s="38"/>
      <c r="AE1632" s="38"/>
      <c r="AF1632" s="38"/>
      <c r="AG1632" s="40"/>
      <c r="AH1632" s="38"/>
    </row>
    <row r="1633" spans="1:34" x14ac:dyDescent="0.2">
      <c r="A1633" s="38"/>
      <c r="B1633" s="38"/>
      <c r="C1633" s="38"/>
      <c r="D1633" s="38"/>
      <c r="E1633" s="177"/>
      <c r="F1633" s="177"/>
      <c r="G1633" s="269"/>
      <c r="H1633" s="179"/>
      <c r="I1633" s="177"/>
      <c r="J1633" s="177"/>
      <c r="K1633" s="177"/>
      <c r="L1633" s="177"/>
      <c r="M1633" s="177"/>
      <c r="N1633" s="70"/>
      <c r="O1633" s="38"/>
      <c r="P1633" s="38"/>
      <c r="Q1633" s="760"/>
      <c r="R1633" s="590"/>
      <c r="S1633" s="38"/>
      <c r="T1633" s="38"/>
      <c r="U1633" s="38"/>
      <c r="V1633" s="37"/>
      <c r="W1633" s="39">
        <f>IF(AC1633="Intr",0,G1633*Definitions!$B$53)</f>
        <v>0</v>
      </c>
      <c r="X1633" s="39">
        <f>IF(AC1633="Intr",0,G1633*Definitions!$B$54)</f>
        <v>0</v>
      </c>
      <c r="Y1633" s="39">
        <f>IF(AC1633="Intr",G1633,G1633*Definitions!$B$55)</f>
        <v>0</v>
      </c>
      <c r="Z1633" s="39"/>
      <c r="AA1633" s="39"/>
      <c r="AB1633" s="39"/>
      <c r="AC1633" s="38"/>
      <c r="AD1633" s="38"/>
      <c r="AE1633" s="38"/>
      <c r="AF1633" s="38"/>
      <c r="AG1633" s="40"/>
      <c r="AH1633" s="38"/>
    </row>
    <row r="1634" spans="1:34" x14ac:dyDescent="0.2">
      <c r="A1634" s="38"/>
      <c r="B1634" s="38"/>
      <c r="C1634" s="38"/>
      <c r="D1634" s="38"/>
      <c r="E1634" s="177"/>
      <c r="F1634" s="177"/>
      <c r="G1634" s="269"/>
      <c r="H1634" s="179"/>
      <c r="I1634" s="177"/>
      <c r="J1634" s="177"/>
      <c r="K1634" s="177"/>
      <c r="L1634" s="177"/>
      <c r="M1634" s="177"/>
      <c r="N1634" s="70"/>
      <c r="O1634" s="38"/>
      <c r="P1634" s="38"/>
      <c r="Q1634" s="760"/>
      <c r="R1634" s="590"/>
      <c r="S1634" s="38"/>
      <c r="T1634" s="38"/>
      <c r="U1634" s="38"/>
      <c r="V1634" s="37"/>
      <c r="W1634" s="39">
        <f>IF(AC1634="Intr",0,G1634*Definitions!$B$53)</f>
        <v>0</v>
      </c>
      <c r="X1634" s="39">
        <f>IF(AC1634="Intr",0,G1634*Definitions!$B$54)</f>
        <v>0</v>
      </c>
      <c r="Y1634" s="39">
        <f>IF(AC1634="Intr",G1634,G1634*Definitions!$B$55)</f>
        <v>0</v>
      </c>
      <c r="Z1634" s="39"/>
      <c r="AA1634" s="39"/>
      <c r="AB1634" s="39"/>
      <c r="AC1634" s="38"/>
      <c r="AD1634" s="38"/>
      <c r="AE1634" s="38"/>
      <c r="AF1634" s="38"/>
      <c r="AG1634" s="40"/>
      <c r="AH1634" s="38"/>
    </row>
    <row r="1635" spans="1:34" x14ac:dyDescent="0.2">
      <c r="A1635" s="38"/>
      <c r="B1635" s="38"/>
      <c r="C1635" s="38"/>
      <c r="D1635" s="38"/>
      <c r="E1635" s="177"/>
      <c r="F1635" s="177"/>
      <c r="G1635" s="269"/>
      <c r="H1635" s="179"/>
      <c r="I1635" s="177"/>
      <c r="J1635" s="177"/>
      <c r="K1635" s="177"/>
      <c r="L1635" s="177"/>
      <c r="M1635" s="177"/>
      <c r="N1635" s="70"/>
      <c r="O1635" s="38"/>
      <c r="P1635" s="38"/>
      <c r="Q1635" s="760"/>
      <c r="R1635" s="590"/>
      <c r="S1635" s="38"/>
      <c r="T1635" s="38"/>
      <c r="U1635" s="38"/>
      <c r="V1635" s="37"/>
      <c r="W1635" s="39">
        <f>IF(AC1635="Intr",0,G1635*Definitions!$B$53)</f>
        <v>0</v>
      </c>
      <c r="X1635" s="39">
        <f>IF(AC1635="Intr",0,G1635*Definitions!$B$54)</f>
        <v>0</v>
      </c>
      <c r="Y1635" s="39">
        <f>IF(AC1635="Intr",G1635,G1635*Definitions!$B$55)</f>
        <v>0</v>
      </c>
      <c r="Z1635" s="39"/>
      <c r="AA1635" s="39"/>
      <c r="AB1635" s="39"/>
      <c r="AC1635" s="38"/>
      <c r="AD1635" s="38"/>
      <c r="AE1635" s="38"/>
      <c r="AF1635" s="38"/>
      <c r="AG1635" s="40"/>
      <c r="AH1635" s="38"/>
    </row>
    <row r="1636" spans="1:34" x14ac:dyDescent="0.2">
      <c r="A1636" s="38"/>
      <c r="B1636" s="38"/>
      <c r="C1636" s="38"/>
      <c r="D1636" s="38"/>
      <c r="E1636" s="177"/>
      <c r="F1636" s="177"/>
      <c r="G1636" s="269"/>
      <c r="H1636" s="179"/>
      <c r="I1636" s="177"/>
      <c r="J1636" s="177"/>
      <c r="K1636" s="177"/>
      <c r="L1636" s="177"/>
      <c r="M1636" s="177"/>
      <c r="N1636" s="70"/>
      <c r="O1636" s="38"/>
      <c r="P1636" s="38"/>
      <c r="Q1636" s="760"/>
      <c r="R1636" s="590"/>
      <c r="S1636" s="38"/>
      <c r="T1636" s="38"/>
      <c r="U1636" s="38"/>
      <c r="V1636" s="37"/>
      <c r="W1636" s="39">
        <f>IF(AC1636="Intr",0,G1636*Definitions!$B$53)</f>
        <v>0</v>
      </c>
      <c r="X1636" s="39">
        <f>IF(AC1636="Intr",0,G1636*Definitions!$B$54)</f>
        <v>0</v>
      </c>
      <c r="Y1636" s="39">
        <f>IF(AC1636="Intr",G1636,G1636*Definitions!$B$55)</f>
        <v>0</v>
      </c>
      <c r="Z1636" s="39"/>
      <c r="AA1636" s="39"/>
      <c r="AB1636" s="39"/>
      <c r="AC1636" s="38"/>
      <c r="AD1636" s="38"/>
      <c r="AE1636" s="38"/>
      <c r="AF1636" s="38"/>
      <c r="AG1636" s="40"/>
      <c r="AH1636" s="38"/>
    </row>
    <row r="1637" spans="1:34" x14ac:dyDescent="0.2">
      <c r="A1637" s="38"/>
      <c r="B1637" s="38"/>
      <c r="C1637" s="38"/>
      <c r="D1637" s="38"/>
      <c r="E1637" s="177"/>
      <c r="F1637" s="177"/>
      <c r="G1637" s="269"/>
      <c r="H1637" s="179"/>
      <c r="I1637" s="177"/>
      <c r="J1637" s="177"/>
      <c r="K1637" s="177"/>
      <c r="L1637" s="177"/>
      <c r="M1637" s="177"/>
      <c r="N1637" s="70"/>
      <c r="O1637" s="38"/>
      <c r="P1637" s="38"/>
      <c r="Q1637" s="760"/>
      <c r="R1637" s="590"/>
      <c r="S1637" s="38"/>
      <c r="T1637" s="38"/>
      <c r="U1637" s="38"/>
      <c r="V1637" s="37"/>
      <c r="W1637" s="39">
        <f>IF(AC1637="Intr",0,G1637*Definitions!$B$53)</f>
        <v>0</v>
      </c>
      <c r="X1637" s="39">
        <f>IF(AC1637="Intr",0,G1637*Definitions!$B$54)</f>
        <v>0</v>
      </c>
      <c r="Y1637" s="39">
        <f>IF(AC1637="Intr",G1637,G1637*Definitions!$B$55)</f>
        <v>0</v>
      </c>
      <c r="Z1637" s="39"/>
      <c r="AA1637" s="39"/>
      <c r="AB1637" s="39"/>
      <c r="AC1637" s="38"/>
      <c r="AD1637" s="38"/>
      <c r="AE1637" s="38"/>
      <c r="AF1637" s="38"/>
      <c r="AG1637" s="40"/>
      <c r="AH1637" s="38"/>
    </row>
    <row r="1638" spans="1:34" x14ac:dyDescent="0.2">
      <c r="A1638" s="38"/>
      <c r="B1638" s="38"/>
      <c r="C1638" s="38"/>
      <c r="D1638" s="38"/>
      <c r="E1638" s="177"/>
      <c r="F1638" s="177"/>
      <c r="G1638" s="269"/>
      <c r="H1638" s="179"/>
      <c r="I1638" s="177"/>
      <c r="J1638" s="177"/>
      <c r="K1638" s="177"/>
      <c r="L1638" s="177"/>
      <c r="M1638" s="177"/>
      <c r="N1638" s="70"/>
      <c r="O1638" s="38"/>
      <c r="P1638" s="38"/>
      <c r="Q1638" s="760"/>
      <c r="R1638" s="590"/>
      <c r="S1638" s="38"/>
      <c r="T1638" s="38"/>
      <c r="U1638" s="38"/>
      <c r="V1638" s="37"/>
      <c r="W1638" s="39">
        <f>IF(AC1638="Intr",0,G1638*Definitions!$B$53)</f>
        <v>0</v>
      </c>
      <c r="X1638" s="39">
        <f>IF(AC1638="Intr",0,G1638*Definitions!$B$54)</f>
        <v>0</v>
      </c>
      <c r="Y1638" s="39">
        <f>IF(AC1638="Intr",G1638,G1638*Definitions!$B$55)</f>
        <v>0</v>
      </c>
      <c r="Z1638" s="39"/>
      <c r="AA1638" s="39"/>
      <c r="AB1638" s="39"/>
      <c r="AC1638" s="38"/>
      <c r="AD1638" s="38"/>
      <c r="AE1638" s="38"/>
      <c r="AF1638" s="38"/>
      <c r="AG1638" s="40"/>
      <c r="AH1638" s="38"/>
    </row>
    <row r="1639" spans="1:34" x14ac:dyDescent="0.2">
      <c r="A1639" s="38"/>
      <c r="B1639" s="38"/>
      <c r="C1639" s="38"/>
      <c r="D1639" s="38"/>
      <c r="E1639" s="177"/>
      <c r="F1639" s="177"/>
      <c r="G1639" s="269"/>
      <c r="H1639" s="179"/>
      <c r="I1639" s="177"/>
      <c r="J1639" s="177"/>
      <c r="K1639" s="177"/>
      <c r="L1639" s="177"/>
      <c r="M1639" s="177"/>
      <c r="N1639" s="70"/>
      <c r="O1639" s="38"/>
      <c r="P1639" s="38"/>
      <c r="Q1639" s="760"/>
      <c r="R1639" s="590"/>
      <c r="S1639" s="38"/>
      <c r="T1639" s="38"/>
      <c r="U1639" s="38"/>
      <c r="V1639" s="37"/>
      <c r="W1639" s="39">
        <f>IF(AC1639="Intr",0,G1639*Definitions!$B$53)</f>
        <v>0</v>
      </c>
      <c r="X1639" s="39">
        <f>IF(AC1639="Intr",0,G1639*Definitions!$B$54)</f>
        <v>0</v>
      </c>
      <c r="Y1639" s="39">
        <f>IF(AC1639="Intr",G1639,G1639*Definitions!$B$55)</f>
        <v>0</v>
      </c>
      <c r="Z1639" s="39"/>
      <c r="AA1639" s="39"/>
      <c r="AB1639" s="39"/>
      <c r="AC1639" s="38"/>
      <c r="AD1639" s="38"/>
      <c r="AE1639" s="38"/>
      <c r="AF1639" s="38"/>
      <c r="AG1639" s="40"/>
      <c r="AH1639" s="38"/>
    </row>
    <row r="1640" spans="1:34" x14ac:dyDescent="0.2">
      <c r="A1640" s="38"/>
      <c r="B1640" s="38"/>
      <c r="C1640" s="38"/>
      <c r="D1640" s="38"/>
      <c r="E1640" s="177"/>
      <c r="F1640" s="177"/>
      <c r="G1640" s="269"/>
      <c r="H1640" s="179"/>
      <c r="I1640" s="177"/>
      <c r="J1640" s="177"/>
      <c r="K1640" s="177"/>
      <c r="L1640" s="177"/>
      <c r="M1640" s="177"/>
      <c r="N1640" s="70"/>
      <c r="O1640" s="38"/>
      <c r="P1640" s="38"/>
      <c r="Q1640" s="760"/>
      <c r="R1640" s="590"/>
      <c r="S1640" s="38"/>
      <c r="T1640" s="38"/>
      <c r="U1640" s="38"/>
      <c r="V1640" s="37"/>
      <c r="W1640" s="39">
        <f>IF(AC1640="Intr",0,G1640*Definitions!$B$53)</f>
        <v>0</v>
      </c>
      <c r="X1640" s="39">
        <f>IF(AC1640="Intr",0,G1640*Definitions!$B$54)</f>
        <v>0</v>
      </c>
      <c r="Y1640" s="39">
        <f>IF(AC1640="Intr",G1640,G1640*Definitions!$B$55)</f>
        <v>0</v>
      </c>
      <c r="Z1640" s="39"/>
      <c r="AA1640" s="39"/>
      <c r="AB1640" s="39"/>
      <c r="AC1640" s="38"/>
      <c r="AD1640" s="38"/>
      <c r="AE1640" s="38"/>
      <c r="AF1640" s="38"/>
      <c r="AG1640" s="40"/>
      <c r="AH1640" s="38"/>
    </row>
    <row r="1641" spans="1:34" x14ac:dyDescent="0.2">
      <c r="A1641" s="38"/>
      <c r="B1641" s="38"/>
      <c r="C1641" s="38"/>
      <c r="D1641" s="38"/>
      <c r="E1641" s="177"/>
      <c r="F1641" s="177"/>
      <c r="G1641" s="269"/>
      <c r="H1641" s="179"/>
      <c r="I1641" s="177"/>
      <c r="J1641" s="177"/>
      <c r="K1641" s="177"/>
      <c r="L1641" s="177"/>
      <c r="M1641" s="177"/>
      <c r="N1641" s="70"/>
      <c r="O1641" s="38"/>
      <c r="P1641" s="38"/>
      <c r="Q1641" s="760"/>
      <c r="R1641" s="590"/>
      <c r="S1641" s="38"/>
      <c r="T1641" s="38"/>
      <c r="U1641" s="38"/>
      <c r="V1641" s="37"/>
      <c r="W1641" s="39">
        <f>IF(AC1641="Intr",0,G1641*Definitions!$B$53)</f>
        <v>0</v>
      </c>
      <c r="X1641" s="39">
        <f>IF(AC1641="Intr",0,G1641*Definitions!$B$54)</f>
        <v>0</v>
      </c>
      <c r="Y1641" s="39">
        <f>IF(AC1641="Intr",G1641,G1641*Definitions!$B$55)</f>
        <v>0</v>
      </c>
      <c r="Z1641" s="39"/>
      <c r="AA1641" s="39"/>
      <c r="AB1641" s="39"/>
      <c r="AC1641" s="38"/>
      <c r="AD1641" s="38"/>
      <c r="AE1641" s="38"/>
      <c r="AF1641" s="38"/>
      <c r="AG1641" s="40"/>
      <c r="AH1641" s="38"/>
    </row>
    <row r="1642" spans="1:34" x14ac:dyDescent="0.2">
      <c r="A1642" s="38"/>
      <c r="B1642" s="38"/>
      <c r="C1642" s="38"/>
      <c r="D1642" s="38"/>
      <c r="E1642" s="177"/>
      <c r="F1642" s="177"/>
      <c r="G1642" s="269"/>
      <c r="H1642" s="179"/>
      <c r="I1642" s="177"/>
      <c r="J1642" s="177"/>
      <c r="K1642" s="177"/>
      <c r="L1642" s="177"/>
      <c r="M1642" s="177"/>
      <c r="N1642" s="70"/>
      <c r="O1642" s="38"/>
      <c r="P1642" s="38"/>
      <c r="Q1642" s="760"/>
      <c r="R1642" s="590"/>
      <c r="S1642" s="38"/>
      <c r="T1642" s="38"/>
      <c r="U1642" s="38"/>
      <c r="V1642" s="37"/>
      <c r="W1642" s="39">
        <f>IF(AC1642="Intr",0,G1642*Definitions!$B$53)</f>
        <v>0</v>
      </c>
      <c r="X1642" s="39">
        <f>IF(AC1642="Intr",0,G1642*Definitions!$B$54)</f>
        <v>0</v>
      </c>
      <c r="Y1642" s="39">
        <f>IF(AC1642="Intr",G1642,G1642*Definitions!$B$55)</f>
        <v>0</v>
      </c>
      <c r="Z1642" s="39"/>
      <c r="AA1642" s="39"/>
      <c r="AB1642" s="39"/>
      <c r="AC1642" s="38"/>
      <c r="AD1642" s="38"/>
      <c r="AE1642" s="38"/>
      <c r="AF1642" s="38"/>
      <c r="AG1642" s="40"/>
      <c r="AH1642" s="38"/>
    </row>
    <row r="1643" spans="1:34" x14ac:dyDescent="0.2">
      <c r="A1643" s="38"/>
      <c r="B1643" s="38"/>
      <c r="C1643" s="38"/>
      <c r="D1643" s="38"/>
      <c r="E1643" s="177"/>
      <c r="F1643" s="177"/>
      <c r="G1643" s="269"/>
      <c r="H1643" s="179"/>
      <c r="I1643" s="177"/>
      <c r="J1643" s="177"/>
      <c r="K1643" s="177"/>
      <c r="L1643" s="177"/>
      <c r="M1643" s="177"/>
      <c r="N1643" s="70"/>
      <c r="O1643" s="38"/>
      <c r="P1643" s="38"/>
      <c r="Q1643" s="760"/>
      <c r="R1643" s="590"/>
      <c r="S1643" s="38"/>
      <c r="T1643" s="38"/>
      <c r="U1643" s="38"/>
      <c r="V1643" s="37"/>
      <c r="W1643" s="39">
        <f>IF(AC1643="Intr",0,G1643*Definitions!$B$53)</f>
        <v>0</v>
      </c>
      <c r="X1643" s="39">
        <f>IF(AC1643="Intr",0,G1643*Definitions!$B$54)</f>
        <v>0</v>
      </c>
      <c r="Y1643" s="39">
        <f>IF(AC1643="Intr",G1643,G1643*Definitions!$B$55)</f>
        <v>0</v>
      </c>
      <c r="Z1643" s="39"/>
      <c r="AA1643" s="39"/>
      <c r="AB1643" s="39"/>
      <c r="AC1643" s="38"/>
      <c r="AD1643" s="38"/>
      <c r="AE1643" s="38"/>
      <c r="AF1643" s="38"/>
      <c r="AG1643" s="40"/>
      <c r="AH1643" s="38"/>
    </row>
    <row r="1644" spans="1:34" x14ac:dyDescent="0.2">
      <c r="A1644" s="38"/>
      <c r="B1644" s="38"/>
      <c r="C1644" s="38"/>
      <c r="D1644" s="38"/>
      <c r="E1644" s="177"/>
      <c r="F1644" s="177"/>
      <c r="G1644" s="269"/>
      <c r="H1644" s="179"/>
      <c r="I1644" s="177"/>
      <c r="J1644" s="177"/>
      <c r="K1644" s="177"/>
      <c r="L1644" s="177"/>
      <c r="M1644" s="177"/>
      <c r="N1644" s="70"/>
      <c r="O1644" s="38"/>
      <c r="P1644" s="38"/>
      <c r="Q1644" s="760"/>
      <c r="R1644" s="590"/>
      <c r="S1644" s="38"/>
      <c r="T1644" s="38"/>
      <c r="U1644" s="38"/>
      <c r="V1644" s="37"/>
      <c r="W1644" s="39">
        <f>IF(AC1644="Intr",0,G1644*Definitions!$B$53)</f>
        <v>0</v>
      </c>
      <c r="X1644" s="39">
        <f>IF(AC1644="Intr",0,G1644*Definitions!$B$54)</f>
        <v>0</v>
      </c>
      <c r="Y1644" s="39">
        <f>IF(AC1644="Intr",G1644,G1644*Definitions!$B$55)</f>
        <v>0</v>
      </c>
      <c r="Z1644" s="39"/>
      <c r="AA1644" s="39"/>
      <c r="AB1644" s="39"/>
      <c r="AC1644" s="38"/>
      <c r="AD1644" s="38"/>
      <c r="AE1644" s="38"/>
      <c r="AF1644" s="38"/>
      <c r="AG1644" s="40"/>
      <c r="AH1644" s="38"/>
    </row>
    <row r="1645" spans="1:34" x14ac:dyDescent="0.2">
      <c r="A1645" s="38"/>
      <c r="B1645" s="38"/>
      <c r="C1645" s="38"/>
      <c r="D1645" s="38"/>
      <c r="E1645" s="177"/>
      <c r="F1645" s="177"/>
      <c r="G1645" s="269"/>
      <c r="H1645" s="179"/>
      <c r="I1645" s="177"/>
      <c r="J1645" s="177"/>
      <c r="K1645" s="177"/>
      <c r="L1645" s="177"/>
      <c r="M1645" s="177"/>
      <c r="N1645" s="70"/>
      <c r="O1645" s="38"/>
      <c r="P1645" s="38"/>
      <c r="Q1645" s="760"/>
      <c r="R1645" s="590"/>
      <c r="S1645" s="38"/>
      <c r="T1645" s="38"/>
      <c r="U1645" s="38"/>
      <c r="V1645" s="37"/>
      <c r="W1645" s="39">
        <f>IF(AC1645="Intr",0,G1645*Definitions!$B$53)</f>
        <v>0</v>
      </c>
      <c r="X1645" s="39">
        <f>IF(AC1645="Intr",0,G1645*Definitions!$B$54)</f>
        <v>0</v>
      </c>
      <c r="Y1645" s="39">
        <f>IF(AC1645="Intr",G1645,G1645*Definitions!$B$55)</f>
        <v>0</v>
      </c>
      <c r="Z1645" s="39"/>
      <c r="AA1645" s="39"/>
      <c r="AB1645" s="39"/>
      <c r="AC1645" s="38"/>
      <c r="AD1645" s="38"/>
      <c r="AE1645" s="38"/>
      <c r="AF1645" s="38"/>
      <c r="AG1645" s="40"/>
      <c r="AH1645" s="38"/>
    </row>
    <row r="1646" spans="1:34" x14ac:dyDescent="0.2">
      <c r="A1646" s="38"/>
      <c r="B1646" s="38"/>
      <c r="C1646" s="38"/>
      <c r="D1646" s="38"/>
      <c r="E1646" s="177"/>
      <c r="F1646" s="177"/>
      <c r="G1646" s="269"/>
      <c r="H1646" s="179"/>
      <c r="I1646" s="177"/>
      <c r="J1646" s="177"/>
      <c r="K1646" s="177"/>
      <c r="L1646" s="177"/>
      <c r="M1646" s="177"/>
      <c r="N1646" s="70"/>
      <c r="O1646" s="38"/>
      <c r="P1646" s="38"/>
      <c r="Q1646" s="760"/>
      <c r="R1646" s="590"/>
      <c r="S1646" s="38"/>
      <c r="T1646" s="38"/>
      <c r="U1646" s="38"/>
      <c r="V1646" s="37"/>
      <c r="W1646" s="39">
        <f>IF(AC1646="Intr",0,G1646*Definitions!$B$53)</f>
        <v>0</v>
      </c>
      <c r="X1646" s="39">
        <f>IF(AC1646="Intr",0,G1646*Definitions!$B$54)</f>
        <v>0</v>
      </c>
      <c r="Y1646" s="39">
        <f>IF(AC1646="Intr",G1646,G1646*Definitions!$B$55)</f>
        <v>0</v>
      </c>
      <c r="Z1646" s="39"/>
      <c r="AA1646" s="39"/>
      <c r="AB1646" s="39"/>
      <c r="AC1646" s="38"/>
      <c r="AD1646" s="38"/>
      <c r="AE1646" s="38"/>
      <c r="AF1646" s="38"/>
      <c r="AG1646" s="40"/>
      <c r="AH1646" s="38"/>
    </row>
    <row r="1647" spans="1:34" x14ac:dyDescent="0.2">
      <c r="A1647" s="38"/>
      <c r="B1647" s="38"/>
      <c r="C1647" s="38"/>
      <c r="D1647" s="38"/>
      <c r="E1647" s="177"/>
      <c r="F1647" s="177"/>
      <c r="G1647" s="269"/>
      <c r="H1647" s="179"/>
      <c r="I1647" s="177"/>
      <c r="J1647" s="177"/>
      <c r="K1647" s="177"/>
      <c r="L1647" s="177"/>
      <c r="M1647" s="177"/>
      <c r="N1647" s="70"/>
      <c r="O1647" s="38"/>
      <c r="P1647" s="38"/>
      <c r="Q1647" s="760"/>
      <c r="R1647" s="590"/>
      <c r="S1647" s="38"/>
      <c r="T1647" s="38"/>
      <c r="U1647" s="38"/>
      <c r="V1647" s="37"/>
      <c r="W1647" s="39">
        <f>IF(AC1647="Intr",0,G1647*Definitions!$B$53)</f>
        <v>0</v>
      </c>
      <c r="X1647" s="39">
        <f>IF(AC1647="Intr",0,G1647*Definitions!$B$54)</f>
        <v>0</v>
      </c>
      <c r="Y1647" s="39">
        <f>IF(AC1647="Intr",G1647,G1647*Definitions!$B$55)</f>
        <v>0</v>
      </c>
      <c r="Z1647" s="39"/>
      <c r="AA1647" s="39"/>
      <c r="AB1647" s="39"/>
      <c r="AC1647" s="38"/>
      <c r="AD1647" s="38"/>
      <c r="AE1647" s="38"/>
      <c r="AF1647" s="38"/>
      <c r="AG1647" s="40"/>
      <c r="AH1647" s="38"/>
    </row>
    <row r="1648" spans="1:34" x14ac:dyDescent="0.2">
      <c r="A1648" s="38"/>
      <c r="B1648" s="38"/>
      <c r="C1648" s="38"/>
      <c r="D1648" s="38"/>
      <c r="E1648" s="177"/>
      <c r="F1648" s="177"/>
      <c r="G1648" s="269"/>
      <c r="H1648" s="179"/>
      <c r="I1648" s="177"/>
      <c r="J1648" s="177"/>
      <c r="K1648" s="177"/>
      <c r="L1648" s="177"/>
      <c r="M1648" s="177"/>
      <c r="N1648" s="70"/>
      <c r="O1648" s="38"/>
      <c r="P1648" s="38"/>
      <c r="Q1648" s="760"/>
      <c r="R1648" s="590"/>
      <c r="S1648" s="38"/>
      <c r="T1648" s="38"/>
      <c r="U1648" s="38"/>
      <c r="V1648" s="37"/>
      <c r="W1648" s="39">
        <f>IF(AC1648="Intr",0,G1648*Definitions!$B$53)</f>
        <v>0</v>
      </c>
      <c r="X1648" s="39">
        <f>IF(AC1648="Intr",0,G1648*Definitions!$B$54)</f>
        <v>0</v>
      </c>
      <c r="Y1648" s="39">
        <f>IF(AC1648="Intr",G1648,G1648*Definitions!$B$55)</f>
        <v>0</v>
      </c>
      <c r="Z1648" s="39"/>
      <c r="AA1648" s="39"/>
      <c r="AB1648" s="39"/>
      <c r="AC1648" s="38"/>
      <c r="AD1648" s="38"/>
      <c r="AE1648" s="38"/>
      <c r="AF1648" s="38"/>
      <c r="AG1648" s="40"/>
      <c r="AH1648" s="38"/>
    </row>
    <row r="1649" spans="1:34" x14ac:dyDescent="0.2">
      <c r="A1649" s="38"/>
      <c r="B1649" s="38"/>
      <c r="C1649" s="38"/>
      <c r="D1649" s="38"/>
      <c r="E1649" s="177"/>
      <c r="F1649" s="177"/>
      <c r="G1649" s="269"/>
      <c r="H1649" s="179"/>
      <c r="I1649" s="177"/>
      <c r="J1649" s="177"/>
      <c r="K1649" s="177"/>
      <c r="L1649" s="177"/>
      <c r="M1649" s="177"/>
      <c r="N1649" s="70"/>
      <c r="O1649" s="38"/>
      <c r="P1649" s="38"/>
      <c r="Q1649" s="760"/>
      <c r="R1649" s="590"/>
      <c r="S1649" s="38"/>
      <c r="T1649" s="38"/>
      <c r="U1649" s="38"/>
      <c r="V1649" s="37"/>
      <c r="W1649" s="39">
        <f>IF(AC1649="Intr",0,G1649*Definitions!$B$53)</f>
        <v>0</v>
      </c>
      <c r="X1649" s="39">
        <f>IF(AC1649="Intr",0,G1649*Definitions!$B$54)</f>
        <v>0</v>
      </c>
      <c r="Y1649" s="39">
        <f>IF(AC1649="Intr",G1649,G1649*Definitions!$B$55)</f>
        <v>0</v>
      </c>
      <c r="Z1649" s="39"/>
      <c r="AA1649" s="39"/>
      <c r="AB1649" s="39"/>
      <c r="AC1649" s="38"/>
      <c r="AD1649" s="38"/>
      <c r="AE1649" s="38"/>
      <c r="AF1649" s="38"/>
      <c r="AG1649" s="40"/>
      <c r="AH1649" s="38"/>
    </row>
    <row r="1650" spans="1:34" x14ac:dyDescent="0.2">
      <c r="A1650" s="38"/>
      <c r="B1650" s="38"/>
      <c r="C1650" s="38"/>
      <c r="D1650" s="38"/>
      <c r="E1650" s="177"/>
      <c r="F1650" s="177"/>
      <c r="G1650" s="269"/>
      <c r="H1650" s="179"/>
      <c r="I1650" s="177"/>
      <c r="J1650" s="177"/>
      <c r="K1650" s="177"/>
      <c r="L1650" s="177"/>
      <c r="M1650" s="177"/>
      <c r="N1650" s="70"/>
      <c r="O1650" s="38"/>
      <c r="P1650" s="38"/>
      <c r="Q1650" s="760"/>
      <c r="R1650" s="590"/>
      <c r="S1650" s="38"/>
      <c r="T1650" s="38"/>
      <c r="U1650" s="38"/>
      <c r="V1650" s="37"/>
      <c r="W1650" s="39">
        <f>IF(AC1650="Intr",0,G1650*Definitions!$B$53)</f>
        <v>0</v>
      </c>
      <c r="X1650" s="39">
        <f>IF(AC1650="Intr",0,G1650*Definitions!$B$54)</f>
        <v>0</v>
      </c>
      <c r="Y1650" s="39">
        <f>IF(AC1650="Intr",G1650,G1650*Definitions!$B$55)</f>
        <v>0</v>
      </c>
      <c r="Z1650" s="39"/>
      <c r="AA1650" s="39"/>
      <c r="AB1650" s="39"/>
      <c r="AC1650" s="38"/>
      <c r="AD1650" s="38"/>
      <c r="AE1650" s="38"/>
      <c r="AF1650" s="38"/>
      <c r="AG1650" s="40"/>
      <c r="AH1650" s="38"/>
    </row>
    <row r="1651" spans="1:34" x14ac:dyDescent="0.2">
      <c r="A1651" s="38"/>
      <c r="B1651" s="38"/>
      <c r="C1651" s="38"/>
      <c r="D1651" s="38"/>
      <c r="E1651" s="177"/>
      <c r="F1651" s="177"/>
      <c r="G1651" s="269"/>
      <c r="H1651" s="179"/>
      <c r="I1651" s="177"/>
      <c r="J1651" s="177"/>
      <c r="K1651" s="177"/>
      <c r="L1651" s="177"/>
      <c r="M1651" s="177"/>
      <c r="N1651" s="70"/>
      <c r="O1651" s="38"/>
      <c r="P1651" s="38"/>
      <c r="Q1651" s="760"/>
      <c r="R1651" s="590"/>
      <c r="S1651" s="38"/>
      <c r="T1651" s="38"/>
      <c r="U1651" s="38"/>
      <c r="V1651" s="37"/>
      <c r="W1651" s="39">
        <f>IF(AC1651="Intr",0,G1651*Definitions!$B$53)</f>
        <v>0</v>
      </c>
      <c r="X1651" s="39">
        <f>IF(AC1651="Intr",0,G1651*Definitions!$B$54)</f>
        <v>0</v>
      </c>
      <c r="Y1651" s="39">
        <f>IF(AC1651="Intr",G1651,G1651*Definitions!$B$55)</f>
        <v>0</v>
      </c>
      <c r="Z1651" s="39"/>
      <c r="AA1651" s="39"/>
      <c r="AB1651" s="39"/>
      <c r="AC1651" s="38"/>
      <c r="AD1651" s="38"/>
      <c r="AE1651" s="38"/>
      <c r="AF1651" s="38"/>
      <c r="AG1651" s="40"/>
      <c r="AH1651" s="38"/>
    </row>
    <row r="1652" spans="1:34" x14ac:dyDescent="0.2">
      <c r="A1652" s="38"/>
      <c r="B1652" s="38"/>
      <c r="C1652" s="38"/>
      <c r="D1652" s="38"/>
      <c r="E1652" s="177"/>
      <c r="F1652" s="177"/>
      <c r="G1652" s="269"/>
      <c r="H1652" s="179"/>
      <c r="I1652" s="177"/>
      <c r="J1652" s="177"/>
      <c r="K1652" s="177"/>
      <c r="L1652" s="177"/>
      <c r="M1652" s="177"/>
      <c r="N1652" s="70"/>
      <c r="O1652" s="38"/>
      <c r="P1652" s="38"/>
      <c r="Q1652" s="760"/>
      <c r="R1652" s="590"/>
      <c r="S1652" s="38"/>
      <c r="T1652" s="38"/>
      <c r="U1652" s="38"/>
      <c r="V1652" s="37"/>
      <c r="W1652" s="39">
        <f>IF(AC1652="Intr",0,G1652*Definitions!$B$53)</f>
        <v>0</v>
      </c>
      <c r="X1652" s="39">
        <f>IF(AC1652="Intr",0,G1652*Definitions!$B$54)</f>
        <v>0</v>
      </c>
      <c r="Y1652" s="39">
        <f>IF(AC1652="Intr",G1652,G1652*Definitions!$B$55)</f>
        <v>0</v>
      </c>
      <c r="Z1652" s="39"/>
      <c r="AA1652" s="39"/>
      <c r="AB1652" s="39"/>
      <c r="AC1652" s="38"/>
      <c r="AD1652" s="38"/>
      <c r="AE1652" s="38"/>
      <c r="AF1652" s="38"/>
      <c r="AG1652" s="40"/>
      <c r="AH1652" s="38"/>
    </row>
    <row r="1653" spans="1:34" x14ac:dyDescent="0.2">
      <c r="A1653" s="38"/>
      <c r="B1653" s="38"/>
      <c r="C1653" s="38"/>
      <c r="D1653" s="38"/>
      <c r="E1653" s="177"/>
      <c r="F1653" s="177"/>
      <c r="G1653" s="269"/>
      <c r="H1653" s="179"/>
      <c r="I1653" s="177"/>
      <c r="J1653" s="177"/>
      <c r="K1653" s="177"/>
      <c r="L1653" s="177"/>
      <c r="M1653" s="177"/>
      <c r="N1653" s="70"/>
      <c r="O1653" s="38"/>
      <c r="P1653" s="38"/>
      <c r="Q1653" s="760"/>
      <c r="R1653" s="590"/>
      <c r="S1653" s="38"/>
      <c r="T1653" s="38"/>
      <c r="U1653" s="38"/>
      <c r="V1653" s="37"/>
      <c r="W1653" s="39">
        <f>IF(AC1653="Intr",0,G1653*Definitions!$B$53)</f>
        <v>0</v>
      </c>
      <c r="X1653" s="39">
        <f>IF(AC1653="Intr",0,G1653*Definitions!$B$54)</f>
        <v>0</v>
      </c>
      <c r="Y1653" s="39">
        <f>IF(AC1653="Intr",G1653,G1653*Definitions!$B$55)</f>
        <v>0</v>
      </c>
      <c r="Z1653" s="39"/>
      <c r="AA1653" s="39"/>
      <c r="AB1653" s="39"/>
      <c r="AC1653" s="38"/>
      <c r="AD1653" s="38"/>
      <c r="AE1653" s="38"/>
      <c r="AF1653" s="38"/>
      <c r="AG1653" s="40"/>
      <c r="AH1653" s="38"/>
    </row>
    <row r="1654" spans="1:34" x14ac:dyDescent="0.2">
      <c r="A1654" s="38"/>
      <c r="B1654" s="38"/>
      <c r="C1654" s="38"/>
      <c r="D1654" s="38"/>
      <c r="E1654" s="177"/>
      <c r="F1654" s="177"/>
      <c r="G1654" s="269"/>
      <c r="H1654" s="179"/>
      <c r="I1654" s="177"/>
      <c r="J1654" s="177"/>
      <c r="K1654" s="177"/>
      <c r="L1654" s="177"/>
      <c r="M1654" s="177"/>
      <c r="N1654" s="70"/>
      <c r="O1654" s="38"/>
      <c r="P1654" s="38"/>
      <c r="Q1654" s="760"/>
      <c r="R1654" s="590"/>
      <c r="S1654" s="38"/>
      <c r="T1654" s="38"/>
      <c r="U1654" s="38"/>
      <c r="V1654" s="37"/>
      <c r="W1654" s="39">
        <f>IF(AC1654="Intr",0,G1654*Definitions!$B$53)</f>
        <v>0</v>
      </c>
      <c r="X1654" s="39">
        <f>IF(AC1654="Intr",0,G1654*Definitions!$B$54)</f>
        <v>0</v>
      </c>
      <c r="Y1654" s="39">
        <f>IF(AC1654="Intr",G1654,G1654*Definitions!$B$55)</f>
        <v>0</v>
      </c>
      <c r="Z1654" s="39"/>
      <c r="AA1654" s="39"/>
      <c r="AB1654" s="39"/>
      <c r="AC1654" s="38"/>
      <c r="AD1654" s="38"/>
      <c r="AE1654" s="38"/>
      <c r="AF1654" s="38"/>
      <c r="AG1654" s="40"/>
      <c r="AH1654" s="38"/>
    </row>
    <row r="1655" spans="1:34" x14ac:dyDescent="0.2">
      <c r="A1655" s="38"/>
      <c r="B1655" s="38"/>
      <c r="C1655" s="38"/>
      <c r="D1655" s="38"/>
      <c r="E1655" s="177"/>
      <c r="F1655" s="177"/>
      <c r="G1655" s="269"/>
      <c r="H1655" s="179"/>
      <c r="I1655" s="177"/>
      <c r="J1655" s="177"/>
      <c r="K1655" s="177"/>
      <c r="L1655" s="177"/>
      <c r="M1655" s="177"/>
      <c r="N1655" s="70"/>
      <c r="O1655" s="38"/>
      <c r="P1655" s="38"/>
      <c r="Q1655" s="760"/>
      <c r="R1655" s="590"/>
      <c r="S1655" s="38"/>
      <c r="T1655" s="38"/>
      <c r="U1655" s="38"/>
      <c r="V1655" s="37"/>
      <c r="W1655" s="39">
        <f>IF(AC1655="Intr",0,G1655*Definitions!$B$53)</f>
        <v>0</v>
      </c>
      <c r="X1655" s="39">
        <f>IF(AC1655="Intr",0,G1655*Definitions!$B$54)</f>
        <v>0</v>
      </c>
      <c r="Y1655" s="39">
        <f>IF(AC1655="Intr",G1655,G1655*Definitions!$B$55)</f>
        <v>0</v>
      </c>
      <c r="Z1655" s="39"/>
      <c r="AA1655" s="39"/>
      <c r="AB1655" s="39"/>
      <c r="AC1655" s="38"/>
      <c r="AD1655" s="38"/>
      <c r="AE1655" s="38"/>
      <c r="AF1655" s="38"/>
      <c r="AG1655" s="40"/>
      <c r="AH1655" s="38"/>
    </row>
    <row r="1656" spans="1:34" x14ac:dyDescent="0.2">
      <c r="A1656" s="38"/>
      <c r="B1656" s="38"/>
      <c r="C1656" s="38"/>
      <c r="D1656" s="38"/>
      <c r="E1656" s="177"/>
      <c r="F1656" s="177"/>
      <c r="G1656" s="269"/>
      <c r="H1656" s="179"/>
      <c r="I1656" s="177"/>
      <c r="J1656" s="177"/>
      <c r="K1656" s="177"/>
      <c r="L1656" s="177"/>
      <c r="M1656" s="177"/>
      <c r="N1656" s="70"/>
      <c r="O1656" s="38"/>
      <c r="P1656" s="38"/>
      <c r="Q1656" s="760"/>
      <c r="R1656" s="590"/>
      <c r="S1656" s="38"/>
      <c r="T1656" s="38"/>
      <c r="U1656" s="38"/>
      <c r="V1656" s="37"/>
      <c r="W1656" s="39">
        <f>IF(AC1656="Intr",0,G1656*Definitions!$B$53)</f>
        <v>0</v>
      </c>
      <c r="X1656" s="39">
        <f>IF(AC1656="Intr",0,G1656*Definitions!$B$54)</f>
        <v>0</v>
      </c>
      <c r="Y1656" s="39">
        <f>IF(AC1656="Intr",G1656,G1656*Definitions!$B$55)</f>
        <v>0</v>
      </c>
      <c r="Z1656" s="39"/>
      <c r="AA1656" s="39"/>
      <c r="AB1656" s="39"/>
      <c r="AC1656" s="38"/>
      <c r="AD1656" s="38"/>
      <c r="AE1656" s="38"/>
      <c r="AF1656" s="38"/>
      <c r="AG1656" s="40"/>
      <c r="AH1656" s="38"/>
    </row>
    <row r="1657" spans="1:34" x14ac:dyDescent="0.2">
      <c r="A1657" s="38"/>
      <c r="B1657" s="38"/>
      <c r="C1657" s="38"/>
      <c r="D1657" s="38"/>
      <c r="E1657" s="177"/>
      <c r="F1657" s="177"/>
      <c r="G1657" s="269"/>
      <c r="H1657" s="179"/>
      <c r="I1657" s="177"/>
      <c r="J1657" s="177"/>
      <c r="K1657" s="177"/>
      <c r="L1657" s="177"/>
      <c r="M1657" s="177"/>
      <c r="N1657" s="70"/>
      <c r="O1657" s="38"/>
      <c r="P1657" s="38"/>
      <c r="Q1657" s="760"/>
      <c r="R1657" s="590"/>
      <c r="S1657" s="38"/>
      <c r="T1657" s="38"/>
      <c r="U1657" s="38"/>
      <c r="V1657" s="37"/>
      <c r="W1657" s="39">
        <f>IF(AC1657="Intr",0,G1657*Definitions!$B$53)</f>
        <v>0</v>
      </c>
      <c r="X1657" s="39">
        <f>IF(AC1657="Intr",0,G1657*Definitions!$B$54)</f>
        <v>0</v>
      </c>
      <c r="Y1657" s="39">
        <f>IF(AC1657="Intr",G1657,G1657*Definitions!$B$55)</f>
        <v>0</v>
      </c>
      <c r="Z1657" s="39"/>
      <c r="AA1657" s="39"/>
      <c r="AB1657" s="39"/>
      <c r="AC1657" s="38"/>
      <c r="AD1657" s="38"/>
      <c r="AE1657" s="38"/>
      <c r="AF1657" s="38"/>
      <c r="AG1657" s="40"/>
      <c r="AH1657" s="38"/>
    </row>
    <row r="1658" spans="1:34" x14ac:dyDescent="0.2">
      <c r="A1658" s="38"/>
      <c r="B1658" s="38"/>
      <c r="C1658" s="38"/>
      <c r="D1658" s="38"/>
      <c r="E1658" s="177"/>
      <c r="F1658" s="177"/>
      <c r="G1658" s="269"/>
      <c r="H1658" s="179"/>
      <c r="I1658" s="177"/>
      <c r="J1658" s="177"/>
      <c r="K1658" s="177"/>
      <c r="L1658" s="177"/>
      <c r="M1658" s="177"/>
      <c r="N1658" s="70"/>
      <c r="O1658" s="38"/>
      <c r="P1658" s="38"/>
      <c r="Q1658" s="760"/>
      <c r="R1658" s="590"/>
      <c r="S1658" s="38"/>
      <c r="T1658" s="38"/>
      <c r="U1658" s="38"/>
      <c r="V1658" s="37"/>
      <c r="W1658" s="39">
        <f>IF(AC1658="Intr",0,G1658*Definitions!$B$53)</f>
        <v>0</v>
      </c>
      <c r="X1658" s="39">
        <f>IF(AC1658="Intr",0,G1658*Definitions!$B$54)</f>
        <v>0</v>
      </c>
      <c r="Y1658" s="39">
        <f>IF(AC1658="Intr",G1658,G1658*Definitions!$B$55)</f>
        <v>0</v>
      </c>
      <c r="Z1658" s="39"/>
      <c r="AA1658" s="39"/>
      <c r="AB1658" s="39"/>
      <c r="AC1658" s="38"/>
      <c r="AD1658" s="38"/>
      <c r="AE1658" s="38"/>
      <c r="AF1658" s="38"/>
      <c r="AG1658" s="40"/>
      <c r="AH1658" s="38"/>
    </row>
    <row r="1659" spans="1:34" x14ac:dyDescent="0.2">
      <c r="A1659" s="38"/>
      <c r="B1659" s="38"/>
      <c r="C1659" s="38"/>
      <c r="D1659" s="38"/>
      <c r="E1659" s="177"/>
      <c r="F1659" s="177"/>
      <c r="G1659" s="269"/>
      <c r="H1659" s="179"/>
      <c r="I1659" s="177"/>
      <c r="J1659" s="177"/>
      <c r="K1659" s="177"/>
      <c r="L1659" s="177"/>
      <c r="M1659" s="177"/>
      <c r="N1659" s="70"/>
      <c r="O1659" s="38"/>
      <c r="P1659" s="38"/>
      <c r="Q1659" s="760"/>
      <c r="R1659" s="590"/>
      <c r="S1659" s="38"/>
      <c r="T1659" s="38"/>
      <c r="U1659" s="38"/>
      <c r="V1659" s="37"/>
      <c r="W1659" s="39">
        <f>IF(AC1659="Intr",0,G1659*Definitions!$B$53)</f>
        <v>0</v>
      </c>
      <c r="X1659" s="39">
        <f>IF(AC1659="Intr",0,G1659*Definitions!$B$54)</f>
        <v>0</v>
      </c>
      <c r="Y1659" s="39">
        <f>IF(AC1659="Intr",G1659,G1659*Definitions!$B$55)</f>
        <v>0</v>
      </c>
      <c r="Z1659" s="39"/>
      <c r="AA1659" s="39"/>
      <c r="AB1659" s="39"/>
      <c r="AC1659" s="38"/>
      <c r="AD1659" s="38"/>
      <c r="AE1659" s="38"/>
      <c r="AF1659" s="38"/>
      <c r="AG1659" s="40"/>
      <c r="AH1659" s="38"/>
    </row>
    <row r="1660" spans="1:34" x14ac:dyDescent="0.2">
      <c r="A1660" s="38"/>
      <c r="B1660" s="38"/>
      <c r="C1660" s="38"/>
      <c r="D1660" s="38"/>
      <c r="E1660" s="177"/>
      <c r="F1660" s="177"/>
      <c r="G1660" s="269"/>
      <c r="H1660" s="179"/>
      <c r="I1660" s="177"/>
      <c r="J1660" s="177"/>
      <c r="K1660" s="177"/>
      <c r="L1660" s="177"/>
      <c r="M1660" s="177"/>
      <c r="N1660" s="70"/>
      <c r="O1660" s="38"/>
      <c r="P1660" s="38"/>
      <c r="Q1660" s="760"/>
      <c r="R1660" s="590"/>
      <c r="S1660" s="38"/>
      <c r="T1660" s="38"/>
      <c r="U1660" s="38"/>
      <c r="V1660" s="37"/>
      <c r="W1660" s="39">
        <f>IF(AC1660="Intr",0,G1660*Definitions!$B$53)</f>
        <v>0</v>
      </c>
      <c r="X1660" s="39">
        <f>IF(AC1660="Intr",0,G1660*Definitions!$B$54)</f>
        <v>0</v>
      </c>
      <c r="Y1660" s="39">
        <f>IF(AC1660="Intr",G1660,G1660*Definitions!$B$55)</f>
        <v>0</v>
      </c>
      <c r="Z1660" s="39"/>
      <c r="AA1660" s="39"/>
      <c r="AB1660" s="39"/>
      <c r="AC1660" s="38"/>
      <c r="AD1660" s="38"/>
      <c r="AE1660" s="38"/>
      <c r="AF1660" s="38"/>
      <c r="AG1660" s="40"/>
      <c r="AH1660" s="38"/>
    </row>
    <row r="1661" spans="1:34" x14ac:dyDescent="0.2">
      <c r="A1661" s="38"/>
      <c r="B1661" s="38"/>
      <c r="C1661" s="38"/>
      <c r="D1661" s="38"/>
      <c r="E1661" s="177"/>
      <c r="F1661" s="177"/>
      <c r="G1661" s="269"/>
      <c r="H1661" s="179"/>
      <c r="I1661" s="177"/>
      <c r="J1661" s="177"/>
      <c r="K1661" s="177"/>
      <c r="L1661" s="177"/>
      <c r="M1661" s="177"/>
      <c r="N1661" s="70"/>
      <c r="O1661" s="38"/>
      <c r="P1661" s="38"/>
      <c r="Q1661" s="760"/>
      <c r="R1661" s="590"/>
      <c r="S1661" s="38"/>
      <c r="T1661" s="38"/>
      <c r="U1661" s="38"/>
      <c r="V1661" s="37"/>
      <c r="W1661" s="39">
        <f>IF(AC1661="Intr",0,G1661*Definitions!$B$53)</f>
        <v>0</v>
      </c>
      <c r="X1661" s="39">
        <f>IF(AC1661="Intr",0,G1661*Definitions!$B$54)</f>
        <v>0</v>
      </c>
      <c r="Y1661" s="39">
        <f>IF(AC1661="Intr",G1661,G1661*Definitions!$B$55)</f>
        <v>0</v>
      </c>
      <c r="Z1661" s="39"/>
      <c r="AA1661" s="39"/>
      <c r="AB1661" s="39"/>
      <c r="AC1661" s="38"/>
      <c r="AD1661" s="38"/>
      <c r="AE1661" s="38"/>
      <c r="AF1661" s="38"/>
      <c r="AG1661" s="40"/>
      <c r="AH1661" s="38"/>
    </row>
    <row r="1662" spans="1:34" x14ac:dyDescent="0.2">
      <c r="A1662" s="38"/>
      <c r="B1662" s="38"/>
      <c r="C1662" s="38"/>
      <c r="D1662" s="38"/>
      <c r="E1662" s="177"/>
      <c r="F1662" s="177"/>
      <c r="G1662" s="269"/>
      <c r="H1662" s="179"/>
      <c r="I1662" s="177"/>
      <c r="J1662" s="177"/>
      <c r="K1662" s="177"/>
      <c r="L1662" s="177"/>
      <c r="M1662" s="177"/>
      <c r="N1662" s="70"/>
      <c r="O1662" s="38"/>
      <c r="P1662" s="38"/>
      <c r="Q1662" s="760"/>
      <c r="R1662" s="590"/>
      <c r="S1662" s="38"/>
      <c r="T1662" s="38"/>
      <c r="U1662" s="38"/>
      <c r="V1662" s="37"/>
      <c r="W1662" s="39">
        <f>IF(AC1662="Intr",0,G1662*Definitions!$B$53)</f>
        <v>0</v>
      </c>
      <c r="X1662" s="39">
        <f>IF(AC1662="Intr",0,G1662*Definitions!$B$54)</f>
        <v>0</v>
      </c>
      <c r="Y1662" s="39">
        <f>IF(AC1662="Intr",G1662,G1662*Definitions!$B$55)</f>
        <v>0</v>
      </c>
      <c r="Z1662" s="39"/>
      <c r="AA1662" s="39"/>
      <c r="AB1662" s="39"/>
      <c r="AC1662" s="38"/>
      <c r="AD1662" s="38"/>
      <c r="AE1662" s="38"/>
      <c r="AF1662" s="38"/>
      <c r="AG1662" s="40"/>
      <c r="AH1662" s="38"/>
    </row>
    <row r="1663" spans="1:34" x14ac:dyDescent="0.2">
      <c r="A1663" s="38"/>
      <c r="B1663" s="38"/>
      <c r="C1663" s="38"/>
      <c r="D1663" s="38"/>
      <c r="E1663" s="177"/>
      <c r="F1663" s="177"/>
      <c r="G1663" s="269"/>
      <c r="H1663" s="179"/>
      <c r="I1663" s="177"/>
      <c r="J1663" s="177"/>
      <c r="K1663" s="177"/>
      <c r="L1663" s="177"/>
      <c r="M1663" s="177"/>
      <c r="N1663" s="70"/>
      <c r="O1663" s="38"/>
      <c r="P1663" s="38"/>
      <c r="Q1663" s="760"/>
      <c r="R1663" s="590"/>
      <c r="S1663" s="38"/>
      <c r="T1663" s="38"/>
      <c r="U1663" s="38"/>
      <c r="V1663" s="37"/>
      <c r="W1663" s="39">
        <f>IF(AC1663="Intr",0,G1663*Definitions!$B$53)</f>
        <v>0</v>
      </c>
      <c r="X1663" s="39">
        <f>IF(AC1663="Intr",0,G1663*Definitions!$B$54)</f>
        <v>0</v>
      </c>
      <c r="Y1663" s="39">
        <f>IF(AC1663="Intr",G1663,G1663*Definitions!$B$55)</f>
        <v>0</v>
      </c>
      <c r="Z1663" s="39"/>
      <c r="AA1663" s="39"/>
      <c r="AB1663" s="39"/>
      <c r="AC1663" s="38"/>
      <c r="AD1663" s="38"/>
      <c r="AE1663" s="38"/>
      <c r="AF1663" s="38"/>
      <c r="AG1663" s="40"/>
      <c r="AH1663" s="38"/>
    </row>
    <row r="1664" spans="1:34" x14ac:dyDescent="0.2">
      <c r="A1664" s="38"/>
      <c r="B1664" s="38"/>
      <c r="C1664" s="38"/>
      <c r="D1664" s="38"/>
      <c r="E1664" s="177"/>
      <c r="F1664" s="177"/>
      <c r="G1664" s="269"/>
      <c r="H1664" s="179"/>
      <c r="I1664" s="177"/>
      <c r="J1664" s="177"/>
      <c r="K1664" s="177"/>
      <c r="L1664" s="177"/>
      <c r="M1664" s="177"/>
      <c r="N1664" s="70"/>
      <c r="O1664" s="38"/>
      <c r="P1664" s="38"/>
      <c r="Q1664" s="760"/>
      <c r="R1664" s="590"/>
      <c r="S1664" s="38"/>
      <c r="T1664" s="38"/>
      <c r="U1664" s="38"/>
      <c r="V1664" s="37"/>
      <c r="W1664" s="39">
        <f>IF(AC1664="Intr",0,G1664*Definitions!$B$53)</f>
        <v>0</v>
      </c>
      <c r="X1664" s="39">
        <f>IF(AC1664="Intr",0,G1664*Definitions!$B$54)</f>
        <v>0</v>
      </c>
      <c r="Y1664" s="39">
        <f>IF(AC1664="Intr",G1664,G1664*Definitions!$B$55)</f>
        <v>0</v>
      </c>
      <c r="Z1664" s="39"/>
      <c r="AA1664" s="39"/>
      <c r="AB1664" s="39"/>
      <c r="AC1664" s="38"/>
      <c r="AD1664" s="38"/>
      <c r="AE1664" s="38"/>
      <c r="AF1664" s="38"/>
      <c r="AG1664" s="40"/>
      <c r="AH1664" s="38"/>
    </row>
    <row r="1665" spans="1:34" x14ac:dyDescent="0.2">
      <c r="A1665" s="38"/>
      <c r="B1665" s="38"/>
      <c r="C1665" s="38"/>
      <c r="D1665" s="38"/>
      <c r="E1665" s="177"/>
      <c r="F1665" s="177"/>
      <c r="G1665" s="269"/>
      <c r="H1665" s="179"/>
      <c r="I1665" s="177"/>
      <c r="J1665" s="177"/>
      <c r="K1665" s="177"/>
      <c r="L1665" s="177"/>
      <c r="M1665" s="177"/>
      <c r="N1665" s="70"/>
      <c r="O1665" s="38"/>
      <c r="P1665" s="38"/>
      <c r="Q1665" s="760"/>
      <c r="R1665" s="590"/>
      <c r="S1665" s="38"/>
      <c r="T1665" s="38"/>
      <c r="U1665" s="38"/>
      <c r="V1665" s="37"/>
      <c r="W1665" s="39">
        <f>IF(AC1665="Intr",0,G1665*Definitions!$B$53)</f>
        <v>0</v>
      </c>
      <c r="X1665" s="39">
        <f>IF(AC1665="Intr",0,G1665*Definitions!$B$54)</f>
        <v>0</v>
      </c>
      <c r="Y1665" s="39">
        <f>IF(AC1665="Intr",G1665,G1665*Definitions!$B$55)</f>
        <v>0</v>
      </c>
      <c r="Z1665" s="39"/>
      <c r="AA1665" s="39"/>
      <c r="AB1665" s="39"/>
      <c r="AC1665" s="38"/>
      <c r="AD1665" s="38"/>
      <c r="AE1665" s="38"/>
      <c r="AF1665" s="38"/>
      <c r="AG1665" s="40"/>
      <c r="AH1665" s="38"/>
    </row>
    <row r="1666" spans="1:34" x14ac:dyDescent="0.2">
      <c r="A1666" s="38"/>
      <c r="B1666" s="38"/>
      <c r="C1666" s="38"/>
      <c r="D1666" s="38"/>
      <c r="E1666" s="177"/>
      <c r="F1666" s="177"/>
      <c r="G1666" s="269"/>
      <c r="H1666" s="179"/>
      <c r="I1666" s="177"/>
      <c r="J1666" s="177"/>
      <c r="K1666" s="177"/>
      <c r="L1666" s="177"/>
      <c r="M1666" s="177"/>
      <c r="N1666" s="70"/>
      <c r="O1666" s="38"/>
      <c r="P1666" s="38"/>
      <c r="Q1666" s="760"/>
      <c r="R1666" s="590"/>
      <c r="S1666" s="38"/>
      <c r="T1666" s="38"/>
      <c r="U1666" s="38"/>
      <c r="V1666" s="37"/>
      <c r="W1666" s="39">
        <f>IF(AC1666="Intr",0,G1666*Definitions!$B$53)</f>
        <v>0</v>
      </c>
      <c r="X1666" s="39">
        <f>IF(AC1666="Intr",0,G1666*Definitions!$B$54)</f>
        <v>0</v>
      </c>
      <c r="Y1666" s="39">
        <f>IF(AC1666="Intr",G1666,G1666*Definitions!$B$55)</f>
        <v>0</v>
      </c>
      <c r="Z1666" s="39"/>
      <c r="AA1666" s="39"/>
      <c r="AB1666" s="39"/>
      <c r="AC1666" s="38"/>
      <c r="AD1666" s="38"/>
      <c r="AE1666" s="38"/>
      <c r="AF1666" s="38"/>
      <c r="AG1666" s="40"/>
      <c r="AH1666" s="38"/>
    </row>
    <row r="1667" spans="1:34" x14ac:dyDescent="0.2">
      <c r="A1667" s="38"/>
      <c r="B1667" s="38"/>
      <c r="C1667" s="38"/>
      <c r="D1667" s="38"/>
      <c r="E1667" s="177"/>
      <c r="F1667" s="177"/>
      <c r="G1667" s="269"/>
      <c r="H1667" s="179"/>
      <c r="I1667" s="177"/>
      <c r="J1667" s="177"/>
      <c r="K1667" s="177"/>
      <c r="L1667" s="177"/>
      <c r="M1667" s="177"/>
      <c r="N1667" s="70"/>
      <c r="O1667" s="38"/>
      <c r="P1667" s="38"/>
      <c r="Q1667" s="760"/>
      <c r="R1667" s="590"/>
      <c r="S1667" s="38"/>
      <c r="T1667" s="38"/>
      <c r="U1667" s="38"/>
      <c r="V1667" s="37"/>
      <c r="W1667" s="39">
        <f>IF(AC1667="Intr",0,G1667*Definitions!$B$53)</f>
        <v>0</v>
      </c>
      <c r="X1667" s="39">
        <f>IF(AC1667="Intr",0,G1667*Definitions!$B$54)</f>
        <v>0</v>
      </c>
      <c r="Y1667" s="39">
        <f>IF(AC1667="Intr",G1667,G1667*Definitions!$B$55)</f>
        <v>0</v>
      </c>
      <c r="Z1667" s="39"/>
      <c r="AA1667" s="39"/>
      <c r="AB1667" s="39"/>
      <c r="AC1667" s="38"/>
      <c r="AD1667" s="38"/>
      <c r="AE1667" s="38"/>
      <c r="AF1667" s="38"/>
      <c r="AG1667" s="40"/>
      <c r="AH1667" s="38"/>
    </row>
    <row r="1668" spans="1:34" x14ac:dyDescent="0.2">
      <c r="A1668" s="38"/>
      <c r="B1668" s="38"/>
      <c r="C1668" s="38"/>
      <c r="D1668" s="38"/>
      <c r="E1668" s="177"/>
      <c r="F1668" s="177"/>
      <c r="G1668" s="269"/>
      <c r="H1668" s="179"/>
      <c r="I1668" s="177"/>
      <c r="J1668" s="177"/>
      <c r="K1668" s="177"/>
      <c r="L1668" s="177"/>
      <c r="M1668" s="177"/>
      <c r="N1668" s="70"/>
      <c r="O1668" s="38"/>
      <c r="P1668" s="38"/>
      <c r="Q1668" s="760"/>
      <c r="R1668" s="590"/>
      <c r="S1668" s="38"/>
      <c r="T1668" s="38"/>
      <c r="U1668" s="38"/>
      <c r="V1668" s="37"/>
      <c r="W1668" s="39">
        <f>IF(AC1668="Intr",0,G1668*Definitions!$B$53)</f>
        <v>0</v>
      </c>
      <c r="X1668" s="39">
        <f>IF(AC1668="Intr",0,G1668*Definitions!$B$54)</f>
        <v>0</v>
      </c>
      <c r="Y1668" s="39">
        <f>IF(AC1668="Intr",G1668,G1668*Definitions!$B$55)</f>
        <v>0</v>
      </c>
      <c r="Z1668" s="39"/>
      <c r="AA1668" s="39"/>
      <c r="AB1668" s="39"/>
      <c r="AC1668" s="38"/>
      <c r="AD1668" s="38"/>
      <c r="AE1668" s="38"/>
      <c r="AF1668" s="38"/>
      <c r="AG1668" s="40"/>
      <c r="AH1668" s="38"/>
    </row>
    <row r="1669" spans="1:34" x14ac:dyDescent="0.2">
      <c r="A1669" s="38"/>
      <c r="B1669" s="38"/>
      <c r="C1669" s="38"/>
      <c r="D1669" s="38"/>
      <c r="E1669" s="177"/>
      <c r="F1669" s="177"/>
      <c r="G1669" s="269"/>
      <c r="H1669" s="179"/>
      <c r="I1669" s="177"/>
      <c r="J1669" s="177"/>
      <c r="K1669" s="177"/>
      <c r="L1669" s="177"/>
      <c r="M1669" s="177"/>
      <c r="N1669" s="70"/>
      <c r="O1669" s="38"/>
      <c r="P1669" s="38"/>
      <c r="Q1669" s="760"/>
      <c r="R1669" s="590"/>
      <c r="S1669" s="38"/>
      <c r="T1669" s="38"/>
      <c r="U1669" s="38"/>
      <c r="V1669" s="37"/>
      <c r="W1669" s="39">
        <f>IF(AC1669="Intr",0,G1669*Definitions!$B$53)</f>
        <v>0</v>
      </c>
      <c r="X1669" s="39">
        <f>IF(AC1669="Intr",0,G1669*Definitions!$B$54)</f>
        <v>0</v>
      </c>
      <c r="Y1669" s="39">
        <f>IF(AC1669="Intr",G1669,G1669*Definitions!$B$55)</f>
        <v>0</v>
      </c>
      <c r="Z1669" s="39"/>
      <c r="AA1669" s="39"/>
      <c r="AB1669" s="39"/>
      <c r="AC1669" s="38"/>
      <c r="AD1669" s="38"/>
      <c r="AE1669" s="38"/>
      <c r="AF1669" s="38"/>
      <c r="AG1669" s="40"/>
      <c r="AH1669" s="38"/>
    </row>
    <row r="1670" spans="1:34" x14ac:dyDescent="0.2">
      <c r="A1670" s="38"/>
      <c r="B1670" s="38"/>
      <c r="C1670" s="38"/>
      <c r="D1670" s="38"/>
      <c r="E1670" s="177"/>
      <c r="F1670" s="177"/>
      <c r="G1670" s="269"/>
      <c r="H1670" s="179"/>
      <c r="I1670" s="177"/>
      <c r="J1670" s="177"/>
      <c r="K1670" s="177"/>
      <c r="L1670" s="177"/>
      <c r="M1670" s="177"/>
      <c r="N1670" s="70"/>
      <c r="O1670" s="38"/>
      <c r="P1670" s="38"/>
      <c r="Q1670" s="760"/>
      <c r="R1670" s="590"/>
      <c r="S1670" s="38"/>
      <c r="T1670" s="38"/>
      <c r="U1670" s="38"/>
      <c r="V1670" s="37"/>
      <c r="W1670" s="39">
        <f>IF(AC1670="Intr",0,G1670*Definitions!$B$53)</f>
        <v>0</v>
      </c>
      <c r="X1670" s="39">
        <f>IF(AC1670="Intr",0,G1670*Definitions!$B$54)</f>
        <v>0</v>
      </c>
      <c r="Y1670" s="39">
        <f>IF(AC1670="Intr",G1670,G1670*Definitions!$B$55)</f>
        <v>0</v>
      </c>
      <c r="Z1670" s="39"/>
      <c r="AA1670" s="39"/>
      <c r="AB1670" s="39"/>
      <c r="AC1670" s="38"/>
      <c r="AD1670" s="38"/>
      <c r="AE1670" s="38"/>
      <c r="AF1670" s="38"/>
      <c r="AG1670" s="40"/>
      <c r="AH1670" s="38"/>
    </row>
    <row r="1671" spans="1:34" x14ac:dyDescent="0.2">
      <c r="A1671" s="38"/>
      <c r="B1671" s="38"/>
      <c r="C1671" s="38"/>
      <c r="D1671" s="38"/>
      <c r="E1671" s="177"/>
      <c r="F1671" s="177"/>
      <c r="G1671" s="269"/>
      <c r="H1671" s="179"/>
      <c r="I1671" s="177"/>
      <c r="J1671" s="177"/>
      <c r="K1671" s="177"/>
      <c r="L1671" s="177"/>
      <c r="M1671" s="177"/>
      <c r="N1671" s="70"/>
      <c r="O1671" s="38"/>
      <c r="P1671" s="38"/>
      <c r="Q1671" s="760"/>
      <c r="R1671" s="590"/>
      <c r="S1671" s="38"/>
      <c r="T1671" s="38"/>
      <c r="U1671" s="38"/>
      <c r="V1671" s="37"/>
      <c r="W1671" s="39">
        <f>IF(AC1671="Intr",0,G1671*Definitions!$B$53)</f>
        <v>0</v>
      </c>
      <c r="X1671" s="39">
        <f>IF(AC1671="Intr",0,G1671*Definitions!$B$54)</f>
        <v>0</v>
      </c>
      <c r="Y1671" s="39">
        <f>IF(AC1671="Intr",G1671,G1671*Definitions!$B$55)</f>
        <v>0</v>
      </c>
      <c r="Z1671" s="39"/>
      <c r="AA1671" s="39"/>
      <c r="AB1671" s="39"/>
      <c r="AC1671" s="38"/>
      <c r="AD1671" s="38"/>
      <c r="AE1671" s="38"/>
      <c r="AF1671" s="38"/>
      <c r="AG1671" s="40"/>
      <c r="AH1671" s="38"/>
    </row>
    <row r="1672" spans="1:34" x14ac:dyDescent="0.2">
      <c r="A1672" s="38"/>
      <c r="B1672" s="38"/>
      <c r="C1672" s="38"/>
      <c r="D1672" s="38"/>
      <c r="E1672" s="177"/>
      <c r="F1672" s="177"/>
      <c r="G1672" s="269"/>
      <c r="H1672" s="179"/>
      <c r="I1672" s="177"/>
      <c r="J1672" s="177"/>
      <c r="K1672" s="177"/>
      <c r="L1672" s="177"/>
      <c r="M1672" s="177"/>
      <c r="N1672" s="70"/>
      <c r="O1672" s="38"/>
      <c r="P1672" s="38"/>
      <c r="Q1672" s="760"/>
      <c r="R1672" s="590"/>
      <c r="S1672" s="38"/>
      <c r="T1672" s="38"/>
      <c r="U1672" s="38"/>
      <c r="V1672" s="37"/>
      <c r="W1672" s="39">
        <f>IF(AC1672="Intr",0,G1672*Definitions!$B$53)</f>
        <v>0</v>
      </c>
      <c r="X1672" s="39">
        <f>IF(AC1672="Intr",0,G1672*Definitions!$B$54)</f>
        <v>0</v>
      </c>
      <c r="Y1672" s="39">
        <f>IF(AC1672="Intr",G1672,G1672*Definitions!$B$55)</f>
        <v>0</v>
      </c>
      <c r="Z1672" s="39"/>
      <c r="AA1672" s="39"/>
      <c r="AB1672" s="39"/>
      <c r="AC1672" s="38"/>
      <c r="AD1672" s="38"/>
      <c r="AE1672" s="38"/>
      <c r="AF1672" s="38"/>
      <c r="AG1672" s="40"/>
      <c r="AH1672" s="38"/>
    </row>
    <row r="1673" spans="1:34" x14ac:dyDescent="0.2">
      <c r="A1673" s="38"/>
      <c r="B1673" s="38"/>
      <c r="C1673" s="38"/>
      <c r="D1673" s="38"/>
      <c r="E1673" s="177"/>
      <c r="F1673" s="177"/>
      <c r="G1673" s="269"/>
      <c r="H1673" s="179"/>
      <c r="I1673" s="177"/>
      <c r="J1673" s="177"/>
      <c r="K1673" s="177"/>
      <c r="L1673" s="177"/>
      <c r="M1673" s="177"/>
      <c r="N1673" s="70"/>
      <c r="O1673" s="38"/>
      <c r="P1673" s="38"/>
      <c r="Q1673" s="760"/>
      <c r="R1673" s="590"/>
      <c r="S1673" s="38"/>
      <c r="T1673" s="38"/>
      <c r="U1673" s="38"/>
      <c r="V1673" s="37"/>
      <c r="W1673" s="39">
        <f>IF(AC1673="Intr",0,G1673*Definitions!$B$53)</f>
        <v>0</v>
      </c>
      <c r="X1673" s="39">
        <f>IF(AC1673="Intr",0,G1673*Definitions!$B$54)</f>
        <v>0</v>
      </c>
      <c r="Y1673" s="39">
        <f>IF(AC1673="Intr",G1673,G1673*Definitions!$B$55)</f>
        <v>0</v>
      </c>
      <c r="Z1673" s="39"/>
      <c r="AA1673" s="39"/>
      <c r="AB1673" s="39"/>
      <c r="AC1673" s="38"/>
      <c r="AD1673" s="38"/>
      <c r="AE1673" s="38"/>
      <c r="AF1673" s="38"/>
      <c r="AG1673" s="40"/>
      <c r="AH1673" s="38"/>
    </row>
    <row r="1674" spans="1:34" x14ac:dyDescent="0.2">
      <c r="A1674" s="38"/>
      <c r="B1674" s="38"/>
      <c r="C1674" s="38"/>
      <c r="D1674" s="38"/>
      <c r="E1674" s="177"/>
      <c r="F1674" s="177"/>
      <c r="G1674" s="269"/>
      <c r="H1674" s="179"/>
      <c r="I1674" s="177"/>
      <c r="J1674" s="177"/>
      <c r="K1674" s="177"/>
      <c r="L1674" s="177"/>
      <c r="M1674" s="177"/>
      <c r="N1674" s="70"/>
      <c r="O1674" s="38"/>
      <c r="P1674" s="38"/>
      <c r="Q1674" s="760"/>
      <c r="R1674" s="590"/>
      <c r="S1674" s="38"/>
      <c r="T1674" s="38"/>
      <c r="U1674" s="38"/>
      <c r="V1674" s="37"/>
      <c r="W1674" s="39">
        <f>IF(AC1674="Intr",0,G1674*Definitions!$B$53)</f>
        <v>0</v>
      </c>
      <c r="X1674" s="39">
        <f>IF(AC1674="Intr",0,G1674*Definitions!$B$54)</f>
        <v>0</v>
      </c>
      <c r="Y1674" s="39">
        <f>IF(AC1674="Intr",G1674,G1674*Definitions!$B$55)</f>
        <v>0</v>
      </c>
      <c r="Z1674" s="39"/>
      <c r="AA1674" s="39"/>
      <c r="AB1674" s="39"/>
      <c r="AC1674" s="38"/>
      <c r="AD1674" s="38"/>
      <c r="AE1674" s="38"/>
      <c r="AF1674" s="38"/>
      <c r="AG1674" s="40"/>
      <c r="AH1674" s="38"/>
    </row>
    <row r="1675" spans="1:34" x14ac:dyDescent="0.2">
      <c r="A1675" s="38"/>
      <c r="B1675" s="38"/>
      <c r="C1675" s="38"/>
      <c r="D1675" s="38"/>
      <c r="E1675" s="177"/>
      <c r="F1675" s="177"/>
      <c r="G1675" s="269"/>
      <c r="H1675" s="179"/>
      <c r="I1675" s="177"/>
      <c r="J1675" s="177"/>
      <c r="K1675" s="177"/>
      <c r="L1675" s="177"/>
      <c r="M1675" s="177"/>
      <c r="N1675" s="70"/>
      <c r="O1675" s="38"/>
      <c r="P1675" s="38"/>
      <c r="Q1675" s="760"/>
      <c r="R1675" s="590"/>
      <c r="S1675" s="38"/>
      <c r="T1675" s="38"/>
      <c r="U1675" s="38"/>
      <c r="V1675" s="37"/>
      <c r="W1675" s="39">
        <f>IF(AC1675="Intr",0,G1675*Definitions!$B$53)</f>
        <v>0</v>
      </c>
      <c r="X1675" s="39">
        <f>IF(AC1675="Intr",0,G1675*Definitions!$B$54)</f>
        <v>0</v>
      </c>
      <c r="Y1675" s="39">
        <f>IF(AC1675="Intr",G1675,G1675*Definitions!$B$55)</f>
        <v>0</v>
      </c>
      <c r="Z1675" s="39"/>
      <c r="AA1675" s="39"/>
      <c r="AB1675" s="39"/>
      <c r="AC1675" s="38"/>
      <c r="AD1675" s="38"/>
      <c r="AE1675" s="38"/>
      <c r="AF1675" s="38"/>
      <c r="AG1675" s="40"/>
      <c r="AH1675" s="38"/>
    </row>
    <row r="1676" spans="1:34" x14ac:dyDescent="0.2">
      <c r="A1676" s="38"/>
      <c r="B1676" s="38"/>
      <c r="C1676" s="38"/>
      <c r="D1676" s="38"/>
      <c r="E1676" s="177"/>
      <c r="F1676" s="177"/>
      <c r="G1676" s="269"/>
      <c r="H1676" s="179"/>
      <c r="I1676" s="177"/>
      <c r="J1676" s="177"/>
      <c r="K1676" s="177"/>
      <c r="L1676" s="177"/>
      <c r="M1676" s="177"/>
      <c r="N1676" s="70"/>
      <c r="O1676" s="38"/>
      <c r="P1676" s="38"/>
      <c r="Q1676" s="760"/>
      <c r="R1676" s="590"/>
      <c r="S1676" s="38"/>
      <c r="T1676" s="38"/>
      <c r="U1676" s="38"/>
      <c r="V1676" s="37"/>
      <c r="W1676" s="39">
        <f>IF(AC1676="Intr",0,G1676*Definitions!$B$53)</f>
        <v>0</v>
      </c>
      <c r="X1676" s="39">
        <f>IF(AC1676="Intr",0,G1676*Definitions!$B$54)</f>
        <v>0</v>
      </c>
      <c r="Y1676" s="39">
        <f>IF(AC1676="Intr",G1676,G1676*Definitions!$B$55)</f>
        <v>0</v>
      </c>
      <c r="Z1676" s="39"/>
      <c r="AA1676" s="39"/>
      <c r="AB1676" s="39"/>
      <c r="AC1676" s="38"/>
      <c r="AD1676" s="38"/>
      <c r="AE1676" s="38"/>
      <c r="AF1676" s="38"/>
      <c r="AG1676" s="40"/>
      <c r="AH1676" s="38"/>
    </row>
    <row r="1677" spans="1:34" x14ac:dyDescent="0.2">
      <c r="A1677" s="38"/>
      <c r="B1677" s="38"/>
      <c r="C1677" s="38"/>
      <c r="D1677" s="38"/>
      <c r="E1677" s="177"/>
      <c r="F1677" s="177"/>
      <c r="G1677" s="269"/>
      <c r="H1677" s="179"/>
      <c r="I1677" s="177"/>
      <c r="J1677" s="177"/>
      <c r="K1677" s="177"/>
      <c r="L1677" s="177"/>
      <c r="M1677" s="177"/>
      <c r="N1677" s="70"/>
      <c r="O1677" s="38"/>
      <c r="P1677" s="38"/>
      <c r="Q1677" s="760"/>
      <c r="R1677" s="590"/>
      <c r="S1677" s="38"/>
      <c r="T1677" s="38"/>
      <c r="U1677" s="38"/>
      <c r="V1677" s="37"/>
      <c r="W1677" s="39">
        <f>IF(AC1677="Intr",0,G1677*Definitions!$B$53)</f>
        <v>0</v>
      </c>
      <c r="X1677" s="39">
        <f>IF(AC1677="Intr",0,G1677*Definitions!$B$54)</f>
        <v>0</v>
      </c>
      <c r="Y1677" s="39">
        <f>IF(AC1677="Intr",G1677,G1677*Definitions!$B$55)</f>
        <v>0</v>
      </c>
      <c r="Z1677" s="39"/>
      <c r="AA1677" s="39"/>
      <c r="AB1677" s="39"/>
      <c r="AC1677" s="38"/>
      <c r="AD1677" s="38"/>
      <c r="AE1677" s="38"/>
      <c r="AF1677" s="38"/>
      <c r="AG1677" s="40"/>
      <c r="AH1677" s="38"/>
    </row>
    <row r="1678" spans="1:34" x14ac:dyDescent="0.2">
      <c r="A1678" s="38"/>
      <c r="B1678" s="38"/>
      <c r="C1678" s="38"/>
      <c r="D1678" s="38"/>
      <c r="E1678" s="177"/>
      <c r="F1678" s="177"/>
      <c r="G1678" s="269"/>
      <c r="H1678" s="179"/>
      <c r="I1678" s="177"/>
      <c r="J1678" s="177"/>
      <c r="K1678" s="177"/>
      <c r="L1678" s="177"/>
      <c r="M1678" s="177"/>
      <c r="N1678" s="70"/>
      <c r="O1678" s="38"/>
      <c r="P1678" s="38"/>
      <c r="Q1678" s="760"/>
      <c r="R1678" s="590"/>
      <c r="S1678" s="38"/>
      <c r="T1678" s="38"/>
      <c r="U1678" s="38"/>
      <c r="V1678" s="37"/>
      <c r="W1678" s="39">
        <f>IF(AC1678="Intr",0,G1678*Definitions!$B$53)</f>
        <v>0</v>
      </c>
      <c r="X1678" s="39">
        <f>IF(AC1678="Intr",0,G1678*Definitions!$B$54)</f>
        <v>0</v>
      </c>
      <c r="Y1678" s="39">
        <f>IF(AC1678="Intr",G1678,G1678*Definitions!$B$55)</f>
        <v>0</v>
      </c>
      <c r="Z1678" s="39"/>
      <c r="AA1678" s="39"/>
      <c r="AB1678" s="39"/>
      <c r="AC1678" s="38"/>
      <c r="AD1678" s="38"/>
      <c r="AE1678" s="38"/>
      <c r="AF1678" s="38"/>
      <c r="AG1678" s="40"/>
      <c r="AH1678" s="38"/>
    </row>
    <row r="1679" spans="1:34" x14ac:dyDescent="0.2">
      <c r="A1679" s="38"/>
      <c r="B1679" s="38"/>
      <c r="C1679" s="38"/>
      <c r="D1679" s="38"/>
      <c r="E1679" s="177"/>
      <c r="F1679" s="177"/>
      <c r="G1679" s="269"/>
      <c r="H1679" s="179"/>
      <c r="I1679" s="177"/>
      <c r="J1679" s="177"/>
      <c r="K1679" s="177"/>
      <c r="L1679" s="177"/>
      <c r="M1679" s="177"/>
      <c r="N1679" s="70"/>
      <c r="O1679" s="38"/>
      <c r="P1679" s="38"/>
      <c r="Q1679" s="760"/>
      <c r="R1679" s="590"/>
      <c r="S1679" s="38"/>
      <c r="T1679" s="38"/>
      <c r="U1679" s="38"/>
      <c r="V1679" s="37"/>
      <c r="W1679" s="39">
        <f>IF(AC1679="Intr",0,G1679*Definitions!$B$53)</f>
        <v>0</v>
      </c>
      <c r="X1679" s="39">
        <f>IF(AC1679="Intr",0,G1679*Definitions!$B$54)</f>
        <v>0</v>
      </c>
      <c r="Y1679" s="39">
        <f>IF(AC1679="Intr",G1679,G1679*Definitions!$B$55)</f>
        <v>0</v>
      </c>
      <c r="Z1679" s="39"/>
      <c r="AA1679" s="39"/>
      <c r="AB1679" s="39"/>
      <c r="AC1679" s="38"/>
      <c r="AD1679" s="38"/>
      <c r="AE1679" s="38"/>
      <c r="AF1679" s="38"/>
      <c r="AG1679" s="40"/>
      <c r="AH1679" s="38"/>
    </row>
    <row r="1680" spans="1:34" x14ac:dyDescent="0.2">
      <c r="A1680" s="38"/>
      <c r="B1680" s="38"/>
      <c r="C1680" s="38"/>
      <c r="D1680" s="38"/>
      <c r="E1680" s="177"/>
      <c r="F1680" s="177"/>
      <c r="G1680" s="269"/>
      <c r="H1680" s="179"/>
      <c r="I1680" s="177"/>
      <c r="J1680" s="177"/>
      <c r="K1680" s="177"/>
      <c r="L1680" s="177"/>
      <c r="M1680" s="177"/>
      <c r="N1680" s="70"/>
      <c r="O1680" s="38"/>
      <c r="P1680" s="38"/>
      <c r="Q1680" s="760"/>
      <c r="R1680" s="590"/>
      <c r="S1680" s="38"/>
      <c r="T1680" s="38"/>
      <c r="U1680" s="38"/>
      <c r="V1680" s="37"/>
      <c r="W1680" s="39">
        <f>IF(AC1680="Intr",0,G1680*Definitions!$B$53)</f>
        <v>0</v>
      </c>
      <c r="X1680" s="39">
        <f>IF(AC1680="Intr",0,G1680*Definitions!$B$54)</f>
        <v>0</v>
      </c>
      <c r="Y1680" s="39">
        <f>IF(AC1680="Intr",G1680,G1680*Definitions!$B$55)</f>
        <v>0</v>
      </c>
      <c r="Z1680" s="39"/>
      <c r="AA1680" s="39"/>
      <c r="AB1680" s="39"/>
      <c r="AC1680" s="38"/>
      <c r="AD1680" s="38"/>
      <c r="AE1680" s="38"/>
      <c r="AF1680" s="38"/>
      <c r="AG1680" s="40"/>
      <c r="AH1680" s="38"/>
    </row>
    <row r="1681" spans="1:34" x14ac:dyDescent="0.2">
      <c r="A1681" s="38"/>
      <c r="B1681" s="38"/>
      <c r="C1681" s="38"/>
      <c r="D1681" s="38"/>
      <c r="E1681" s="177"/>
      <c r="F1681" s="177"/>
      <c r="G1681" s="269"/>
      <c r="H1681" s="179"/>
      <c r="I1681" s="177"/>
      <c r="J1681" s="177"/>
      <c r="K1681" s="177"/>
      <c r="L1681" s="177"/>
      <c r="M1681" s="177"/>
      <c r="N1681" s="70"/>
      <c r="O1681" s="38"/>
      <c r="P1681" s="38"/>
      <c r="Q1681" s="760"/>
      <c r="R1681" s="590"/>
      <c r="S1681" s="38"/>
      <c r="T1681" s="38"/>
      <c r="U1681" s="38"/>
      <c r="V1681" s="37"/>
      <c r="W1681" s="39">
        <f>IF(AC1681="Intr",0,G1681*Definitions!$B$53)</f>
        <v>0</v>
      </c>
      <c r="X1681" s="39">
        <f>IF(AC1681="Intr",0,G1681*Definitions!$B$54)</f>
        <v>0</v>
      </c>
      <c r="Y1681" s="39">
        <f>IF(AC1681="Intr",G1681,G1681*Definitions!$B$55)</f>
        <v>0</v>
      </c>
      <c r="Z1681" s="39"/>
      <c r="AA1681" s="39"/>
      <c r="AB1681" s="39"/>
      <c r="AC1681" s="38"/>
      <c r="AD1681" s="38"/>
      <c r="AE1681" s="38"/>
      <c r="AF1681" s="38"/>
      <c r="AG1681" s="40"/>
      <c r="AH1681" s="38"/>
    </row>
    <row r="1682" spans="1:34" x14ac:dyDescent="0.2">
      <c r="A1682" s="38"/>
      <c r="B1682" s="38"/>
      <c r="C1682" s="38"/>
      <c r="D1682" s="38"/>
      <c r="E1682" s="177"/>
      <c r="F1682" s="177"/>
      <c r="G1682" s="269"/>
      <c r="H1682" s="179"/>
      <c r="I1682" s="177"/>
      <c r="J1682" s="177"/>
      <c r="K1682" s="177"/>
      <c r="L1682" s="177"/>
      <c r="M1682" s="177"/>
      <c r="N1682" s="70"/>
      <c r="O1682" s="38"/>
      <c r="P1682" s="38"/>
      <c r="Q1682" s="760"/>
      <c r="R1682" s="590"/>
      <c r="S1682" s="38"/>
      <c r="T1682" s="38"/>
      <c r="U1682" s="38"/>
      <c r="V1682" s="37"/>
      <c r="W1682" s="39">
        <f>IF(AC1682="Intr",0,G1682*Definitions!$B$53)</f>
        <v>0</v>
      </c>
      <c r="X1682" s="39">
        <f>IF(AC1682="Intr",0,G1682*Definitions!$B$54)</f>
        <v>0</v>
      </c>
      <c r="Y1682" s="39">
        <f>IF(AC1682="Intr",G1682,G1682*Definitions!$B$55)</f>
        <v>0</v>
      </c>
      <c r="Z1682" s="39"/>
      <c r="AA1682" s="39"/>
      <c r="AB1682" s="39"/>
      <c r="AC1682" s="38"/>
      <c r="AD1682" s="38"/>
      <c r="AE1682" s="38"/>
      <c r="AF1682" s="38"/>
      <c r="AG1682" s="40"/>
      <c r="AH1682" s="38"/>
    </row>
    <row r="1683" spans="1:34" x14ac:dyDescent="0.2">
      <c r="A1683" s="38"/>
      <c r="B1683" s="38"/>
      <c r="C1683" s="38"/>
      <c r="D1683" s="38"/>
      <c r="E1683" s="177"/>
      <c r="F1683" s="177"/>
      <c r="G1683" s="269"/>
      <c r="H1683" s="179"/>
      <c r="I1683" s="177"/>
      <c r="J1683" s="177"/>
      <c r="K1683" s="177"/>
      <c r="L1683" s="177"/>
      <c r="M1683" s="177"/>
      <c r="N1683" s="70"/>
      <c r="O1683" s="38"/>
      <c r="P1683" s="38"/>
      <c r="Q1683" s="760"/>
      <c r="R1683" s="590"/>
      <c r="S1683" s="38"/>
      <c r="T1683" s="38"/>
      <c r="U1683" s="38"/>
      <c r="V1683" s="37"/>
      <c r="W1683" s="39">
        <f>IF(AC1683="Intr",0,G1683*Definitions!$B$53)</f>
        <v>0</v>
      </c>
      <c r="X1683" s="39">
        <f>IF(AC1683="Intr",0,G1683*Definitions!$B$54)</f>
        <v>0</v>
      </c>
      <c r="Y1683" s="39">
        <f>IF(AC1683="Intr",G1683,G1683*Definitions!$B$55)</f>
        <v>0</v>
      </c>
      <c r="Z1683" s="39"/>
      <c r="AA1683" s="39"/>
      <c r="AB1683" s="39"/>
      <c r="AC1683" s="38"/>
      <c r="AD1683" s="38"/>
      <c r="AE1683" s="38"/>
      <c r="AF1683" s="38"/>
      <c r="AG1683" s="40"/>
      <c r="AH1683" s="38"/>
    </row>
    <row r="1684" spans="1:34" x14ac:dyDescent="0.2">
      <c r="A1684" s="38"/>
      <c r="B1684" s="38"/>
      <c r="C1684" s="38"/>
      <c r="D1684" s="38"/>
      <c r="E1684" s="177"/>
      <c r="F1684" s="177"/>
      <c r="G1684" s="269"/>
      <c r="H1684" s="179"/>
      <c r="I1684" s="177"/>
      <c r="J1684" s="177"/>
      <c r="K1684" s="177"/>
      <c r="L1684" s="177"/>
      <c r="M1684" s="177"/>
      <c r="N1684" s="70"/>
      <c r="O1684" s="38"/>
      <c r="P1684" s="38"/>
      <c r="Q1684" s="760"/>
      <c r="R1684" s="590"/>
      <c r="S1684" s="38"/>
      <c r="T1684" s="38"/>
      <c r="U1684" s="38"/>
      <c r="V1684" s="37"/>
      <c r="W1684" s="39">
        <f>IF(AC1684="Intr",0,G1684*Definitions!$B$53)</f>
        <v>0</v>
      </c>
      <c r="X1684" s="39">
        <f>IF(AC1684="Intr",0,G1684*Definitions!$B$54)</f>
        <v>0</v>
      </c>
      <c r="Y1684" s="39">
        <f>IF(AC1684="Intr",G1684,G1684*Definitions!$B$55)</f>
        <v>0</v>
      </c>
      <c r="Z1684" s="39"/>
      <c r="AA1684" s="39"/>
      <c r="AB1684" s="39"/>
      <c r="AC1684" s="38"/>
      <c r="AD1684" s="38"/>
      <c r="AE1684" s="38"/>
      <c r="AF1684" s="38"/>
      <c r="AG1684" s="40"/>
      <c r="AH1684" s="38"/>
    </row>
    <row r="1685" spans="1:34" x14ac:dyDescent="0.2">
      <c r="A1685" s="38"/>
      <c r="B1685" s="38"/>
      <c r="C1685" s="38"/>
      <c r="D1685" s="38"/>
      <c r="E1685" s="177"/>
      <c r="F1685" s="177"/>
      <c r="G1685" s="269"/>
      <c r="H1685" s="179"/>
      <c r="I1685" s="177"/>
      <c r="J1685" s="177"/>
      <c r="K1685" s="177"/>
      <c r="L1685" s="177"/>
      <c r="M1685" s="177"/>
      <c r="N1685" s="70"/>
      <c r="O1685" s="38"/>
      <c r="P1685" s="38"/>
      <c r="Q1685" s="760"/>
      <c r="R1685" s="590"/>
      <c r="S1685" s="38"/>
      <c r="T1685" s="38"/>
      <c r="U1685" s="38"/>
      <c r="V1685" s="37"/>
      <c r="W1685" s="39">
        <f>IF(AC1685="Intr",0,G1685*Definitions!$B$53)</f>
        <v>0</v>
      </c>
      <c r="X1685" s="39">
        <f>IF(AC1685="Intr",0,G1685*Definitions!$B$54)</f>
        <v>0</v>
      </c>
      <c r="Y1685" s="39">
        <f>IF(AC1685="Intr",G1685,G1685*Definitions!$B$55)</f>
        <v>0</v>
      </c>
      <c r="Z1685" s="39"/>
      <c r="AA1685" s="39"/>
      <c r="AB1685" s="39"/>
      <c r="AC1685" s="38"/>
      <c r="AD1685" s="38"/>
      <c r="AE1685" s="38"/>
      <c r="AF1685" s="38"/>
      <c r="AG1685" s="40"/>
      <c r="AH1685" s="38"/>
    </row>
    <row r="1686" spans="1:34" x14ac:dyDescent="0.2">
      <c r="A1686" s="38"/>
      <c r="B1686" s="38"/>
      <c r="C1686" s="38"/>
      <c r="D1686" s="38"/>
      <c r="E1686" s="177"/>
      <c r="F1686" s="177"/>
      <c r="G1686" s="269"/>
      <c r="H1686" s="179"/>
      <c r="I1686" s="177"/>
      <c r="J1686" s="177"/>
      <c r="K1686" s="177"/>
      <c r="L1686" s="177"/>
      <c r="M1686" s="177"/>
      <c r="N1686" s="70"/>
      <c r="O1686" s="38"/>
      <c r="P1686" s="38"/>
      <c r="Q1686" s="760"/>
      <c r="R1686" s="590"/>
      <c r="S1686" s="38"/>
      <c r="T1686" s="38"/>
      <c r="U1686" s="38"/>
      <c r="V1686" s="37"/>
      <c r="W1686" s="39">
        <f>IF(AC1686="Intr",0,G1686*Definitions!$B$53)</f>
        <v>0</v>
      </c>
      <c r="X1686" s="39">
        <f>IF(AC1686="Intr",0,G1686*Definitions!$B$54)</f>
        <v>0</v>
      </c>
      <c r="Y1686" s="39">
        <f>IF(AC1686="Intr",G1686,G1686*Definitions!$B$55)</f>
        <v>0</v>
      </c>
      <c r="Z1686" s="39"/>
      <c r="AA1686" s="39"/>
      <c r="AB1686" s="39"/>
      <c r="AC1686" s="38"/>
      <c r="AD1686" s="38"/>
      <c r="AE1686" s="38"/>
      <c r="AF1686" s="38"/>
      <c r="AG1686" s="40"/>
      <c r="AH1686" s="38"/>
    </row>
    <row r="1687" spans="1:34" x14ac:dyDescent="0.2">
      <c r="A1687" s="38"/>
      <c r="B1687" s="38"/>
      <c r="C1687" s="38"/>
      <c r="D1687" s="38"/>
      <c r="E1687" s="177"/>
      <c r="F1687" s="177"/>
      <c r="G1687" s="269"/>
      <c r="H1687" s="179"/>
      <c r="I1687" s="177"/>
      <c r="J1687" s="177"/>
      <c r="K1687" s="177"/>
      <c r="L1687" s="177"/>
      <c r="M1687" s="177"/>
      <c r="N1687" s="70"/>
      <c r="O1687" s="38"/>
      <c r="P1687" s="38"/>
      <c r="Q1687" s="760"/>
      <c r="R1687" s="590"/>
      <c r="S1687" s="38"/>
      <c r="T1687" s="38"/>
      <c r="U1687" s="38"/>
      <c r="V1687" s="37"/>
      <c r="W1687" s="39">
        <f>IF(AC1687="Intr",0,G1687*Definitions!$B$53)</f>
        <v>0</v>
      </c>
      <c r="X1687" s="39">
        <f>IF(AC1687="Intr",0,G1687*Definitions!$B$54)</f>
        <v>0</v>
      </c>
      <c r="Y1687" s="39">
        <f>IF(AC1687="Intr",G1687,G1687*Definitions!$B$55)</f>
        <v>0</v>
      </c>
      <c r="Z1687" s="39"/>
      <c r="AA1687" s="39"/>
      <c r="AB1687" s="39"/>
      <c r="AC1687" s="38"/>
      <c r="AD1687" s="38"/>
      <c r="AE1687" s="38"/>
      <c r="AF1687" s="38"/>
      <c r="AG1687" s="40"/>
      <c r="AH1687" s="38"/>
    </row>
    <row r="1688" spans="1:34" x14ac:dyDescent="0.2">
      <c r="A1688" s="38"/>
      <c r="B1688" s="38"/>
      <c r="C1688" s="38"/>
      <c r="D1688" s="38"/>
      <c r="E1688" s="177"/>
      <c r="F1688" s="177"/>
      <c r="G1688" s="269"/>
      <c r="H1688" s="179"/>
      <c r="I1688" s="177"/>
      <c r="J1688" s="177"/>
      <c r="K1688" s="177"/>
      <c r="L1688" s="177"/>
      <c r="M1688" s="177"/>
      <c r="N1688" s="70"/>
      <c r="O1688" s="38"/>
      <c r="P1688" s="38"/>
      <c r="Q1688" s="760"/>
      <c r="R1688" s="590"/>
      <c r="S1688" s="38"/>
      <c r="T1688" s="38"/>
      <c r="U1688" s="38"/>
      <c r="V1688" s="37"/>
      <c r="W1688" s="39">
        <f>IF(AC1688="Intr",0,G1688*Definitions!$B$53)</f>
        <v>0</v>
      </c>
      <c r="X1688" s="39">
        <f>IF(AC1688="Intr",0,G1688*Definitions!$B$54)</f>
        <v>0</v>
      </c>
      <c r="Y1688" s="39">
        <f>IF(AC1688="Intr",G1688,G1688*Definitions!$B$55)</f>
        <v>0</v>
      </c>
      <c r="Z1688" s="39"/>
      <c r="AA1688" s="39"/>
      <c r="AB1688" s="39"/>
      <c r="AC1688" s="38"/>
      <c r="AD1688" s="38"/>
      <c r="AE1688" s="38"/>
      <c r="AF1688" s="38"/>
      <c r="AG1688" s="40"/>
      <c r="AH1688" s="38"/>
    </row>
    <row r="1689" spans="1:34" x14ac:dyDescent="0.2">
      <c r="A1689" s="38"/>
      <c r="B1689" s="38"/>
      <c r="C1689" s="38"/>
      <c r="D1689" s="38"/>
      <c r="E1689" s="177"/>
      <c r="F1689" s="177"/>
      <c r="G1689" s="269"/>
      <c r="H1689" s="179"/>
      <c r="I1689" s="177"/>
      <c r="J1689" s="177"/>
      <c r="K1689" s="177"/>
      <c r="L1689" s="177"/>
      <c r="M1689" s="177"/>
      <c r="N1689" s="70"/>
      <c r="O1689" s="38"/>
      <c r="P1689" s="38"/>
      <c r="Q1689" s="760"/>
      <c r="R1689" s="590"/>
      <c r="S1689" s="38"/>
      <c r="T1689" s="38"/>
      <c r="U1689" s="38"/>
      <c r="V1689" s="37"/>
      <c r="W1689" s="39">
        <f>IF(AC1689="Intr",0,G1689*Definitions!$B$53)</f>
        <v>0</v>
      </c>
      <c r="X1689" s="39">
        <f>IF(AC1689="Intr",0,G1689*Definitions!$B$54)</f>
        <v>0</v>
      </c>
      <c r="Y1689" s="39">
        <f>IF(AC1689="Intr",G1689,G1689*Definitions!$B$55)</f>
        <v>0</v>
      </c>
      <c r="Z1689" s="39"/>
      <c r="AA1689" s="39"/>
      <c r="AB1689" s="39"/>
      <c r="AC1689" s="38"/>
      <c r="AD1689" s="38"/>
      <c r="AE1689" s="38"/>
      <c r="AF1689" s="38"/>
      <c r="AG1689" s="40"/>
      <c r="AH1689" s="38"/>
    </row>
    <row r="1690" spans="1:34" x14ac:dyDescent="0.2">
      <c r="A1690" s="38"/>
      <c r="B1690" s="38"/>
      <c r="C1690" s="38"/>
      <c r="D1690" s="38"/>
      <c r="E1690" s="177"/>
      <c r="F1690" s="177"/>
      <c r="G1690" s="269"/>
      <c r="H1690" s="179"/>
      <c r="I1690" s="177"/>
      <c r="J1690" s="177"/>
      <c r="K1690" s="177"/>
      <c r="L1690" s="177"/>
      <c r="M1690" s="177"/>
      <c r="N1690" s="70"/>
      <c r="O1690" s="38"/>
      <c r="P1690" s="38"/>
      <c r="Q1690" s="760"/>
      <c r="R1690" s="590"/>
      <c r="S1690" s="38"/>
      <c r="T1690" s="38"/>
      <c r="U1690" s="38"/>
      <c r="V1690" s="37"/>
      <c r="W1690" s="39">
        <f>IF(AC1690="Intr",0,G1690*Definitions!$B$53)</f>
        <v>0</v>
      </c>
      <c r="X1690" s="39">
        <f>IF(AC1690="Intr",0,G1690*Definitions!$B$54)</f>
        <v>0</v>
      </c>
      <c r="Y1690" s="39">
        <f>IF(AC1690="Intr",G1690,G1690*Definitions!$B$55)</f>
        <v>0</v>
      </c>
      <c r="Z1690" s="39"/>
      <c r="AA1690" s="39"/>
      <c r="AB1690" s="39"/>
      <c r="AC1690" s="38"/>
      <c r="AD1690" s="38"/>
      <c r="AE1690" s="38"/>
      <c r="AF1690" s="38"/>
      <c r="AG1690" s="40"/>
      <c r="AH1690" s="38"/>
    </row>
    <row r="1691" spans="1:34" x14ac:dyDescent="0.2">
      <c r="A1691" s="38"/>
      <c r="B1691" s="38"/>
      <c r="C1691" s="38"/>
      <c r="D1691" s="38"/>
      <c r="E1691" s="177"/>
      <c r="F1691" s="177"/>
      <c r="G1691" s="269"/>
      <c r="H1691" s="179"/>
      <c r="I1691" s="177"/>
      <c r="J1691" s="177"/>
      <c r="K1691" s="177"/>
      <c r="L1691" s="177"/>
      <c r="M1691" s="177"/>
      <c r="N1691" s="70"/>
      <c r="O1691" s="38"/>
      <c r="P1691" s="38"/>
      <c r="Q1691" s="760"/>
      <c r="R1691" s="590"/>
      <c r="S1691" s="38"/>
      <c r="T1691" s="38"/>
      <c r="U1691" s="38"/>
      <c r="V1691" s="37"/>
      <c r="W1691" s="39">
        <f>IF(AC1691="Intr",0,G1691*Definitions!$B$53)</f>
        <v>0</v>
      </c>
      <c r="X1691" s="39">
        <f>IF(AC1691="Intr",0,G1691*Definitions!$B$54)</f>
        <v>0</v>
      </c>
      <c r="Y1691" s="39">
        <f>IF(AC1691="Intr",G1691,G1691*Definitions!$B$55)</f>
        <v>0</v>
      </c>
      <c r="Z1691" s="39"/>
      <c r="AA1691" s="39"/>
      <c r="AB1691" s="39"/>
      <c r="AC1691" s="38"/>
      <c r="AD1691" s="38"/>
      <c r="AE1691" s="38"/>
      <c r="AF1691" s="38"/>
      <c r="AG1691" s="40"/>
      <c r="AH1691" s="38"/>
    </row>
    <row r="1692" spans="1:34" x14ac:dyDescent="0.2">
      <c r="A1692" s="38"/>
      <c r="B1692" s="38"/>
      <c r="C1692" s="38"/>
      <c r="D1692" s="38"/>
      <c r="E1692" s="177"/>
      <c r="F1692" s="177"/>
      <c r="G1692" s="269"/>
      <c r="H1692" s="179"/>
      <c r="I1692" s="177"/>
      <c r="J1692" s="177"/>
      <c r="K1692" s="177"/>
      <c r="L1692" s="177"/>
      <c r="M1692" s="177"/>
      <c r="N1692" s="70"/>
      <c r="O1692" s="38"/>
      <c r="P1692" s="38"/>
      <c r="Q1692" s="760"/>
      <c r="R1692" s="590"/>
      <c r="S1692" s="38"/>
      <c r="T1692" s="38"/>
      <c r="U1692" s="38"/>
      <c r="V1692" s="37"/>
      <c r="W1692" s="39">
        <f>IF(AC1692="Intr",0,G1692*Definitions!$B$53)</f>
        <v>0</v>
      </c>
      <c r="X1692" s="39">
        <f>IF(AC1692="Intr",0,G1692*Definitions!$B$54)</f>
        <v>0</v>
      </c>
      <c r="Y1692" s="39">
        <f>IF(AC1692="Intr",G1692,G1692*Definitions!$B$55)</f>
        <v>0</v>
      </c>
      <c r="Z1692" s="39"/>
      <c r="AA1692" s="39"/>
      <c r="AB1692" s="39"/>
      <c r="AC1692" s="38"/>
      <c r="AD1692" s="38"/>
      <c r="AE1692" s="38"/>
      <c r="AF1692" s="38"/>
      <c r="AG1692" s="40"/>
      <c r="AH1692" s="38"/>
    </row>
    <row r="1693" spans="1:34" x14ac:dyDescent="0.2">
      <c r="A1693" s="38"/>
      <c r="B1693" s="38"/>
      <c r="C1693" s="38"/>
      <c r="D1693" s="38"/>
      <c r="E1693" s="177"/>
      <c r="F1693" s="177"/>
      <c r="G1693" s="269"/>
      <c r="H1693" s="179"/>
      <c r="I1693" s="177"/>
      <c r="J1693" s="177"/>
      <c r="K1693" s="177"/>
      <c r="L1693" s="177"/>
      <c r="M1693" s="177"/>
      <c r="N1693" s="70"/>
      <c r="O1693" s="38"/>
      <c r="P1693" s="38"/>
      <c r="Q1693" s="760"/>
      <c r="R1693" s="590"/>
      <c r="S1693" s="38"/>
      <c r="T1693" s="38"/>
      <c r="U1693" s="38"/>
      <c r="V1693" s="37"/>
      <c r="W1693" s="39">
        <f>IF(AC1693="Intr",0,G1693*Definitions!$B$53)</f>
        <v>0</v>
      </c>
      <c r="X1693" s="39">
        <f>IF(AC1693="Intr",0,G1693*Definitions!$B$54)</f>
        <v>0</v>
      </c>
      <c r="Y1693" s="39">
        <f>IF(AC1693="Intr",G1693,G1693*Definitions!$B$55)</f>
        <v>0</v>
      </c>
      <c r="Z1693" s="39"/>
      <c r="AA1693" s="39"/>
      <c r="AB1693" s="39"/>
      <c r="AC1693" s="38"/>
      <c r="AD1693" s="38"/>
      <c r="AE1693" s="38"/>
      <c r="AF1693" s="38"/>
      <c r="AG1693" s="40"/>
      <c r="AH1693" s="38"/>
    </row>
    <row r="1694" spans="1:34" x14ac:dyDescent="0.2">
      <c r="A1694" s="38"/>
      <c r="B1694" s="38"/>
      <c r="C1694" s="38"/>
      <c r="D1694" s="38"/>
      <c r="E1694" s="177"/>
      <c r="F1694" s="177"/>
      <c r="G1694" s="269"/>
      <c r="H1694" s="179"/>
      <c r="I1694" s="177"/>
      <c r="J1694" s="177"/>
      <c r="K1694" s="177"/>
      <c r="L1694" s="177"/>
      <c r="M1694" s="177"/>
      <c r="N1694" s="70"/>
      <c r="O1694" s="38"/>
      <c r="P1694" s="38"/>
      <c r="Q1694" s="760"/>
      <c r="R1694" s="590"/>
      <c r="S1694" s="38"/>
      <c r="T1694" s="38"/>
      <c r="U1694" s="38"/>
      <c r="V1694" s="37"/>
      <c r="W1694" s="39">
        <f>IF(AC1694="Intr",0,G1694*Definitions!$B$53)</f>
        <v>0</v>
      </c>
      <c r="X1694" s="39">
        <f>IF(AC1694="Intr",0,G1694*Definitions!$B$54)</f>
        <v>0</v>
      </c>
      <c r="Y1694" s="39">
        <f>IF(AC1694="Intr",G1694,G1694*Definitions!$B$55)</f>
        <v>0</v>
      </c>
      <c r="Z1694" s="39"/>
      <c r="AA1694" s="39"/>
      <c r="AB1694" s="39"/>
      <c r="AC1694" s="38"/>
      <c r="AD1694" s="38"/>
      <c r="AE1694" s="38"/>
      <c r="AF1694" s="38"/>
      <c r="AG1694" s="40"/>
      <c r="AH1694" s="38"/>
    </row>
    <row r="1695" spans="1:34" x14ac:dyDescent="0.2">
      <c r="A1695" s="38"/>
      <c r="B1695" s="38"/>
      <c r="C1695" s="38"/>
      <c r="D1695" s="38"/>
      <c r="E1695" s="177"/>
      <c r="F1695" s="177"/>
      <c r="G1695" s="269"/>
      <c r="H1695" s="179"/>
      <c r="I1695" s="177"/>
      <c r="J1695" s="177"/>
      <c r="K1695" s="177"/>
      <c r="L1695" s="177"/>
      <c r="M1695" s="177"/>
      <c r="N1695" s="70"/>
      <c r="O1695" s="38"/>
      <c r="P1695" s="38"/>
      <c r="Q1695" s="760"/>
      <c r="R1695" s="590"/>
      <c r="S1695" s="38"/>
      <c r="T1695" s="38"/>
      <c r="U1695" s="38"/>
      <c r="V1695" s="37"/>
      <c r="W1695" s="39">
        <f>IF(AC1695="Intr",0,G1695*Definitions!$B$53)</f>
        <v>0</v>
      </c>
      <c r="X1695" s="39">
        <f>IF(AC1695="Intr",0,G1695*Definitions!$B$54)</f>
        <v>0</v>
      </c>
      <c r="Y1695" s="39">
        <f>IF(AC1695="Intr",G1695,G1695*Definitions!$B$55)</f>
        <v>0</v>
      </c>
      <c r="Z1695" s="39"/>
      <c r="AA1695" s="39"/>
      <c r="AB1695" s="39"/>
      <c r="AC1695" s="38"/>
      <c r="AD1695" s="38"/>
      <c r="AE1695" s="38"/>
      <c r="AF1695" s="38"/>
      <c r="AG1695" s="40"/>
      <c r="AH1695" s="38"/>
    </row>
    <row r="1696" spans="1:34" x14ac:dyDescent="0.2">
      <c r="A1696" s="38"/>
      <c r="B1696" s="38"/>
      <c r="C1696" s="38"/>
      <c r="D1696" s="38"/>
      <c r="E1696" s="177"/>
      <c r="F1696" s="177"/>
      <c r="G1696" s="269"/>
      <c r="H1696" s="179"/>
      <c r="I1696" s="177"/>
      <c r="J1696" s="177"/>
      <c r="K1696" s="177"/>
      <c r="L1696" s="177"/>
      <c r="M1696" s="177"/>
      <c r="N1696" s="70"/>
      <c r="O1696" s="38"/>
      <c r="P1696" s="38"/>
      <c r="Q1696" s="760"/>
      <c r="R1696" s="590"/>
      <c r="S1696" s="38"/>
      <c r="T1696" s="38"/>
      <c r="U1696" s="38"/>
      <c r="V1696" s="37"/>
      <c r="W1696" s="39">
        <f>IF(AC1696="Intr",0,G1696*Definitions!$B$53)</f>
        <v>0</v>
      </c>
      <c r="X1696" s="39">
        <f>IF(AC1696="Intr",0,G1696*Definitions!$B$54)</f>
        <v>0</v>
      </c>
      <c r="Y1696" s="39">
        <f>IF(AC1696="Intr",G1696,G1696*Definitions!$B$55)</f>
        <v>0</v>
      </c>
      <c r="Z1696" s="39"/>
      <c r="AA1696" s="39"/>
      <c r="AB1696" s="39"/>
      <c r="AC1696" s="38"/>
      <c r="AD1696" s="38"/>
      <c r="AE1696" s="38"/>
      <c r="AF1696" s="38"/>
      <c r="AG1696" s="40"/>
      <c r="AH1696" s="38"/>
    </row>
    <row r="1697" spans="1:34" x14ac:dyDescent="0.2">
      <c r="A1697" s="38"/>
      <c r="B1697" s="38"/>
      <c r="C1697" s="38"/>
      <c r="D1697" s="38"/>
      <c r="E1697" s="177"/>
      <c r="F1697" s="177"/>
      <c r="G1697" s="269"/>
      <c r="H1697" s="179"/>
      <c r="I1697" s="177"/>
      <c r="J1697" s="177"/>
      <c r="K1697" s="177"/>
      <c r="L1697" s="177"/>
      <c r="M1697" s="177"/>
      <c r="N1697" s="70"/>
      <c r="O1697" s="38"/>
      <c r="P1697" s="38"/>
      <c r="Q1697" s="760"/>
      <c r="R1697" s="590"/>
      <c r="S1697" s="38"/>
      <c r="T1697" s="38"/>
      <c r="U1697" s="38"/>
      <c r="V1697" s="37"/>
      <c r="W1697" s="39">
        <f>IF(AC1697="Intr",0,G1697*Definitions!$B$53)</f>
        <v>0</v>
      </c>
      <c r="X1697" s="39">
        <f>IF(AC1697="Intr",0,G1697*Definitions!$B$54)</f>
        <v>0</v>
      </c>
      <c r="Y1697" s="39">
        <f>IF(AC1697="Intr",G1697,G1697*Definitions!$B$55)</f>
        <v>0</v>
      </c>
      <c r="Z1697" s="39"/>
      <c r="AA1697" s="39"/>
      <c r="AB1697" s="39"/>
      <c r="AC1697" s="38"/>
      <c r="AD1697" s="38"/>
      <c r="AE1697" s="38"/>
      <c r="AF1697" s="38"/>
      <c r="AG1697" s="40"/>
      <c r="AH1697" s="38"/>
    </row>
    <row r="1698" spans="1:34" x14ac:dyDescent="0.2">
      <c r="A1698" s="38"/>
      <c r="B1698" s="38"/>
      <c r="C1698" s="38"/>
      <c r="D1698" s="38"/>
      <c r="E1698" s="177"/>
      <c r="F1698" s="177"/>
      <c r="G1698" s="269"/>
      <c r="H1698" s="179"/>
      <c r="I1698" s="177"/>
      <c r="J1698" s="177"/>
      <c r="K1698" s="177"/>
      <c r="L1698" s="177"/>
      <c r="M1698" s="177"/>
      <c r="N1698" s="70"/>
      <c r="O1698" s="38"/>
      <c r="P1698" s="38"/>
      <c r="Q1698" s="760"/>
      <c r="R1698" s="590"/>
      <c r="S1698" s="38"/>
      <c r="T1698" s="38"/>
      <c r="U1698" s="38"/>
      <c r="V1698" s="37"/>
      <c r="W1698" s="39">
        <f>IF(AC1698="Intr",0,G1698*Definitions!$B$53)</f>
        <v>0</v>
      </c>
      <c r="X1698" s="39">
        <f>IF(AC1698="Intr",0,G1698*Definitions!$B$54)</f>
        <v>0</v>
      </c>
      <c r="Y1698" s="39">
        <f>IF(AC1698="Intr",G1698,G1698*Definitions!$B$55)</f>
        <v>0</v>
      </c>
      <c r="Z1698" s="39"/>
      <c r="AA1698" s="39"/>
      <c r="AB1698" s="39"/>
      <c r="AC1698" s="38"/>
      <c r="AD1698" s="38"/>
      <c r="AE1698" s="38"/>
      <c r="AF1698" s="38"/>
      <c r="AG1698" s="40"/>
      <c r="AH1698" s="38"/>
    </row>
    <row r="1699" spans="1:34" x14ac:dyDescent="0.2">
      <c r="A1699" s="38"/>
      <c r="B1699" s="38"/>
      <c r="C1699" s="38"/>
      <c r="D1699" s="38"/>
      <c r="E1699" s="177"/>
      <c r="F1699" s="177"/>
      <c r="G1699" s="269"/>
      <c r="H1699" s="179"/>
      <c r="I1699" s="177"/>
      <c r="J1699" s="177"/>
      <c r="K1699" s="177"/>
      <c r="L1699" s="177"/>
      <c r="M1699" s="177"/>
      <c r="N1699" s="70"/>
      <c r="O1699" s="38"/>
      <c r="P1699" s="38"/>
      <c r="Q1699" s="760"/>
      <c r="R1699" s="590"/>
      <c r="S1699" s="38"/>
      <c r="T1699" s="38"/>
      <c r="U1699" s="38"/>
      <c r="V1699" s="37"/>
      <c r="W1699" s="39">
        <f>IF(AC1699="Intr",0,G1699*Definitions!$B$53)</f>
        <v>0</v>
      </c>
      <c r="X1699" s="39">
        <f>IF(AC1699="Intr",0,G1699*Definitions!$B$54)</f>
        <v>0</v>
      </c>
      <c r="Y1699" s="39">
        <f>IF(AC1699="Intr",G1699,G1699*Definitions!$B$55)</f>
        <v>0</v>
      </c>
      <c r="Z1699" s="39"/>
      <c r="AA1699" s="39"/>
      <c r="AB1699" s="39"/>
      <c r="AC1699" s="38"/>
      <c r="AD1699" s="38"/>
      <c r="AE1699" s="38"/>
      <c r="AF1699" s="38"/>
      <c r="AG1699" s="40"/>
      <c r="AH1699" s="38"/>
    </row>
    <row r="1700" spans="1:34" x14ac:dyDescent="0.2">
      <c r="A1700" s="38"/>
      <c r="B1700" s="38"/>
      <c r="C1700" s="38"/>
      <c r="D1700" s="38"/>
      <c r="E1700" s="177"/>
      <c r="F1700" s="177"/>
      <c r="G1700" s="269"/>
      <c r="H1700" s="179"/>
      <c r="I1700" s="177"/>
      <c r="J1700" s="177"/>
      <c r="K1700" s="177"/>
      <c r="L1700" s="177"/>
      <c r="M1700" s="177"/>
      <c r="N1700" s="70"/>
      <c r="O1700" s="38"/>
      <c r="P1700" s="38"/>
      <c r="Q1700" s="760"/>
      <c r="R1700" s="590"/>
      <c r="S1700" s="38"/>
      <c r="T1700" s="38"/>
      <c r="U1700" s="38"/>
      <c r="V1700" s="37"/>
      <c r="W1700" s="39">
        <f>IF(AC1700="Intr",0,G1700*Definitions!$B$53)</f>
        <v>0</v>
      </c>
      <c r="X1700" s="39">
        <f>IF(AC1700="Intr",0,G1700*Definitions!$B$54)</f>
        <v>0</v>
      </c>
      <c r="Y1700" s="39">
        <f>IF(AC1700="Intr",G1700,G1700*Definitions!$B$55)</f>
        <v>0</v>
      </c>
      <c r="Z1700" s="39"/>
      <c r="AA1700" s="39"/>
      <c r="AB1700" s="39"/>
      <c r="AC1700" s="38"/>
      <c r="AD1700" s="38"/>
      <c r="AE1700" s="38"/>
      <c r="AF1700" s="38"/>
      <c r="AG1700" s="40"/>
      <c r="AH1700" s="38"/>
    </row>
    <row r="1701" spans="1:34" x14ac:dyDescent="0.2">
      <c r="A1701" s="38"/>
      <c r="B1701" s="38"/>
      <c r="C1701" s="38"/>
      <c r="D1701" s="38"/>
      <c r="E1701" s="177"/>
      <c r="F1701" s="177"/>
      <c r="G1701" s="269"/>
      <c r="H1701" s="179"/>
      <c r="I1701" s="177"/>
      <c r="J1701" s="177"/>
      <c r="K1701" s="177"/>
      <c r="L1701" s="177"/>
      <c r="M1701" s="177"/>
      <c r="N1701" s="70"/>
      <c r="O1701" s="38"/>
      <c r="P1701" s="38"/>
      <c r="Q1701" s="760"/>
      <c r="R1701" s="590"/>
      <c r="S1701" s="38"/>
      <c r="T1701" s="38"/>
      <c r="U1701" s="38"/>
      <c r="V1701" s="37"/>
      <c r="W1701" s="39">
        <f>IF(AC1701="Intr",0,G1701*Definitions!$B$53)</f>
        <v>0</v>
      </c>
      <c r="X1701" s="39">
        <f>IF(AC1701="Intr",0,G1701*Definitions!$B$54)</f>
        <v>0</v>
      </c>
      <c r="Y1701" s="39">
        <f>IF(AC1701="Intr",G1701,G1701*Definitions!$B$55)</f>
        <v>0</v>
      </c>
      <c r="Z1701" s="39"/>
      <c r="AA1701" s="39"/>
      <c r="AB1701" s="39"/>
      <c r="AC1701" s="38"/>
      <c r="AD1701" s="38"/>
      <c r="AE1701" s="38"/>
      <c r="AF1701" s="38"/>
      <c r="AG1701" s="40"/>
      <c r="AH1701" s="38"/>
    </row>
    <row r="1702" spans="1:34" x14ac:dyDescent="0.2">
      <c r="A1702" s="38"/>
      <c r="B1702" s="38"/>
      <c r="C1702" s="38"/>
      <c r="D1702" s="38"/>
      <c r="E1702" s="177"/>
      <c r="F1702" s="177"/>
      <c r="G1702" s="269"/>
      <c r="H1702" s="179"/>
      <c r="I1702" s="177"/>
      <c r="J1702" s="177"/>
      <c r="K1702" s="177"/>
      <c r="L1702" s="177"/>
      <c r="M1702" s="177"/>
      <c r="N1702" s="70"/>
      <c r="O1702" s="38"/>
      <c r="P1702" s="38"/>
      <c r="Q1702" s="760"/>
      <c r="R1702" s="590"/>
      <c r="S1702" s="38"/>
      <c r="T1702" s="38"/>
      <c r="U1702" s="38"/>
      <c r="V1702" s="37"/>
      <c r="W1702" s="39">
        <f>IF(AC1702="Intr",0,G1702*Definitions!$B$53)</f>
        <v>0</v>
      </c>
      <c r="X1702" s="39">
        <f>IF(AC1702="Intr",0,G1702*Definitions!$B$54)</f>
        <v>0</v>
      </c>
      <c r="Y1702" s="39">
        <f>IF(AC1702="Intr",G1702,G1702*Definitions!$B$55)</f>
        <v>0</v>
      </c>
      <c r="Z1702" s="39"/>
      <c r="AA1702" s="39"/>
      <c r="AB1702" s="39"/>
      <c r="AC1702" s="38"/>
      <c r="AD1702" s="38"/>
      <c r="AE1702" s="38"/>
      <c r="AF1702" s="38"/>
      <c r="AG1702" s="40"/>
      <c r="AH1702" s="38"/>
    </row>
    <row r="1703" spans="1:34" x14ac:dyDescent="0.2">
      <c r="A1703" s="38"/>
      <c r="B1703" s="38"/>
      <c r="C1703" s="38"/>
      <c r="D1703" s="38"/>
      <c r="E1703" s="177"/>
      <c r="F1703" s="177"/>
      <c r="G1703" s="269"/>
      <c r="H1703" s="179"/>
      <c r="I1703" s="177"/>
      <c r="J1703" s="177"/>
      <c r="K1703" s="177"/>
      <c r="L1703" s="177"/>
      <c r="M1703" s="177"/>
      <c r="N1703" s="70"/>
      <c r="O1703" s="38"/>
      <c r="P1703" s="38"/>
      <c r="Q1703" s="760"/>
      <c r="R1703" s="590"/>
      <c r="S1703" s="38"/>
      <c r="T1703" s="38"/>
      <c r="U1703" s="38"/>
      <c r="V1703" s="37"/>
      <c r="W1703" s="39">
        <f>IF(AC1703="Intr",0,G1703*Definitions!$B$53)</f>
        <v>0</v>
      </c>
      <c r="X1703" s="39">
        <f>IF(AC1703="Intr",0,G1703*Definitions!$B$54)</f>
        <v>0</v>
      </c>
      <c r="Y1703" s="39">
        <f>IF(AC1703="Intr",G1703,G1703*Definitions!$B$55)</f>
        <v>0</v>
      </c>
      <c r="Z1703" s="39"/>
      <c r="AA1703" s="39"/>
      <c r="AB1703" s="39"/>
      <c r="AC1703" s="38"/>
      <c r="AD1703" s="38"/>
      <c r="AE1703" s="38"/>
      <c r="AF1703" s="38"/>
      <c r="AG1703" s="40"/>
      <c r="AH1703" s="38"/>
    </row>
    <row r="1704" spans="1:34" x14ac:dyDescent="0.2">
      <c r="A1704" s="38"/>
      <c r="B1704" s="38"/>
      <c r="C1704" s="38"/>
      <c r="D1704" s="38"/>
      <c r="E1704" s="177"/>
      <c r="F1704" s="177"/>
      <c r="G1704" s="269"/>
      <c r="H1704" s="179"/>
      <c r="I1704" s="177"/>
      <c r="J1704" s="177"/>
      <c r="K1704" s="177"/>
      <c r="L1704" s="177"/>
      <c r="M1704" s="177"/>
      <c r="N1704" s="70"/>
      <c r="O1704" s="38"/>
      <c r="P1704" s="38"/>
      <c r="Q1704" s="760"/>
      <c r="R1704" s="590"/>
      <c r="S1704" s="38"/>
      <c r="T1704" s="38"/>
      <c r="U1704" s="38"/>
      <c r="V1704" s="37"/>
      <c r="W1704" s="39">
        <f>IF(AC1704="Intr",0,G1704*Definitions!$B$53)</f>
        <v>0</v>
      </c>
      <c r="X1704" s="39">
        <f>IF(AC1704="Intr",0,G1704*Definitions!$B$54)</f>
        <v>0</v>
      </c>
      <c r="Y1704" s="39">
        <f>IF(AC1704="Intr",G1704,G1704*Definitions!$B$55)</f>
        <v>0</v>
      </c>
      <c r="Z1704" s="39"/>
      <c r="AA1704" s="39"/>
      <c r="AB1704" s="39"/>
      <c r="AC1704" s="38"/>
      <c r="AD1704" s="38"/>
      <c r="AE1704" s="38"/>
      <c r="AF1704" s="38"/>
      <c r="AG1704" s="40"/>
      <c r="AH1704" s="38"/>
    </row>
    <row r="1705" spans="1:34" x14ac:dyDescent="0.2">
      <c r="A1705" s="38"/>
      <c r="B1705" s="38"/>
      <c r="C1705" s="38"/>
      <c r="D1705" s="38"/>
      <c r="E1705" s="177"/>
      <c r="F1705" s="177"/>
      <c r="G1705" s="269"/>
      <c r="H1705" s="179"/>
      <c r="I1705" s="177"/>
      <c r="J1705" s="177"/>
      <c r="K1705" s="177"/>
      <c r="L1705" s="177"/>
      <c r="M1705" s="177"/>
      <c r="N1705" s="70"/>
      <c r="O1705" s="38"/>
      <c r="P1705" s="38"/>
      <c r="Q1705" s="760"/>
      <c r="R1705" s="590"/>
      <c r="S1705" s="38"/>
      <c r="T1705" s="38"/>
      <c r="U1705" s="38"/>
      <c r="V1705" s="37"/>
      <c r="W1705" s="39">
        <f>IF(AC1705="Intr",0,G1705*Definitions!$B$53)</f>
        <v>0</v>
      </c>
      <c r="X1705" s="39">
        <f>IF(AC1705="Intr",0,G1705*Definitions!$B$54)</f>
        <v>0</v>
      </c>
      <c r="Y1705" s="39">
        <f>IF(AC1705="Intr",G1705,G1705*Definitions!$B$55)</f>
        <v>0</v>
      </c>
      <c r="Z1705" s="39"/>
      <c r="AA1705" s="39"/>
      <c r="AB1705" s="39"/>
      <c r="AC1705" s="38"/>
      <c r="AD1705" s="38"/>
      <c r="AE1705" s="38"/>
      <c r="AF1705" s="38"/>
      <c r="AG1705" s="40"/>
      <c r="AH1705" s="38"/>
    </row>
    <row r="1706" spans="1:34" x14ac:dyDescent="0.2">
      <c r="A1706" s="38"/>
      <c r="B1706" s="38"/>
      <c r="C1706" s="38"/>
      <c r="D1706" s="38"/>
      <c r="E1706" s="177"/>
      <c r="F1706" s="177"/>
      <c r="G1706" s="269"/>
      <c r="H1706" s="179"/>
      <c r="I1706" s="177"/>
      <c r="J1706" s="177"/>
      <c r="K1706" s="177"/>
      <c r="L1706" s="177"/>
      <c r="M1706" s="177"/>
      <c r="N1706" s="70"/>
      <c r="O1706" s="38"/>
      <c r="P1706" s="38"/>
      <c r="Q1706" s="760"/>
      <c r="R1706" s="590"/>
      <c r="S1706" s="38"/>
      <c r="T1706" s="38"/>
      <c r="U1706" s="38"/>
      <c r="V1706" s="37"/>
      <c r="W1706" s="39">
        <f>IF(AC1706="Intr",0,G1706*Definitions!$B$53)</f>
        <v>0</v>
      </c>
      <c r="X1706" s="39">
        <f>IF(AC1706="Intr",0,G1706*Definitions!$B$54)</f>
        <v>0</v>
      </c>
      <c r="Y1706" s="39">
        <f>IF(AC1706="Intr",G1706,G1706*Definitions!$B$55)</f>
        <v>0</v>
      </c>
      <c r="Z1706" s="39"/>
      <c r="AA1706" s="39"/>
      <c r="AB1706" s="39"/>
      <c r="AC1706" s="38"/>
      <c r="AD1706" s="38"/>
      <c r="AE1706" s="38"/>
      <c r="AF1706" s="38"/>
      <c r="AG1706" s="40"/>
      <c r="AH1706" s="38"/>
    </row>
    <row r="1707" spans="1:34" x14ac:dyDescent="0.2">
      <c r="A1707" s="38"/>
      <c r="B1707" s="38"/>
      <c r="C1707" s="38"/>
      <c r="D1707" s="38"/>
      <c r="E1707" s="177"/>
      <c r="F1707" s="177"/>
      <c r="G1707" s="269"/>
      <c r="H1707" s="179"/>
      <c r="I1707" s="177"/>
      <c r="J1707" s="177"/>
      <c r="K1707" s="177"/>
      <c r="L1707" s="177"/>
      <c r="M1707" s="177"/>
      <c r="N1707" s="70"/>
      <c r="O1707" s="38"/>
      <c r="P1707" s="38"/>
      <c r="Q1707" s="760"/>
      <c r="R1707" s="590"/>
      <c r="S1707" s="38"/>
      <c r="T1707" s="38"/>
      <c r="U1707" s="38"/>
      <c r="V1707" s="37"/>
      <c r="W1707" s="39">
        <f>IF(AC1707="Intr",0,G1707*Definitions!$B$53)</f>
        <v>0</v>
      </c>
      <c r="X1707" s="39">
        <f>IF(AC1707="Intr",0,G1707*Definitions!$B$54)</f>
        <v>0</v>
      </c>
      <c r="Y1707" s="39">
        <f>IF(AC1707="Intr",G1707,G1707*Definitions!$B$55)</f>
        <v>0</v>
      </c>
      <c r="Z1707" s="39"/>
      <c r="AA1707" s="39"/>
      <c r="AB1707" s="39"/>
      <c r="AC1707" s="38"/>
      <c r="AD1707" s="38"/>
      <c r="AE1707" s="38"/>
      <c r="AF1707" s="38"/>
      <c r="AG1707" s="40"/>
      <c r="AH1707" s="38"/>
    </row>
    <row r="1708" spans="1:34" x14ac:dyDescent="0.2">
      <c r="A1708" s="38"/>
      <c r="B1708" s="38"/>
      <c r="C1708" s="38"/>
      <c r="D1708" s="38"/>
      <c r="E1708" s="177"/>
      <c r="F1708" s="177"/>
      <c r="G1708" s="269"/>
      <c r="H1708" s="179"/>
      <c r="I1708" s="177"/>
      <c r="J1708" s="177"/>
      <c r="K1708" s="177"/>
      <c r="L1708" s="177"/>
      <c r="M1708" s="177"/>
      <c r="N1708" s="70"/>
      <c r="O1708" s="38"/>
      <c r="P1708" s="38"/>
      <c r="Q1708" s="760"/>
      <c r="R1708" s="590"/>
      <c r="S1708" s="38"/>
      <c r="T1708" s="38"/>
      <c r="U1708" s="38"/>
      <c r="V1708" s="37"/>
      <c r="W1708" s="39">
        <f>IF(AC1708="Intr",0,G1708*Definitions!$B$53)</f>
        <v>0</v>
      </c>
      <c r="X1708" s="39">
        <f>IF(AC1708="Intr",0,G1708*Definitions!$B$54)</f>
        <v>0</v>
      </c>
      <c r="Y1708" s="39">
        <f>IF(AC1708="Intr",G1708,G1708*Definitions!$B$55)</f>
        <v>0</v>
      </c>
      <c r="Z1708" s="39"/>
      <c r="AA1708" s="39"/>
      <c r="AB1708" s="39"/>
      <c r="AC1708" s="38"/>
      <c r="AD1708" s="38"/>
      <c r="AE1708" s="38"/>
      <c r="AF1708" s="38"/>
      <c r="AG1708" s="40"/>
      <c r="AH1708" s="38"/>
    </row>
    <row r="1709" spans="1:34" x14ac:dyDescent="0.2">
      <c r="A1709" s="38"/>
      <c r="B1709" s="38"/>
      <c r="C1709" s="38"/>
      <c r="D1709" s="38"/>
      <c r="E1709" s="177"/>
      <c r="F1709" s="177"/>
      <c r="G1709" s="269"/>
      <c r="H1709" s="179"/>
      <c r="I1709" s="177"/>
      <c r="J1709" s="177"/>
      <c r="K1709" s="177"/>
      <c r="L1709" s="177"/>
      <c r="M1709" s="177"/>
      <c r="N1709" s="70"/>
      <c r="O1709" s="38"/>
      <c r="P1709" s="38"/>
      <c r="Q1709" s="760"/>
      <c r="R1709" s="590"/>
      <c r="S1709" s="38"/>
      <c r="T1709" s="38"/>
      <c r="U1709" s="38"/>
      <c r="V1709" s="37"/>
      <c r="W1709" s="39">
        <f>IF(AC1709="Intr",0,G1709*Definitions!$B$53)</f>
        <v>0</v>
      </c>
      <c r="X1709" s="39">
        <f>IF(AC1709="Intr",0,G1709*Definitions!$B$54)</f>
        <v>0</v>
      </c>
      <c r="Y1709" s="39">
        <f>IF(AC1709="Intr",G1709,G1709*Definitions!$B$55)</f>
        <v>0</v>
      </c>
      <c r="Z1709" s="39"/>
      <c r="AA1709" s="39"/>
      <c r="AB1709" s="39"/>
      <c r="AC1709" s="38"/>
      <c r="AD1709" s="38"/>
      <c r="AE1709" s="38"/>
      <c r="AF1709" s="38"/>
      <c r="AG1709" s="40"/>
      <c r="AH1709" s="38"/>
    </row>
    <row r="1710" spans="1:34" x14ac:dyDescent="0.2">
      <c r="A1710" s="38"/>
      <c r="B1710" s="38"/>
      <c r="C1710" s="38"/>
      <c r="D1710" s="38"/>
      <c r="E1710" s="177"/>
      <c r="F1710" s="177"/>
      <c r="G1710" s="269"/>
      <c r="H1710" s="179"/>
      <c r="I1710" s="177"/>
      <c r="J1710" s="177"/>
      <c r="K1710" s="177"/>
      <c r="L1710" s="177"/>
      <c r="M1710" s="177"/>
      <c r="N1710" s="70"/>
      <c r="O1710" s="38"/>
      <c r="P1710" s="38"/>
      <c r="Q1710" s="760"/>
      <c r="R1710" s="590"/>
      <c r="S1710" s="38"/>
      <c r="T1710" s="38"/>
      <c r="U1710" s="38"/>
      <c r="V1710" s="37"/>
      <c r="W1710" s="39">
        <f>IF(AC1710="Intr",0,G1710*Definitions!$B$53)</f>
        <v>0</v>
      </c>
      <c r="X1710" s="39">
        <f>IF(AC1710="Intr",0,G1710*Definitions!$B$54)</f>
        <v>0</v>
      </c>
      <c r="Y1710" s="39">
        <f>IF(AC1710="Intr",G1710,G1710*Definitions!$B$55)</f>
        <v>0</v>
      </c>
      <c r="Z1710" s="39"/>
      <c r="AA1710" s="39"/>
      <c r="AB1710" s="39"/>
      <c r="AC1710" s="38"/>
      <c r="AD1710" s="38"/>
      <c r="AE1710" s="38"/>
      <c r="AF1710" s="38"/>
      <c r="AG1710" s="40"/>
      <c r="AH1710" s="38"/>
    </row>
    <row r="1711" spans="1:34" x14ac:dyDescent="0.2">
      <c r="A1711" s="38"/>
      <c r="B1711" s="38"/>
      <c r="C1711" s="38"/>
      <c r="D1711" s="38"/>
      <c r="E1711" s="177"/>
      <c r="F1711" s="177"/>
      <c r="G1711" s="269"/>
      <c r="H1711" s="179"/>
      <c r="I1711" s="177"/>
      <c r="J1711" s="177"/>
      <c r="K1711" s="177"/>
      <c r="L1711" s="177"/>
      <c r="M1711" s="177"/>
      <c r="N1711" s="70"/>
      <c r="O1711" s="38"/>
      <c r="P1711" s="38"/>
      <c r="Q1711" s="760"/>
      <c r="R1711" s="590"/>
      <c r="S1711" s="38"/>
      <c r="T1711" s="38"/>
      <c r="U1711" s="38"/>
      <c r="V1711" s="37"/>
      <c r="W1711" s="39">
        <f>IF(AC1711="Intr",0,G1711*Definitions!$B$53)</f>
        <v>0</v>
      </c>
      <c r="X1711" s="39">
        <f>IF(AC1711="Intr",0,G1711*Definitions!$B$54)</f>
        <v>0</v>
      </c>
      <c r="Y1711" s="39">
        <f>IF(AC1711="Intr",G1711,G1711*Definitions!$B$55)</f>
        <v>0</v>
      </c>
      <c r="Z1711" s="39"/>
      <c r="AA1711" s="39"/>
      <c r="AB1711" s="39"/>
      <c r="AC1711" s="38"/>
      <c r="AD1711" s="38"/>
      <c r="AE1711" s="38"/>
      <c r="AF1711" s="38"/>
      <c r="AG1711" s="40"/>
      <c r="AH1711" s="38"/>
    </row>
    <row r="1712" spans="1:34" x14ac:dyDescent="0.2">
      <c r="A1712" s="38"/>
      <c r="B1712" s="38"/>
      <c r="C1712" s="38"/>
      <c r="D1712" s="38"/>
      <c r="E1712" s="177"/>
      <c r="F1712" s="177"/>
      <c r="G1712" s="269"/>
      <c r="H1712" s="179"/>
      <c r="I1712" s="177"/>
      <c r="J1712" s="177"/>
      <c r="K1712" s="177"/>
      <c r="L1712" s="177"/>
      <c r="M1712" s="177"/>
      <c r="N1712" s="70"/>
      <c r="O1712" s="38"/>
      <c r="P1712" s="38"/>
      <c r="Q1712" s="760"/>
      <c r="R1712" s="590"/>
      <c r="S1712" s="38"/>
      <c r="T1712" s="38"/>
      <c r="U1712" s="38"/>
      <c r="V1712" s="37"/>
      <c r="W1712" s="39">
        <f>IF(AC1712="Intr",0,G1712*Definitions!$B$53)</f>
        <v>0</v>
      </c>
      <c r="X1712" s="39">
        <f>IF(AC1712="Intr",0,G1712*Definitions!$B$54)</f>
        <v>0</v>
      </c>
      <c r="Y1712" s="39">
        <f>IF(AC1712="Intr",G1712,G1712*Definitions!$B$55)</f>
        <v>0</v>
      </c>
      <c r="Z1712" s="39"/>
      <c r="AA1712" s="39"/>
      <c r="AB1712" s="39"/>
      <c r="AC1712" s="38"/>
      <c r="AD1712" s="38"/>
      <c r="AE1712" s="38"/>
      <c r="AF1712" s="38"/>
      <c r="AG1712" s="40"/>
      <c r="AH1712" s="38"/>
    </row>
    <row r="1713" spans="1:34" x14ac:dyDescent="0.2">
      <c r="A1713" s="38"/>
      <c r="B1713" s="38"/>
      <c r="C1713" s="38"/>
      <c r="D1713" s="38"/>
      <c r="E1713" s="177"/>
      <c r="F1713" s="177"/>
      <c r="G1713" s="269"/>
      <c r="H1713" s="179"/>
      <c r="I1713" s="177"/>
      <c r="J1713" s="177"/>
      <c r="K1713" s="177"/>
      <c r="L1713" s="177"/>
      <c r="M1713" s="177"/>
      <c r="N1713" s="70"/>
      <c r="O1713" s="38"/>
      <c r="P1713" s="38"/>
      <c r="Q1713" s="760"/>
      <c r="R1713" s="590"/>
      <c r="S1713" s="38"/>
      <c r="T1713" s="38"/>
      <c r="U1713" s="38"/>
      <c r="V1713" s="37"/>
      <c r="W1713" s="39">
        <f>IF(AC1713="Intr",0,G1713*Definitions!$B$53)</f>
        <v>0</v>
      </c>
      <c r="X1713" s="39">
        <f>IF(AC1713="Intr",0,G1713*Definitions!$B$54)</f>
        <v>0</v>
      </c>
      <c r="Y1713" s="39">
        <f>IF(AC1713="Intr",G1713,G1713*Definitions!$B$55)</f>
        <v>0</v>
      </c>
      <c r="Z1713" s="39"/>
      <c r="AA1713" s="39"/>
      <c r="AB1713" s="39"/>
      <c r="AC1713" s="38"/>
      <c r="AD1713" s="38"/>
      <c r="AE1713" s="38"/>
      <c r="AF1713" s="38"/>
      <c r="AG1713" s="40"/>
      <c r="AH1713" s="38"/>
    </row>
    <row r="1714" spans="1:34" x14ac:dyDescent="0.2">
      <c r="A1714" s="38"/>
      <c r="B1714" s="38"/>
      <c r="C1714" s="38"/>
      <c r="D1714" s="38"/>
      <c r="E1714" s="177"/>
      <c r="F1714" s="177"/>
      <c r="G1714" s="269"/>
      <c r="H1714" s="179"/>
      <c r="I1714" s="177"/>
      <c r="J1714" s="177"/>
      <c r="K1714" s="177"/>
      <c r="L1714" s="177"/>
      <c r="M1714" s="177"/>
      <c r="N1714" s="70"/>
      <c r="O1714" s="38"/>
      <c r="P1714" s="38"/>
      <c r="Q1714" s="760"/>
      <c r="R1714" s="590"/>
      <c r="S1714" s="38"/>
      <c r="T1714" s="38"/>
      <c r="U1714" s="38"/>
      <c r="V1714" s="37"/>
      <c r="W1714" s="39">
        <f>IF(AC1714="Intr",0,G1714*Definitions!$B$53)</f>
        <v>0</v>
      </c>
      <c r="X1714" s="39">
        <f>IF(AC1714="Intr",0,G1714*Definitions!$B$54)</f>
        <v>0</v>
      </c>
      <c r="Y1714" s="39">
        <f>IF(AC1714="Intr",G1714,G1714*Definitions!$B$55)</f>
        <v>0</v>
      </c>
      <c r="Z1714" s="39"/>
      <c r="AA1714" s="39"/>
      <c r="AB1714" s="39"/>
      <c r="AC1714" s="38"/>
      <c r="AD1714" s="38"/>
      <c r="AE1714" s="38"/>
      <c r="AF1714" s="38"/>
      <c r="AG1714" s="40"/>
      <c r="AH1714" s="38"/>
    </row>
    <row r="1715" spans="1:34" x14ac:dyDescent="0.2">
      <c r="A1715" s="38"/>
      <c r="B1715" s="38"/>
      <c r="C1715" s="38"/>
      <c r="D1715" s="38"/>
      <c r="E1715" s="177"/>
      <c r="F1715" s="177"/>
      <c r="G1715" s="269"/>
      <c r="H1715" s="179"/>
      <c r="I1715" s="177"/>
      <c r="J1715" s="177"/>
      <c r="K1715" s="177"/>
      <c r="L1715" s="177"/>
      <c r="M1715" s="177"/>
      <c r="N1715" s="70"/>
      <c r="O1715" s="38"/>
      <c r="P1715" s="38"/>
      <c r="Q1715" s="760"/>
      <c r="R1715" s="590"/>
      <c r="S1715" s="38"/>
      <c r="T1715" s="38"/>
      <c r="U1715" s="38"/>
      <c r="V1715" s="37"/>
      <c r="W1715" s="39">
        <f>IF(AC1715="Intr",0,G1715*Definitions!$B$53)</f>
        <v>0</v>
      </c>
      <c r="X1715" s="39">
        <f>IF(AC1715="Intr",0,G1715*Definitions!$B$54)</f>
        <v>0</v>
      </c>
      <c r="Y1715" s="39">
        <f>IF(AC1715="Intr",G1715,G1715*Definitions!$B$55)</f>
        <v>0</v>
      </c>
      <c r="Z1715" s="39"/>
      <c r="AA1715" s="39"/>
      <c r="AB1715" s="39"/>
      <c r="AC1715" s="38"/>
      <c r="AD1715" s="38"/>
      <c r="AE1715" s="38"/>
      <c r="AF1715" s="38"/>
      <c r="AG1715" s="40"/>
      <c r="AH1715" s="38"/>
    </row>
    <row r="1716" spans="1:34" x14ac:dyDescent="0.2">
      <c r="A1716" s="38"/>
      <c r="B1716" s="38"/>
      <c r="C1716" s="38"/>
      <c r="D1716" s="38"/>
      <c r="E1716" s="177"/>
      <c r="F1716" s="177"/>
      <c r="G1716" s="269"/>
      <c r="H1716" s="179"/>
      <c r="I1716" s="177"/>
      <c r="J1716" s="177"/>
      <c r="K1716" s="177"/>
      <c r="L1716" s="177"/>
      <c r="M1716" s="177"/>
      <c r="N1716" s="70"/>
      <c r="O1716" s="38"/>
      <c r="P1716" s="38"/>
      <c r="Q1716" s="760"/>
      <c r="R1716" s="590"/>
      <c r="S1716" s="38"/>
      <c r="T1716" s="38"/>
      <c r="U1716" s="38"/>
      <c r="V1716" s="37"/>
      <c r="W1716" s="39">
        <f>IF(AC1716="Intr",0,G1716*Definitions!$B$53)</f>
        <v>0</v>
      </c>
      <c r="X1716" s="39">
        <f>IF(AC1716="Intr",0,G1716*Definitions!$B$54)</f>
        <v>0</v>
      </c>
      <c r="Y1716" s="39">
        <f>IF(AC1716="Intr",G1716,G1716*Definitions!$B$55)</f>
        <v>0</v>
      </c>
      <c r="Z1716" s="39"/>
      <c r="AA1716" s="39"/>
      <c r="AB1716" s="39"/>
      <c r="AC1716" s="38"/>
      <c r="AD1716" s="38"/>
      <c r="AE1716" s="38"/>
      <c r="AF1716" s="38"/>
      <c r="AG1716" s="40"/>
      <c r="AH1716" s="38"/>
    </row>
    <row r="1717" spans="1:34" x14ac:dyDescent="0.2">
      <c r="A1717" s="38"/>
      <c r="B1717" s="38"/>
      <c r="C1717" s="38"/>
      <c r="D1717" s="38"/>
      <c r="E1717" s="177"/>
      <c r="F1717" s="177"/>
      <c r="G1717" s="269"/>
      <c r="H1717" s="179"/>
      <c r="I1717" s="177"/>
      <c r="J1717" s="177"/>
      <c r="K1717" s="177"/>
      <c r="L1717" s="177"/>
      <c r="M1717" s="177"/>
      <c r="N1717" s="70"/>
      <c r="O1717" s="38"/>
      <c r="P1717" s="38"/>
      <c r="Q1717" s="760"/>
      <c r="R1717" s="590"/>
      <c r="S1717" s="38"/>
      <c r="T1717" s="38"/>
      <c r="U1717" s="38"/>
      <c r="V1717" s="37"/>
      <c r="W1717" s="39">
        <f>IF(AC1717="Intr",0,G1717*Definitions!$B$53)</f>
        <v>0</v>
      </c>
      <c r="X1717" s="39">
        <f>IF(AC1717="Intr",0,G1717*Definitions!$B$54)</f>
        <v>0</v>
      </c>
      <c r="Y1717" s="39">
        <f>IF(AC1717="Intr",G1717,G1717*Definitions!$B$55)</f>
        <v>0</v>
      </c>
      <c r="Z1717" s="39"/>
      <c r="AA1717" s="39"/>
      <c r="AB1717" s="39"/>
      <c r="AC1717" s="38"/>
      <c r="AD1717" s="38"/>
      <c r="AE1717" s="38"/>
      <c r="AF1717" s="38"/>
      <c r="AG1717" s="40"/>
      <c r="AH1717" s="38"/>
    </row>
    <row r="1718" spans="1:34" x14ac:dyDescent="0.2">
      <c r="A1718" s="38"/>
      <c r="B1718" s="38"/>
      <c r="C1718" s="38"/>
      <c r="D1718" s="38"/>
      <c r="E1718" s="177"/>
      <c r="F1718" s="177"/>
      <c r="G1718" s="269"/>
      <c r="H1718" s="179"/>
      <c r="I1718" s="177"/>
      <c r="J1718" s="177"/>
      <c r="K1718" s="177"/>
      <c r="L1718" s="177"/>
      <c r="M1718" s="177"/>
      <c r="N1718" s="70"/>
      <c r="O1718" s="38"/>
      <c r="P1718" s="38"/>
      <c r="Q1718" s="760"/>
      <c r="R1718" s="590"/>
      <c r="S1718" s="38"/>
      <c r="T1718" s="38"/>
      <c r="U1718" s="38"/>
      <c r="V1718" s="37"/>
      <c r="W1718" s="39">
        <f>IF(AC1718="Intr",0,G1718*Definitions!$B$53)</f>
        <v>0</v>
      </c>
      <c r="X1718" s="39">
        <f>IF(AC1718="Intr",0,G1718*Definitions!$B$54)</f>
        <v>0</v>
      </c>
      <c r="Y1718" s="39">
        <f>IF(AC1718="Intr",G1718,G1718*Definitions!$B$55)</f>
        <v>0</v>
      </c>
      <c r="Z1718" s="39"/>
      <c r="AA1718" s="39"/>
      <c r="AB1718" s="39"/>
      <c r="AC1718" s="38"/>
      <c r="AD1718" s="38"/>
      <c r="AE1718" s="38"/>
      <c r="AF1718" s="38"/>
      <c r="AG1718" s="40"/>
      <c r="AH1718" s="38"/>
    </row>
    <row r="1719" spans="1:34" x14ac:dyDescent="0.2">
      <c r="A1719" s="38"/>
      <c r="B1719" s="38"/>
      <c r="C1719" s="38"/>
      <c r="D1719" s="38"/>
      <c r="E1719" s="177"/>
      <c r="F1719" s="177"/>
      <c r="G1719" s="269"/>
      <c r="H1719" s="179"/>
      <c r="I1719" s="177"/>
      <c r="J1719" s="177"/>
      <c r="K1719" s="177"/>
      <c r="L1719" s="177"/>
      <c r="M1719" s="177"/>
      <c r="N1719" s="70"/>
      <c r="O1719" s="38"/>
      <c r="P1719" s="38"/>
      <c r="Q1719" s="760"/>
      <c r="R1719" s="590"/>
      <c r="S1719" s="38"/>
      <c r="T1719" s="38"/>
      <c r="U1719" s="38"/>
      <c r="V1719" s="37"/>
      <c r="W1719" s="39">
        <f>IF(AC1719="Intr",0,G1719*Definitions!$B$53)</f>
        <v>0</v>
      </c>
      <c r="X1719" s="39">
        <f>IF(AC1719="Intr",0,G1719*Definitions!$B$54)</f>
        <v>0</v>
      </c>
      <c r="Y1719" s="39">
        <f>IF(AC1719="Intr",G1719,G1719*Definitions!$B$55)</f>
        <v>0</v>
      </c>
      <c r="Z1719" s="39"/>
      <c r="AA1719" s="39"/>
      <c r="AB1719" s="39"/>
      <c r="AC1719" s="38"/>
      <c r="AD1719" s="38"/>
      <c r="AE1719" s="38"/>
      <c r="AF1719" s="38"/>
      <c r="AG1719" s="40"/>
      <c r="AH1719" s="38"/>
    </row>
    <row r="1720" spans="1:34" x14ac:dyDescent="0.2">
      <c r="A1720" s="38"/>
      <c r="B1720" s="38"/>
      <c r="C1720" s="38"/>
      <c r="D1720" s="38"/>
      <c r="E1720" s="177"/>
      <c r="F1720" s="177"/>
      <c r="G1720" s="269"/>
      <c r="H1720" s="179"/>
      <c r="I1720" s="177"/>
      <c r="J1720" s="177"/>
      <c r="K1720" s="177"/>
      <c r="L1720" s="177"/>
      <c r="M1720" s="177"/>
      <c r="N1720" s="70"/>
      <c r="O1720" s="38"/>
      <c r="P1720" s="38"/>
      <c r="Q1720" s="760"/>
      <c r="R1720" s="590"/>
      <c r="S1720" s="38"/>
      <c r="T1720" s="38"/>
      <c r="U1720" s="38"/>
      <c r="V1720" s="37"/>
      <c r="W1720" s="39">
        <f>IF(AC1720="Intr",0,G1720*Definitions!$B$53)</f>
        <v>0</v>
      </c>
      <c r="X1720" s="39">
        <f>IF(AC1720="Intr",0,G1720*Definitions!$B$54)</f>
        <v>0</v>
      </c>
      <c r="Y1720" s="39">
        <f>IF(AC1720="Intr",G1720,G1720*Definitions!$B$55)</f>
        <v>0</v>
      </c>
      <c r="Z1720" s="39"/>
      <c r="AA1720" s="39"/>
      <c r="AB1720" s="39"/>
      <c r="AC1720" s="38"/>
      <c r="AD1720" s="38"/>
      <c r="AE1720" s="38"/>
      <c r="AF1720" s="38"/>
      <c r="AG1720" s="40"/>
      <c r="AH1720" s="38"/>
    </row>
    <row r="1721" spans="1:34" x14ac:dyDescent="0.2">
      <c r="A1721" s="38"/>
      <c r="B1721" s="38"/>
      <c r="C1721" s="38"/>
      <c r="D1721" s="38"/>
      <c r="E1721" s="177"/>
      <c r="F1721" s="177"/>
      <c r="G1721" s="269"/>
      <c r="H1721" s="179"/>
      <c r="I1721" s="177"/>
      <c r="J1721" s="177"/>
      <c r="K1721" s="177"/>
      <c r="L1721" s="177"/>
      <c r="M1721" s="177"/>
      <c r="N1721" s="70"/>
      <c r="O1721" s="38"/>
      <c r="P1721" s="38"/>
      <c r="Q1721" s="760"/>
      <c r="R1721" s="590"/>
      <c r="S1721" s="38"/>
      <c r="T1721" s="38"/>
      <c r="U1721" s="38"/>
      <c r="V1721" s="37"/>
      <c r="W1721" s="39">
        <f>IF(AC1721="Intr",0,G1721*Definitions!$B$53)</f>
        <v>0</v>
      </c>
      <c r="X1721" s="39">
        <f>IF(AC1721="Intr",0,G1721*Definitions!$B$54)</f>
        <v>0</v>
      </c>
      <c r="Y1721" s="39">
        <f>IF(AC1721="Intr",G1721,G1721*Definitions!$B$55)</f>
        <v>0</v>
      </c>
      <c r="Z1721" s="39"/>
      <c r="AA1721" s="39"/>
      <c r="AB1721" s="39"/>
      <c r="AC1721" s="38"/>
      <c r="AD1721" s="38"/>
      <c r="AE1721" s="38"/>
      <c r="AF1721" s="38"/>
      <c r="AG1721" s="40"/>
      <c r="AH1721" s="38"/>
    </row>
    <row r="1722" spans="1:34" x14ac:dyDescent="0.2">
      <c r="A1722" s="38"/>
      <c r="B1722" s="38"/>
      <c r="C1722" s="38"/>
      <c r="D1722" s="38"/>
      <c r="E1722" s="177"/>
      <c r="F1722" s="177"/>
      <c r="G1722" s="269"/>
      <c r="H1722" s="179"/>
      <c r="I1722" s="177"/>
      <c r="J1722" s="177"/>
      <c r="K1722" s="177"/>
      <c r="L1722" s="177"/>
      <c r="M1722" s="177"/>
      <c r="N1722" s="70"/>
      <c r="O1722" s="38"/>
      <c r="P1722" s="38"/>
      <c r="Q1722" s="760"/>
      <c r="R1722" s="590"/>
      <c r="S1722" s="38"/>
      <c r="T1722" s="38"/>
      <c r="U1722" s="38"/>
      <c r="V1722" s="37"/>
      <c r="W1722" s="39">
        <f>IF(AC1722="Intr",0,G1722*Definitions!$B$53)</f>
        <v>0</v>
      </c>
      <c r="X1722" s="39">
        <f>IF(AC1722="Intr",0,G1722*Definitions!$B$54)</f>
        <v>0</v>
      </c>
      <c r="Y1722" s="39">
        <f>IF(AC1722="Intr",G1722,G1722*Definitions!$B$55)</f>
        <v>0</v>
      </c>
      <c r="Z1722" s="39"/>
      <c r="AA1722" s="39"/>
      <c r="AB1722" s="39"/>
      <c r="AC1722" s="38"/>
      <c r="AD1722" s="38"/>
      <c r="AE1722" s="38"/>
      <c r="AF1722" s="38"/>
      <c r="AG1722" s="40"/>
      <c r="AH1722" s="38"/>
    </row>
    <row r="1723" spans="1:34" x14ac:dyDescent="0.2">
      <c r="A1723" s="38"/>
      <c r="B1723" s="38"/>
      <c r="C1723" s="38"/>
      <c r="D1723" s="38"/>
      <c r="E1723" s="177"/>
      <c r="F1723" s="177"/>
      <c r="G1723" s="269"/>
      <c r="H1723" s="179"/>
      <c r="I1723" s="177"/>
      <c r="J1723" s="177"/>
      <c r="K1723" s="177"/>
      <c r="L1723" s="177"/>
      <c r="M1723" s="177"/>
      <c r="N1723" s="70"/>
      <c r="O1723" s="38"/>
      <c r="P1723" s="38"/>
      <c r="Q1723" s="760"/>
      <c r="R1723" s="590"/>
      <c r="S1723" s="38"/>
      <c r="T1723" s="38"/>
      <c r="U1723" s="38"/>
      <c r="V1723" s="37"/>
      <c r="W1723" s="39">
        <f>IF(AC1723="Intr",0,G1723*Definitions!$B$53)</f>
        <v>0</v>
      </c>
      <c r="X1723" s="39">
        <f>IF(AC1723="Intr",0,G1723*Definitions!$B$54)</f>
        <v>0</v>
      </c>
      <c r="Y1723" s="39">
        <f>IF(AC1723="Intr",G1723,G1723*Definitions!$B$55)</f>
        <v>0</v>
      </c>
      <c r="Z1723" s="39"/>
      <c r="AA1723" s="39"/>
      <c r="AB1723" s="39"/>
      <c r="AC1723" s="38"/>
      <c r="AD1723" s="38"/>
      <c r="AE1723" s="38"/>
      <c r="AF1723" s="38"/>
      <c r="AG1723" s="40"/>
      <c r="AH1723" s="38"/>
    </row>
    <row r="1724" spans="1:34" x14ac:dyDescent="0.2">
      <c r="A1724" s="38"/>
      <c r="B1724" s="38"/>
      <c r="C1724" s="38"/>
      <c r="D1724" s="38"/>
      <c r="E1724" s="177"/>
      <c r="F1724" s="177"/>
      <c r="G1724" s="269"/>
      <c r="H1724" s="179"/>
      <c r="I1724" s="177"/>
      <c r="J1724" s="177"/>
      <c r="K1724" s="177"/>
      <c r="L1724" s="177"/>
      <c r="M1724" s="177"/>
      <c r="N1724" s="70"/>
      <c r="O1724" s="38"/>
      <c r="P1724" s="38"/>
      <c r="Q1724" s="760"/>
      <c r="R1724" s="590"/>
      <c r="S1724" s="38"/>
      <c r="T1724" s="38"/>
      <c r="U1724" s="38"/>
      <c r="V1724" s="37"/>
      <c r="W1724" s="39">
        <f>IF(AC1724="Intr",0,G1724*Definitions!$B$53)</f>
        <v>0</v>
      </c>
      <c r="X1724" s="39">
        <f>IF(AC1724="Intr",0,G1724*Definitions!$B$54)</f>
        <v>0</v>
      </c>
      <c r="Y1724" s="39">
        <f>IF(AC1724="Intr",G1724,G1724*Definitions!$B$55)</f>
        <v>0</v>
      </c>
      <c r="Z1724" s="39"/>
      <c r="AA1724" s="39"/>
      <c r="AB1724" s="39"/>
      <c r="AC1724" s="38"/>
      <c r="AD1724" s="38"/>
      <c r="AE1724" s="38"/>
      <c r="AF1724" s="38"/>
      <c r="AG1724" s="40"/>
      <c r="AH1724" s="38"/>
    </row>
    <row r="1725" spans="1:34" x14ac:dyDescent="0.2">
      <c r="A1725" s="38"/>
      <c r="B1725" s="38"/>
      <c r="C1725" s="38"/>
      <c r="D1725" s="38"/>
      <c r="E1725" s="177"/>
      <c r="F1725" s="177"/>
      <c r="G1725" s="269"/>
      <c r="H1725" s="179"/>
      <c r="I1725" s="177"/>
      <c r="J1725" s="177"/>
      <c r="K1725" s="177"/>
      <c r="L1725" s="177"/>
      <c r="M1725" s="177"/>
      <c r="N1725" s="70"/>
      <c r="O1725" s="38"/>
      <c r="P1725" s="38"/>
      <c r="Q1725" s="760"/>
      <c r="R1725" s="590"/>
      <c r="S1725" s="38"/>
      <c r="T1725" s="38"/>
      <c r="U1725" s="38"/>
      <c r="V1725" s="37"/>
      <c r="W1725" s="39">
        <f>IF(AC1725="Intr",0,G1725*Definitions!$B$53)</f>
        <v>0</v>
      </c>
      <c r="X1725" s="39">
        <f>IF(AC1725="Intr",0,G1725*Definitions!$B$54)</f>
        <v>0</v>
      </c>
      <c r="Y1725" s="39">
        <f>IF(AC1725="Intr",G1725,G1725*Definitions!$B$55)</f>
        <v>0</v>
      </c>
      <c r="Z1725" s="39"/>
      <c r="AA1725" s="39"/>
      <c r="AB1725" s="39"/>
      <c r="AC1725" s="38"/>
      <c r="AD1725" s="38"/>
      <c r="AE1725" s="38"/>
      <c r="AF1725" s="38"/>
      <c r="AG1725" s="40"/>
      <c r="AH1725" s="38"/>
    </row>
    <row r="1726" spans="1:34" x14ac:dyDescent="0.2">
      <c r="A1726" s="38"/>
      <c r="B1726" s="38"/>
      <c r="C1726" s="38"/>
      <c r="D1726" s="38"/>
      <c r="E1726" s="177"/>
      <c r="F1726" s="177"/>
      <c r="G1726" s="269"/>
      <c r="H1726" s="179"/>
      <c r="I1726" s="177"/>
      <c r="J1726" s="177"/>
      <c r="K1726" s="177"/>
      <c r="L1726" s="177"/>
      <c r="M1726" s="177"/>
      <c r="N1726" s="70"/>
      <c r="O1726" s="38"/>
      <c r="P1726" s="38"/>
      <c r="Q1726" s="760"/>
      <c r="R1726" s="590"/>
      <c r="S1726" s="38"/>
      <c r="T1726" s="38"/>
      <c r="U1726" s="38"/>
      <c r="V1726" s="37"/>
      <c r="W1726" s="39">
        <f>IF(AC1726="Intr",0,G1726*Definitions!$B$53)</f>
        <v>0</v>
      </c>
      <c r="X1726" s="39">
        <f>IF(AC1726="Intr",0,G1726*Definitions!$B$54)</f>
        <v>0</v>
      </c>
      <c r="Y1726" s="39">
        <f>IF(AC1726="Intr",G1726,G1726*Definitions!$B$55)</f>
        <v>0</v>
      </c>
      <c r="Z1726" s="39"/>
      <c r="AA1726" s="39"/>
      <c r="AB1726" s="39"/>
      <c r="AC1726" s="38"/>
      <c r="AD1726" s="38"/>
      <c r="AE1726" s="38"/>
      <c r="AF1726" s="38"/>
      <c r="AG1726" s="40"/>
      <c r="AH1726" s="38"/>
    </row>
    <row r="1727" spans="1:34" x14ac:dyDescent="0.2">
      <c r="A1727" s="38"/>
      <c r="B1727" s="38"/>
      <c r="C1727" s="38"/>
      <c r="D1727" s="38"/>
      <c r="E1727" s="177"/>
      <c r="F1727" s="177"/>
      <c r="G1727" s="269"/>
      <c r="H1727" s="179"/>
      <c r="I1727" s="177"/>
      <c r="J1727" s="177"/>
      <c r="K1727" s="177"/>
      <c r="L1727" s="177"/>
      <c r="M1727" s="177"/>
      <c r="N1727" s="70"/>
      <c r="O1727" s="38"/>
      <c r="P1727" s="38"/>
      <c r="Q1727" s="760"/>
      <c r="R1727" s="590"/>
      <c r="S1727" s="38"/>
      <c r="T1727" s="38"/>
      <c r="U1727" s="38"/>
      <c r="V1727" s="37"/>
      <c r="W1727" s="39">
        <f>IF(AC1727="Intr",0,G1727*Definitions!$B$53)</f>
        <v>0</v>
      </c>
      <c r="X1727" s="39">
        <f>IF(AC1727="Intr",0,G1727*Definitions!$B$54)</f>
        <v>0</v>
      </c>
      <c r="Y1727" s="39">
        <f>IF(AC1727="Intr",G1727,G1727*Definitions!$B$55)</f>
        <v>0</v>
      </c>
      <c r="Z1727" s="39"/>
      <c r="AA1727" s="39"/>
      <c r="AB1727" s="39"/>
      <c r="AC1727" s="38"/>
      <c r="AD1727" s="38"/>
      <c r="AE1727" s="38"/>
      <c r="AF1727" s="38"/>
      <c r="AG1727" s="40"/>
      <c r="AH1727" s="38"/>
    </row>
    <row r="1728" spans="1:34" x14ac:dyDescent="0.2">
      <c r="A1728" s="38"/>
      <c r="B1728" s="38"/>
      <c r="C1728" s="38"/>
      <c r="D1728" s="38"/>
      <c r="E1728" s="177"/>
      <c r="F1728" s="177"/>
      <c r="G1728" s="269"/>
      <c r="H1728" s="179"/>
      <c r="I1728" s="177"/>
      <c r="J1728" s="177"/>
      <c r="K1728" s="177"/>
      <c r="L1728" s="177"/>
      <c r="M1728" s="177"/>
      <c r="N1728" s="70"/>
      <c r="O1728" s="38"/>
      <c r="P1728" s="38"/>
      <c r="Q1728" s="760"/>
      <c r="R1728" s="590"/>
      <c r="S1728" s="38"/>
      <c r="T1728" s="38"/>
      <c r="U1728" s="38"/>
      <c r="V1728" s="37"/>
      <c r="W1728" s="39">
        <f>IF(AC1728="Intr",0,G1728*Definitions!$B$53)</f>
        <v>0</v>
      </c>
      <c r="X1728" s="39">
        <f>IF(AC1728="Intr",0,G1728*Definitions!$B$54)</f>
        <v>0</v>
      </c>
      <c r="Y1728" s="39">
        <f>IF(AC1728="Intr",G1728,G1728*Definitions!$B$55)</f>
        <v>0</v>
      </c>
      <c r="Z1728" s="39"/>
      <c r="AA1728" s="39"/>
      <c r="AB1728" s="39"/>
      <c r="AC1728" s="38"/>
      <c r="AD1728" s="38"/>
      <c r="AE1728" s="38"/>
      <c r="AF1728" s="38"/>
      <c r="AG1728" s="40"/>
      <c r="AH1728" s="38"/>
    </row>
    <row r="1729" spans="1:34" x14ac:dyDescent="0.2">
      <c r="A1729" s="38"/>
      <c r="B1729" s="38"/>
      <c r="C1729" s="38"/>
      <c r="D1729" s="38"/>
      <c r="E1729" s="177"/>
      <c r="F1729" s="177"/>
      <c r="G1729" s="269"/>
      <c r="H1729" s="179"/>
      <c r="I1729" s="177"/>
      <c r="J1729" s="177"/>
      <c r="K1729" s="177"/>
      <c r="L1729" s="177"/>
      <c r="M1729" s="177"/>
      <c r="N1729" s="70"/>
      <c r="O1729" s="38"/>
      <c r="P1729" s="38"/>
      <c r="Q1729" s="760"/>
      <c r="R1729" s="590"/>
      <c r="S1729" s="38"/>
      <c r="T1729" s="38"/>
      <c r="U1729" s="38"/>
      <c r="V1729" s="37"/>
      <c r="W1729" s="39">
        <f>IF(AC1729="Intr",0,G1729*Definitions!$B$53)</f>
        <v>0</v>
      </c>
      <c r="X1729" s="39">
        <f>IF(AC1729="Intr",0,G1729*Definitions!$B$54)</f>
        <v>0</v>
      </c>
      <c r="Y1729" s="39">
        <f>IF(AC1729="Intr",G1729,G1729*Definitions!$B$55)</f>
        <v>0</v>
      </c>
      <c r="Z1729" s="39"/>
      <c r="AA1729" s="39"/>
      <c r="AB1729" s="39"/>
      <c r="AC1729" s="38"/>
      <c r="AD1729" s="38"/>
      <c r="AE1729" s="38"/>
      <c r="AF1729" s="38"/>
      <c r="AG1729" s="40"/>
      <c r="AH1729" s="38"/>
    </row>
    <row r="1730" spans="1:34" x14ac:dyDescent="0.2">
      <c r="A1730" s="38"/>
      <c r="B1730" s="38"/>
      <c r="C1730" s="38"/>
      <c r="D1730" s="38"/>
      <c r="E1730" s="177"/>
      <c r="F1730" s="177"/>
      <c r="G1730" s="269"/>
      <c r="H1730" s="179"/>
      <c r="I1730" s="177"/>
      <c r="J1730" s="177"/>
      <c r="K1730" s="177"/>
      <c r="L1730" s="177"/>
      <c r="M1730" s="177"/>
      <c r="N1730" s="70"/>
      <c r="O1730" s="38"/>
      <c r="P1730" s="38"/>
      <c r="Q1730" s="760"/>
      <c r="R1730" s="590"/>
      <c r="S1730" s="38"/>
      <c r="T1730" s="38"/>
      <c r="U1730" s="38"/>
      <c r="V1730" s="37"/>
      <c r="W1730" s="39">
        <f>IF(AC1730="Intr",0,G1730*Definitions!$B$53)</f>
        <v>0</v>
      </c>
      <c r="X1730" s="39">
        <f>IF(AC1730="Intr",0,G1730*Definitions!$B$54)</f>
        <v>0</v>
      </c>
      <c r="Y1730" s="39">
        <f>IF(AC1730="Intr",G1730,G1730*Definitions!$B$55)</f>
        <v>0</v>
      </c>
      <c r="Z1730" s="39"/>
      <c r="AA1730" s="39"/>
      <c r="AB1730" s="39"/>
      <c r="AC1730" s="38"/>
      <c r="AD1730" s="38"/>
      <c r="AE1730" s="38"/>
      <c r="AF1730" s="38"/>
      <c r="AG1730" s="40"/>
      <c r="AH1730" s="38"/>
    </row>
    <row r="1731" spans="1:34" x14ac:dyDescent="0.2">
      <c r="A1731" s="38"/>
      <c r="B1731" s="38"/>
      <c r="C1731" s="38"/>
      <c r="D1731" s="38"/>
      <c r="E1731" s="177"/>
      <c r="F1731" s="177"/>
      <c r="G1731" s="269"/>
      <c r="H1731" s="179"/>
      <c r="I1731" s="177"/>
      <c r="J1731" s="177"/>
      <c r="K1731" s="177"/>
      <c r="L1731" s="177"/>
      <c r="M1731" s="177"/>
      <c r="N1731" s="70"/>
      <c r="O1731" s="38"/>
      <c r="P1731" s="38"/>
      <c r="Q1731" s="760"/>
      <c r="R1731" s="590"/>
      <c r="S1731" s="38"/>
      <c r="T1731" s="38"/>
      <c r="U1731" s="38"/>
      <c r="V1731" s="37"/>
      <c r="W1731" s="39">
        <f>IF(AC1731="Intr",0,G1731*Definitions!$B$53)</f>
        <v>0</v>
      </c>
      <c r="X1731" s="39">
        <f>IF(AC1731="Intr",0,G1731*Definitions!$B$54)</f>
        <v>0</v>
      </c>
      <c r="Y1731" s="39">
        <f>IF(AC1731="Intr",G1731,G1731*Definitions!$B$55)</f>
        <v>0</v>
      </c>
      <c r="Z1731" s="39"/>
      <c r="AA1731" s="39"/>
      <c r="AB1731" s="39"/>
      <c r="AC1731" s="38"/>
      <c r="AD1731" s="38"/>
      <c r="AE1731" s="38"/>
      <c r="AF1731" s="38"/>
      <c r="AG1731" s="40"/>
      <c r="AH1731" s="38"/>
    </row>
    <row r="1732" spans="1:34" x14ac:dyDescent="0.2">
      <c r="A1732" s="38"/>
      <c r="B1732" s="38"/>
      <c r="C1732" s="38"/>
      <c r="D1732" s="38"/>
      <c r="E1732" s="177"/>
      <c r="F1732" s="177"/>
      <c r="G1732" s="269"/>
      <c r="H1732" s="179"/>
      <c r="I1732" s="177"/>
      <c r="J1732" s="177"/>
      <c r="K1732" s="177"/>
      <c r="L1732" s="177"/>
      <c r="M1732" s="177"/>
      <c r="N1732" s="70"/>
      <c r="O1732" s="38"/>
      <c r="P1732" s="38"/>
      <c r="Q1732" s="760"/>
      <c r="R1732" s="590"/>
      <c r="S1732" s="38"/>
      <c r="T1732" s="38"/>
      <c r="U1732" s="38"/>
      <c r="V1732" s="37"/>
      <c r="W1732" s="39">
        <f>IF(AC1732="Intr",0,G1732*Definitions!$B$53)</f>
        <v>0</v>
      </c>
      <c r="X1732" s="39">
        <f>IF(AC1732="Intr",0,G1732*Definitions!$B$54)</f>
        <v>0</v>
      </c>
      <c r="Y1732" s="39">
        <f>IF(AC1732="Intr",G1732,G1732*Definitions!$B$55)</f>
        <v>0</v>
      </c>
      <c r="Z1732" s="39"/>
      <c r="AA1732" s="39"/>
      <c r="AB1732" s="39"/>
      <c r="AC1732" s="38"/>
      <c r="AD1732" s="38"/>
      <c r="AE1732" s="38"/>
      <c r="AF1732" s="38"/>
      <c r="AG1732" s="40"/>
      <c r="AH1732" s="38"/>
    </row>
    <row r="1733" spans="1:34" x14ac:dyDescent="0.2">
      <c r="A1733" s="38"/>
      <c r="B1733" s="38"/>
      <c r="C1733" s="38"/>
      <c r="D1733" s="38"/>
      <c r="E1733" s="177"/>
      <c r="F1733" s="177"/>
      <c r="G1733" s="269"/>
      <c r="H1733" s="179"/>
      <c r="I1733" s="177"/>
      <c r="J1733" s="177"/>
      <c r="K1733" s="177"/>
      <c r="L1733" s="177"/>
      <c r="M1733" s="177"/>
      <c r="N1733" s="70"/>
      <c r="O1733" s="38"/>
      <c r="P1733" s="38"/>
      <c r="Q1733" s="760"/>
      <c r="R1733" s="590"/>
      <c r="S1733" s="38"/>
      <c r="T1733" s="38"/>
      <c r="U1733" s="38"/>
      <c r="V1733" s="37"/>
      <c r="W1733" s="39">
        <f>IF(AC1733="Intr",0,G1733*Definitions!$B$53)</f>
        <v>0</v>
      </c>
      <c r="X1733" s="39">
        <f>IF(AC1733="Intr",0,G1733*Definitions!$B$54)</f>
        <v>0</v>
      </c>
      <c r="Y1733" s="39">
        <f>IF(AC1733="Intr",G1733,G1733*Definitions!$B$55)</f>
        <v>0</v>
      </c>
      <c r="Z1733" s="39"/>
      <c r="AA1733" s="39"/>
      <c r="AB1733" s="39"/>
      <c r="AC1733" s="38"/>
      <c r="AD1733" s="38"/>
      <c r="AE1733" s="38"/>
      <c r="AF1733" s="38"/>
      <c r="AG1733" s="40"/>
      <c r="AH1733" s="38"/>
    </row>
    <row r="1734" spans="1:34" x14ac:dyDescent="0.2">
      <c r="A1734" s="38"/>
      <c r="B1734" s="38"/>
      <c r="C1734" s="38"/>
      <c r="D1734" s="38"/>
      <c r="E1734" s="177"/>
      <c r="F1734" s="177"/>
      <c r="G1734" s="269"/>
      <c r="H1734" s="179"/>
      <c r="I1734" s="177"/>
      <c r="J1734" s="177"/>
      <c r="K1734" s="177"/>
      <c r="L1734" s="177"/>
      <c r="M1734" s="177"/>
      <c r="N1734" s="70"/>
      <c r="O1734" s="38"/>
      <c r="P1734" s="38"/>
      <c r="Q1734" s="760"/>
      <c r="R1734" s="590"/>
      <c r="S1734" s="38"/>
      <c r="T1734" s="38"/>
      <c r="U1734" s="38"/>
      <c r="V1734" s="37"/>
      <c r="W1734" s="39">
        <f>IF(AC1734="Intr",0,G1734*Definitions!$B$53)</f>
        <v>0</v>
      </c>
      <c r="X1734" s="39">
        <f>IF(AC1734="Intr",0,G1734*Definitions!$B$54)</f>
        <v>0</v>
      </c>
      <c r="Y1734" s="39">
        <f>IF(AC1734="Intr",G1734,G1734*Definitions!$B$55)</f>
        <v>0</v>
      </c>
      <c r="Z1734" s="39"/>
      <c r="AA1734" s="39"/>
      <c r="AB1734" s="39"/>
      <c r="AC1734" s="38"/>
      <c r="AD1734" s="38"/>
      <c r="AE1734" s="38"/>
      <c r="AF1734" s="38"/>
      <c r="AG1734" s="40"/>
      <c r="AH1734" s="38"/>
    </row>
    <row r="1735" spans="1:34" x14ac:dyDescent="0.2">
      <c r="A1735" s="38"/>
      <c r="B1735" s="38"/>
      <c r="C1735" s="38"/>
      <c r="D1735" s="38"/>
      <c r="E1735" s="177"/>
      <c r="F1735" s="177"/>
      <c r="G1735" s="269"/>
      <c r="H1735" s="179"/>
      <c r="I1735" s="177"/>
      <c r="J1735" s="177"/>
      <c r="K1735" s="177"/>
      <c r="L1735" s="177"/>
      <c r="M1735" s="177"/>
      <c r="N1735" s="70"/>
      <c r="O1735" s="38"/>
      <c r="P1735" s="38"/>
      <c r="Q1735" s="760"/>
      <c r="R1735" s="590"/>
      <c r="S1735" s="38"/>
      <c r="T1735" s="38"/>
      <c r="U1735" s="38"/>
      <c r="V1735" s="37"/>
      <c r="W1735" s="39">
        <f>IF(AC1735="Intr",0,G1735*Definitions!$B$53)</f>
        <v>0</v>
      </c>
      <c r="X1735" s="39">
        <f>IF(AC1735="Intr",0,G1735*Definitions!$B$54)</f>
        <v>0</v>
      </c>
      <c r="Y1735" s="39">
        <f>IF(AC1735="Intr",G1735,G1735*Definitions!$B$55)</f>
        <v>0</v>
      </c>
      <c r="Z1735" s="39"/>
      <c r="AA1735" s="39"/>
      <c r="AB1735" s="39"/>
      <c r="AC1735" s="38"/>
      <c r="AD1735" s="38"/>
      <c r="AE1735" s="38"/>
      <c r="AF1735" s="38"/>
      <c r="AG1735" s="40"/>
      <c r="AH1735" s="38"/>
    </row>
    <row r="1736" spans="1:34" x14ac:dyDescent="0.2">
      <c r="A1736" s="38"/>
      <c r="B1736" s="38"/>
      <c r="C1736" s="38"/>
      <c r="D1736" s="38"/>
      <c r="E1736" s="177"/>
      <c r="F1736" s="177"/>
      <c r="G1736" s="269"/>
      <c r="H1736" s="179"/>
      <c r="I1736" s="177"/>
      <c r="J1736" s="177"/>
      <c r="K1736" s="177"/>
      <c r="L1736" s="177"/>
      <c r="M1736" s="177"/>
      <c r="N1736" s="70"/>
      <c r="O1736" s="38"/>
      <c r="P1736" s="38"/>
      <c r="Q1736" s="760"/>
      <c r="R1736" s="590"/>
      <c r="S1736" s="38"/>
      <c r="T1736" s="38"/>
      <c r="U1736" s="38"/>
      <c r="V1736" s="37"/>
      <c r="W1736" s="39">
        <f>IF(AC1736="Intr",0,G1736*Definitions!$B$53)</f>
        <v>0</v>
      </c>
      <c r="X1736" s="39">
        <f>IF(AC1736="Intr",0,G1736*Definitions!$B$54)</f>
        <v>0</v>
      </c>
      <c r="Y1736" s="39">
        <f>IF(AC1736="Intr",G1736,G1736*Definitions!$B$55)</f>
        <v>0</v>
      </c>
      <c r="Z1736" s="39"/>
      <c r="AA1736" s="39"/>
      <c r="AB1736" s="39"/>
      <c r="AC1736" s="38"/>
      <c r="AD1736" s="38"/>
      <c r="AE1736" s="38"/>
      <c r="AF1736" s="38"/>
      <c r="AG1736" s="40"/>
      <c r="AH1736" s="38"/>
    </row>
    <row r="1737" spans="1:34" x14ac:dyDescent="0.2">
      <c r="A1737" s="38"/>
      <c r="B1737" s="38"/>
      <c r="C1737" s="38"/>
      <c r="D1737" s="38"/>
      <c r="E1737" s="177"/>
      <c r="F1737" s="177"/>
      <c r="G1737" s="269"/>
      <c r="H1737" s="179"/>
      <c r="I1737" s="177"/>
      <c r="J1737" s="177"/>
      <c r="K1737" s="177"/>
      <c r="L1737" s="177"/>
      <c r="M1737" s="177"/>
      <c r="N1737" s="70"/>
      <c r="O1737" s="38"/>
      <c r="P1737" s="38"/>
      <c r="Q1737" s="760"/>
      <c r="R1737" s="590"/>
      <c r="S1737" s="38"/>
      <c r="T1737" s="38"/>
      <c r="U1737" s="38"/>
      <c r="V1737" s="37"/>
      <c r="W1737" s="39">
        <f>IF(AC1737="Intr",0,G1737*Definitions!$B$53)</f>
        <v>0</v>
      </c>
      <c r="X1737" s="39">
        <f>IF(AC1737="Intr",0,G1737*Definitions!$B$54)</f>
        <v>0</v>
      </c>
      <c r="Y1737" s="39">
        <f>IF(AC1737="Intr",G1737,G1737*Definitions!$B$55)</f>
        <v>0</v>
      </c>
      <c r="Z1737" s="39"/>
      <c r="AA1737" s="39"/>
      <c r="AB1737" s="39"/>
      <c r="AC1737" s="38"/>
      <c r="AD1737" s="38"/>
      <c r="AE1737" s="38"/>
      <c r="AF1737" s="38"/>
      <c r="AG1737" s="40"/>
      <c r="AH1737" s="38"/>
    </row>
    <row r="1738" spans="1:34" x14ac:dyDescent="0.2">
      <c r="A1738" s="38"/>
      <c r="B1738" s="38"/>
      <c r="C1738" s="38"/>
      <c r="D1738" s="38"/>
      <c r="E1738" s="177"/>
      <c r="F1738" s="177"/>
      <c r="G1738" s="269"/>
      <c r="H1738" s="179"/>
      <c r="I1738" s="177"/>
      <c r="J1738" s="177"/>
      <c r="K1738" s="177"/>
      <c r="L1738" s="177"/>
      <c r="M1738" s="177"/>
      <c r="N1738" s="70"/>
      <c r="O1738" s="38"/>
      <c r="P1738" s="38"/>
      <c r="Q1738" s="760"/>
      <c r="R1738" s="590"/>
      <c r="S1738" s="38"/>
      <c r="T1738" s="38"/>
      <c r="U1738" s="38"/>
      <c r="V1738" s="37"/>
      <c r="W1738" s="39">
        <f>IF(AC1738="Intr",0,G1738*Definitions!$B$53)</f>
        <v>0</v>
      </c>
      <c r="X1738" s="39">
        <f>IF(AC1738="Intr",0,G1738*Definitions!$B$54)</f>
        <v>0</v>
      </c>
      <c r="Y1738" s="39">
        <f>IF(AC1738="Intr",G1738,G1738*Definitions!$B$55)</f>
        <v>0</v>
      </c>
      <c r="Z1738" s="39"/>
      <c r="AA1738" s="39"/>
      <c r="AB1738" s="39"/>
      <c r="AC1738" s="38"/>
      <c r="AD1738" s="38"/>
      <c r="AE1738" s="38"/>
      <c r="AF1738" s="38"/>
      <c r="AG1738" s="40"/>
      <c r="AH1738" s="38"/>
    </row>
    <row r="1739" spans="1:34" x14ac:dyDescent="0.2">
      <c r="A1739" s="38"/>
      <c r="B1739" s="38"/>
      <c r="C1739" s="38"/>
      <c r="D1739" s="38"/>
      <c r="E1739" s="177"/>
      <c r="F1739" s="177"/>
      <c r="G1739" s="269"/>
      <c r="H1739" s="179"/>
      <c r="I1739" s="177"/>
      <c r="J1739" s="177"/>
      <c r="K1739" s="177"/>
      <c r="L1739" s="177"/>
      <c r="M1739" s="177"/>
      <c r="N1739" s="70"/>
      <c r="O1739" s="38"/>
      <c r="P1739" s="38"/>
      <c r="Q1739" s="760"/>
      <c r="R1739" s="590"/>
      <c r="S1739" s="38"/>
      <c r="T1739" s="38"/>
      <c r="U1739" s="38"/>
      <c r="V1739" s="37"/>
      <c r="W1739" s="39">
        <f>IF(AC1739="Intr",0,G1739*Definitions!$B$53)</f>
        <v>0</v>
      </c>
      <c r="X1739" s="39">
        <f>IF(AC1739="Intr",0,G1739*Definitions!$B$54)</f>
        <v>0</v>
      </c>
      <c r="Y1739" s="39">
        <f>IF(AC1739="Intr",G1739,G1739*Definitions!$B$55)</f>
        <v>0</v>
      </c>
      <c r="Z1739" s="39"/>
      <c r="AA1739" s="39"/>
      <c r="AB1739" s="39"/>
      <c r="AC1739" s="38"/>
      <c r="AD1739" s="38"/>
      <c r="AE1739" s="38"/>
      <c r="AF1739" s="38"/>
      <c r="AG1739" s="40"/>
      <c r="AH1739" s="38"/>
    </row>
    <row r="1740" spans="1:34" x14ac:dyDescent="0.2">
      <c r="A1740" s="38"/>
      <c r="B1740" s="38"/>
      <c r="C1740" s="38"/>
      <c r="D1740" s="38"/>
      <c r="E1740" s="177"/>
      <c r="F1740" s="177"/>
      <c r="G1740" s="269"/>
      <c r="H1740" s="179"/>
      <c r="I1740" s="177"/>
      <c r="J1740" s="177"/>
      <c r="K1740" s="177"/>
      <c r="L1740" s="177"/>
      <c r="M1740" s="177"/>
      <c r="N1740" s="70"/>
      <c r="O1740" s="38"/>
      <c r="P1740" s="38"/>
      <c r="Q1740" s="760"/>
      <c r="R1740" s="590"/>
      <c r="S1740" s="38"/>
      <c r="T1740" s="38"/>
      <c r="U1740" s="38"/>
      <c r="V1740" s="37"/>
      <c r="W1740" s="39">
        <f>IF(AC1740="Intr",0,G1740*Definitions!$B$53)</f>
        <v>0</v>
      </c>
      <c r="X1740" s="39">
        <f>IF(AC1740="Intr",0,G1740*Definitions!$B$54)</f>
        <v>0</v>
      </c>
      <c r="Y1740" s="39">
        <f>IF(AC1740="Intr",G1740,G1740*Definitions!$B$55)</f>
        <v>0</v>
      </c>
      <c r="Z1740" s="39"/>
      <c r="AA1740" s="39"/>
      <c r="AB1740" s="39"/>
      <c r="AC1740" s="38"/>
      <c r="AD1740" s="38"/>
      <c r="AE1740" s="38"/>
      <c r="AF1740" s="38"/>
      <c r="AG1740" s="40"/>
      <c r="AH1740" s="38"/>
    </row>
    <row r="1741" spans="1:34" x14ac:dyDescent="0.2">
      <c r="A1741" s="38"/>
      <c r="B1741" s="38"/>
      <c r="C1741" s="38"/>
      <c r="D1741" s="38"/>
      <c r="E1741" s="177"/>
      <c r="F1741" s="177"/>
      <c r="G1741" s="269"/>
      <c r="H1741" s="179"/>
      <c r="I1741" s="177"/>
      <c r="J1741" s="177"/>
      <c r="K1741" s="177"/>
      <c r="L1741" s="177"/>
      <c r="M1741" s="177"/>
      <c r="N1741" s="70"/>
      <c r="O1741" s="38"/>
      <c r="P1741" s="38"/>
      <c r="Q1741" s="760"/>
      <c r="R1741" s="590"/>
      <c r="S1741" s="38"/>
      <c r="T1741" s="38"/>
      <c r="U1741" s="38"/>
      <c r="V1741" s="37"/>
      <c r="W1741" s="39">
        <f>IF(AC1741="Intr",0,G1741*Definitions!$B$53)</f>
        <v>0</v>
      </c>
      <c r="X1741" s="39">
        <f>IF(AC1741="Intr",0,G1741*Definitions!$B$54)</f>
        <v>0</v>
      </c>
      <c r="Y1741" s="39">
        <f>IF(AC1741="Intr",G1741,G1741*Definitions!$B$55)</f>
        <v>0</v>
      </c>
      <c r="Z1741" s="39"/>
      <c r="AA1741" s="39"/>
      <c r="AB1741" s="39"/>
      <c r="AC1741" s="38"/>
      <c r="AD1741" s="38"/>
      <c r="AE1741" s="38"/>
      <c r="AF1741" s="38"/>
      <c r="AG1741" s="40"/>
      <c r="AH1741" s="38"/>
    </row>
    <row r="1742" spans="1:34" x14ac:dyDescent="0.2">
      <c r="A1742" s="38"/>
      <c r="B1742" s="38"/>
      <c r="C1742" s="38"/>
      <c r="D1742" s="38"/>
      <c r="E1742" s="177"/>
      <c r="F1742" s="177"/>
      <c r="G1742" s="269"/>
      <c r="H1742" s="179"/>
      <c r="I1742" s="177"/>
      <c r="J1742" s="177"/>
      <c r="K1742" s="177"/>
      <c r="L1742" s="177"/>
      <c r="M1742" s="177"/>
      <c r="N1742" s="70"/>
      <c r="O1742" s="38"/>
      <c r="P1742" s="38"/>
      <c r="Q1742" s="760"/>
      <c r="R1742" s="590"/>
      <c r="S1742" s="38"/>
      <c r="T1742" s="38"/>
      <c r="U1742" s="38"/>
      <c r="V1742" s="37"/>
      <c r="W1742" s="39">
        <f>IF(AC1742="Intr",0,G1742*Definitions!$B$53)</f>
        <v>0</v>
      </c>
      <c r="X1742" s="39">
        <f>IF(AC1742="Intr",0,G1742*Definitions!$B$54)</f>
        <v>0</v>
      </c>
      <c r="Y1742" s="39">
        <f>IF(AC1742="Intr",G1742,G1742*Definitions!$B$55)</f>
        <v>0</v>
      </c>
      <c r="Z1742" s="39"/>
      <c r="AA1742" s="39"/>
      <c r="AB1742" s="39"/>
      <c r="AC1742" s="38"/>
      <c r="AD1742" s="38"/>
      <c r="AE1742" s="38"/>
      <c r="AF1742" s="38"/>
      <c r="AG1742" s="40"/>
      <c r="AH1742" s="38"/>
    </row>
    <row r="1743" spans="1:34" x14ac:dyDescent="0.2">
      <c r="A1743" s="38"/>
      <c r="B1743" s="38"/>
      <c r="C1743" s="38"/>
      <c r="D1743" s="38"/>
      <c r="E1743" s="177"/>
      <c r="F1743" s="177"/>
      <c r="G1743" s="269"/>
      <c r="H1743" s="179"/>
      <c r="I1743" s="177"/>
      <c r="J1743" s="177"/>
      <c r="K1743" s="177"/>
      <c r="L1743" s="177"/>
      <c r="M1743" s="177"/>
      <c r="N1743" s="70"/>
      <c r="O1743" s="38"/>
      <c r="P1743" s="38"/>
      <c r="Q1743" s="760"/>
      <c r="R1743" s="590"/>
      <c r="S1743" s="38"/>
      <c r="T1743" s="38"/>
      <c r="U1743" s="38"/>
      <c r="V1743" s="37"/>
      <c r="W1743" s="39">
        <f>IF(AC1743="Intr",0,G1743*Definitions!$B$53)</f>
        <v>0</v>
      </c>
      <c r="X1743" s="39">
        <f>IF(AC1743="Intr",0,G1743*Definitions!$B$54)</f>
        <v>0</v>
      </c>
      <c r="Y1743" s="39">
        <f>IF(AC1743="Intr",G1743,G1743*Definitions!$B$55)</f>
        <v>0</v>
      </c>
      <c r="Z1743" s="39"/>
      <c r="AA1743" s="39"/>
      <c r="AB1743" s="39"/>
      <c r="AC1743" s="38"/>
      <c r="AD1743" s="38"/>
      <c r="AE1743" s="38"/>
      <c r="AF1743" s="38"/>
      <c r="AG1743" s="40"/>
      <c r="AH1743" s="38"/>
    </row>
    <row r="1744" spans="1:34" x14ac:dyDescent="0.2">
      <c r="A1744" s="38"/>
      <c r="B1744" s="38"/>
      <c r="C1744" s="38"/>
      <c r="D1744" s="38"/>
      <c r="E1744" s="177"/>
      <c r="F1744" s="177"/>
      <c r="G1744" s="269"/>
      <c r="H1744" s="179"/>
      <c r="I1744" s="177"/>
      <c r="J1744" s="177"/>
      <c r="K1744" s="177"/>
      <c r="L1744" s="177"/>
      <c r="M1744" s="177"/>
      <c r="N1744" s="70"/>
      <c r="O1744" s="38"/>
      <c r="P1744" s="38"/>
      <c r="Q1744" s="760"/>
      <c r="R1744" s="590"/>
      <c r="S1744" s="38"/>
      <c r="T1744" s="38"/>
      <c r="U1744" s="38"/>
      <c r="V1744" s="37"/>
      <c r="W1744" s="39">
        <f>IF(AC1744="Intr",0,G1744*Definitions!$B$53)</f>
        <v>0</v>
      </c>
      <c r="X1744" s="39">
        <f>IF(AC1744="Intr",0,G1744*Definitions!$B$54)</f>
        <v>0</v>
      </c>
      <c r="Y1744" s="39">
        <f>IF(AC1744="Intr",G1744,G1744*Definitions!$B$55)</f>
        <v>0</v>
      </c>
      <c r="Z1744" s="39"/>
      <c r="AA1744" s="39"/>
      <c r="AB1744" s="39"/>
      <c r="AC1744" s="38"/>
      <c r="AD1744" s="38"/>
      <c r="AE1744" s="38"/>
      <c r="AF1744" s="38"/>
      <c r="AG1744" s="40"/>
      <c r="AH1744" s="38"/>
    </row>
    <row r="1745" spans="1:34" x14ac:dyDescent="0.2">
      <c r="A1745" s="38"/>
      <c r="B1745" s="38"/>
      <c r="C1745" s="38"/>
      <c r="D1745" s="38"/>
      <c r="E1745" s="177"/>
      <c r="F1745" s="177"/>
      <c r="G1745" s="269"/>
      <c r="H1745" s="179"/>
      <c r="I1745" s="177"/>
      <c r="J1745" s="177"/>
      <c r="K1745" s="177"/>
      <c r="L1745" s="177"/>
      <c r="M1745" s="177"/>
      <c r="N1745" s="70"/>
      <c r="O1745" s="38"/>
      <c r="P1745" s="38"/>
      <c r="Q1745" s="760"/>
      <c r="R1745" s="590"/>
      <c r="S1745" s="38"/>
      <c r="T1745" s="38"/>
      <c r="U1745" s="38"/>
      <c r="V1745" s="37"/>
      <c r="W1745" s="39">
        <f>IF(AC1745="Intr",0,G1745*Definitions!$B$53)</f>
        <v>0</v>
      </c>
      <c r="X1745" s="39">
        <f>IF(AC1745="Intr",0,G1745*Definitions!$B$54)</f>
        <v>0</v>
      </c>
      <c r="Y1745" s="39">
        <f>IF(AC1745="Intr",G1745,G1745*Definitions!$B$55)</f>
        <v>0</v>
      </c>
      <c r="Z1745" s="39"/>
      <c r="AA1745" s="39"/>
      <c r="AB1745" s="39"/>
      <c r="AC1745" s="38"/>
      <c r="AD1745" s="38"/>
      <c r="AE1745" s="38"/>
      <c r="AF1745" s="38"/>
      <c r="AG1745" s="40"/>
      <c r="AH1745" s="38"/>
    </row>
    <row r="1746" spans="1:34" x14ac:dyDescent="0.2">
      <c r="A1746" s="38"/>
      <c r="B1746" s="38"/>
      <c r="C1746" s="38"/>
      <c r="D1746" s="38"/>
      <c r="E1746" s="177"/>
      <c r="F1746" s="177"/>
      <c r="G1746" s="269"/>
      <c r="H1746" s="179"/>
      <c r="I1746" s="177"/>
      <c r="J1746" s="177"/>
      <c r="K1746" s="177"/>
      <c r="L1746" s="177"/>
      <c r="M1746" s="177"/>
      <c r="N1746" s="70"/>
      <c r="O1746" s="38"/>
      <c r="P1746" s="38"/>
      <c r="Q1746" s="760"/>
      <c r="R1746" s="590"/>
      <c r="S1746" s="38"/>
      <c r="T1746" s="38"/>
      <c r="U1746" s="38"/>
      <c r="V1746" s="37"/>
      <c r="W1746" s="39">
        <f>IF(AC1746="Intr",0,G1746*Definitions!$B$53)</f>
        <v>0</v>
      </c>
      <c r="X1746" s="39">
        <f>IF(AC1746="Intr",0,G1746*Definitions!$B$54)</f>
        <v>0</v>
      </c>
      <c r="Y1746" s="39">
        <f>IF(AC1746="Intr",G1746,G1746*Definitions!$B$55)</f>
        <v>0</v>
      </c>
      <c r="Z1746" s="39"/>
      <c r="AA1746" s="39"/>
      <c r="AB1746" s="39"/>
      <c r="AC1746" s="38"/>
      <c r="AD1746" s="38"/>
      <c r="AE1746" s="38"/>
      <c r="AF1746" s="38"/>
      <c r="AG1746" s="40"/>
      <c r="AH1746" s="38"/>
    </row>
    <row r="1747" spans="1:34" x14ac:dyDescent="0.2">
      <c r="A1747" s="38"/>
      <c r="B1747" s="38"/>
      <c r="C1747" s="38"/>
      <c r="D1747" s="38"/>
      <c r="E1747" s="177"/>
      <c r="F1747" s="177"/>
      <c r="G1747" s="269"/>
      <c r="H1747" s="179"/>
      <c r="I1747" s="177"/>
      <c r="J1747" s="177"/>
      <c r="K1747" s="177"/>
      <c r="L1747" s="177"/>
      <c r="M1747" s="177"/>
      <c r="N1747" s="70"/>
      <c r="O1747" s="38"/>
      <c r="P1747" s="38"/>
      <c r="Q1747" s="760"/>
      <c r="R1747" s="590"/>
      <c r="S1747" s="38"/>
      <c r="T1747" s="38"/>
      <c r="U1747" s="38"/>
      <c r="V1747" s="37"/>
      <c r="W1747" s="39">
        <f>IF(AC1747="Intr",0,G1747*Definitions!$B$53)</f>
        <v>0</v>
      </c>
      <c r="X1747" s="39">
        <f>IF(AC1747="Intr",0,G1747*Definitions!$B$54)</f>
        <v>0</v>
      </c>
      <c r="Y1747" s="39">
        <f>IF(AC1747="Intr",G1747,G1747*Definitions!$B$55)</f>
        <v>0</v>
      </c>
      <c r="Z1747" s="39"/>
      <c r="AA1747" s="39"/>
      <c r="AB1747" s="39"/>
      <c r="AC1747" s="38"/>
      <c r="AD1747" s="38"/>
      <c r="AE1747" s="38"/>
      <c r="AF1747" s="38"/>
      <c r="AG1747" s="40"/>
      <c r="AH1747" s="38"/>
    </row>
    <row r="1748" spans="1:34" x14ac:dyDescent="0.2">
      <c r="A1748" s="38"/>
      <c r="B1748" s="38"/>
      <c r="C1748" s="38"/>
      <c r="D1748" s="38"/>
      <c r="E1748" s="177"/>
      <c r="F1748" s="177"/>
      <c r="G1748" s="269"/>
      <c r="H1748" s="179"/>
      <c r="I1748" s="177"/>
      <c r="J1748" s="177"/>
      <c r="K1748" s="177"/>
      <c r="L1748" s="177"/>
      <c r="M1748" s="177"/>
      <c r="N1748" s="70"/>
      <c r="O1748" s="38"/>
      <c r="P1748" s="38"/>
      <c r="Q1748" s="760"/>
      <c r="R1748" s="590"/>
      <c r="S1748" s="38"/>
      <c r="T1748" s="38"/>
      <c r="U1748" s="38"/>
      <c r="V1748" s="37"/>
      <c r="W1748" s="39">
        <f>IF(AC1748="Intr",0,G1748*Definitions!$B$53)</f>
        <v>0</v>
      </c>
      <c r="X1748" s="39">
        <f>IF(AC1748="Intr",0,G1748*Definitions!$B$54)</f>
        <v>0</v>
      </c>
      <c r="Y1748" s="39">
        <f>IF(AC1748="Intr",G1748,G1748*Definitions!$B$55)</f>
        <v>0</v>
      </c>
      <c r="Z1748" s="39"/>
      <c r="AA1748" s="39"/>
      <c r="AB1748" s="39"/>
      <c r="AC1748" s="38"/>
      <c r="AD1748" s="38"/>
      <c r="AE1748" s="38"/>
      <c r="AF1748" s="38"/>
      <c r="AG1748" s="40"/>
      <c r="AH1748" s="38"/>
    </row>
    <row r="1749" spans="1:34" x14ac:dyDescent="0.2">
      <c r="A1749" s="38"/>
      <c r="B1749" s="38"/>
      <c r="C1749" s="38"/>
      <c r="D1749" s="38"/>
      <c r="E1749" s="177"/>
      <c r="F1749" s="177"/>
      <c r="G1749" s="269"/>
      <c r="H1749" s="179"/>
      <c r="I1749" s="177"/>
      <c r="J1749" s="177"/>
      <c r="K1749" s="177"/>
      <c r="L1749" s="177"/>
      <c r="M1749" s="177"/>
      <c r="N1749" s="70"/>
      <c r="O1749" s="38"/>
      <c r="P1749" s="38"/>
      <c r="Q1749" s="760"/>
      <c r="R1749" s="590"/>
      <c r="S1749" s="38"/>
      <c r="T1749" s="38"/>
      <c r="U1749" s="38"/>
      <c r="V1749" s="37"/>
      <c r="W1749" s="39">
        <f>IF(AC1749="Intr",0,G1749*Definitions!$B$53)</f>
        <v>0</v>
      </c>
      <c r="X1749" s="39">
        <f>IF(AC1749="Intr",0,G1749*Definitions!$B$54)</f>
        <v>0</v>
      </c>
      <c r="Y1749" s="39">
        <f>IF(AC1749="Intr",G1749,G1749*Definitions!$B$55)</f>
        <v>0</v>
      </c>
      <c r="Z1749" s="39"/>
      <c r="AA1749" s="39"/>
      <c r="AB1749" s="39"/>
      <c r="AC1749" s="38"/>
      <c r="AD1749" s="38"/>
      <c r="AE1749" s="38"/>
      <c r="AF1749" s="38"/>
      <c r="AG1749" s="40"/>
      <c r="AH1749" s="38"/>
    </row>
    <row r="1750" spans="1:34" x14ac:dyDescent="0.2">
      <c r="A1750" s="38"/>
      <c r="B1750" s="38"/>
      <c r="C1750" s="38"/>
      <c r="D1750" s="38"/>
      <c r="E1750" s="177"/>
      <c r="F1750" s="177"/>
      <c r="G1750" s="269"/>
      <c r="H1750" s="179"/>
      <c r="I1750" s="177"/>
      <c r="J1750" s="177"/>
      <c r="K1750" s="177"/>
      <c r="L1750" s="177"/>
      <c r="M1750" s="177"/>
      <c r="N1750" s="70"/>
      <c r="O1750" s="38"/>
      <c r="P1750" s="38"/>
      <c r="Q1750" s="760"/>
      <c r="R1750" s="590"/>
      <c r="S1750" s="38"/>
      <c r="T1750" s="38"/>
      <c r="U1750" s="38"/>
      <c r="V1750" s="37"/>
      <c r="W1750" s="39">
        <f>IF(AC1750="Intr",0,G1750*Definitions!$B$53)</f>
        <v>0</v>
      </c>
      <c r="X1750" s="39">
        <f>IF(AC1750="Intr",0,G1750*Definitions!$B$54)</f>
        <v>0</v>
      </c>
      <c r="Y1750" s="39">
        <f>IF(AC1750="Intr",G1750,G1750*Definitions!$B$55)</f>
        <v>0</v>
      </c>
      <c r="Z1750" s="39"/>
      <c r="AA1750" s="39"/>
      <c r="AB1750" s="39"/>
      <c r="AC1750" s="38"/>
      <c r="AD1750" s="38"/>
      <c r="AE1750" s="38"/>
      <c r="AF1750" s="38"/>
      <c r="AG1750" s="40"/>
      <c r="AH1750" s="38"/>
    </row>
    <row r="1751" spans="1:34" x14ac:dyDescent="0.2">
      <c r="A1751" s="38"/>
      <c r="B1751" s="38"/>
      <c r="C1751" s="38"/>
      <c r="D1751" s="38"/>
      <c r="E1751" s="177"/>
      <c r="F1751" s="177"/>
      <c r="G1751" s="269"/>
      <c r="H1751" s="179"/>
      <c r="I1751" s="177"/>
      <c r="J1751" s="177"/>
      <c r="K1751" s="177"/>
      <c r="L1751" s="177"/>
      <c r="M1751" s="177"/>
      <c r="N1751" s="70"/>
      <c r="O1751" s="38"/>
      <c r="P1751" s="38"/>
      <c r="Q1751" s="760"/>
      <c r="R1751" s="590"/>
      <c r="S1751" s="38"/>
      <c r="T1751" s="38"/>
      <c r="U1751" s="38"/>
      <c r="V1751" s="37"/>
      <c r="W1751" s="39">
        <f>IF(AC1751="Intr",0,G1751*Definitions!$B$53)</f>
        <v>0</v>
      </c>
      <c r="X1751" s="39">
        <f>IF(AC1751="Intr",0,G1751*Definitions!$B$54)</f>
        <v>0</v>
      </c>
      <c r="Y1751" s="39">
        <f>IF(AC1751="Intr",G1751,G1751*Definitions!$B$55)</f>
        <v>0</v>
      </c>
      <c r="Z1751" s="39"/>
      <c r="AA1751" s="39"/>
      <c r="AB1751" s="39"/>
      <c r="AC1751" s="38"/>
      <c r="AD1751" s="38"/>
      <c r="AE1751" s="38"/>
      <c r="AF1751" s="38"/>
      <c r="AG1751" s="40"/>
      <c r="AH1751" s="38"/>
    </row>
    <row r="1752" spans="1:34" x14ac:dyDescent="0.2">
      <c r="A1752" s="38"/>
      <c r="B1752" s="38"/>
      <c r="C1752" s="38"/>
      <c r="D1752" s="38"/>
      <c r="E1752" s="177"/>
      <c r="F1752" s="177"/>
      <c r="G1752" s="269"/>
      <c r="H1752" s="179"/>
      <c r="I1752" s="177"/>
      <c r="J1752" s="177"/>
      <c r="K1752" s="177"/>
      <c r="L1752" s="177"/>
      <c r="M1752" s="177"/>
      <c r="N1752" s="70"/>
      <c r="O1752" s="38"/>
      <c r="P1752" s="38"/>
      <c r="Q1752" s="760"/>
      <c r="R1752" s="590"/>
      <c r="S1752" s="38"/>
      <c r="T1752" s="38"/>
      <c r="U1752" s="38"/>
      <c r="V1752" s="37"/>
      <c r="W1752" s="39">
        <f>IF(AC1752="Intr",0,G1752*Definitions!$B$53)</f>
        <v>0</v>
      </c>
      <c r="X1752" s="39">
        <f>IF(AC1752="Intr",0,G1752*Definitions!$B$54)</f>
        <v>0</v>
      </c>
      <c r="Y1752" s="39">
        <f>IF(AC1752="Intr",G1752,G1752*Definitions!$B$55)</f>
        <v>0</v>
      </c>
      <c r="Z1752" s="39"/>
      <c r="AA1752" s="39"/>
      <c r="AB1752" s="39"/>
      <c r="AC1752" s="38"/>
      <c r="AD1752" s="38"/>
      <c r="AE1752" s="38"/>
      <c r="AF1752" s="38"/>
      <c r="AG1752" s="40"/>
      <c r="AH1752" s="38"/>
    </row>
    <row r="1753" spans="1:34" x14ac:dyDescent="0.2">
      <c r="A1753" s="38"/>
      <c r="B1753" s="38"/>
      <c r="C1753" s="38"/>
      <c r="D1753" s="38"/>
      <c r="E1753" s="177"/>
      <c r="F1753" s="177"/>
      <c r="G1753" s="269"/>
      <c r="H1753" s="179"/>
      <c r="I1753" s="177"/>
      <c r="J1753" s="177"/>
      <c r="K1753" s="177"/>
      <c r="L1753" s="177"/>
      <c r="M1753" s="177"/>
      <c r="N1753" s="70"/>
      <c r="O1753" s="38"/>
      <c r="P1753" s="38"/>
      <c r="Q1753" s="760"/>
      <c r="R1753" s="590"/>
      <c r="S1753" s="38"/>
      <c r="T1753" s="38"/>
      <c r="U1753" s="38"/>
      <c r="V1753" s="37"/>
      <c r="W1753" s="39">
        <f>IF(AC1753="Intr",0,G1753*Definitions!$B$53)</f>
        <v>0</v>
      </c>
      <c r="X1753" s="39">
        <f>IF(AC1753="Intr",0,G1753*Definitions!$B$54)</f>
        <v>0</v>
      </c>
      <c r="Y1753" s="39">
        <f>IF(AC1753="Intr",G1753,G1753*Definitions!$B$55)</f>
        <v>0</v>
      </c>
      <c r="Z1753" s="39"/>
      <c r="AA1753" s="39"/>
      <c r="AB1753" s="39"/>
      <c r="AC1753" s="38"/>
      <c r="AD1753" s="38"/>
      <c r="AE1753" s="38"/>
      <c r="AF1753" s="38"/>
      <c r="AG1753" s="40"/>
      <c r="AH1753" s="38"/>
    </row>
    <row r="1754" spans="1:34" x14ac:dyDescent="0.2">
      <c r="A1754" s="38"/>
      <c r="B1754" s="38"/>
      <c r="C1754" s="38"/>
      <c r="D1754" s="38"/>
      <c r="E1754" s="177"/>
      <c r="F1754" s="177"/>
      <c r="G1754" s="269"/>
      <c r="H1754" s="179"/>
      <c r="I1754" s="177"/>
      <c r="J1754" s="177"/>
      <c r="K1754" s="177"/>
      <c r="L1754" s="177"/>
      <c r="M1754" s="177"/>
      <c r="N1754" s="70"/>
      <c r="O1754" s="38"/>
      <c r="P1754" s="38"/>
      <c r="Q1754" s="760"/>
      <c r="R1754" s="590"/>
      <c r="S1754" s="38"/>
      <c r="T1754" s="38"/>
      <c r="U1754" s="38"/>
      <c r="V1754" s="37"/>
      <c r="W1754" s="39">
        <f>IF(AC1754="Intr",0,G1754*Definitions!$B$53)</f>
        <v>0</v>
      </c>
      <c r="X1754" s="39">
        <f>IF(AC1754="Intr",0,G1754*Definitions!$B$54)</f>
        <v>0</v>
      </c>
      <c r="Y1754" s="39">
        <f>IF(AC1754="Intr",G1754,G1754*Definitions!$B$55)</f>
        <v>0</v>
      </c>
      <c r="Z1754" s="39"/>
      <c r="AA1754" s="39"/>
      <c r="AB1754" s="39"/>
      <c r="AC1754" s="38"/>
      <c r="AD1754" s="38"/>
      <c r="AE1754" s="38"/>
      <c r="AF1754" s="38"/>
      <c r="AG1754" s="40"/>
      <c r="AH1754" s="38"/>
    </row>
    <row r="1755" spans="1:34" x14ac:dyDescent="0.2">
      <c r="A1755" s="38"/>
      <c r="B1755" s="38"/>
      <c r="C1755" s="38"/>
      <c r="D1755" s="38"/>
      <c r="E1755" s="177"/>
      <c r="F1755" s="177"/>
      <c r="G1755" s="269"/>
      <c r="H1755" s="179"/>
      <c r="I1755" s="177"/>
      <c r="J1755" s="177"/>
      <c r="K1755" s="177"/>
      <c r="L1755" s="177"/>
      <c r="M1755" s="177"/>
      <c r="N1755" s="70"/>
      <c r="O1755" s="38"/>
      <c r="P1755" s="38"/>
      <c r="Q1755" s="760"/>
      <c r="R1755" s="590"/>
      <c r="S1755" s="38"/>
      <c r="T1755" s="38"/>
      <c r="U1755" s="38"/>
      <c r="V1755" s="37"/>
      <c r="W1755" s="39">
        <f>IF(AC1755="Intr",0,G1755*Definitions!$B$53)</f>
        <v>0</v>
      </c>
      <c r="X1755" s="39">
        <f>IF(AC1755="Intr",0,G1755*Definitions!$B$54)</f>
        <v>0</v>
      </c>
      <c r="Y1755" s="39">
        <f>IF(AC1755="Intr",G1755,G1755*Definitions!$B$55)</f>
        <v>0</v>
      </c>
      <c r="Z1755" s="39"/>
      <c r="AA1755" s="39"/>
      <c r="AB1755" s="39"/>
      <c r="AC1755" s="38"/>
      <c r="AD1755" s="38"/>
      <c r="AE1755" s="38"/>
      <c r="AF1755" s="38"/>
      <c r="AG1755" s="40"/>
      <c r="AH1755" s="38"/>
    </row>
    <row r="1756" spans="1:34" x14ac:dyDescent="0.2">
      <c r="A1756" s="38"/>
      <c r="B1756" s="38"/>
      <c r="C1756" s="38"/>
      <c r="D1756" s="38"/>
      <c r="E1756" s="177"/>
      <c r="F1756" s="177"/>
      <c r="G1756" s="269"/>
      <c r="H1756" s="179"/>
      <c r="I1756" s="177"/>
      <c r="J1756" s="177"/>
      <c r="K1756" s="177"/>
      <c r="L1756" s="177"/>
      <c r="M1756" s="177"/>
      <c r="N1756" s="70"/>
      <c r="O1756" s="38"/>
      <c r="P1756" s="38"/>
      <c r="Q1756" s="760"/>
      <c r="R1756" s="590"/>
      <c r="S1756" s="38"/>
      <c r="T1756" s="38"/>
      <c r="U1756" s="38"/>
      <c r="V1756" s="37"/>
      <c r="W1756" s="39">
        <f>IF(AC1756="Intr",0,G1756*Definitions!$B$53)</f>
        <v>0</v>
      </c>
      <c r="X1756" s="39">
        <f>IF(AC1756="Intr",0,G1756*Definitions!$B$54)</f>
        <v>0</v>
      </c>
      <c r="Y1756" s="39">
        <f>IF(AC1756="Intr",G1756,G1756*Definitions!$B$55)</f>
        <v>0</v>
      </c>
      <c r="Z1756" s="39"/>
      <c r="AA1756" s="39"/>
      <c r="AB1756" s="39"/>
      <c r="AC1756" s="38"/>
      <c r="AD1756" s="38"/>
      <c r="AE1756" s="38"/>
      <c r="AF1756" s="38"/>
      <c r="AG1756" s="40"/>
      <c r="AH1756" s="38"/>
    </row>
    <row r="1757" spans="1:34" x14ac:dyDescent="0.2">
      <c r="A1757" s="38"/>
      <c r="B1757" s="38"/>
      <c r="C1757" s="38"/>
      <c r="D1757" s="38"/>
      <c r="E1757" s="177"/>
      <c r="F1757" s="177"/>
      <c r="G1757" s="269"/>
      <c r="H1757" s="179"/>
      <c r="I1757" s="177"/>
      <c r="J1757" s="177"/>
      <c r="K1757" s="177"/>
      <c r="L1757" s="177"/>
      <c r="M1757" s="177"/>
      <c r="N1757" s="70"/>
      <c r="O1757" s="38"/>
      <c r="P1757" s="38"/>
      <c r="Q1757" s="760"/>
      <c r="R1757" s="590"/>
      <c r="S1757" s="38"/>
      <c r="T1757" s="38"/>
      <c r="U1757" s="38"/>
      <c r="V1757" s="37"/>
      <c r="W1757" s="39">
        <f>IF(AC1757="Intr",0,G1757*Definitions!$B$53)</f>
        <v>0</v>
      </c>
      <c r="X1757" s="39">
        <f>IF(AC1757="Intr",0,G1757*Definitions!$B$54)</f>
        <v>0</v>
      </c>
      <c r="Y1757" s="39">
        <f>IF(AC1757="Intr",G1757,G1757*Definitions!$B$55)</f>
        <v>0</v>
      </c>
      <c r="Z1757" s="39"/>
      <c r="AA1757" s="39"/>
      <c r="AB1757" s="39"/>
      <c r="AC1757" s="38"/>
      <c r="AD1757" s="38"/>
      <c r="AE1757" s="38"/>
      <c r="AF1757" s="38"/>
      <c r="AG1757" s="40"/>
      <c r="AH1757" s="38"/>
    </row>
    <row r="1758" spans="1:34" x14ac:dyDescent="0.2">
      <c r="A1758" s="38"/>
      <c r="B1758" s="38"/>
      <c r="C1758" s="38"/>
      <c r="D1758" s="38"/>
      <c r="E1758" s="177"/>
      <c r="F1758" s="177"/>
      <c r="G1758" s="269"/>
      <c r="H1758" s="179"/>
      <c r="I1758" s="177"/>
      <c r="J1758" s="177"/>
      <c r="K1758" s="177"/>
      <c r="L1758" s="177"/>
      <c r="M1758" s="177"/>
      <c r="N1758" s="70"/>
      <c r="O1758" s="38"/>
      <c r="P1758" s="38"/>
      <c r="Q1758" s="760"/>
      <c r="R1758" s="590"/>
      <c r="S1758" s="38"/>
      <c r="T1758" s="38"/>
      <c r="U1758" s="38"/>
      <c r="V1758" s="37"/>
      <c r="W1758" s="39">
        <f>IF(AC1758="Intr",0,G1758*Definitions!$B$53)</f>
        <v>0</v>
      </c>
      <c r="X1758" s="39">
        <f>IF(AC1758="Intr",0,G1758*Definitions!$B$54)</f>
        <v>0</v>
      </c>
      <c r="Y1758" s="39">
        <f>IF(AC1758="Intr",G1758,G1758*Definitions!$B$55)</f>
        <v>0</v>
      </c>
      <c r="Z1758" s="39"/>
      <c r="AA1758" s="39"/>
      <c r="AB1758" s="39"/>
      <c r="AC1758" s="38"/>
      <c r="AD1758" s="38"/>
      <c r="AE1758" s="38"/>
      <c r="AF1758" s="38"/>
      <c r="AG1758" s="40"/>
      <c r="AH1758" s="38"/>
    </row>
    <row r="1759" spans="1:34" x14ac:dyDescent="0.2">
      <c r="A1759" s="38"/>
      <c r="B1759" s="38"/>
      <c r="C1759" s="38"/>
      <c r="D1759" s="38"/>
      <c r="E1759" s="177"/>
      <c r="F1759" s="177"/>
      <c r="G1759" s="269"/>
      <c r="H1759" s="179"/>
      <c r="I1759" s="177"/>
      <c r="J1759" s="177"/>
      <c r="K1759" s="177"/>
      <c r="L1759" s="177"/>
      <c r="M1759" s="177"/>
      <c r="N1759" s="70"/>
      <c r="O1759" s="38"/>
      <c r="P1759" s="38"/>
      <c r="Q1759" s="760"/>
      <c r="R1759" s="590"/>
      <c r="S1759" s="38"/>
      <c r="T1759" s="38"/>
      <c r="U1759" s="38"/>
      <c r="V1759" s="37"/>
      <c r="W1759" s="39">
        <f>IF(AC1759="Intr",0,G1759*Definitions!$B$53)</f>
        <v>0</v>
      </c>
      <c r="X1759" s="39">
        <f>IF(AC1759="Intr",0,G1759*Definitions!$B$54)</f>
        <v>0</v>
      </c>
      <c r="Y1759" s="39">
        <f>IF(AC1759="Intr",G1759,G1759*Definitions!$B$55)</f>
        <v>0</v>
      </c>
      <c r="Z1759" s="39"/>
      <c r="AA1759" s="39"/>
      <c r="AB1759" s="39"/>
      <c r="AC1759" s="38"/>
      <c r="AD1759" s="38"/>
      <c r="AE1759" s="38"/>
      <c r="AF1759" s="38"/>
      <c r="AG1759" s="40"/>
      <c r="AH1759" s="38"/>
    </row>
    <row r="1760" spans="1:34" x14ac:dyDescent="0.2">
      <c r="A1760" s="38"/>
      <c r="B1760" s="38"/>
      <c r="C1760" s="38"/>
      <c r="D1760" s="38"/>
      <c r="E1760" s="177"/>
      <c r="F1760" s="177"/>
      <c r="G1760" s="269"/>
      <c r="H1760" s="179"/>
      <c r="I1760" s="177"/>
      <c r="J1760" s="177"/>
      <c r="K1760" s="177"/>
      <c r="L1760" s="177"/>
      <c r="M1760" s="177"/>
      <c r="N1760" s="70"/>
      <c r="O1760" s="38"/>
      <c r="P1760" s="38"/>
      <c r="Q1760" s="760"/>
      <c r="R1760" s="590"/>
      <c r="S1760" s="38"/>
      <c r="T1760" s="38"/>
      <c r="U1760" s="38"/>
      <c r="V1760" s="37"/>
      <c r="W1760" s="39">
        <f>IF(AC1760="Intr",0,G1760*Definitions!$B$53)</f>
        <v>0</v>
      </c>
      <c r="X1760" s="39">
        <f>IF(AC1760="Intr",0,G1760*Definitions!$B$54)</f>
        <v>0</v>
      </c>
      <c r="Y1760" s="39">
        <f>IF(AC1760="Intr",G1760,G1760*Definitions!$B$55)</f>
        <v>0</v>
      </c>
      <c r="Z1760" s="39"/>
      <c r="AA1760" s="39"/>
      <c r="AB1760" s="39"/>
      <c r="AC1760" s="38"/>
      <c r="AD1760" s="38"/>
      <c r="AE1760" s="38"/>
      <c r="AF1760" s="38"/>
      <c r="AG1760" s="40"/>
      <c r="AH1760" s="38"/>
    </row>
    <row r="1761" spans="1:34" x14ac:dyDescent="0.2">
      <c r="A1761" s="38"/>
      <c r="B1761" s="38"/>
      <c r="C1761" s="38"/>
      <c r="D1761" s="38"/>
      <c r="E1761" s="177"/>
      <c r="F1761" s="177"/>
      <c r="G1761" s="269"/>
      <c r="H1761" s="179"/>
      <c r="I1761" s="177"/>
      <c r="J1761" s="177"/>
      <c r="K1761" s="177"/>
      <c r="L1761" s="177"/>
      <c r="M1761" s="177"/>
      <c r="N1761" s="70"/>
      <c r="O1761" s="38"/>
      <c r="P1761" s="38"/>
      <c r="Q1761" s="760"/>
      <c r="R1761" s="590"/>
      <c r="S1761" s="38"/>
      <c r="T1761" s="38"/>
      <c r="U1761" s="38"/>
      <c r="V1761" s="37"/>
      <c r="W1761" s="39">
        <f>IF(AC1761="Intr",0,G1761*Definitions!$B$53)</f>
        <v>0</v>
      </c>
      <c r="X1761" s="39">
        <f>IF(AC1761="Intr",0,G1761*Definitions!$B$54)</f>
        <v>0</v>
      </c>
      <c r="Y1761" s="39">
        <f>IF(AC1761="Intr",G1761,G1761*Definitions!$B$55)</f>
        <v>0</v>
      </c>
      <c r="Z1761" s="39"/>
      <c r="AA1761" s="39"/>
      <c r="AB1761" s="39"/>
      <c r="AC1761" s="38"/>
      <c r="AD1761" s="38"/>
      <c r="AE1761" s="38"/>
      <c r="AF1761" s="38"/>
      <c r="AG1761" s="40"/>
      <c r="AH1761" s="38"/>
    </row>
    <row r="1762" spans="1:34" x14ac:dyDescent="0.2">
      <c r="A1762" s="38"/>
      <c r="B1762" s="38"/>
      <c r="C1762" s="38"/>
      <c r="D1762" s="38"/>
      <c r="E1762" s="177"/>
      <c r="F1762" s="177"/>
      <c r="G1762" s="269"/>
      <c r="H1762" s="179"/>
      <c r="I1762" s="177"/>
      <c r="J1762" s="177"/>
      <c r="K1762" s="177"/>
      <c r="L1762" s="177"/>
      <c r="M1762" s="177"/>
      <c r="N1762" s="70"/>
      <c r="O1762" s="38"/>
      <c r="P1762" s="38"/>
      <c r="Q1762" s="760"/>
      <c r="R1762" s="590"/>
      <c r="S1762" s="38"/>
      <c r="T1762" s="38"/>
      <c r="U1762" s="38"/>
      <c r="V1762" s="37"/>
      <c r="W1762" s="39">
        <f>IF(AC1762="Intr",0,G1762*Definitions!$B$53)</f>
        <v>0</v>
      </c>
      <c r="X1762" s="39">
        <f>IF(AC1762="Intr",0,G1762*Definitions!$B$54)</f>
        <v>0</v>
      </c>
      <c r="Y1762" s="39">
        <f>IF(AC1762="Intr",G1762,G1762*Definitions!$B$55)</f>
        <v>0</v>
      </c>
      <c r="Z1762" s="39"/>
      <c r="AA1762" s="39"/>
      <c r="AB1762" s="39"/>
      <c r="AC1762" s="38"/>
      <c r="AD1762" s="38"/>
      <c r="AE1762" s="38"/>
      <c r="AF1762" s="38"/>
      <c r="AG1762" s="40"/>
      <c r="AH1762" s="38"/>
    </row>
    <row r="1763" spans="1:34" x14ac:dyDescent="0.2">
      <c r="A1763" s="38"/>
      <c r="B1763" s="38"/>
      <c r="C1763" s="38"/>
      <c r="D1763" s="38"/>
      <c r="E1763" s="177"/>
      <c r="F1763" s="177"/>
      <c r="G1763" s="269"/>
      <c r="H1763" s="179"/>
      <c r="I1763" s="177"/>
      <c r="J1763" s="177"/>
      <c r="K1763" s="177"/>
      <c r="L1763" s="177"/>
      <c r="M1763" s="177"/>
      <c r="N1763" s="70"/>
      <c r="O1763" s="38"/>
      <c r="P1763" s="38"/>
      <c r="Q1763" s="760"/>
      <c r="R1763" s="590"/>
      <c r="S1763" s="38"/>
      <c r="T1763" s="38"/>
      <c r="U1763" s="38"/>
      <c r="V1763" s="37"/>
      <c r="W1763" s="39">
        <f>IF(AC1763="Intr",0,G1763*Definitions!$B$53)</f>
        <v>0</v>
      </c>
      <c r="X1763" s="39">
        <f>IF(AC1763="Intr",0,G1763*Definitions!$B$54)</f>
        <v>0</v>
      </c>
      <c r="Y1763" s="39">
        <f>IF(AC1763="Intr",G1763,G1763*Definitions!$B$55)</f>
        <v>0</v>
      </c>
      <c r="Z1763" s="39"/>
      <c r="AA1763" s="39"/>
      <c r="AB1763" s="39"/>
      <c r="AC1763" s="38"/>
      <c r="AD1763" s="38"/>
      <c r="AE1763" s="38"/>
      <c r="AF1763" s="38"/>
      <c r="AG1763" s="40"/>
      <c r="AH1763" s="38"/>
    </row>
    <row r="1764" spans="1:34" x14ac:dyDescent="0.2">
      <c r="A1764" s="38"/>
      <c r="B1764" s="38"/>
      <c r="C1764" s="38"/>
      <c r="D1764" s="38"/>
      <c r="E1764" s="177"/>
      <c r="F1764" s="177"/>
      <c r="G1764" s="269"/>
      <c r="H1764" s="179"/>
      <c r="I1764" s="177"/>
      <c r="J1764" s="177"/>
      <c r="K1764" s="177"/>
      <c r="L1764" s="177"/>
      <c r="M1764" s="177"/>
      <c r="N1764" s="70"/>
      <c r="O1764" s="38"/>
      <c r="P1764" s="38"/>
      <c r="Q1764" s="760"/>
      <c r="R1764" s="590"/>
      <c r="S1764" s="38"/>
      <c r="T1764" s="38"/>
      <c r="U1764" s="38"/>
      <c r="V1764" s="37"/>
      <c r="W1764" s="39">
        <f>IF(AC1764="Intr",0,G1764*Definitions!$B$53)</f>
        <v>0</v>
      </c>
      <c r="X1764" s="39">
        <f>IF(AC1764="Intr",0,G1764*Definitions!$B$54)</f>
        <v>0</v>
      </c>
      <c r="Y1764" s="39">
        <f>IF(AC1764="Intr",G1764,G1764*Definitions!$B$55)</f>
        <v>0</v>
      </c>
      <c r="Z1764" s="39"/>
      <c r="AA1764" s="39"/>
      <c r="AB1764" s="39"/>
      <c r="AC1764" s="38"/>
      <c r="AD1764" s="38"/>
      <c r="AE1764" s="38"/>
      <c r="AF1764" s="38"/>
      <c r="AG1764" s="40"/>
      <c r="AH1764" s="38"/>
    </row>
    <row r="1765" spans="1:34" x14ac:dyDescent="0.2">
      <c r="A1765" s="38"/>
      <c r="B1765" s="38"/>
      <c r="C1765" s="38"/>
      <c r="D1765" s="38"/>
      <c r="E1765" s="177"/>
      <c r="F1765" s="177"/>
      <c r="G1765" s="269"/>
      <c r="H1765" s="179"/>
      <c r="I1765" s="177"/>
      <c r="J1765" s="177"/>
      <c r="K1765" s="177"/>
      <c r="L1765" s="177"/>
      <c r="M1765" s="177"/>
      <c r="N1765" s="70"/>
      <c r="O1765" s="38"/>
      <c r="P1765" s="38"/>
      <c r="Q1765" s="760"/>
      <c r="R1765" s="590"/>
      <c r="S1765" s="38"/>
      <c r="T1765" s="38"/>
      <c r="U1765" s="38"/>
      <c r="V1765" s="37"/>
      <c r="W1765" s="39">
        <f>IF(AC1765="Intr",0,G1765*Definitions!$B$53)</f>
        <v>0</v>
      </c>
      <c r="X1765" s="39">
        <f>IF(AC1765="Intr",0,G1765*Definitions!$B$54)</f>
        <v>0</v>
      </c>
      <c r="Y1765" s="39">
        <f>IF(AC1765="Intr",G1765,G1765*Definitions!$B$55)</f>
        <v>0</v>
      </c>
      <c r="Z1765" s="39"/>
      <c r="AA1765" s="39"/>
      <c r="AB1765" s="39"/>
      <c r="AC1765" s="38"/>
      <c r="AD1765" s="38"/>
      <c r="AE1765" s="38"/>
      <c r="AF1765" s="38"/>
      <c r="AG1765" s="40"/>
      <c r="AH1765" s="38"/>
    </row>
    <row r="1766" spans="1:34" x14ac:dyDescent="0.2">
      <c r="A1766" s="38"/>
      <c r="B1766" s="38"/>
      <c r="C1766" s="38"/>
      <c r="D1766" s="38"/>
      <c r="E1766" s="177"/>
      <c r="F1766" s="177"/>
      <c r="G1766" s="269"/>
      <c r="H1766" s="179"/>
      <c r="I1766" s="177"/>
      <c r="J1766" s="177"/>
      <c r="K1766" s="177"/>
      <c r="L1766" s="177"/>
      <c r="M1766" s="177"/>
      <c r="N1766" s="70"/>
      <c r="O1766" s="38"/>
      <c r="P1766" s="38"/>
      <c r="Q1766" s="760"/>
      <c r="R1766" s="590"/>
      <c r="S1766" s="38"/>
      <c r="T1766" s="38"/>
      <c r="U1766" s="38"/>
      <c r="V1766" s="37"/>
      <c r="W1766" s="39">
        <f>IF(AC1766="Intr",0,G1766*Definitions!$B$53)</f>
        <v>0</v>
      </c>
      <c r="X1766" s="39">
        <f>IF(AC1766="Intr",0,G1766*Definitions!$B$54)</f>
        <v>0</v>
      </c>
      <c r="Y1766" s="39">
        <f>IF(AC1766="Intr",G1766,G1766*Definitions!$B$55)</f>
        <v>0</v>
      </c>
      <c r="Z1766" s="39"/>
      <c r="AA1766" s="39"/>
      <c r="AB1766" s="39"/>
      <c r="AC1766" s="38"/>
      <c r="AD1766" s="38"/>
      <c r="AE1766" s="38"/>
      <c r="AF1766" s="38"/>
      <c r="AG1766" s="40"/>
      <c r="AH1766" s="38"/>
    </row>
    <row r="1767" spans="1:34" x14ac:dyDescent="0.2">
      <c r="A1767" s="38"/>
      <c r="B1767" s="38"/>
      <c r="C1767" s="38"/>
      <c r="D1767" s="38"/>
      <c r="E1767" s="177"/>
      <c r="F1767" s="177"/>
      <c r="G1767" s="269"/>
      <c r="H1767" s="179"/>
      <c r="I1767" s="177"/>
      <c r="J1767" s="177"/>
      <c r="K1767" s="177"/>
      <c r="L1767" s="177"/>
      <c r="M1767" s="177"/>
      <c r="N1767" s="70"/>
      <c r="O1767" s="38"/>
      <c r="P1767" s="38"/>
      <c r="Q1767" s="760"/>
      <c r="R1767" s="590"/>
      <c r="S1767" s="38"/>
      <c r="T1767" s="38"/>
      <c r="U1767" s="38"/>
      <c r="V1767" s="37"/>
      <c r="W1767" s="39">
        <f>IF(AC1767="Intr",0,G1767*Definitions!$B$53)</f>
        <v>0</v>
      </c>
      <c r="X1767" s="39">
        <f>IF(AC1767="Intr",0,G1767*Definitions!$B$54)</f>
        <v>0</v>
      </c>
      <c r="Y1767" s="39">
        <f>IF(AC1767="Intr",G1767,G1767*Definitions!$B$55)</f>
        <v>0</v>
      </c>
      <c r="Z1767" s="39"/>
      <c r="AA1767" s="39"/>
      <c r="AB1767" s="39"/>
      <c r="AC1767" s="38"/>
      <c r="AD1767" s="38"/>
      <c r="AE1767" s="38"/>
      <c r="AF1767" s="38"/>
      <c r="AG1767" s="40"/>
      <c r="AH1767" s="38"/>
    </row>
    <row r="1768" spans="1:34" x14ac:dyDescent="0.2">
      <c r="A1768" s="38"/>
      <c r="B1768" s="38"/>
      <c r="C1768" s="38"/>
      <c r="D1768" s="38"/>
      <c r="E1768" s="177"/>
      <c r="F1768" s="177"/>
      <c r="G1768" s="269"/>
      <c r="H1768" s="179"/>
      <c r="I1768" s="177"/>
      <c r="J1768" s="177"/>
      <c r="K1768" s="177"/>
      <c r="L1768" s="177"/>
      <c r="M1768" s="177"/>
      <c r="N1768" s="70"/>
      <c r="O1768" s="38"/>
      <c r="P1768" s="38"/>
      <c r="Q1768" s="760"/>
      <c r="R1768" s="590"/>
      <c r="S1768" s="38"/>
      <c r="T1768" s="38"/>
      <c r="U1768" s="38"/>
      <c r="V1768" s="37"/>
      <c r="W1768" s="39">
        <f>IF(AC1768="Intr",0,G1768*Definitions!$B$53)</f>
        <v>0</v>
      </c>
      <c r="X1768" s="39">
        <f>IF(AC1768="Intr",0,G1768*Definitions!$B$54)</f>
        <v>0</v>
      </c>
      <c r="Y1768" s="39">
        <f>IF(AC1768="Intr",G1768,G1768*Definitions!$B$55)</f>
        <v>0</v>
      </c>
      <c r="Z1768" s="39"/>
      <c r="AA1768" s="39"/>
      <c r="AB1768" s="39"/>
      <c r="AC1768" s="38"/>
      <c r="AD1768" s="38"/>
      <c r="AE1768" s="38"/>
      <c r="AF1768" s="38"/>
      <c r="AG1768" s="40"/>
      <c r="AH1768" s="38"/>
    </row>
    <row r="1769" spans="1:34" x14ac:dyDescent="0.2">
      <c r="A1769" s="38"/>
      <c r="B1769" s="38"/>
      <c r="C1769" s="38"/>
      <c r="D1769" s="38"/>
      <c r="E1769" s="177"/>
      <c r="F1769" s="177"/>
      <c r="G1769" s="269"/>
      <c r="H1769" s="179"/>
      <c r="I1769" s="177"/>
      <c r="J1769" s="177"/>
      <c r="K1769" s="177"/>
      <c r="L1769" s="177"/>
      <c r="M1769" s="177"/>
      <c r="N1769" s="70"/>
      <c r="O1769" s="38"/>
      <c r="P1769" s="38"/>
      <c r="Q1769" s="760"/>
      <c r="R1769" s="590"/>
      <c r="S1769" s="38"/>
      <c r="T1769" s="38"/>
      <c r="U1769" s="38"/>
      <c r="V1769" s="37"/>
      <c r="W1769" s="39">
        <f>IF(AC1769="Intr",0,G1769*Definitions!$B$53)</f>
        <v>0</v>
      </c>
      <c r="X1769" s="39">
        <f>IF(AC1769="Intr",0,G1769*Definitions!$B$54)</f>
        <v>0</v>
      </c>
      <c r="Y1769" s="39">
        <f>IF(AC1769="Intr",G1769,G1769*Definitions!$B$55)</f>
        <v>0</v>
      </c>
      <c r="Z1769" s="39"/>
      <c r="AA1769" s="39"/>
      <c r="AB1769" s="39"/>
      <c r="AC1769" s="38"/>
      <c r="AD1769" s="38"/>
      <c r="AE1769" s="38"/>
      <c r="AF1769" s="38"/>
      <c r="AG1769" s="40"/>
      <c r="AH1769" s="38"/>
    </row>
    <row r="1770" spans="1:34" x14ac:dyDescent="0.2">
      <c r="A1770" s="38"/>
      <c r="B1770" s="38"/>
      <c r="C1770" s="38"/>
      <c r="D1770" s="38"/>
      <c r="E1770" s="177"/>
      <c r="F1770" s="177"/>
      <c r="G1770" s="269"/>
      <c r="H1770" s="179"/>
      <c r="I1770" s="177"/>
      <c r="J1770" s="177"/>
      <c r="K1770" s="177"/>
      <c r="L1770" s="177"/>
      <c r="M1770" s="177"/>
      <c r="N1770" s="70"/>
      <c r="O1770" s="38"/>
      <c r="P1770" s="38"/>
      <c r="Q1770" s="760"/>
      <c r="R1770" s="590"/>
      <c r="S1770" s="38"/>
      <c r="T1770" s="38"/>
      <c r="U1770" s="38"/>
      <c r="V1770" s="37"/>
      <c r="W1770" s="39">
        <f>IF(AC1770="Intr",0,G1770*Definitions!$B$53)</f>
        <v>0</v>
      </c>
      <c r="X1770" s="39">
        <f>IF(AC1770="Intr",0,G1770*Definitions!$B$54)</f>
        <v>0</v>
      </c>
      <c r="Y1770" s="39">
        <f>IF(AC1770="Intr",G1770,G1770*Definitions!$B$55)</f>
        <v>0</v>
      </c>
      <c r="Z1770" s="39"/>
      <c r="AA1770" s="39"/>
      <c r="AB1770" s="39"/>
      <c r="AC1770" s="38"/>
      <c r="AD1770" s="38"/>
      <c r="AE1770" s="38"/>
      <c r="AF1770" s="38"/>
      <c r="AG1770" s="40"/>
      <c r="AH1770" s="38"/>
    </row>
    <row r="1771" spans="1:34" x14ac:dyDescent="0.2">
      <c r="A1771" s="38"/>
      <c r="B1771" s="38"/>
      <c r="C1771" s="38"/>
      <c r="D1771" s="38"/>
      <c r="E1771" s="177"/>
      <c r="F1771" s="177"/>
      <c r="G1771" s="269"/>
      <c r="H1771" s="179"/>
      <c r="I1771" s="177"/>
      <c r="J1771" s="177"/>
      <c r="K1771" s="177"/>
      <c r="L1771" s="177"/>
      <c r="M1771" s="177"/>
      <c r="N1771" s="70"/>
      <c r="O1771" s="38"/>
      <c r="P1771" s="38"/>
      <c r="Q1771" s="760"/>
      <c r="R1771" s="590"/>
      <c r="S1771" s="38"/>
      <c r="T1771" s="38"/>
      <c r="U1771" s="38"/>
      <c r="V1771" s="37"/>
      <c r="W1771" s="39">
        <f>IF(AC1771="Intr",0,G1771*Definitions!$B$53)</f>
        <v>0</v>
      </c>
      <c r="X1771" s="39">
        <f>IF(AC1771="Intr",0,G1771*Definitions!$B$54)</f>
        <v>0</v>
      </c>
      <c r="Y1771" s="39">
        <f>IF(AC1771="Intr",G1771,G1771*Definitions!$B$55)</f>
        <v>0</v>
      </c>
      <c r="Z1771" s="39"/>
      <c r="AA1771" s="39"/>
      <c r="AB1771" s="39"/>
      <c r="AC1771" s="38"/>
      <c r="AD1771" s="38"/>
      <c r="AE1771" s="38"/>
      <c r="AF1771" s="38"/>
      <c r="AG1771" s="40"/>
      <c r="AH1771" s="38"/>
    </row>
    <row r="1772" spans="1:34" x14ac:dyDescent="0.2">
      <c r="A1772" s="38"/>
      <c r="B1772" s="38"/>
      <c r="C1772" s="38"/>
      <c r="D1772" s="38"/>
      <c r="E1772" s="177"/>
      <c r="F1772" s="177"/>
      <c r="G1772" s="269"/>
      <c r="H1772" s="179"/>
      <c r="I1772" s="177"/>
      <c r="J1772" s="177"/>
      <c r="K1772" s="177"/>
      <c r="L1772" s="177"/>
      <c r="M1772" s="177"/>
      <c r="N1772" s="70"/>
      <c r="O1772" s="38"/>
      <c r="P1772" s="38"/>
      <c r="Q1772" s="760"/>
      <c r="R1772" s="590"/>
      <c r="S1772" s="38"/>
      <c r="T1772" s="38"/>
      <c r="U1772" s="38"/>
      <c r="V1772" s="37"/>
      <c r="W1772" s="39">
        <f>IF(AC1772="Intr",0,G1772*Definitions!$B$53)</f>
        <v>0</v>
      </c>
      <c r="X1772" s="39">
        <f>IF(AC1772="Intr",0,G1772*Definitions!$B$54)</f>
        <v>0</v>
      </c>
      <c r="Y1772" s="39">
        <f>IF(AC1772="Intr",G1772,G1772*Definitions!$B$55)</f>
        <v>0</v>
      </c>
      <c r="Z1772" s="39"/>
      <c r="AA1772" s="39"/>
      <c r="AB1772" s="39"/>
      <c r="AC1772" s="38"/>
      <c r="AD1772" s="38"/>
      <c r="AE1772" s="38"/>
      <c r="AF1772" s="38"/>
      <c r="AG1772" s="40"/>
      <c r="AH1772" s="38"/>
    </row>
    <row r="1773" spans="1:34" x14ac:dyDescent="0.2">
      <c r="A1773" s="38"/>
      <c r="B1773" s="38"/>
      <c r="C1773" s="38"/>
      <c r="D1773" s="38"/>
      <c r="E1773" s="177"/>
      <c r="F1773" s="177"/>
      <c r="G1773" s="269"/>
      <c r="H1773" s="179"/>
      <c r="I1773" s="177"/>
      <c r="J1773" s="177"/>
      <c r="K1773" s="177"/>
      <c r="L1773" s="177"/>
      <c r="M1773" s="177"/>
      <c r="N1773" s="70"/>
      <c r="O1773" s="38"/>
      <c r="P1773" s="38"/>
      <c r="Q1773" s="760"/>
      <c r="R1773" s="590"/>
      <c r="S1773" s="38"/>
      <c r="T1773" s="38"/>
      <c r="U1773" s="38"/>
      <c r="V1773" s="37"/>
      <c r="W1773" s="39">
        <f>IF(AC1773="Intr",0,G1773*Definitions!$B$53)</f>
        <v>0</v>
      </c>
      <c r="X1773" s="39">
        <f>IF(AC1773="Intr",0,G1773*Definitions!$B$54)</f>
        <v>0</v>
      </c>
      <c r="Y1773" s="39">
        <f>IF(AC1773="Intr",G1773,G1773*Definitions!$B$55)</f>
        <v>0</v>
      </c>
      <c r="Z1773" s="39"/>
      <c r="AA1773" s="39"/>
      <c r="AB1773" s="39"/>
      <c r="AC1773" s="38"/>
      <c r="AD1773" s="38"/>
      <c r="AE1773" s="38"/>
      <c r="AF1773" s="38"/>
      <c r="AG1773" s="40"/>
      <c r="AH1773" s="38"/>
    </row>
    <row r="1774" spans="1:34" x14ac:dyDescent="0.2">
      <c r="A1774" s="38"/>
      <c r="B1774" s="38"/>
      <c r="C1774" s="38"/>
      <c r="D1774" s="38"/>
      <c r="E1774" s="177"/>
      <c r="F1774" s="177"/>
      <c r="G1774" s="269"/>
      <c r="H1774" s="179"/>
      <c r="I1774" s="177"/>
      <c r="J1774" s="177"/>
      <c r="K1774" s="177"/>
      <c r="L1774" s="177"/>
      <c r="M1774" s="177"/>
      <c r="N1774" s="70"/>
      <c r="O1774" s="38"/>
      <c r="P1774" s="38"/>
      <c r="Q1774" s="760"/>
      <c r="R1774" s="590"/>
      <c r="S1774" s="38"/>
      <c r="T1774" s="38"/>
      <c r="U1774" s="38"/>
      <c r="V1774" s="37"/>
      <c r="W1774" s="39">
        <f>IF(AC1774="Intr",0,G1774*Definitions!$B$53)</f>
        <v>0</v>
      </c>
      <c r="X1774" s="39">
        <f>IF(AC1774="Intr",0,G1774*Definitions!$B$54)</f>
        <v>0</v>
      </c>
      <c r="Y1774" s="39">
        <f>IF(AC1774="Intr",G1774,G1774*Definitions!$B$55)</f>
        <v>0</v>
      </c>
      <c r="Z1774" s="39"/>
      <c r="AA1774" s="39"/>
      <c r="AB1774" s="39"/>
      <c r="AC1774" s="38"/>
      <c r="AD1774" s="38"/>
      <c r="AE1774" s="38"/>
      <c r="AF1774" s="38"/>
      <c r="AG1774" s="40"/>
      <c r="AH1774" s="38"/>
    </row>
    <row r="1775" spans="1:34" x14ac:dyDescent="0.2">
      <c r="A1775" s="38"/>
      <c r="B1775" s="38"/>
      <c r="C1775" s="38"/>
      <c r="D1775" s="38"/>
      <c r="E1775" s="177"/>
      <c r="F1775" s="177"/>
      <c r="G1775" s="269"/>
      <c r="H1775" s="179"/>
      <c r="I1775" s="177"/>
      <c r="J1775" s="177"/>
      <c r="K1775" s="177"/>
      <c r="L1775" s="177"/>
      <c r="M1775" s="177"/>
      <c r="N1775" s="70"/>
      <c r="O1775" s="38"/>
      <c r="P1775" s="38"/>
      <c r="Q1775" s="760"/>
      <c r="R1775" s="590"/>
      <c r="S1775" s="38"/>
      <c r="T1775" s="38"/>
      <c r="U1775" s="38"/>
      <c r="V1775" s="37"/>
      <c r="W1775" s="39">
        <f>IF(AC1775="Intr",0,G1775*Definitions!$B$53)</f>
        <v>0</v>
      </c>
      <c r="X1775" s="39">
        <f>IF(AC1775="Intr",0,G1775*Definitions!$B$54)</f>
        <v>0</v>
      </c>
      <c r="Y1775" s="39">
        <f>IF(AC1775="Intr",G1775,G1775*Definitions!$B$55)</f>
        <v>0</v>
      </c>
      <c r="Z1775" s="39"/>
      <c r="AA1775" s="39"/>
      <c r="AB1775" s="39"/>
      <c r="AC1775" s="38"/>
      <c r="AD1775" s="38"/>
      <c r="AE1775" s="38"/>
      <c r="AF1775" s="38"/>
      <c r="AG1775" s="40"/>
      <c r="AH1775" s="38"/>
    </row>
    <row r="1776" spans="1:34" x14ac:dyDescent="0.2">
      <c r="A1776" s="38"/>
      <c r="B1776" s="38"/>
      <c r="C1776" s="38"/>
      <c r="D1776" s="38"/>
      <c r="E1776" s="177"/>
      <c r="F1776" s="177"/>
      <c r="G1776" s="269"/>
      <c r="H1776" s="179"/>
      <c r="I1776" s="177"/>
      <c r="J1776" s="177"/>
      <c r="K1776" s="177"/>
      <c r="L1776" s="177"/>
      <c r="M1776" s="177"/>
      <c r="N1776" s="70"/>
      <c r="O1776" s="38"/>
      <c r="P1776" s="38"/>
      <c r="Q1776" s="760"/>
      <c r="R1776" s="590"/>
      <c r="S1776" s="38"/>
      <c r="T1776" s="38"/>
      <c r="U1776" s="38"/>
      <c r="V1776" s="37"/>
      <c r="W1776" s="39">
        <f>IF(AC1776="Intr",0,G1776*Definitions!$B$53)</f>
        <v>0</v>
      </c>
      <c r="X1776" s="39">
        <f>IF(AC1776="Intr",0,G1776*Definitions!$B$54)</f>
        <v>0</v>
      </c>
      <c r="Y1776" s="39">
        <f>IF(AC1776="Intr",G1776,G1776*Definitions!$B$55)</f>
        <v>0</v>
      </c>
      <c r="Z1776" s="39"/>
      <c r="AA1776" s="39"/>
      <c r="AB1776" s="39"/>
      <c r="AC1776" s="38"/>
      <c r="AD1776" s="38"/>
      <c r="AE1776" s="38"/>
      <c r="AF1776" s="38"/>
      <c r="AG1776" s="40"/>
      <c r="AH1776" s="38"/>
    </row>
    <row r="1777" spans="1:34" x14ac:dyDescent="0.2">
      <c r="A1777" s="38"/>
      <c r="B1777" s="38"/>
      <c r="C1777" s="38"/>
      <c r="D1777" s="38"/>
      <c r="E1777" s="177"/>
      <c r="F1777" s="177"/>
      <c r="G1777" s="269"/>
      <c r="H1777" s="179"/>
      <c r="I1777" s="177"/>
      <c r="J1777" s="177"/>
      <c r="K1777" s="177"/>
      <c r="L1777" s="177"/>
      <c r="M1777" s="177"/>
      <c r="N1777" s="70"/>
      <c r="O1777" s="38"/>
      <c r="P1777" s="38"/>
      <c r="Q1777" s="760"/>
      <c r="R1777" s="590"/>
      <c r="S1777" s="38"/>
      <c r="T1777" s="38"/>
      <c r="U1777" s="38"/>
      <c r="V1777" s="37"/>
      <c r="W1777" s="39">
        <f>IF(AC1777="Intr",0,G1777*Definitions!$B$53)</f>
        <v>0</v>
      </c>
      <c r="X1777" s="39">
        <f>IF(AC1777="Intr",0,G1777*Definitions!$B$54)</f>
        <v>0</v>
      </c>
      <c r="Y1777" s="39">
        <f>IF(AC1777="Intr",G1777,G1777*Definitions!$B$55)</f>
        <v>0</v>
      </c>
      <c r="Z1777" s="39"/>
      <c r="AA1777" s="39"/>
      <c r="AB1777" s="39"/>
      <c r="AC1777" s="38"/>
      <c r="AD1777" s="38"/>
      <c r="AE1777" s="38"/>
      <c r="AF1777" s="38"/>
      <c r="AG1777" s="40"/>
      <c r="AH1777" s="38"/>
    </row>
    <row r="1778" spans="1:34" x14ac:dyDescent="0.2">
      <c r="A1778" s="38"/>
      <c r="B1778" s="38"/>
      <c r="C1778" s="38"/>
      <c r="D1778" s="38"/>
      <c r="E1778" s="177"/>
      <c r="F1778" s="177"/>
      <c r="G1778" s="269"/>
      <c r="H1778" s="179"/>
      <c r="I1778" s="177"/>
      <c r="J1778" s="177"/>
      <c r="K1778" s="177"/>
      <c r="L1778" s="177"/>
      <c r="M1778" s="177"/>
      <c r="N1778" s="70"/>
      <c r="O1778" s="38"/>
      <c r="P1778" s="38"/>
      <c r="Q1778" s="760"/>
      <c r="R1778" s="590"/>
      <c r="S1778" s="38"/>
      <c r="T1778" s="38"/>
      <c r="U1778" s="38"/>
      <c r="V1778" s="37"/>
      <c r="W1778" s="39">
        <f>IF(AC1778="Intr",0,G1778*Definitions!$B$53)</f>
        <v>0</v>
      </c>
      <c r="X1778" s="39">
        <f>IF(AC1778="Intr",0,G1778*Definitions!$B$54)</f>
        <v>0</v>
      </c>
      <c r="Y1778" s="39">
        <f>IF(AC1778="Intr",G1778,G1778*Definitions!$B$55)</f>
        <v>0</v>
      </c>
      <c r="Z1778" s="39"/>
      <c r="AA1778" s="39"/>
      <c r="AB1778" s="39"/>
      <c r="AC1778" s="38"/>
      <c r="AD1778" s="38"/>
      <c r="AE1778" s="38"/>
      <c r="AF1778" s="38"/>
      <c r="AG1778" s="40"/>
      <c r="AH1778" s="38"/>
    </row>
    <row r="1779" spans="1:34" x14ac:dyDescent="0.2">
      <c r="A1779" s="38"/>
      <c r="B1779" s="38"/>
      <c r="C1779" s="38"/>
      <c r="D1779" s="38"/>
      <c r="E1779" s="177"/>
      <c r="F1779" s="177"/>
      <c r="G1779" s="269"/>
      <c r="H1779" s="179"/>
      <c r="I1779" s="177"/>
      <c r="J1779" s="177"/>
      <c r="K1779" s="177"/>
      <c r="L1779" s="177"/>
      <c r="M1779" s="177"/>
      <c r="N1779" s="70"/>
      <c r="O1779" s="38"/>
      <c r="P1779" s="38"/>
      <c r="Q1779" s="760"/>
      <c r="R1779" s="590"/>
      <c r="S1779" s="38"/>
      <c r="T1779" s="38"/>
      <c r="U1779" s="38"/>
      <c r="V1779" s="37"/>
      <c r="W1779" s="39">
        <f>IF(AC1779="Intr",0,G1779*Definitions!$B$53)</f>
        <v>0</v>
      </c>
      <c r="X1779" s="39">
        <f>IF(AC1779="Intr",0,G1779*Definitions!$B$54)</f>
        <v>0</v>
      </c>
      <c r="Y1779" s="39">
        <f>IF(AC1779="Intr",G1779,G1779*Definitions!$B$55)</f>
        <v>0</v>
      </c>
      <c r="Z1779" s="39"/>
      <c r="AA1779" s="39"/>
      <c r="AB1779" s="39"/>
      <c r="AC1779" s="38"/>
      <c r="AD1779" s="38"/>
      <c r="AE1779" s="38"/>
      <c r="AF1779" s="38"/>
      <c r="AG1779" s="40"/>
      <c r="AH1779" s="38"/>
    </row>
    <row r="1780" spans="1:34" x14ac:dyDescent="0.2">
      <c r="A1780" s="38"/>
      <c r="B1780" s="38"/>
      <c r="C1780" s="38"/>
      <c r="D1780" s="38"/>
      <c r="E1780" s="177"/>
      <c r="F1780" s="177"/>
      <c r="G1780" s="269"/>
      <c r="H1780" s="179"/>
      <c r="I1780" s="177"/>
      <c r="J1780" s="177"/>
      <c r="K1780" s="177"/>
      <c r="L1780" s="177"/>
      <c r="M1780" s="177"/>
      <c r="N1780" s="70"/>
      <c r="O1780" s="38"/>
      <c r="P1780" s="38"/>
      <c r="Q1780" s="760"/>
      <c r="R1780" s="590"/>
      <c r="S1780" s="38"/>
      <c r="T1780" s="38"/>
      <c r="U1780" s="38"/>
      <c r="V1780" s="37"/>
      <c r="W1780" s="39">
        <f>IF(AC1780="Intr",0,G1780*Definitions!$B$53)</f>
        <v>0</v>
      </c>
      <c r="X1780" s="39">
        <f>IF(AC1780="Intr",0,G1780*Definitions!$B$54)</f>
        <v>0</v>
      </c>
      <c r="Y1780" s="39">
        <f>IF(AC1780="Intr",G1780,G1780*Definitions!$B$55)</f>
        <v>0</v>
      </c>
      <c r="Z1780" s="39"/>
      <c r="AA1780" s="39"/>
      <c r="AB1780" s="39"/>
      <c r="AC1780" s="38"/>
      <c r="AD1780" s="38"/>
      <c r="AE1780" s="38"/>
      <c r="AF1780" s="38"/>
      <c r="AG1780" s="40"/>
      <c r="AH1780" s="38"/>
    </row>
    <row r="1781" spans="1:34" x14ac:dyDescent="0.2">
      <c r="A1781" s="38"/>
      <c r="B1781" s="38"/>
      <c r="C1781" s="38"/>
      <c r="D1781" s="38"/>
      <c r="E1781" s="177"/>
      <c r="F1781" s="177"/>
      <c r="G1781" s="269"/>
      <c r="H1781" s="179"/>
      <c r="I1781" s="177"/>
      <c r="J1781" s="177"/>
      <c r="K1781" s="177"/>
      <c r="L1781" s="177"/>
      <c r="M1781" s="177"/>
      <c r="N1781" s="70"/>
      <c r="O1781" s="38"/>
      <c r="P1781" s="38"/>
      <c r="Q1781" s="760"/>
      <c r="R1781" s="590"/>
      <c r="S1781" s="38"/>
      <c r="T1781" s="38"/>
      <c r="U1781" s="38"/>
      <c r="V1781" s="37"/>
      <c r="W1781" s="39">
        <f>IF(AC1781="Intr",0,G1781*Definitions!$B$53)</f>
        <v>0</v>
      </c>
      <c r="X1781" s="39">
        <f>IF(AC1781="Intr",0,G1781*Definitions!$B$54)</f>
        <v>0</v>
      </c>
      <c r="Y1781" s="39">
        <f>IF(AC1781="Intr",G1781,G1781*Definitions!$B$55)</f>
        <v>0</v>
      </c>
      <c r="Z1781" s="39"/>
      <c r="AA1781" s="39"/>
      <c r="AB1781" s="39"/>
      <c r="AC1781" s="38"/>
      <c r="AD1781" s="38"/>
      <c r="AE1781" s="38"/>
      <c r="AF1781" s="38"/>
      <c r="AG1781" s="40"/>
      <c r="AH1781" s="38"/>
    </row>
    <row r="1782" spans="1:34" x14ac:dyDescent="0.2">
      <c r="A1782" s="38"/>
      <c r="B1782" s="38"/>
      <c r="C1782" s="38"/>
      <c r="D1782" s="38"/>
      <c r="E1782" s="177"/>
      <c r="F1782" s="177"/>
      <c r="G1782" s="269"/>
      <c r="H1782" s="179"/>
      <c r="I1782" s="177"/>
      <c r="J1782" s="177"/>
      <c r="K1782" s="177"/>
      <c r="L1782" s="177"/>
      <c r="M1782" s="177"/>
      <c r="N1782" s="70"/>
      <c r="O1782" s="38"/>
      <c r="P1782" s="38"/>
      <c r="Q1782" s="760"/>
      <c r="R1782" s="590"/>
      <c r="S1782" s="38"/>
      <c r="T1782" s="38"/>
      <c r="U1782" s="38"/>
      <c r="V1782" s="37"/>
      <c r="W1782" s="39">
        <f>IF(AC1782="Intr",0,G1782*Definitions!$B$53)</f>
        <v>0</v>
      </c>
      <c r="X1782" s="39">
        <f>IF(AC1782="Intr",0,G1782*Definitions!$B$54)</f>
        <v>0</v>
      </c>
      <c r="Y1782" s="39">
        <f>IF(AC1782="Intr",G1782,G1782*Definitions!$B$55)</f>
        <v>0</v>
      </c>
      <c r="Z1782" s="39"/>
      <c r="AA1782" s="39"/>
      <c r="AB1782" s="39"/>
      <c r="AC1782" s="38"/>
      <c r="AD1782" s="38"/>
      <c r="AE1782" s="38"/>
      <c r="AF1782" s="38"/>
      <c r="AG1782" s="40"/>
      <c r="AH1782" s="38"/>
    </row>
    <row r="1783" spans="1:34" x14ac:dyDescent="0.2">
      <c r="A1783" s="38"/>
      <c r="B1783" s="38"/>
      <c r="C1783" s="38"/>
      <c r="D1783" s="38"/>
      <c r="E1783" s="177"/>
      <c r="F1783" s="177"/>
      <c r="G1783" s="269"/>
      <c r="H1783" s="179"/>
      <c r="I1783" s="177"/>
      <c r="J1783" s="177"/>
      <c r="K1783" s="177"/>
      <c r="L1783" s="177"/>
      <c r="M1783" s="177"/>
      <c r="N1783" s="70"/>
      <c r="O1783" s="38"/>
      <c r="P1783" s="38"/>
      <c r="Q1783" s="760"/>
      <c r="R1783" s="590"/>
      <c r="S1783" s="38"/>
      <c r="T1783" s="38"/>
      <c r="U1783" s="38"/>
      <c r="V1783" s="37"/>
      <c r="W1783" s="39">
        <f>IF(AC1783="Intr",0,G1783*Definitions!$B$53)</f>
        <v>0</v>
      </c>
      <c r="X1783" s="39">
        <f>IF(AC1783="Intr",0,G1783*Definitions!$B$54)</f>
        <v>0</v>
      </c>
      <c r="Y1783" s="39">
        <f>IF(AC1783="Intr",G1783,G1783*Definitions!$B$55)</f>
        <v>0</v>
      </c>
      <c r="Z1783" s="39"/>
      <c r="AA1783" s="39"/>
      <c r="AB1783" s="39"/>
      <c r="AC1783" s="38"/>
      <c r="AD1783" s="38"/>
      <c r="AE1783" s="38"/>
      <c r="AF1783" s="38"/>
      <c r="AG1783" s="40"/>
      <c r="AH1783" s="38"/>
    </row>
    <row r="1784" spans="1:34" x14ac:dyDescent="0.2">
      <c r="A1784" s="38"/>
      <c r="B1784" s="38"/>
      <c r="C1784" s="38"/>
      <c r="D1784" s="38"/>
      <c r="E1784" s="177"/>
      <c r="F1784" s="177"/>
      <c r="G1784" s="269"/>
      <c r="H1784" s="179"/>
      <c r="I1784" s="177"/>
      <c r="J1784" s="177"/>
      <c r="K1784" s="177"/>
      <c r="L1784" s="177"/>
      <c r="M1784" s="177"/>
      <c r="N1784" s="70"/>
      <c r="O1784" s="38"/>
      <c r="P1784" s="38"/>
      <c r="Q1784" s="760"/>
      <c r="R1784" s="590"/>
      <c r="S1784" s="38"/>
      <c r="T1784" s="38"/>
      <c r="U1784" s="38"/>
      <c r="V1784" s="37"/>
      <c r="W1784" s="39">
        <f>IF(AC1784="Intr",0,G1784*Definitions!$B$53)</f>
        <v>0</v>
      </c>
      <c r="X1784" s="39">
        <f>IF(AC1784="Intr",0,G1784*Definitions!$B$54)</f>
        <v>0</v>
      </c>
      <c r="Y1784" s="39">
        <f>IF(AC1784="Intr",G1784,G1784*Definitions!$B$55)</f>
        <v>0</v>
      </c>
      <c r="Z1784" s="39"/>
      <c r="AA1784" s="39"/>
      <c r="AB1784" s="39"/>
      <c r="AC1784" s="38"/>
      <c r="AD1784" s="38"/>
      <c r="AE1784" s="38"/>
      <c r="AF1784" s="38"/>
      <c r="AG1784" s="40"/>
      <c r="AH1784" s="38"/>
    </row>
    <row r="1785" spans="1:34" x14ac:dyDescent="0.2">
      <c r="A1785" s="38"/>
      <c r="B1785" s="38"/>
      <c r="C1785" s="38"/>
      <c r="D1785" s="38"/>
      <c r="E1785" s="177"/>
      <c r="F1785" s="177"/>
      <c r="G1785" s="269"/>
      <c r="H1785" s="179"/>
      <c r="I1785" s="177"/>
      <c r="J1785" s="177"/>
      <c r="K1785" s="177"/>
      <c r="L1785" s="177"/>
      <c r="M1785" s="177"/>
      <c r="N1785" s="70"/>
      <c r="O1785" s="38"/>
      <c r="P1785" s="38"/>
      <c r="Q1785" s="760"/>
      <c r="R1785" s="590"/>
      <c r="S1785" s="38"/>
      <c r="T1785" s="38"/>
      <c r="U1785" s="38"/>
      <c r="V1785" s="37"/>
      <c r="W1785" s="39">
        <f>IF(AC1785="Intr",0,G1785*Definitions!$B$53)</f>
        <v>0</v>
      </c>
      <c r="X1785" s="39">
        <f>IF(AC1785="Intr",0,G1785*Definitions!$B$54)</f>
        <v>0</v>
      </c>
      <c r="Y1785" s="39">
        <f>IF(AC1785="Intr",G1785,G1785*Definitions!$B$55)</f>
        <v>0</v>
      </c>
      <c r="Z1785" s="39"/>
      <c r="AA1785" s="39"/>
      <c r="AB1785" s="39"/>
      <c r="AC1785" s="38"/>
      <c r="AD1785" s="38"/>
      <c r="AE1785" s="38"/>
      <c r="AF1785" s="38"/>
      <c r="AG1785" s="40"/>
      <c r="AH1785" s="38"/>
    </row>
    <row r="1786" spans="1:34" x14ac:dyDescent="0.2">
      <c r="A1786" s="38"/>
      <c r="B1786" s="38"/>
      <c r="C1786" s="38"/>
      <c r="D1786" s="38"/>
      <c r="E1786" s="177"/>
      <c r="F1786" s="177"/>
      <c r="G1786" s="269"/>
      <c r="H1786" s="179"/>
      <c r="I1786" s="177"/>
      <c r="J1786" s="177"/>
      <c r="K1786" s="177"/>
      <c r="L1786" s="177"/>
      <c r="M1786" s="177"/>
      <c r="N1786" s="70"/>
      <c r="O1786" s="38"/>
      <c r="P1786" s="38"/>
      <c r="Q1786" s="760"/>
      <c r="R1786" s="590"/>
      <c r="S1786" s="38"/>
      <c r="T1786" s="38"/>
      <c r="U1786" s="38"/>
      <c r="V1786" s="37"/>
      <c r="W1786" s="39">
        <f>IF(AC1786="Intr",0,G1786*Definitions!$B$53)</f>
        <v>0</v>
      </c>
      <c r="X1786" s="39">
        <f>IF(AC1786="Intr",0,G1786*Definitions!$B$54)</f>
        <v>0</v>
      </c>
      <c r="Y1786" s="39">
        <f>IF(AC1786="Intr",G1786,G1786*Definitions!$B$55)</f>
        <v>0</v>
      </c>
      <c r="Z1786" s="39"/>
      <c r="AA1786" s="39"/>
      <c r="AB1786" s="39"/>
      <c r="AC1786" s="38"/>
      <c r="AD1786" s="38"/>
      <c r="AE1786" s="38"/>
      <c r="AF1786" s="38"/>
      <c r="AG1786" s="40"/>
      <c r="AH1786" s="38"/>
    </row>
    <row r="1787" spans="1:34" x14ac:dyDescent="0.2">
      <c r="A1787" s="38"/>
      <c r="B1787" s="38"/>
      <c r="C1787" s="38"/>
      <c r="D1787" s="38"/>
      <c r="E1787" s="177"/>
      <c r="F1787" s="177"/>
      <c r="G1787" s="269"/>
      <c r="H1787" s="179"/>
      <c r="I1787" s="177"/>
      <c r="J1787" s="177"/>
      <c r="K1787" s="177"/>
      <c r="L1787" s="177"/>
      <c r="M1787" s="177"/>
      <c r="N1787" s="70"/>
      <c r="O1787" s="38"/>
      <c r="P1787" s="38"/>
      <c r="Q1787" s="760"/>
      <c r="R1787" s="590"/>
      <c r="S1787" s="38"/>
      <c r="T1787" s="38"/>
      <c r="U1787" s="38"/>
      <c r="V1787" s="37"/>
      <c r="W1787" s="39">
        <f>IF(AC1787="Intr",0,G1787*Definitions!$B$53)</f>
        <v>0</v>
      </c>
      <c r="X1787" s="39">
        <f>IF(AC1787="Intr",0,G1787*Definitions!$B$54)</f>
        <v>0</v>
      </c>
      <c r="Y1787" s="39">
        <f>IF(AC1787="Intr",G1787,G1787*Definitions!$B$55)</f>
        <v>0</v>
      </c>
      <c r="Z1787" s="39"/>
      <c r="AA1787" s="39"/>
      <c r="AB1787" s="39"/>
      <c r="AC1787" s="38"/>
      <c r="AD1787" s="38"/>
      <c r="AE1787" s="38"/>
      <c r="AF1787" s="38"/>
      <c r="AG1787" s="40"/>
      <c r="AH1787" s="38"/>
    </row>
    <row r="1788" spans="1:34" x14ac:dyDescent="0.2">
      <c r="A1788" s="38"/>
      <c r="B1788" s="38"/>
      <c r="C1788" s="38"/>
      <c r="D1788" s="38"/>
      <c r="E1788" s="177"/>
      <c r="F1788" s="177"/>
      <c r="G1788" s="269"/>
      <c r="H1788" s="179"/>
      <c r="I1788" s="177"/>
      <c r="J1788" s="177"/>
      <c r="K1788" s="177"/>
      <c r="L1788" s="177"/>
      <c r="M1788" s="177"/>
      <c r="N1788" s="70"/>
      <c r="O1788" s="38"/>
      <c r="P1788" s="38"/>
      <c r="Q1788" s="760"/>
      <c r="R1788" s="590"/>
      <c r="S1788" s="38"/>
      <c r="T1788" s="38"/>
      <c r="U1788" s="38"/>
      <c r="V1788" s="37"/>
      <c r="W1788" s="39">
        <f>IF(AC1788="Intr",0,G1788*Definitions!$B$53)</f>
        <v>0</v>
      </c>
      <c r="X1788" s="39">
        <f>IF(AC1788="Intr",0,G1788*Definitions!$B$54)</f>
        <v>0</v>
      </c>
      <c r="Y1788" s="39">
        <f>IF(AC1788="Intr",G1788,G1788*Definitions!$B$55)</f>
        <v>0</v>
      </c>
      <c r="Z1788" s="39"/>
      <c r="AA1788" s="39"/>
      <c r="AB1788" s="39"/>
      <c r="AC1788" s="38"/>
      <c r="AD1788" s="38"/>
      <c r="AE1788" s="38"/>
      <c r="AF1788" s="38"/>
      <c r="AG1788" s="40"/>
      <c r="AH1788" s="38"/>
    </row>
    <row r="1789" spans="1:34" x14ac:dyDescent="0.2">
      <c r="A1789" s="38"/>
      <c r="B1789" s="38"/>
      <c r="C1789" s="38"/>
      <c r="D1789" s="38"/>
      <c r="E1789" s="177"/>
      <c r="F1789" s="177"/>
      <c r="G1789" s="269"/>
      <c r="H1789" s="179"/>
      <c r="I1789" s="177"/>
      <c r="J1789" s="177"/>
      <c r="K1789" s="177"/>
      <c r="L1789" s="177"/>
      <c r="M1789" s="177"/>
      <c r="N1789" s="70"/>
      <c r="O1789" s="38"/>
      <c r="P1789" s="38"/>
      <c r="Q1789" s="760"/>
      <c r="R1789" s="590"/>
      <c r="S1789" s="38"/>
      <c r="T1789" s="38"/>
      <c r="U1789" s="38"/>
      <c r="V1789" s="37"/>
      <c r="W1789" s="39">
        <f>IF(AC1789="Intr",0,G1789*Definitions!$B$53)</f>
        <v>0</v>
      </c>
      <c r="X1789" s="39">
        <f>IF(AC1789="Intr",0,G1789*Definitions!$B$54)</f>
        <v>0</v>
      </c>
      <c r="Y1789" s="39">
        <f>IF(AC1789="Intr",G1789,G1789*Definitions!$B$55)</f>
        <v>0</v>
      </c>
      <c r="Z1789" s="39"/>
      <c r="AA1789" s="39"/>
      <c r="AB1789" s="39"/>
      <c r="AC1789" s="38"/>
      <c r="AD1789" s="38"/>
      <c r="AE1789" s="38"/>
      <c r="AF1789" s="38"/>
      <c r="AG1789" s="40"/>
      <c r="AH1789" s="38"/>
    </row>
    <row r="1790" spans="1:34" x14ac:dyDescent="0.2">
      <c r="A1790" s="38"/>
      <c r="B1790" s="38"/>
      <c r="C1790" s="38"/>
      <c r="D1790" s="38"/>
      <c r="E1790" s="177"/>
      <c r="F1790" s="177"/>
      <c r="G1790" s="269"/>
      <c r="H1790" s="179"/>
      <c r="I1790" s="177"/>
      <c r="J1790" s="177"/>
      <c r="K1790" s="177"/>
      <c r="L1790" s="177"/>
      <c r="M1790" s="177"/>
      <c r="N1790" s="70"/>
      <c r="O1790" s="38"/>
      <c r="P1790" s="38"/>
      <c r="Q1790" s="760"/>
      <c r="R1790" s="590"/>
      <c r="S1790" s="38"/>
      <c r="T1790" s="38"/>
      <c r="U1790" s="38"/>
      <c r="V1790" s="37"/>
      <c r="W1790" s="39">
        <f>IF(AC1790="Intr",0,G1790*Definitions!$B$53)</f>
        <v>0</v>
      </c>
      <c r="X1790" s="39">
        <f>IF(AC1790="Intr",0,G1790*Definitions!$B$54)</f>
        <v>0</v>
      </c>
      <c r="Y1790" s="39">
        <f>IF(AC1790="Intr",G1790,G1790*Definitions!$B$55)</f>
        <v>0</v>
      </c>
      <c r="Z1790" s="39"/>
      <c r="AA1790" s="39"/>
      <c r="AB1790" s="39"/>
      <c r="AC1790" s="38"/>
      <c r="AD1790" s="38"/>
      <c r="AE1790" s="38"/>
      <c r="AF1790" s="38"/>
      <c r="AG1790" s="40"/>
      <c r="AH1790" s="38"/>
    </row>
    <row r="1791" spans="1:34" x14ac:dyDescent="0.2">
      <c r="A1791" s="38"/>
      <c r="B1791" s="38"/>
      <c r="C1791" s="38"/>
      <c r="D1791" s="38"/>
      <c r="E1791" s="177"/>
      <c r="F1791" s="177"/>
      <c r="G1791" s="269"/>
      <c r="H1791" s="179"/>
      <c r="I1791" s="177"/>
      <c r="J1791" s="177"/>
      <c r="K1791" s="177"/>
      <c r="L1791" s="177"/>
      <c r="M1791" s="177"/>
      <c r="N1791" s="70"/>
      <c r="O1791" s="38"/>
      <c r="P1791" s="38"/>
      <c r="Q1791" s="760"/>
      <c r="R1791" s="590"/>
      <c r="S1791" s="38"/>
      <c r="T1791" s="38"/>
      <c r="U1791" s="38"/>
      <c r="V1791" s="37"/>
      <c r="W1791" s="39">
        <f>IF(AC1791="Intr",0,G1791*Definitions!$B$53)</f>
        <v>0</v>
      </c>
      <c r="X1791" s="39">
        <f>IF(AC1791="Intr",0,G1791*Definitions!$B$54)</f>
        <v>0</v>
      </c>
      <c r="Y1791" s="39">
        <f>IF(AC1791="Intr",G1791,G1791*Definitions!$B$55)</f>
        <v>0</v>
      </c>
      <c r="Z1791" s="39"/>
      <c r="AA1791" s="39"/>
      <c r="AB1791" s="39"/>
      <c r="AC1791" s="38"/>
      <c r="AD1791" s="38"/>
      <c r="AE1791" s="38"/>
      <c r="AF1791" s="38"/>
      <c r="AG1791" s="40"/>
      <c r="AH1791" s="38"/>
    </row>
    <row r="1792" spans="1:34" x14ac:dyDescent="0.2">
      <c r="A1792" s="38"/>
      <c r="B1792" s="38"/>
      <c r="C1792" s="38"/>
      <c r="D1792" s="38"/>
      <c r="E1792" s="177"/>
      <c r="F1792" s="177"/>
      <c r="G1792" s="269"/>
      <c r="H1792" s="179"/>
      <c r="I1792" s="177"/>
      <c r="J1792" s="177"/>
      <c r="K1792" s="177"/>
      <c r="L1792" s="177"/>
      <c r="M1792" s="177"/>
      <c r="N1792" s="70"/>
      <c r="O1792" s="38"/>
      <c r="P1792" s="38"/>
      <c r="Q1792" s="760"/>
      <c r="R1792" s="590"/>
      <c r="S1792" s="38"/>
      <c r="T1792" s="38"/>
      <c r="U1792" s="38"/>
      <c r="V1792" s="37"/>
      <c r="W1792" s="39">
        <f>IF(AC1792="Intr",0,G1792*Definitions!$B$53)</f>
        <v>0</v>
      </c>
      <c r="X1792" s="39">
        <f>IF(AC1792="Intr",0,G1792*Definitions!$B$54)</f>
        <v>0</v>
      </c>
      <c r="Y1792" s="39">
        <f>IF(AC1792="Intr",G1792,G1792*Definitions!$B$55)</f>
        <v>0</v>
      </c>
      <c r="Z1792" s="39"/>
      <c r="AA1792" s="39"/>
      <c r="AB1792" s="39"/>
      <c r="AC1792" s="38"/>
      <c r="AD1792" s="38"/>
      <c r="AE1792" s="38"/>
      <c r="AF1792" s="38"/>
      <c r="AG1792" s="40"/>
      <c r="AH1792" s="38"/>
    </row>
    <row r="1793" spans="1:34" x14ac:dyDescent="0.2">
      <c r="A1793" s="38"/>
      <c r="B1793" s="38"/>
      <c r="C1793" s="38"/>
      <c r="D1793" s="38"/>
      <c r="E1793" s="177"/>
      <c r="F1793" s="177"/>
      <c r="G1793" s="269"/>
      <c r="H1793" s="179"/>
      <c r="I1793" s="177"/>
      <c r="J1793" s="177"/>
      <c r="K1793" s="177"/>
      <c r="L1793" s="177"/>
      <c r="M1793" s="177"/>
      <c r="N1793" s="70"/>
      <c r="O1793" s="38"/>
      <c r="P1793" s="38"/>
      <c r="Q1793" s="760"/>
      <c r="R1793" s="590"/>
      <c r="S1793" s="38"/>
      <c r="T1793" s="38"/>
      <c r="U1793" s="38"/>
      <c r="V1793" s="37"/>
      <c r="W1793" s="39">
        <f>IF(AC1793="Intr",0,G1793*Definitions!$B$53)</f>
        <v>0</v>
      </c>
      <c r="X1793" s="39">
        <f>IF(AC1793="Intr",0,G1793*Definitions!$B$54)</f>
        <v>0</v>
      </c>
      <c r="Y1793" s="39">
        <f>IF(AC1793="Intr",G1793,G1793*Definitions!$B$55)</f>
        <v>0</v>
      </c>
      <c r="Z1793" s="39"/>
      <c r="AA1793" s="39"/>
      <c r="AB1793" s="39"/>
      <c r="AC1793" s="38"/>
      <c r="AD1793" s="38"/>
      <c r="AE1793" s="38"/>
      <c r="AF1793" s="38"/>
      <c r="AG1793" s="40"/>
      <c r="AH1793" s="38"/>
    </row>
    <row r="1794" spans="1:34" x14ac:dyDescent="0.2">
      <c r="A1794" s="38"/>
      <c r="B1794" s="38"/>
      <c r="C1794" s="38"/>
      <c r="D1794" s="38"/>
      <c r="E1794" s="177"/>
      <c r="F1794" s="177"/>
      <c r="G1794" s="269"/>
      <c r="H1794" s="179"/>
      <c r="I1794" s="177"/>
      <c r="J1794" s="177"/>
      <c r="K1794" s="177"/>
      <c r="L1794" s="177"/>
      <c r="M1794" s="177"/>
      <c r="N1794" s="70"/>
      <c r="O1794" s="38"/>
      <c r="P1794" s="38"/>
      <c r="Q1794" s="760"/>
      <c r="R1794" s="590"/>
      <c r="S1794" s="38"/>
      <c r="T1794" s="38"/>
      <c r="U1794" s="38"/>
      <c r="V1794" s="37"/>
      <c r="W1794" s="39">
        <f>IF(AC1794="Intr",0,G1794*Definitions!$B$53)</f>
        <v>0</v>
      </c>
      <c r="X1794" s="39">
        <f>IF(AC1794="Intr",0,G1794*Definitions!$B$54)</f>
        <v>0</v>
      </c>
      <c r="Y1794" s="39">
        <f>IF(AC1794="Intr",G1794,G1794*Definitions!$B$55)</f>
        <v>0</v>
      </c>
      <c r="Z1794" s="39"/>
      <c r="AA1794" s="39"/>
      <c r="AB1794" s="39"/>
      <c r="AC1794" s="38"/>
      <c r="AD1794" s="38"/>
      <c r="AE1794" s="38"/>
      <c r="AF1794" s="38"/>
      <c r="AG1794" s="40"/>
      <c r="AH1794" s="38"/>
    </row>
    <row r="1795" spans="1:34" x14ac:dyDescent="0.2">
      <c r="A1795" s="38"/>
      <c r="B1795" s="38"/>
      <c r="C1795" s="38"/>
      <c r="D1795" s="38"/>
      <c r="E1795" s="177"/>
      <c r="F1795" s="177"/>
      <c r="G1795" s="269"/>
      <c r="H1795" s="179"/>
      <c r="I1795" s="177"/>
      <c r="J1795" s="177"/>
      <c r="K1795" s="177"/>
      <c r="L1795" s="177"/>
      <c r="M1795" s="177"/>
      <c r="N1795" s="70"/>
      <c r="O1795" s="38"/>
      <c r="P1795" s="38"/>
      <c r="Q1795" s="760"/>
      <c r="R1795" s="590"/>
      <c r="S1795" s="38"/>
      <c r="T1795" s="38"/>
      <c r="U1795" s="38"/>
      <c r="V1795" s="37"/>
      <c r="W1795" s="39">
        <f>IF(AC1795="Intr",0,G1795*Definitions!$B$53)</f>
        <v>0</v>
      </c>
      <c r="X1795" s="39">
        <f>IF(AC1795="Intr",0,G1795*Definitions!$B$54)</f>
        <v>0</v>
      </c>
      <c r="Y1795" s="39">
        <f>IF(AC1795="Intr",G1795,G1795*Definitions!$B$55)</f>
        <v>0</v>
      </c>
      <c r="Z1795" s="39"/>
      <c r="AA1795" s="39"/>
      <c r="AB1795" s="39"/>
      <c r="AC1795" s="38"/>
      <c r="AD1795" s="38"/>
      <c r="AE1795" s="38"/>
      <c r="AF1795" s="38"/>
      <c r="AG1795" s="40"/>
      <c r="AH1795" s="38"/>
    </row>
    <row r="1796" spans="1:34" x14ac:dyDescent="0.2">
      <c r="A1796" s="38"/>
      <c r="B1796" s="38"/>
      <c r="C1796" s="38"/>
      <c r="D1796" s="38"/>
      <c r="E1796" s="177"/>
      <c r="F1796" s="177"/>
      <c r="G1796" s="269"/>
      <c r="H1796" s="179"/>
      <c r="I1796" s="177"/>
      <c r="J1796" s="177"/>
      <c r="K1796" s="177"/>
      <c r="L1796" s="177"/>
      <c r="M1796" s="177"/>
      <c r="N1796" s="70"/>
      <c r="O1796" s="38"/>
      <c r="P1796" s="38"/>
      <c r="Q1796" s="760"/>
      <c r="R1796" s="590"/>
      <c r="S1796" s="38"/>
      <c r="T1796" s="38"/>
      <c r="U1796" s="38"/>
      <c r="V1796" s="37"/>
      <c r="W1796" s="39">
        <f>IF(AC1796="Intr",0,G1796*Definitions!$B$53)</f>
        <v>0</v>
      </c>
      <c r="X1796" s="39">
        <f>IF(AC1796="Intr",0,G1796*Definitions!$B$54)</f>
        <v>0</v>
      </c>
      <c r="Y1796" s="39">
        <f>IF(AC1796="Intr",G1796,G1796*Definitions!$B$55)</f>
        <v>0</v>
      </c>
      <c r="Z1796" s="39"/>
      <c r="AA1796" s="39"/>
      <c r="AB1796" s="39"/>
      <c r="AC1796" s="38"/>
      <c r="AD1796" s="38"/>
      <c r="AE1796" s="38"/>
      <c r="AF1796" s="38"/>
      <c r="AG1796" s="40"/>
      <c r="AH1796" s="38"/>
    </row>
    <row r="1797" spans="1:34" x14ac:dyDescent="0.2">
      <c r="A1797" s="38"/>
      <c r="B1797" s="38"/>
      <c r="C1797" s="38"/>
      <c r="D1797" s="38"/>
      <c r="E1797" s="177"/>
      <c r="F1797" s="177"/>
      <c r="G1797" s="269"/>
      <c r="H1797" s="179"/>
      <c r="I1797" s="177"/>
      <c r="J1797" s="177"/>
      <c r="K1797" s="177"/>
      <c r="L1797" s="177"/>
      <c r="M1797" s="177"/>
      <c r="N1797" s="70"/>
      <c r="O1797" s="38"/>
      <c r="P1797" s="38"/>
      <c r="Q1797" s="760"/>
      <c r="R1797" s="590"/>
      <c r="S1797" s="38"/>
      <c r="T1797" s="38"/>
      <c r="U1797" s="38"/>
      <c r="V1797" s="37"/>
      <c r="W1797" s="39">
        <f>IF(AC1797="Intr",0,G1797*Definitions!$B$53)</f>
        <v>0</v>
      </c>
      <c r="X1797" s="39">
        <f>IF(AC1797="Intr",0,G1797*Definitions!$B$54)</f>
        <v>0</v>
      </c>
      <c r="Y1797" s="39">
        <f>IF(AC1797="Intr",G1797,G1797*Definitions!$B$55)</f>
        <v>0</v>
      </c>
      <c r="Z1797" s="39"/>
      <c r="AA1797" s="39"/>
      <c r="AB1797" s="39"/>
      <c r="AC1797" s="38"/>
      <c r="AD1797" s="38"/>
      <c r="AE1797" s="38"/>
      <c r="AF1797" s="38"/>
      <c r="AG1797" s="40"/>
      <c r="AH1797" s="38"/>
    </row>
    <row r="1798" spans="1:34" x14ac:dyDescent="0.2">
      <c r="A1798" s="38"/>
      <c r="B1798" s="38"/>
      <c r="C1798" s="38"/>
      <c r="D1798" s="38"/>
      <c r="E1798" s="177"/>
      <c r="F1798" s="177"/>
      <c r="G1798" s="269"/>
      <c r="H1798" s="179"/>
      <c r="I1798" s="177"/>
      <c r="J1798" s="177"/>
      <c r="K1798" s="177"/>
      <c r="L1798" s="177"/>
      <c r="M1798" s="177"/>
      <c r="N1798" s="70"/>
      <c r="O1798" s="38"/>
      <c r="P1798" s="38"/>
      <c r="Q1798" s="760"/>
      <c r="R1798" s="590"/>
      <c r="S1798" s="38"/>
      <c r="T1798" s="38"/>
      <c r="U1798" s="38"/>
      <c r="V1798" s="37"/>
      <c r="W1798" s="39">
        <f>IF(AC1798="Intr",0,G1798*Definitions!$B$53)</f>
        <v>0</v>
      </c>
      <c r="X1798" s="39">
        <f>IF(AC1798="Intr",0,G1798*Definitions!$B$54)</f>
        <v>0</v>
      </c>
      <c r="Y1798" s="39">
        <f>IF(AC1798="Intr",G1798,G1798*Definitions!$B$55)</f>
        <v>0</v>
      </c>
      <c r="Z1798" s="39"/>
      <c r="AA1798" s="39"/>
      <c r="AB1798" s="39"/>
      <c r="AC1798" s="38"/>
      <c r="AD1798" s="38"/>
      <c r="AE1798" s="38"/>
      <c r="AF1798" s="38"/>
      <c r="AG1798" s="40"/>
      <c r="AH1798" s="38"/>
    </row>
    <row r="1799" spans="1:34" x14ac:dyDescent="0.2">
      <c r="A1799" s="38"/>
      <c r="B1799" s="38"/>
      <c r="C1799" s="38"/>
      <c r="D1799" s="38"/>
      <c r="E1799" s="177"/>
      <c r="F1799" s="177"/>
      <c r="G1799" s="269"/>
      <c r="H1799" s="179"/>
      <c r="I1799" s="177"/>
      <c r="J1799" s="177"/>
      <c r="K1799" s="177"/>
      <c r="L1799" s="177"/>
      <c r="M1799" s="177"/>
      <c r="N1799" s="70"/>
      <c r="O1799" s="38"/>
      <c r="P1799" s="38"/>
      <c r="Q1799" s="760"/>
      <c r="R1799" s="590"/>
      <c r="S1799" s="38"/>
      <c r="T1799" s="38"/>
      <c r="U1799" s="38"/>
      <c r="V1799" s="37"/>
      <c r="W1799" s="39">
        <f>IF(AC1799="Intr",0,G1799*Definitions!$B$53)</f>
        <v>0</v>
      </c>
      <c r="X1799" s="39">
        <f>IF(AC1799="Intr",0,G1799*Definitions!$B$54)</f>
        <v>0</v>
      </c>
      <c r="Y1799" s="39">
        <f>IF(AC1799="Intr",G1799,G1799*Definitions!$B$55)</f>
        <v>0</v>
      </c>
      <c r="Z1799" s="39"/>
      <c r="AA1799" s="39"/>
      <c r="AB1799" s="39"/>
      <c r="AC1799" s="38"/>
      <c r="AD1799" s="38"/>
      <c r="AE1799" s="38"/>
      <c r="AF1799" s="38"/>
      <c r="AG1799" s="40"/>
      <c r="AH1799" s="38"/>
    </row>
    <row r="1800" spans="1:34" x14ac:dyDescent="0.2">
      <c r="A1800" s="38"/>
      <c r="B1800" s="38"/>
      <c r="C1800" s="38"/>
      <c r="D1800" s="38"/>
      <c r="E1800" s="177"/>
      <c r="F1800" s="177"/>
      <c r="G1800" s="269"/>
      <c r="H1800" s="179"/>
      <c r="I1800" s="177"/>
      <c r="J1800" s="177"/>
      <c r="K1800" s="177"/>
      <c r="L1800" s="177"/>
      <c r="M1800" s="177"/>
      <c r="N1800" s="70"/>
      <c r="O1800" s="38"/>
      <c r="P1800" s="38"/>
      <c r="Q1800" s="760"/>
      <c r="R1800" s="590"/>
      <c r="S1800" s="38"/>
      <c r="T1800" s="38"/>
      <c r="U1800" s="38"/>
      <c r="V1800" s="37"/>
      <c r="W1800" s="39">
        <f>IF(AC1800="Intr",0,G1800*Definitions!$B$53)</f>
        <v>0</v>
      </c>
      <c r="X1800" s="39">
        <f>IF(AC1800="Intr",0,G1800*Definitions!$B$54)</f>
        <v>0</v>
      </c>
      <c r="Y1800" s="39">
        <f>IF(AC1800="Intr",G1800,G1800*Definitions!$B$55)</f>
        <v>0</v>
      </c>
      <c r="Z1800" s="39"/>
      <c r="AA1800" s="39"/>
      <c r="AB1800" s="39"/>
      <c r="AC1800" s="38"/>
      <c r="AD1800" s="38"/>
      <c r="AE1800" s="38"/>
      <c r="AF1800" s="38"/>
      <c r="AG1800" s="40"/>
      <c r="AH1800" s="38"/>
    </row>
    <row r="1801" spans="1:34" x14ac:dyDescent="0.2">
      <c r="A1801" s="38"/>
      <c r="B1801" s="38"/>
      <c r="C1801" s="38"/>
      <c r="D1801" s="38"/>
      <c r="E1801" s="177"/>
      <c r="F1801" s="177"/>
      <c r="G1801" s="269"/>
      <c r="H1801" s="179"/>
      <c r="I1801" s="177"/>
      <c r="J1801" s="177"/>
      <c r="K1801" s="177"/>
      <c r="L1801" s="177"/>
      <c r="M1801" s="177"/>
      <c r="N1801" s="70"/>
      <c r="O1801" s="38"/>
      <c r="P1801" s="38"/>
      <c r="Q1801" s="760"/>
      <c r="R1801" s="590"/>
      <c r="S1801" s="38"/>
      <c r="T1801" s="38"/>
      <c r="U1801" s="38"/>
      <c r="V1801" s="37"/>
      <c r="W1801" s="39">
        <f>IF(AC1801="Intr",0,G1801*Definitions!$B$53)</f>
        <v>0</v>
      </c>
      <c r="X1801" s="39">
        <f>IF(AC1801="Intr",0,G1801*Definitions!$B$54)</f>
        <v>0</v>
      </c>
      <c r="Y1801" s="39">
        <f>IF(AC1801="Intr",G1801,G1801*Definitions!$B$55)</f>
        <v>0</v>
      </c>
      <c r="Z1801" s="39"/>
      <c r="AA1801" s="39"/>
      <c r="AB1801" s="39"/>
      <c r="AC1801" s="38"/>
      <c r="AD1801" s="38"/>
      <c r="AE1801" s="38"/>
      <c r="AF1801" s="38"/>
      <c r="AG1801" s="40"/>
      <c r="AH1801" s="38"/>
    </row>
    <row r="1802" spans="1:34" x14ac:dyDescent="0.2">
      <c r="A1802" s="38"/>
      <c r="B1802" s="38"/>
      <c r="C1802" s="38"/>
      <c r="D1802" s="38"/>
      <c r="E1802" s="177"/>
      <c r="F1802" s="177"/>
      <c r="G1802" s="269"/>
      <c r="H1802" s="179"/>
      <c r="I1802" s="177"/>
      <c r="J1802" s="177"/>
      <c r="K1802" s="177"/>
      <c r="L1802" s="177"/>
      <c r="M1802" s="177"/>
      <c r="N1802" s="70"/>
      <c r="O1802" s="38"/>
      <c r="P1802" s="38"/>
      <c r="Q1802" s="760"/>
      <c r="R1802" s="590"/>
      <c r="S1802" s="38"/>
      <c r="T1802" s="38"/>
      <c r="U1802" s="38"/>
      <c r="V1802" s="37"/>
      <c r="W1802" s="39">
        <f>IF(AC1802="Intr",0,G1802*Definitions!$B$53)</f>
        <v>0</v>
      </c>
      <c r="X1802" s="39">
        <f>IF(AC1802="Intr",0,G1802*Definitions!$B$54)</f>
        <v>0</v>
      </c>
      <c r="Y1802" s="39">
        <f>IF(AC1802="Intr",G1802,G1802*Definitions!$B$55)</f>
        <v>0</v>
      </c>
      <c r="Z1802" s="39"/>
      <c r="AA1802" s="39"/>
      <c r="AB1802" s="39"/>
      <c r="AC1802" s="38"/>
      <c r="AD1802" s="38"/>
      <c r="AE1802" s="38"/>
      <c r="AF1802" s="38"/>
      <c r="AG1802" s="40"/>
      <c r="AH1802" s="38"/>
    </row>
    <row r="1803" spans="1:34" x14ac:dyDescent="0.2">
      <c r="A1803" s="38"/>
      <c r="B1803" s="38"/>
      <c r="C1803" s="38"/>
      <c r="D1803" s="38"/>
      <c r="E1803" s="177"/>
      <c r="F1803" s="177"/>
      <c r="G1803" s="269"/>
      <c r="H1803" s="179"/>
      <c r="I1803" s="177"/>
      <c r="J1803" s="177"/>
      <c r="K1803" s="177"/>
      <c r="L1803" s="177"/>
      <c r="M1803" s="177"/>
      <c r="N1803" s="70"/>
      <c r="O1803" s="38"/>
      <c r="P1803" s="38"/>
      <c r="Q1803" s="760"/>
      <c r="R1803" s="590"/>
      <c r="S1803" s="38"/>
      <c r="T1803" s="38"/>
      <c r="U1803" s="38"/>
      <c r="V1803" s="37"/>
      <c r="W1803" s="39">
        <f>IF(AC1803="Intr",0,G1803*Definitions!$B$53)</f>
        <v>0</v>
      </c>
      <c r="X1803" s="39">
        <f>IF(AC1803="Intr",0,G1803*Definitions!$B$54)</f>
        <v>0</v>
      </c>
      <c r="Y1803" s="39">
        <f>IF(AC1803="Intr",G1803,G1803*Definitions!$B$55)</f>
        <v>0</v>
      </c>
      <c r="Z1803" s="39"/>
      <c r="AA1803" s="39"/>
      <c r="AB1803" s="39"/>
      <c r="AC1803" s="38"/>
      <c r="AD1803" s="38"/>
      <c r="AE1803" s="38"/>
      <c r="AF1803" s="38"/>
      <c r="AG1803" s="40"/>
      <c r="AH1803" s="38"/>
    </row>
    <row r="1804" spans="1:34" x14ac:dyDescent="0.2">
      <c r="A1804" s="38"/>
      <c r="B1804" s="38"/>
      <c r="C1804" s="38"/>
      <c r="D1804" s="38"/>
      <c r="E1804" s="177"/>
      <c r="F1804" s="177"/>
      <c r="G1804" s="269"/>
      <c r="H1804" s="179"/>
      <c r="I1804" s="177"/>
      <c r="J1804" s="177"/>
      <c r="K1804" s="177"/>
      <c r="L1804" s="177"/>
      <c r="M1804" s="177"/>
      <c r="N1804" s="70"/>
      <c r="O1804" s="38"/>
      <c r="P1804" s="38"/>
      <c r="Q1804" s="760"/>
      <c r="R1804" s="590"/>
      <c r="S1804" s="38"/>
      <c r="T1804" s="38"/>
      <c r="U1804" s="38"/>
      <c r="V1804" s="37"/>
      <c r="W1804" s="39">
        <f>IF(AC1804="Intr",0,G1804*Definitions!$B$53)</f>
        <v>0</v>
      </c>
      <c r="X1804" s="39">
        <f>IF(AC1804="Intr",0,G1804*Definitions!$B$54)</f>
        <v>0</v>
      </c>
      <c r="Y1804" s="39">
        <f>IF(AC1804="Intr",G1804,G1804*Definitions!$B$55)</f>
        <v>0</v>
      </c>
      <c r="Z1804" s="39"/>
      <c r="AA1804" s="39"/>
      <c r="AB1804" s="39"/>
      <c r="AC1804" s="38"/>
      <c r="AD1804" s="38"/>
      <c r="AE1804" s="38"/>
      <c r="AF1804" s="38"/>
      <c r="AG1804" s="40"/>
      <c r="AH1804" s="38"/>
    </row>
    <row r="1805" spans="1:34" x14ac:dyDescent="0.2">
      <c r="A1805" s="38"/>
      <c r="B1805" s="38"/>
      <c r="C1805" s="38"/>
      <c r="D1805" s="38"/>
      <c r="E1805" s="177"/>
      <c r="F1805" s="177"/>
      <c r="G1805" s="269"/>
      <c r="H1805" s="179"/>
      <c r="I1805" s="177"/>
      <c r="J1805" s="177"/>
      <c r="K1805" s="177"/>
      <c r="L1805" s="177"/>
      <c r="M1805" s="177"/>
      <c r="N1805" s="70"/>
      <c r="O1805" s="38"/>
      <c r="P1805" s="38"/>
      <c r="Q1805" s="760"/>
      <c r="R1805" s="590"/>
      <c r="S1805" s="38"/>
      <c r="T1805" s="38"/>
      <c r="U1805" s="38"/>
      <c r="V1805" s="37"/>
      <c r="W1805" s="39">
        <f>IF(AC1805="Intr",0,G1805*Definitions!$B$53)</f>
        <v>0</v>
      </c>
      <c r="X1805" s="39">
        <f>IF(AC1805="Intr",0,G1805*Definitions!$B$54)</f>
        <v>0</v>
      </c>
      <c r="Y1805" s="39">
        <f>IF(AC1805="Intr",G1805,G1805*Definitions!$B$55)</f>
        <v>0</v>
      </c>
      <c r="Z1805" s="39"/>
      <c r="AA1805" s="39"/>
      <c r="AB1805" s="39"/>
      <c r="AC1805" s="38"/>
      <c r="AD1805" s="38"/>
      <c r="AE1805" s="38"/>
      <c r="AF1805" s="38"/>
      <c r="AG1805" s="40"/>
      <c r="AH1805" s="38"/>
    </row>
    <row r="1806" spans="1:34" x14ac:dyDescent="0.2">
      <c r="A1806" s="38"/>
      <c r="B1806" s="38"/>
      <c r="C1806" s="38"/>
      <c r="D1806" s="38"/>
      <c r="E1806" s="177"/>
      <c r="F1806" s="177"/>
      <c r="G1806" s="269"/>
      <c r="H1806" s="179"/>
      <c r="I1806" s="177"/>
      <c r="J1806" s="177"/>
      <c r="K1806" s="177"/>
      <c r="L1806" s="177"/>
      <c r="M1806" s="177"/>
      <c r="N1806" s="70"/>
      <c r="O1806" s="38"/>
      <c r="P1806" s="38"/>
      <c r="Q1806" s="760"/>
      <c r="R1806" s="590"/>
      <c r="S1806" s="38"/>
      <c r="T1806" s="38"/>
      <c r="U1806" s="38"/>
      <c r="V1806" s="37"/>
      <c r="W1806" s="39">
        <f>IF(AC1806="Intr",0,G1806*Definitions!$B$53)</f>
        <v>0</v>
      </c>
      <c r="X1806" s="39">
        <f>IF(AC1806="Intr",0,G1806*Definitions!$B$54)</f>
        <v>0</v>
      </c>
      <c r="Y1806" s="39">
        <f>IF(AC1806="Intr",G1806,G1806*Definitions!$B$55)</f>
        <v>0</v>
      </c>
      <c r="Z1806" s="39"/>
      <c r="AA1806" s="39"/>
      <c r="AB1806" s="39"/>
      <c r="AC1806" s="38"/>
      <c r="AD1806" s="38"/>
      <c r="AE1806" s="38"/>
      <c r="AF1806" s="38"/>
      <c r="AG1806" s="40"/>
      <c r="AH1806" s="38"/>
    </row>
    <row r="1807" spans="1:34" x14ac:dyDescent="0.2">
      <c r="A1807" s="38"/>
      <c r="B1807" s="38"/>
      <c r="C1807" s="38"/>
      <c r="D1807" s="38"/>
      <c r="E1807" s="177"/>
      <c r="F1807" s="177"/>
      <c r="G1807" s="269"/>
      <c r="H1807" s="179"/>
      <c r="I1807" s="177"/>
      <c r="J1807" s="177"/>
      <c r="K1807" s="177"/>
      <c r="L1807" s="177"/>
      <c r="M1807" s="177"/>
      <c r="N1807" s="70"/>
      <c r="O1807" s="38"/>
      <c r="P1807" s="38"/>
      <c r="Q1807" s="760"/>
      <c r="R1807" s="590"/>
      <c r="S1807" s="38"/>
      <c r="T1807" s="38"/>
      <c r="U1807" s="38"/>
      <c r="V1807" s="37"/>
      <c r="W1807" s="39">
        <f>IF(AC1807="Intr",0,G1807*Definitions!$B$53)</f>
        <v>0</v>
      </c>
      <c r="X1807" s="39">
        <f>IF(AC1807="Intr",0,G1807*Definitions!$B$54)</f>
        <v>0</v>
      </c>
      <c r="Y1807" s="39">
        <f>IF(AC1807="Intr",G1807,G1807*Definitions!$B$55)</f>
        <v>0</v>
      </c>
      <c r="Z1807" s="39"/>
      <c r="AA1807" s="39"/>
      <c r="AB1807" s="39"/>
      <c r="AC1807" s="38"/>
      <c r="AD1807" s="38"/>
      <c r="AE1807" s="38"/>
      <c r="AF1807" s="38"/>
      <c r="AG1807" s="40"/>
      <c r="AH1807" s="38"/>
    </row>
    <row r="1808" spans="1:34" x14ac:dyDescent="0.2">
      <c r="A1808" s="38"/>
      <c r="B1808" s="38"/>
      <c r="C1808" s="38"/>
      <c r="D1808" s="38"/>
      <c r="E1808" s="177"/>
      <c r="F1808" s="177"/>
      <c r="G1808" s="269"/>
      <c r="H1808" s="179"/>
      <c r="I1808" s="177"/>
      <c r="J1808" s="177"/>
      <c r="K1808" s="177"/>
      <c r="L1808" s="177"/>
      <c r="M1808" s="177"/>
      <c r="N1808" s="70"/>
      <c r="O1808" s="38"/>
      <c r="P1808" s="38"/>
      <c r="Q1808" s="760"/>
      <c r="R1808" s="590"/>
      <c r="S1808" s="38"/>
      <c r="T1808" s="38"/>
      <c r="U1808" s="38"/>
      <c r="V1808" s="37"/>
      <c r="W1808" s="39">
        <f>IF(AC1808="Intr",0,G1808*Definitions!$B$53)</f>
        <v>0</v>
      </c>
      <c r="X1808" s="39">
        <f>IF(AC1808="Intr",0,G1808*Definitions!$B$54)</f>
        <v>0</v>
      </c>
      <c r="Y1808" s="39">
        <f>IF(AC1808="Intr",G1808,G1808*Definitions!$B$55)</f>
        <v>0</v>
      </c>
      <c r="Z1808" s="39"/>
      <c r="AA1808" s="39"/>
      <c r="AB1808" s="39"/>
      <c r="AC1808" s="38"/>
      <c r="AD1808" s="38"/>
      <c r="AE1808" s="38"/>
      <c r="AF1808" s="38"/>
      <c r="AG1808" s="40"/>
      <c r="AH1808" s="38"/>
    </row>
    <row r="1809" spans="1:34" x14ac:dyDescent="0.2">
      <c r="A1809" s="38"/>
      <c r="B1809" s="38"/>
      <c r="C1809" s="38"/>
      <c r="D1809" s="38"/>
      <c r="E1809" s="177"/>
      <c r="F1809" s="177"/>
      <c r="G1809" s="269"/>
      <c r="H1809" s="179"/>
      <c r="I1809" s="177"/>
      <c r="J1809" s="177"/>
      <c r="K1809" s="177"/>
      <c r="L1809" s="177"/>
      <c r="M1809" s="177"/>
      <c r="N1809" s="70"/>
      <c r="O1809" s="38"/>
      <c r="P1809" s="38"/>
      <c r="Q1809" s="760"/>
      <c r="R1809" s="590"/>
      <c r="S1809" s="38"/>
      <c r="T1809" s="38"/>
      <c r="U1809" s="38"/>
      <c r="V1809" s="37"/>
      <c r="W1809" s="39">
        <f>IF(AC1809="Intr",0,G1809*Definitions!$B$53)</f>
        <v>0</v>
      </c>
      <c r="X1809" s="39">
        <f>IF(AC1809="Intr",0,G1809*Definitions!$B$54)</f>
        <v>0</v>
      </c>
      <c r="Y1809" s="39">
        <f>IF(AC1809="Intr",G1809,G1809*Definitions!$B$55)</f>
        <v>0</v>
      </c>
      <c r="Z1809" s="39"/>
      <c r="AA1809" s="39"/>
      <c r="AB1809" s="39"/>
      <c r="AC1809" s="38"/>
      <c r="AD1809" s="38"/>
      <c r="AE1809" s="38"/>
      <c r="AF1809" s="38"/>
      <c r="AG1809" s="40"/>
      <c r="AH1809" s="38"/>
    </row>
    <row r="1810" spans="1:34" x14ac:dyDescent="0.2">
      <c r="A1810" s="38"/>
      <c r="B1810" s="38"/>
      <c r="C1810" s="38"/>
      <c r="D1810" s="38"/>
      <c r="E1810" s="177"/>
      <c r="F1810" s="177"/>
      <c r="G1810" s="269"/>
      <c r="H1810" s="179"/>
      <c r="I1810" s="177"/>
      <c r="J1810" s="177"/>
      <c r="K1810" s="177"/>
      <c r="L1810" s="177"/>
      <c r="M1810" s="177"/>
      <c r="N1810" s="70"/>
      <c r="O1810" s="38"/>
      <c r="P1810" s="38"/>
      <c r="Q1810" s="760"/>
      <c r="R1810" s="590"/>
      <c r="S1810" s="38"/>
      <c r="T1810" s="38"/>
      <c r="U1810" s="38"/>
      <c r="V1810" s="37"/>
      <c r="W1810" s="39">
        <f>IF(AC1810="Intr",0,G1810*Definitions!$B$53)</f>
        <v>0</v>
      </c>
      <c r="X1810" s="39">
        <f>IF(AC1810="Intr",0,G1810*Definitions!$B$54)</f>
        <v>0</v>
      </c>
      <c r="Y1810" s="39">
        <f>IF(AC1810="Intr",G1810,G1810*Definitions!$B$55)</f>
        <v>0</v>
      </c>
      <c r="Z1810" s="39"/>
      <c r="AA1810" s="39"/>
      <c r="AB1810" s="39"/>
      <c r="AC1810" s="38"/>
      <c r="AD1810" s="38"/>
      <c r="AE1810" s="38"/>
      <c r="AF1810" s="38"/>
      <c r="AG1810" s="40"/>
      <c r="AH1810" s="38"/>
    </row>
    <row r="1811" spans="1:34" x14ac:dyDescent="0.2">
      <c r="A1811" s="38"/>
      <c r="B1811" s="38"/>
      <c r="C1811" s="38"/>
      <c r="D1811" s="38"/>
      <c r="E1811" s="177"/>
      <c r="F1811" s="177"/>
      <c r="G1811" s="269"/>
      <c r="H1811" s="179"/>
      <c r="I1811" s="177"/>
      <c r="J1811" s="177"/>
      <c r="K1811" s="177"/>
      <c r="L1811" s="177"/>
      <c r="M1811" s="177"/>
      <c r="N1811" s="70"/>
      <c r="O1811" s="38"/>
      <c r="P1811" s="38"/>
      <c r="Q1811" s="760"/>
      <c r="R1811" s="590"/>
      <c r="S1811" s="38"/>
      <c r="T1811" s="38"/>
      <c r="U1811" s="38"/>
      <c r="V1811" s="37"/>
      <c r="W1811" s="39">
        <f>IF(AC1811="Intr",0,G1811*Definitions!$B$53)</f>
        <v>0</v>
      </c>
      <c r="X1811" s="39">
        <f>IF(AC1811="Intr",0,G1811*Definitions!$B$54)</f>
        <v>0</v>
      </c>
      <c r="Y1811" s="39">
        <f>IF(AC1811="Intr",G1811,G1811*Definitions!$B$55)</f>
        <v>0</v>
      </c>
      <c r="Z1811" s="39"/>
      <c r="AA1811" s="39"/>
      <c r="AB1811" s="39"/>
      <c r="AC1811" s="38"/>
      <c r="AD1811" s="38"/>
      <c r="AE1811" s="38"/>
      <c r="AF1811" s="38"/>
      <c r="AG1811" s="40"/>
      <c r="AH1811" s="38"/>
    </row>
    <row r="1812" spans="1:34" x14ac:dyDescent="0.2">
      <c r="A1812" s="38"/>
      <c r="B1812" s="38"/>
      <c r="C1812" s="38"/>
      <c r="D1812" s="38"/>
      <c r="E1812" s="177"/>
      <c r="F1812" s="177"/>
      <c r="G1812" s="269"/>
      <c r="H1812" s="179"/>
      <c r="I1812" s="177"/>
      <c r="J1812" s="177"/>
      <c r="K1812" s="177"/>
      <c r="L1812" s="177"/>
      <c r="M1812" s="177"/>
      <c r="N1812" s="70"/>
      <c r="O1812" s="38"/>
      <c r="P1812" s="38"/>
      <c r="Q1812" s="760"/>
      <c r="R1812" s="590"/>
      <c r="S1812" s="38"/>
      <c r="T1812" s="38"/>
      <c r="U1812" s="38"/>
      <c r="V1812" s="37"/>
      <c r="W1812" s="39">
        <f>IF(AC1812="Intr",0,G1812*Definitions!$B$53)</f>
        <v>0</v>
      </c>
      <c r="X1812" s="39">
        <f>IF(AC1812="Intr",0,G1812*Definitions!$B$54)</f>
        <v>0</v>
      </c>
      <c r="Y1812" s="39">
        <f>IF(AC1812="Intr",G1812,G1812*Definitions!$B$55)</f>
        <v>0</v>
      </c>
      <c r="Z1812" s="39"/>
      <c r="AA1812" s="39"/>
      <c r="AB1812" s="39"/>
      <c r="AC1812" s="38"/>
      <c r="AD1812" s="38"/>
      <c r="AE1812" s="38"/>
      <c r="AF1812" s="38"/>
      <c r="AG1812" s="40"/>
      <c r="AH1812" s="38"/>
    </row>
    <row r="1813" spans="1:34" x14ac:dyDescent="0.2">
      <c r="A1813" s="38"/>
      <c r="B1813" s="38"/>
      <c r="C1813" s="38"/>
      <c r="D1813" s="38"/>
      <c r="E1813" s="177"/>
      <c r="F1813" s="177"/>
      <c r="G1813" s="269"/>
      <c r="H1813" s="179"/>
      <c r="I1813" s="177"/>
      <c r="J1813" s="177"/>
      <c r="K1813" s="177"/>
      <c r="L1813" s="177"/>
      <c r="M1813" s="177"/>
      <c r="N1813" s="70"/>
      <c r="O1813" s="38"/>
      <c r="P1813" s="38"/>
      <c r="Q1813" s="760"/>
      <c r="R1813" s="590"/>
      <c r="S1813" s="38"/>
      <c r="T1813" s="38"/>
      <c r="U1813" s="38"/>
      <c r="V1813" s="37"/>
      <c r="W1813" s="39">
        <f>IF(AC1813="Intr",0,G1813*Definitions!$B$53)</f>
        <v>0</v>
      </c>
      <c r="X1813" s="39">
        <f>IF(AC1813="Intr",0,G1813*Definitions!$B$54)</f>
        <v>0</v>
      </c>
      <c r="Y1813" s="39">
        <f>IF(AC1813="Intr",G1813,G1813*Definitions!$B$55)</f>
        <v>0</v>
      </c>
      <c r="Z1813" s="39"/>
      <c r="AA1813" s="39"/>
      <c r="AB1813" s="39"/>
      <c r="AC1813" s="38"/>
      <c r="AD1813" s="38"/>
      <c r="AE1813" s="38"/>
      <c r="AF1813" s="38"/>
      <c r="AG1813" s="40"/>
      <c r="AH1813" s="38"/>
    </row>
    <row r="1814" spans="1:34" x14ac:dyDescent="0.2">
      <c r="A1814" s="38"/>
      <c r="B1814" s="38"/>
      <c r="C1814" s="38"/>
      <c r="D1814" s="38"/>
      <c r="E1814" s="177"/>
      <c r="F1814" s="177"/>
      <c r="G1814" s="269"/>
      <c r="H1814" s="179"/>
      <c r="I1814" s="177"/>
      <c r="J1814" s="177"/>
      <c r="K1814" s="177"/>
      <c r="L1814" s="177"/>
      <c r="M1814" s="177"/>
      <c r="N1814" s="70"/>
      <c r="O1814" s="38"/>
      <c r="P1814" s="38"/>
      <c r="Q1814" s="760"/>
      <c r="R1814" s="590"/>
      <c r="S1814" s="38"/>
      <c r="T1814" s="38"/>
      <c r="U1814" s="38"/>
      <c r="V1814" s="37"/>
      <c r="W1814" s="39">
        <f>IF(AC1814="Intr",0,G1814*Definitions!$B$53)</f>
        <v>0</v>
      </c>
      <c r="X1814" s="39">
        <f>IF(AC1814="Intr",0,G1814*Definitions!$B$54)</f>
        <v>0</v>
      </c>
      <c r="Y1814" s="39">
        <f>IF(AC1814="Intr",G1814,G1814*Definitions!$B$55)</f>
        <v>0</v>
      </c>
      <c r="Z1814" s="39"/>
      <c r="AA1814" s="39"/>
      <c r="AB1814" s="39"/>
      <c r="AC1814" s="38"/>
      <c r="AD1814" s="38"/>
      <c r="AE1814" s="38"/>
      <c r="AF1814" s="38"/>
      <c r="AG1814" s="40"/>
      <c r="AH1814" s="38"/>
    </row>
    <row r="1815" spans="1:34" x14ac:dyDescent="0.2">
      <c r="A1815" s="38"/>
      <c r="B1815" s="38"/>
      <c r="C1815" s="38"/>
      <c r="D1815" s="38"/>
      <c r="E1815" s="177"/>
      <c r="F1815" s="177"/>
      <c r="G1815" s="269"/>
      <c r="H1815" s="179"/>
      <c r="I1815" s="177"/>
      <c r="J1815" s="177"/>
      <c r="K1815" s="177"/>
      <c r="L1815" s="177"/>
      <c r="M1815" s="177"/>
      <c r="N1815" s="70"/>
      <c r="O1815" s="38"/>
      <c r="P1815" s="38"/>
      <c r="Q1815" s="760"/>
      <c r="R1815" s="590"/>
      <c r="S1815" s="38"/>
      <c r="T1815" s="38"/>
      <c r="U1815" s="38"/>
      <c r="V1815" s="37"/>
      <c r="W1815" s="39">
        <f>IF(AC1815="Intr",0,G1815*Definitions!$B$53)</f>
        <v>0</v>
      </c>
      <c r="X1815" s="39">
        <f>IF(AC1815="Intr",0,G1815*Definitions!$B$54)</f>
        <v>0</v>
      </c>
      <c r="Y1815" s="39">
        <f>IF(AC1815="Intr",G1815,G1815*Definitions!$B$55)</f>
        <v>0</v>
      </c>
      <c r="Z1815" s="39"/>
      <c r="AA1815" s="39"/>
      <c r="AB1815" s="39"/>
      <c r="AC1815" s="38"/>
      <c r="AD1815" s="38"/>
      <c r="AE1815" s="38"/>
      <c r="AF1815" s="38"/>
      <c r="AG1815" s="40"/>
      <c r="AH1815" s="38"/>
    </row>
    <row r="1816" spans="1:34" x14ac:dyDescent="0.2">
      <c r="A1816" s="38"/>
      <c r="B1816" s="38"/>
      <c r="C1816" s="38"/>
      <c r="D1816" s="38"/>
      <c r="E1816" s="177"/>
      <c r="F1816" s="177"/>
      <c r="G1816" s="269"/>
      <c r="H1816" s="179"/>
      <c r="I1816" s="177"/>
      <c r="J1816" s="177"/>
      <c r="K1816" s="177"/>
      <c r="L1816" s="177"/>
      <c r="M1816" s="177"/>
      <c r="N1816" s="70"/>
      <c r="O1816" s="38"/>
      <c r="P1816" s="38"/>
      <c r="Q1816" s="760"/>
      <c r="R1816" s="590"/>
      <c r="S1816" s="38"/>
      <c r="T1816" s="38"/>
      <c r="U1816" s="38"/>
      <c r="V1816" s="37"/>
      <c r="W1816" s="39">
        <f>IF(AC1816="Intr",0,G1816*Definitions!$B$53)</f>
        <v>0</v>
      </c>
      <c r="X1816" s="39">
        <f>IF(AC1816="Intr",0,G1816*Definitions!$B$54)</f>
        <v>0</v>
      </c>
      <c r="Y1816" s="39">
        <f>IF(AC1816="Intr",G1816,G1816*Definitions!$B$55)</f>
        <v>0</v>
      </c>
      <c r="Z1816" s="39"/>
      <c r="AA1816" s="39"/>
      <c r="AB1816" s="39"/>
      <c r="AC1816" s="38"/>
      <c r="AD1816" s="38"/>
      <c r="AE1816" s="38"/>
      <c r="AF1816" s="38"/>
      <c r="AG1816" s="40"/>
      <c r="AH1816" s="38"/>
    </row>
    <row r="1817" spans="1:34" x14ac:dyDescent="0.2">
      <c r="A1817" s="38"/>
      <c r="B1817" s="38"/>
      <c r="C1817" s="38"/>
      <c r="D1817" s="38"/>
      <c r="E1817" s="177"/>
      <c r="F1817" s="177"/>
      <c r="G1817" s="269"/>
      <c r="H1817" s="179"/>
      <c r="I1817" s="177"/>
      <c r="J1817" s="177"/>
      <c r="K1817" s="177"/>
      <c r="L1817" s="177"/>
      <c r="M1817" s="177"/>
      <c r="N1817" s="70"/>
      <c r="O1817" s="38"/>
      <c r="P1817" s="38"/>
      <c r="Q1817" s="760"/>
      <c r="R1817" s="590"/>
      <c r="S1817" s="38"/>
      <c r="T1817" s="38"/>
      <c r="U1817" s="38"/>
      <c r="V1817" s="37"/>
      <c r="W1817" s="39">
        <f>IF(AC1817="Intr",0,G1817*Definitions!$B$53)</f>
        <v>0</v>
      </c>
      <c r="X1817" s="39">
        <f>IF(AC1817="Intr",0,G1817*Definitions!$B$54)</f>
        <v>0</v>
      </c>
      <c r="Y1817" s="39">
        <f>IF(AC1817="Intr",G1817,G1817*Definitions!$B$55)</f>
        <v>0</v>
      </c>
      <c r="Z1817" s="39"/>
      <c r="AA1817" s="39"/>
      <c r="AB1817" s="39"/>
      <c r="AC1817" s="38"/>
      <c r="AD1817" s="38"/>
      <c r="AE1817" s="38"/>
      <c r="AF1817" s="38"/>
      <c r="AG1817" s="40"/>
      <c r="AH1817" s="38"/>
    </row>
    <row r="1818" spans="1:34" x14ac:dyDescent="0.2">
      <c r="A1818" s="38"/>
      <c r="B1818" s="38"/>
      <c r="C1818" s="38"/>
      <c r="D1818" s="38"/>
      <c r="E1818" s="177"/>
      <c r="F1818" s="177"/>
      <c r="G1818" s="269"/>
      <c r="H1818" s="179"/>
      <c r="I1818" s="177"/>
      <c r="J1818" s="177"/>
      <c r="K1818" s="177"/>
      <c r="L1818" s="177"/>
      <c r="M1818" s="177"/>
      <c r="N1818" s="70"/>
      <c r="O1818" s="38"/>
      <c r="P1818" s="38"/>
      <c r="Q1818" s="760"/>
      <c r="R1818" s="590"/>
      <c r="S1818" s="38"/>
      <c r="T1818" s="38"/>
      <c r="U1818" s="38"/>
      <c r="V1818" s="37"/>
      <c r="W1818" s="39">
        <f>IF(AC1818="Intr",0,G1818*Definitions!$B$53)</f>
        <v>0</v>
      </c>
      <c r="X1818" s="39">
        <f>IF(AC1818="Intr",0,G1818*Definitions!$B$54)</f>
        <v>0</v>
      </c>
      <c r="Y1818" s="39">
        <f>IF(AC1818="Intr",G1818,G1818*Definitions!$B$55)</f>
        <v>0</v>
      </c>
      <c r="Z1818" s="39"/>
      <c r="AA1818" s="39"/>
      <c r="AB1818" s="39"/>
      <c r="AC1818" s="38"/>
      <c r="AD1818" s="38"/>
      <c r="AE1818" s="38"/>
      <c r="AF1818" s="38"/>
      <c r="AG1818" s="40"/>
      <c r="AH1818" s="38"/>
    </row>
    <row r="1819" spans="1:34" x14ac:dyDescent="0.2">
      <c r="A1819" s="38"/>
      <c r="B1819" s="38"/>
      <c r="C1819" s="38"/>
      <c r="D1819" s="38"/>
      <c r="E1819" s="177"/>
      <c r="F1819" s="177"/>
      <c r="G1819" s="269"/>
      <c r="H1819" s="179"/>
      <c r="I1819" s="177"/>
      <c r="J1819" s="177"/>
      <c r="K1819" s="177"/>
      <c r="L1819" s="177"/>
      <c r="M1819" s="177"/>
      <c r="N1819" s="70"/>
      <c r="O1819" s="38"/>
      <c r="P1819" s="38"/>
      <c r="Q1819" s="760"/>
      <c r="R1819" s="590"/>
      <c r="S1819" s="38"/>
      <c r="T1819" s="38"/>
      <c r="U1819" s="38"/>
      <c r="V1819" s="37"/>
      <c r="W1819" s="39">
        <f>IF(AC1819="Intr",0,G1819*Definitions!$B$53)</f>
        <v>0</v>
      </c>
      <c r="X1819" s="39">
        <f>IF(AC1819="Intr",0,G1819*Definitions!$B$54)</f>
        <v>0</v>
      </c>
      <c r="Y1819" s="39">
        <f>IF(AC1819="Intr",G1819,G1819*Definitions!$B$55)</f>
        <v>0</v>
      </c>
      <c r="Z1819" s="39"/>
      <c r="AA1819" s="39"/>
      <c r="AB1819" s="39"/>
      <c r="AC1819" s="38"/>
      <c r="AD1819" s="38"/>
      <c r="AE1819" s="38"/>
      <c r="AF1819" s="38"/>
      <c r="AG1819" s="40"/>
      <c r="AH1819" s="38"/>
    </row>
    <row r="1820" spans="1:34" x14ac:dyDescent="0.2">
      <c r="A1820" s="38"/>
      <c r="B1820" s="38"/>
      <c r="C1820" s="38"/>
      <c r="D1820" s="38"/>
      <c r="E1820" s="177"/>
      <c r="F1820" s="177"/>
      <c r="G1820" s="269"/>
      <c r="H1820" s="179"/>
      <c r="I1820" s="177"/>
      <c r="J1820" s="177"/>
      <c r="K1820" s="177"/>
      <c r="L1820" s="177"/>
      <c r="M1820" s="177"/>
      <c r="N1820" s="70"/>
      <c r="O1820" s="38"/>
      <c r="P1820" s="38"/>
      <c r="Q1820" s="760"/>
      <c r="R1820" s="590"/>
      <c r="S1820" s="38"/>
      <c r="T1820" s="38"/>
      <c r="U1820" s="38"/>
      <c r="V1820" s="37"/>
      <c r="W1820" s="39">
        <f>IF(AC1820="Intr",0,G1820*Definitions!$B$53)</f>
        <v>0</v>
      </c>
      <c r="X1820" s="39">
        <f>IF(AC1820="Intr",0,G1820*Definitions!$B$54)</f>
        <v>0</v>
      </c>
      <c r="Y1820" s="39">
        <f>IF(AC1820="Intr",G1820,G1820*Definitions!$B$55)</f>
        <v>0</v>
      </c>
      <c r="Z1820" s="39"/>
      <c r="AA1820" s="39"/>
      <c r="AB1820" s="39"/>
      <c r="AC1820" s="38"/>
      <c r="AD1820" s="38"/>
      <c r="AE1820" s="38"/>
      <c r="AF1820" s="38"/>
      <c r="AG1820" s="40"/>
      <c r="AH1820" s="38"/>
    </row>
    <row r="1821" spans="1:34" x14ac:dyDescent="0.2">
      <c r="A1821" s="38"/>
      <c r="B1821" s="38"/>
      <c r="C1821" s="38"/>
      <c r="D1821" s="38"/>
      <c r="E1821" s="177"/>
      <c r="F1821" s="177"/>
      <c r="G1821" s="269"/>
      <c r="H1821" s="179"/>
      <c r="I1821" s="177"/>
      <c r="J1821" s="177"/>
      <c r="K1821" s="177"/>
      <c r="L1821" s="177"/>
      <c r="M1821" s="177"/>
      <c r="N1821" s="70"/>
      <c r="O1821" s="38"/>
      <c r="P1821" s="38"/>
      <c r="Q1821" s="760"/>
      <c r="R1821" s="590"/>
      <c r="S1821" s="38"/>
      <c r="T1821" s="38"/>
      <c r="U1821" s="38"/>
      <c r="V1821" s="37"/>
      <c r="W1821" s="39">
        <f>IF(AC1821="Intr",0,G1821*Definitions!$B$53)</f>
        <v>0</v>
      </c>
      <c r="X1821" s="39">
        <f>IF(AC1821="Intr",0,G1821*Definitions!$B$54)</f>
        <v>0</v>
      </c>
      <c r="Y1821" s="39">
        <f>IF(AC1821="Intr",G1821,G1821*Definitions!$B$55)</f>
        <v>0</v>
      </c>
      <c r="Z1821" s="39"/>
      <c r="AA1821" s="39"/>
      <c r="AB1821" s="39"/>
      <c r="AC1821" s="38"/>
      <c r="AD1821" s="38"/>
      <c r="AE1821" s="38"/>
      <c r="AF1821" s="38"/>
      <c r="AG1821" s="40"/>
      <c r="AH1821" s="38"/>
    </row>
    <row r="1822" spans="1:34" x14ac:dyDescent="0.2">
      <c r="A1822" s="38"/>
      <c r="B1822" s="38"/>
      <c r="C1822" s="38"/>
      <c r="D1822" s="38"/>
      <c r="E1822" s="177"/>
      <c r="F1822" s="177"/>
      <c r="G1822" s="269"/>
      <c r="H1822" s="179"/>
      <c r="I1822" s="177"/>
      <c r="J1822" s="177"/>
      <c r="K1822" s="177"/>
      <c r="L1822" s="177"/>
      <c r="M1822" s="177"/>
      <c r="N1822" s="70"/>
      <c r="O1822" s="38"/>
      <c r="P1822" s="38"/>
      <c r="Q1822" s="760"/>
      <c r="R1822" s="590"/>
      <c r="S1822" s="38"/>
      <c r="T1822" s="38"/>
      <c r="U1822" s="38"/>
      <c r="V1822" s="37"/>
      <c r="W1822" s="39">
        <f>IF(AC1822="Intr",0,G1822*Definitions!$B$53)</f>
        <v>0</v>
      </c>
      <c r="X1822" s="39">
        <f>IF(AC1822="Intr",0,G1822*Definitions!$B$54)</f>
        <v>0</v>
      </c>
      <c r="Y1822" s="39">
        <f>IF(AC1822="Intr",G1822,G1822*Definitions!$B$55)</f>
        <v>0</v>
      </c>
      <c r="Z1822" s="39"/>
      <c r="AA1822" s="39"/>
      <c r="AB1822" s="39"/>
      <c r="AC1822" s="38"/>
      <c r="AD1822" s="38"/>
      <c r="AE1822" s="38"/>
      <c r="AF1822" s="38"/>
      <c r="AG1822" s="40"/>
      <c r="AH1822" s="38"/>
    </row>
    <row r="1823" spans="1:34" x14ac:dyDescent="0.2">
      <c r="A1823" s="38"/>
      <c r="B1823" s="38"/>
      <c r="C1823" s="38"/>
      <c r="D1823" s="38"/>
      <c r="E1823" s="177"/>
      <c r="F1823" s="177"/>
      <c r="G1823" s="269"/>
      <c r="H1823" s="179"/>
      <c r="I1823" s="177"/>
      <c r="J1823" s="177"/>
      <c r="K1823" s="177"/>
      <c r="L1823" s="177"/>
      <c r="M1823" s="177"/>
      <c r="N1823" s="70"/>
      <c r="O1823" s="38"/>
      <c r="P1823" s="38"/>
      <c r="Q1823" s="760"/>
      <c r="R1823" s="590"/>
      <c r="S1823" s="38"/>
      <c r="T1823" s="38"/>
      <c r="U1823" s="38"/>
      <c r="V1823" s="37"/>
      <c r="W1823" s="39">
        <f>IF(AC1823="Intr",0,G1823*Definitions!$B$53)</f>
        <v>0</v>
      </c>
      <c r="X1823" s="39">
        <f>IF(AC1823="Intr",0,G1823*Definitions!$B$54)</f>
        <v>0</v>
      </c>
      <c r="Y1823" s="39">
        <f>IF(AC1823="Intr",G1823,G1823*Definitions!$B$55)</f>
        <v>0</v>
      </c>
      <c r="Z1823" s="39"/>
      <c r="AA1823" s="39"/>
      <c r="AB1823" s="39"/>
      <c r="AC1823" s="38"/>
      <c r="AD1823" s="38"/>
      <c r="AE1823" s="38"/>
      <c r="AF1823" s="38"/>
      <c r="AG1823" s="40"/>
      <c r="AH1823" s="38"/>
    </row>
    <row r="1824" spans="1:34" x14ac:dyDescent="0.2">
      <c r="A1824" s="38"/>
      <c r="B1824" s="38"/>
      <c r="C1824" s="38"/>
      <c r="D1824" s="38"/>
      <c r="E1824" s="177"/>
      <c r="F1824" s="177"/>
      <c r="G1824" s="269"/>
      <c r="H1824" s="179"/>
      <c r="I1824" s="177"/>
      <c r="J1824" s="177"/>
      <c r="K1824" s="177"/>
      <c r="L1824" s="177"/>
      <c r="M1824" s="177"/>
      <c r="N1824" s="70"/>
      <c r="O1824" s="38"/>
      <c r="P1824" s="38"/>
      <c r="Q1824" s="760"/>
      <c r="R1824" s="590"/>
      <c r="S1824" s="38"/>
      <c r="T1824" s="38"/>
      <c r="U1824" s="38"/>
      <c r="V1824" s="37"/>
      <c r="W1824" s="39">
        <f>IF(AC1824="Intr",0,G1824*Definitions!$B$53)</f>
        <v>0</v>
      </c>
      <c r="X1824" s="39">
        <f>IF(AC1824="Intr",0,G1824*Definitions!$B$54)</f>
        <v>0</v>
      </c>
      <c r="Y1824" s="39">
        <f>IF(AC1824="Intr",G1824,G1824*Definitions!$B$55)</f>
        <v>0</v>
      </c>
      <c r="Z1824" s="39"/>
      <c r="AA1824" s="39"/>
      <c r="AB1824" s="39"/>
      <c r="AC1824" s="38"/>
      <c r="AD1824" s="38"/>
      <c r="AE1824" s="38"/>
      <c r="AF1824" s="38"/>
      <c r="AG1824" s="40"/>
      <c r="AH1824" s="38"/>
    </row>
    <row r="1825" spans="1:34" x14ac:dyDescent="0.2">
      <c r="A1825" s="38"/>
      <c r="B1825" s="38"/>
      <c r="C1825" s="38"/>
      <c r="D1825" s="38"/>
      <c r="E1825" s="177"/>
      <c r="F1825" s="177"/>
      <c r="G1825" s="269"/>
      <c r="H1825" s="179"/>
      <c r="I1825" s="177"/>
      <c r="J1825" s="177"/>
      <c r="K1825" s="177"/>
      <c r="L1825" s="177"/>
      <c r="M1825" s="177"/>
      <c r="N1825" s="70"/>
      <c r="O1825" s="38"/>
      <c r="P1825" s="38"/>
      <c r="Q1825" s="760"/>
      <c r="R1825" s="590"/>
      <c r="S1825" s="38"/>
      <c r="T1825" s="38"/>
      <c r="U1825" s="38"/>
      <c r="V1825" s="37"/>
      <c r="W1825" s="39">
        <f>IF(AC1825="Intr",0,G1825*Definitions!$B$53)</f>
        <v>0</v>
      </c>
      <c r="X1825" s="39">
        <f>IF(AC1825="Intr",0,G1825*Definitions!$B$54)</f>
        <v>0</v>
      </c>
      <c r="Y1825" s="39">
        <f>IF(AC1825="Intr",G1825,G1825*Definitions!$B$55)</f>
        <v>0</v>
      </c>
      <c r="Z1825" s="39"/>
      <c r="AA1825" s="39"/>
      <c r="AB1825" s="39"/>
      <c r="AC1825" s="38"/>
      <c r="AD1825" s="38"/>
      <c r="AE1825" s="38"/>
      <c r="AF1825" s="38"/>
      <c r="AG1825" s="40"/>
      <c r="AH1825" s="38"/>
    </row>
    <row r="1826" spans="1:34" x14ac:dyDescent="0.2">
      <c r="A1826" s="38"/>
      <c r="B1826" s="38"/>
      <c r="C1826" s="38"/>
      <c r="D1826" s="38"/>
      <c r="E1826" s="177"/>
      <c r="F1826" s="177"/>
      <c r="G1826" s="269"/>
      <c r="H1826" s="179"/>
      <c r="I1826" s="177"/>
      <c r="J1826" s="177"/>
      <c r="K1826" s="177"/>
      <c r="L1826" s="177"/>
      <c r="M1826" s="177"/>
      <c r="N1826" s="70"/>
      <c r="O1826" s="38"/>
      <c r="P1826" s="38"/>
      <c r="Q1826" s="760"/>
      <c r="R1826" s="590"/>
      <c r="S1826" s="38"/>
      <c r="T1826" s="38"/>
      <c r="U1826" s="38"/>
      <c r="V1826" s="37"/>
      <c r="W1826" s="39">
        <f>IF(AC1826="Intr",0,G1826*Definitions!$B$53)</f>
        <v>0</v>
      </c>
      <c r="X1826" s="39">
        <f>IF(AC1826="Intr",0,G1826*Definitions!$B$54)</f>
        <v>0</v>
      </c>
      <c r="Y1826" s="39">
        <f>IF(AC1826="Intr",G1826,G1826*Definitions!$B$55)</f>
        <v>0</v>
      </c>
      <c r="Z1826" s="39"/>
      <c r="AA1826" s="39"/>
      <c r="AB1826" s="39"/>
      <c r="AC1826" s="38"/>
      <c r="AD1826" s="38"/>
      <c r="AE1826" s="38"/>
      <c r="AF1826" s="38"/>
      <c r="AG1826" s="40"/>
      <c r="AH1826" s="38"/>
    </row>
    <row r="1827" spans="1:34" x14ac:dyDescent="0.2">
      <c r="A1827" s="38"/>
      <c r="B1827" s="38"/>
      <c r="C1827" s="38"/>
      <c r="D1827" s="38"/>
      <c r="E1827" s="177"/>
      <c r="F1827" s="177"/>
      <c r="G1827" s="269"/>
      <c r="H1827" s="179"/>
      <c r="I1827" s="177"/>
      <c r="J1827" s="177"/>
      <c r="K1827" s="177"/>
      <c r="L1827" s="177"/>
      <c r="M1827" s="177"/>
      <c r="N1827" s="70"/>
      <c r="O1827" s="38"/>
      <c r="P1827" s="38"/>
      <c r="Q1827" s="760"/>
      <c r="R1827" s="590"/>
      <c r="S1827" s="38"/>
      <c r="T1827" s="38"/>
      <c r="U1827" s="38"/>
      <c r="V1827" s="37"/>
      <c r="W1827" s="39">
        <f>IF(AC1827="Intr",0,G1827*Definitions!$B$53)</f>
        <v>0</v>
      </c>
      <c r="X1827" s="39">
        <f>IF(AC1827="Intr",0,G1827*Definitions!$B$54)</f>
        <v>0</v>
      </c>
      <c r="Y1827" s="39">
        <f>IF(AC1827="Intr",G1827,G1827*Definitions!$B$55)</f>
        <v>0</v>
      </c>
      <c r="Z1827" s="39"/>
      <c r="AA1827" s="39"/>
      <c r="AB1827" s="39"/>
      <c r="AC1827" s="38"/>
      <c r="AD1827" s="38"/>
      <c r="AE1827" s="38"/>
      <c r="AF1827" s="38"/>
      <c r="AG1827" s="40"/>
      <c r="AH1827" s="38"/>
    </row>
    <row r="1828" spans="1:34" x14ac:dyDescent="0.2">
      <c r="A1828" s="38"/>
      <c r="B1828" s="38"/>
      <c r="C1828" s="38"/>
      <c r="D1828" s="38"/>
      <c r="E1828" s="177"/>
      <c r="F1828" s="177"/>
      <c r="G1828" s="269"/>
      <c r="H1828" s="179"/>
      <c r="I1828" s="177"/>
      <c r="J1828" s="177"/>
      <c r="K1828" s="177"/>
      <c r="L1828" s="177"/>
      <c r="M1828" s="177"/>
      <c r="N1828" s="70"/>
      <c r="O1828" s="38"/>
      <c r="P1828" s="38"/>
      <c r="Q1828" s="760"/>
      <c r="R1828" s="590"/>
      <c r="S1828" s="38"/>
      <c r="T1828" s="38"/>
      <c r="U1828" s="38"/>
      <c r="V1828" s="37"/>
      <c r="W1828" s="39">
        <f>IF(AC1828="Intr",0,G1828*Definitions!$B$53)</f>
        <v>0</v>
      </c>
      <c r="X1828" s="39">
        <f>IF(AC1828="Intr",0,G1828*Definitions!$B$54)</f>
        <v>0</v>
      </c>
      <c r="Y1828" s="39">
        <f>IF(AC1828="Intr",G1828,G1828*Definitions!$B$55)</f>
        <v>0</v>
      </c>
      <c r="Z1828" s="39"/>
      <c r="AA1828" s="39"/>
      <c r="AB1828" s="39"/>
      <c r="AC1828" s="38"/>
      <c r="AD1828" s="38"/>
      <c r="AE1828" s="38"/>
      <c r="AF1828" s="38"/>
      <c r="AG1828" s="40"/>
      <c r="AH1828" s="38"/>
    </row>
    <row r="1829" spans="1:34" x14ac:dyDescent="0.2">
      <c r="A1829" s="38"/>
      <c r="B1829" s="38"/>
      <c r="C1829" s="38"/>
      <c r="D1829" s="38"/>
      <c r="E1829" s="177"/>
      <c r="F1829" s="177"/>
      <c r="G1829" s="269"/>
      <c r="H1829" s="179"/>
      <c r="I1829" s="177"/>
      <c r="J1829" s="177"/>
      <c r="K1829" s="177"/>
      <c r="L1829" s="177"/>
      <c r="M1829" s="177"/>
      <c r="N1829" s="70"/>
      <c r="O1829" s="38"/>
      <c r="P1829" s="38"/>
      <c r="Q1829" s="760"/>
      <c r="R1829" s="590"/>
      <c r="S1829" s="38"/>
      <c r="T1829" s="38"/>
      <c r="U1829" s="38"/>
      <c r="V1829" s="37"/>
      <c r="W1829" s="39">
        <f>IF(AC1829="Intr",0,G1829*Definitions!$B$53)</f>
        <v>0</v>
      </c>
      <c r="X1829" s="39">
        <f>IF(AC1829="Intr",0,G1829*Definitions!$B$54)</f>
        <v>0</v>
      </c>
      <c r="Y1829" s="39">
        <f>IF(AC1829="Intr",G1829,G1829*Definitions!$B$55)</f>
        <v>0</v>
      </c>
      <c r="Z1829" s="39"/>
      <c r="AA1829" s="39"/>
      <c r="AB1829" s="39"/>
      <c r="AC1829" s="38"/>
      <c r="AD1829" s="38"/>
      <c r="AE1829" s="38"/>
      <c r="AF1829" s="38"/>
      <c r="AG1829" s="40"/>
      <c r="AH1829" s="38"/>
    </row>
    <row r="1830" spans="1:34" x14ac:dyDescent="0.2">
      <c r="A1830" s="38"/>
      <c r="B1830" s="38"/>
      <c r="C1830" s="38"/>
      <c r="D1830" s="38"/>
      <c r="E1830" s="177"/>
      <c r="F1830" s="177"/>
      <c r="G1830" s="269"/>
      <c r="H1830" s="179"/>
      <c r="I1830" s="177"/>
      <c r="J1830" s="177"/>
      <c r="K1830" s="177"/>
      <c r="L1830" s="177"/>
      <c r="M1830" s="177"/>
      <c r="N1830" s="70"/>
      <c r="O1830" s="38"/>
      <c r="P1830" s="38"/>
      <c r="Q1830" s="760"/>
      <c r="R1830" s="590"/>
      <c r="S1830" s="38"/>
      <c r="T1830" s="38"/>
      <c r="U1830" s="38"/>
      <c r="V1830" s="37"/>
      <c r="W1830" s="39">
        <f>IF(AC1830="Intr",0,G1830*Definitions!$B$53)</f>
        <v>0</v>
      </c>
      <c r="X1830" s="39">
        <f>IF(AC1830="Intr",0,G1830*Definitions!$B$54)</f>
        <v>0</v>
      </c>
      <c r="Y1830" s="39">
        <f>IF(AC1830="Intr",G1830,G1830*Definitions!$B$55)</f>
        <v>0</v>
      </c>
      <c r="Z1830" s="39"/>
      <c r="AA1830" s="39"/>
      <c r="AB1830" s="39"/>
      <c r="AC1830" s="38"/>
      <c r="AD1830" s="38"/>
      <c r="AE1830" s="38"/>
      <c r="AF1830" s="38"/>
      <c r="AG1830" s="40"/>
      <c r="AH1830" s="38"/>
    </row>
    <row r="1831" spans="1:34" x14ac:dyDescent="0.2">
      <c r="A1831" s="38"/>
      <c r="B1831" s="38"/>
      <c r="C1831" s="38"/>
      <c r="D1831" s="38"/>
      <c r="E1831" s="177"/>
      <c r="F1831" s="177"/>
      <c r="G1831" s="269"/>
      <c r="H1831" s="179"/>
      <c r="I1831" s="177"/>
      <c r="J1831" s="177"/>
      <c r="K1831" s="177"/>
      <c r="L1831" s="177"/>
      <c r="M1831" s="177"/>
      <c r="N1831" s="70"/>
      <c r="O1831" s="38"/>
      <c r="P1831" s="38"/>
      <c r="Q1831" s="760"/>
      <c r="R1831" s="590"/>
      <c r="S1831" s="38"/>
      <c r="T1831" s="38"/>
      <c r="U1831" s="38"/>
      <c r="V1831" s="37"/>
      <c r="W1831" s="39">
        <f>IF(AC1831="Intr",0,G1831*Definitions!$B$53)</f>
        <v>0</v>
      </c>
      <c r="X1831" s="39">
        <f>IF(AC1831="Intr",0,G1831*Definitions!$B$54)</f>
        <v>0</v>
      </c>
      <c r="Y1831" s="39">
        <f>IF(AC1831="Intr",G1831,G1831*Definitions!$B$55)</f>
        <v>0</v>
      </c>
      <c r="Z1831" s="39"/>
      <c r="AA1831" s="39"/>
      <c r="AB1831" s="39"/>
      <c r="AC1831" s="38"/>
      <c r="AD1831" s="38"/>
      <c r="AE1831" s="38"/>
      <c r="AF1831" s="38"/>
      <c r="AG1831" s="40"/>
      <c r="AH1831" s="38"/>
    </row>
    <row r="1832" spans="1:34" x14ac:dyDescent="0.2">
      <c r="A1832" s="38"/>
      <c r="B1832" s="38"/>
      <c r="C1832" s="38"/>
      <c r="D1832" s="38"/>
      <c r="E1832" s="177"/>
      <c r="F1832" s="177"/>
      <c r="G1832" s="269"/>
      <c r="H1832" s="179"/>
      <c r="I1832" s="177"/>
      <c r="J1832" s="177"/>
      <c r="K1832" s="177"/>
      <c r="L1832" s="177"/>
      <c r="M1832" s="177"/>
      <c r="N1832" s="70"/>
      <c r="O1832" s="38"/>
      <c r="P1832" s="38"/>
      <c r="Q1832" s="760"/>
      <c r="R1832" s="590"/>
      <c r="S1832" s="38"/>
      <c r="T1832" s="38"/>
      <c r="U1832" s="38"/>
      <c r="V1832" s="37"/>
      <c r="W1832" s="39">
        <f>IF(AC1832="Intr",0,G1832*Definitions!$B$53)</f>
        <v>0</v>
      </c>
      <c r="X1832" s="39">
        <f>IF(AC1832="Intr",0,G1832*Definitions!$B$54)</f>
        <v>0</v>
      </c>
      <c r="Y1832" s="39">
        <f>IF(AC1832="Intr",G1832,G1832*Definitions!$B$55)</f>
        <v>0</v>
      </c>
      <c r="Z1832" s="39"/>
      <c r="AA1832" s="39"/>
      <c r="AB1832" s="39"/>
      <c r="AC1832" s="38"/>
      <c r="AD1832" s="38"/>
      <c r="AE1832" s="38"/>
      <c r="AF1832" s="38"/>
      <c r="AG1832" s="40"/>
      <c r="AH1832" s="38"/>
    </row>
    <row r="1833" spans="1:34" x14ac:dyDescent="0.2">
      <c r="A1833" s="38"/>
      <c r="B1833" s="38"/>
      <c r="C1833" s="38"/>
      <c r="D1833" s="38"/>
      <c r="E1833" s="177"/>
      <c r="F1833" s="177"/>
      <c r="G1833" s="269"/>
      <c r="H1833" s="179"/>
      <c r="I1833" s="177"/>
      <c r="J1833" s="177"/>
      <c r="K1833" s="177"/>
      <c r="L1833" s="177"/>
      <c r="M1833" s="177"/>
      <c r="N1833" s="70"/>
      <c r="O1833" s="38"/>
      <c r="P1833" s="38"/>
      <c r="Q1833" s="760"/>
      <c r="R1833" s="590"/>
      <c r="S1833" s="38"/>
      <c r="T1833" s="38"/>
      <c r="U1833" s="38"/>
      <c r="V1833" s="37"/>
      <c r="W1833" s="39">
        <f>IF(AC1833="Intr",0,G1833*Definitions!$B$53)</f>
        <v>0</v>
      </c>
      <c r="X1833" s="39">
        <f>IF(AC1833="Intr",0,G1833*Definitions!$B$54)</f>
        <v>0</v>
      </c>
      <c r="Y1833" s="39">
        <f>IF(AC1833="Intr",G1833,G1833*Definitions!$B$55)</f>
        <v>0</v>
      </c>
      <c r="Z1833" s="39"/>
      <c r="AA1833" s="39"/>
      <c r="AB1833" s="39"/>
      <c r="AC1833" s="38"/>
      <c r="AD1833" s="38"/>
      <c r="AE1833" s="38"/>
      <c r="AF1833" s="38"/>
      <c r="AG1833" s="40"/>
      <c r="AH1833" s="38"/>
    </row>
    <row r="1834" spans="1:34" x14ac:dyDescent="0.2">
      <c r="A1834" s="38"/>
      <c r="B1834" s="38"/>
      <c r="C1834" s="38"/>
      <c r="D1834" s="38"/>
      <c r="E1834" s="177"/>
      <c r="F1834" s="177"/>
      <c r="G1834" s="269"/>
      <c r="H1834" s="179"/>
      <c r="I1834" s="177"/>
      <c r="J1834" s="177"/>
      <c r="K1834" s="177"/>
      <c r="L1834" s="177"/>
      <c r="M1834" s="177"/>
      <c r="N1834" s="70"/>
      <c r="O1834" s="38"/>
      <c r="P1834" s="38"/>
      <c r="Q1834" s="760"/>
      <c r="R1834" s="590"/>
      <c r="S1834" s="38"/>
      <c r="T1834" s="38"/>
      <c r="U1834" s="38"/>
      <c r="V1834" s="37"/>
      <c r="W1834" s="39">
        <f>IF(AC1834="Intr",0,G1834*Definitions!$B$53)</f>
        <v>0</v>
      </c>
      <c r="X1834" s="39">
        <f>IF(AC1834="Intr",0,G1834*Definitions!$B$54)</f>
        <v>0</v>
      </c>
      <c r="Y1834" s="39">
        <f>IF(AC1834="Intr",G1834,G1834*Definitions!$B$55)</f>
        <v>0</v>
      </c>
      <c r="Z1834" s="39"/>
      <c r="AA1834" s="39"/>
      <c r="AB1834" s="39"/>
      <c r="AC1834" s="38"/>
      <c r="AD1834" s="38"/>
      <c r="AE1834" s="38"/>
      <c r="AF1834" s="38"/>
      <c r="AG1834" s="40"/>
      <c r="AH1834" s="38"/>
    </row>
    <row r="1835" spans="1:34" x14ac:dyDescent="0.2">
      <c r="A1835" s="38"/>
      <c r="B1835" s="38"/>
      <c r="C1835" s="38"/>
      <c r="D1835" s="38"/>
      <c r="E1835" s="177"/>
      <c r="F1835" s="177"/>
      <c r="G1835" s="269"/>
      <c r="H1835" s="179"/>
      <c r="I1835" s="177"/>
      <c r="J1835" s="177"/>
      <c r="K1835" s="177"/>
      <c r="L1835" s="177"/>
      <c r="M1835" s="177"/>
      <c r="N1835" s="70"/>
      <c r="O1835" s="38"/>
      <c r="P1835" s="38"/>
      <c r="Q1835" s="760"/>
      <c r="R1835" s="590"/>
      <c r="S1835" s="38"/>
      <c r="T1835" s="38"/>
      <c r="U1835" s="38"/>
      <c r="V1835" s="37"/>
      <c r="W1835" s="39">
        <f>IF(AC1835="Intr",0,G1835*Definitions!$B$53)</f>
        <v>0</v>
      </c>
      <c r="X1835" s="39">
        <f>IF(AC1835="Intr",0,G1835*Definitions!$B$54)</f>
        <v>0</v>
      </c>
      <c r="Y1835" s="39">
        <f>IF(AC1835="Intr",G1835,G1835*Definitions!$B$55)</f>
        <v>0</v>
      </c>
      <c r="Z1835" s="39"/>
      <c r="AA1835" s="39"/>
      <c r="AB1835" s="39"/>
      <c r="AC1835" s="38"/>
      <c r="AD1835" s="38"/>
      <c r="AE1835" s="38"/>
      <c r="AF1835" s="38"/>
      <c r="AG1835" s="40"/>
      <c r="AH1835" s="38"/>
    </row>
    <row r="1836" spans="1:34" x14ac:dyDescent="0.2">
      <c r="A1836" s="38"/>
      <c r="B1836" s="38"/>
      <c r="C1836" s="38"/>
      <c r="D1836" s="38"/>
      <c r="E1836" s="177"/>
      <c r="F1836" s="177"/>
      <c r="G1836" s="269"/>
      <c r="H1836" s="179"/>
      <c r="I1836" s="177"/>
      <c r="J1836" s="177"/>
      <c r="K1836" s="177"/>
      <c r="L1836" s="177"/>
      <c r="M1836" s="177"/>
      <c r="N1836" s="70"/>
      <c r="O1836" s="38"/>
      <c r="P1836" s="38"/>
      <c r="Q1836" s="760"/>
      <c r="R1836" s="590"/>
      <c r="S1836" s="38"/>
      <c r="T1836" s="38"/>
      <c r="U1836" s="38"/>
      <c r="V1836" s="37"/>
      <c r="W1836" s="39">
        <f>IF(AC1836="Intr",0,G1836*Definitions!$B$53)</f>
        <v>0</v>
      </c>
      <c r="X1836" s="39">
        <f>IF(AC1836="Intr",0,G1836*Definitions!$B$54)</f>
        <v>0</v>
      </c>
      <c r="Y1836" s="39">
        <f>IF(AC1836="Intr",G1836,G1836*Definitions!$B$55)</f>
        <v>0</v>
      </c>
      <c r="Z1836" s="39"/>
      <c r="AA1836" s="39"/>
      <c r="AB1836" s="39"/>
      <c r="AC1836" s="38"/>
      <c r="AD1836" s="38"/>
      <c r="AE1836" s="38"/>
      <c r="AF1836" s="38"/>
      <c r="AG1836" s="40"/>
      <c r="AH1836" s="38"/>
    </row>
    <row r="1837" spans="1:34" x14ac:dyDescent="0.2">
      <c r="A1837" s="38"/>
      <c r="B1837" s="38"/>
      <c r="C1837" s="38"/>
      <c r="D1837" s="38"/>
      <c r="E1837" s="177"/>
      <c r="F1837" s="177"/>
      <c r="G1837" s="269"/>
      <c r="H1837" s="179"/>
      <c r="I1837" s="177"/>
      <c r="J1837" s="177"/>
      <c r="K1837" s="177"/>
      <c r="L1837" s="177"/>
      <c r="M1837" s="177"/>
      <c r="N1837" s="70"/>
      <c r="O1837" s="38"/>
      <c r="P1837" s="38"/>
      <c r="Q1837" s="760"/>
      <c r="R1837" s="590"/>
      <c r="S1837" s="38"/>
      <c r="T1837" s="38"/>
      <c r="U1837" s="38"/>
      <c r="V1837" s="37"/>
      <c r="W1837" s="39">
        <f>IF(AC1837="Intr",0,G1837*Definitions!$B$53)</f>
        <v>0</v>
      </c>
      <c r="X1837" s="39">
        <f>IF(AC1837="Intr",0,G1837*Definitions!$B$54)</f>
        <v>0</v>
      </c>
      <c r="Y1837" s="39">
        <f>IF(AC1837="Intr",G1837,G1837*Definitions!$B$55)</f>
        <v>0</v>
      </c>
      <c r="Z1837" s="39"/>
      <c r="AA1837" s="39"/>
      <c r="AB1837" s="39"/>
      <c r="AC1837" s="38"/>
      <c r="AD1837" s="38"/>
      <c r="AE1837" s="38"/>
      <c r="AF1837" s="38"/>
      <c r="AG1837" s="40"/>
      <c r="AH1837" s="38"/>
    </row>
    <row r="1838" spans="1:34" x14ac:dyDescent="0.2">
      <c r="A1838" s="38"/>
      <c r="B1838" s="38"/>
      <c r="C1838" s="38"/>
      <c r="D1838" s="38"/>
      <c r="E1838" s="177"/>
      <c r="F1838" s="177"/>
      <c r="G1838" s="269"/>
      <c r="H1838" s="179"/>
      <c r="I1838" s="177"/>
      <c r="J1838" s="177"/>
      <c r="K1838" s="177"/>
      <c r="L1838" s="177"/>
      <c r="M1838" s="177"/>
      <c r="N1838" s="70"/>
      <c r="O1838" s="38"/>
      <c r="P1838" s="38"/>
      <c r="Q1838" s="760"/>
      <c r="R1838" s="590"/>
      <c r="S1838" s="38"/>
      <c r="T1838" s="38"/>
      <c r="U1838" s="38"/>
      <c r="V1838" s="37"/>
      <c r="W1838" s="39">
        <f>IF(AC1838="Intr",0,G1838*Definitions!$B$53)</f>
        <v>0</v>
      </c>
      <c r="X1838" s="39">
        <f>IF(AC1838="Intr",0,G1838*Definitions!$B$54)</f>
        <v>0</v>
      </c>
      <c r="Y1838" s="39">
        <f>IF(AC1838="Intr",G1838,G1838*Definitions!$B$55)</f>
        <v>0</v>
      </c>
      <c r="Z1838" s="39"/>
      <c r="AA1838" s="39"/>
      <c r="AB1838" s="39"/>
      <c r="AC1838" s="38"/>
      <c r="AD1838" s="38"/>
      <c r="AE1838" s="38"/>
      <c r="AF1838" s="38"/>
      <c r="AG1838" s="40"/>
      <c r="AH1838" s="38"/>
    </row>
    <row r="1839" spans="1:34" x14ac:dyDescent="0.2">
      <c r="A1839" s="38"/>
      <c r="B1839" s="38"/>
      <c r="C1839" s="38"/>
      <c r="D1839" s="38"/>
      <c r="E1839" s="177"/>
      <c r="F1839" s="177"/>
      <c r="G1839" s="269"/>
      <c r="H1839" s="179"/>
      <c r="I1839" s="177"/>
      <c r="J1839" s="177"/>
      <c r="K1839" s="177"/>
      <c r="L1839" s="177"/>
      <c r="M1839" s="177"/>
      <c r="N1839" s="70"/>
      <c r="O1839" s="38"/>
      <c r="P1839" s="38"/>
      <c r="Q1839" s="760"/>
      <c r="R1839" s="590"/>
      <c r="S1839" s="38"/>
      <c r="T1839" s="38"/>
      <c r="U1839" s="38"/>
      <c r="V1839" s="37"/>
      <c r="W1839" s="39">
        <f>IF(AC1839="Intr",0,G1839*Definitions!$B$53)</f>
        <v>0</v>
      </c>
      <c r="X1839" s="39">
        <f>IF(AC1839="Intr",0,G1839*Definitions!$B$54)</f>
        <v>0</v>
      </c>
      <c r="Y1839" s="39">
        <f>IF(AC1839="Intr",G1839,G1839*Definitions!$B$55)</f>
        <v>0</v>
      </c>
      <c r="Z1839" s="39"/>
      <c r="AA1839" s="39"/>
      <c r="AB1839" s="39"/>
      <c r="AC1839" s="38"/>
      <c r="AD1839" s="38"/>
      <c r="AE1839" s="38"/>
      <c r="AF1839" s="38"/>
      <c r="AG1839" s="40"/>
      <c r="AH1839" s="38"/>
    </row>
    <row r="1840" spans="1:34" x14ac:dyDescent="0.2">
      <c r="A1840" s="38"/>
      <c r="B1840" s="38"/>
      <c r="C1840" s="38"/>
      <c r="D1840" s="38"/>
      <c r="E1840" s="177"/>
      <c r="F1840" s="177"/>
      <c r="G1840" s="269"/>
      <c r="H1840" s="179"/>
      <c r="I1840" s="177"/>
      <c r="J1840" s="177"/>
      <c r="K1840" s="177"/>
      <c r="L1840" s="177"/>
      <c r="M1840" s="177"/>
      <c r="N1840" s="70"/>
      <c r="O1840" s="38"/>
      <c r="P1840" s="38"/>
      <c r="Q1840" s="760"/>
      <c r="R1840" s="590"/>
      <c r="S1840" s="38"/>
      <c r="T1840" s="38"/>
      <c r="U1840" s="38"/>
      <c r="V1840" s="37"/>
      <c r="W1840" s="39">
        <f>IF(AC1840="Intr",0,G1840*Definitions!$B$53)</f>
        <v>0</v>
      </c>
      <c r="X1840" s="39">
        <f>IF(AC1840="Intr",0,G1840*Definitions!$B$54)</f>
        <v>0</v>
      </c>
      <c r="Y1840" s="39">
        <f>IF(AC1840="Intr",G1840,G1840*Definitions!$B$55)</f>
        <v>0</v>
      </c>
      <c r="Z1840" s="39"/>
      <c r="AA1840" s="39"/>
      <c r="AB1840" s="39"/>
      <c r="AC1840" s="38"/>
      <c r="AD1840" s="38"/>
      <c r="AE1840" s="38"/>
      <c r="AF1840" s="38"/>
      <c r="AG1840" s="40"/>
      <c r="AH1840" s="38"/>
    </row>
    <row r="1841" spans="1:34" x14ac:dyDescent="0.2">
      <c r="A1841" s="38"/>
      <c r="B1841" s="38"/>
      <c r="C1841" s="38"/>
      <c r="D1841" s="38"/>
      <c r="E1841" s="177"/>
      <c r="F1841" s="177"/>
      <c r="G1841" s="269"/>
      <c r="H1841" s="179"/>
      <c r="I1841" s="177"/>
      <c r="J1841" s="177"/>
      <c r="K1841" s="177"/>
      <c r="L1841" s="177"/>
      <c r="M1841" s="177"/>
      <c r="N1841" s="70"/>
      <c r="O1841" s="38"/>
      <c r="P1841" s="38"/>
      <c r="Q1841" s="760"/>
      <c r="R1841" s="590"/>
      <c r="S1841" s="38"/>
      <c r="T1841" s="38"/>
      <c r="U1841" s="38"/>
      <c r="V1841" s="37"/>
      <c r="W1841" s="39">
        <f>IF(AC1841="Intr",0,G1841*Definitions!$B$53)</f>
        <v>0</v>
      </c>
      <c r="X1841" s="39">
        <f>IF(AC1841="Intr",0,G1841*Definitions!$B$54)</f>
        <v>0</v>
      </c>
      <c r="Y1841" s="39">
        <f>IF(AC1841="Intr",G1841,G1841*Definitions!$B$55)</f>
        <v>0</v>
      </c>
      <c r="Z1841" s="39"/>
      <c r="AA1841" s="39"/>
      <c r="AB1841" s="39"/>
      <c r="AC1841" s="38"/>
      <c r="AD1841" s="38"/>
      <c r="AE1841" s="38"/>
      <c r="AF1841" s="38"/>
      <c r="AG1841" s="40"/>
      <c r="AH1841" s="38"/>
    </row>
    <row r="1842" spans="1:34" x14ac:dyDescent="0.2">
      <c r="A1842" s="38"/>
      <c r="B1842" s="38"/>
      <c r="C1842" s="38"/>
      <c r="D1842" s="38"/>
      <c r="E1842" s="177"/>
      <c r="F1842" s="177"/>
      <c r="G1842" s="269"/>
      <c r="H1842" s="179"/>
      <c r="I1842" s="177"/>
      <c r="J1842" s="177"/>
      <c r="K1842" s="177"/>
      <c r="L1842" s="177"/>
      <c r="M1842" s="177"/>
      <c r="N1842" s="70"/>
      <c r="O1842" s="38"/>
      <c r="P1842" s="38"/>
      <c r="Q1842" s="760"/>
      <c r="R1842" s="590"/>
      <c r="S1842" s="38"/>
      <c r="T1842" s="38"/>
      <c r="U1842" s="38"/>
      <c r="V1842" s="37"/>
      <c r="W1842" s="39">
        <f>IF(AC1842="Intr",0,G1842*Definitions!$B$53)</f>
        <v>0</v>
      </c>
      <c r="X1842" s="39">
        <f>IF(AC1842="Intr",0,G1842*Definitions!$B$54)</f>
        <v>0</v>
      </c>
      <c r="Y1842" s="39">
        <f>IF(AC1842="Intr",G1842,G1842*Definitions!$B$55)</f>
        <v>0</v>
      </c>
      <c r="Z1842" s="39"/>
      <c r="AA1842" s="39"/>
      <c r="AB1842" s="39"/>
      <c r="AC1842" s="38"/>
      <c r="AD1842" s="38"/>
      <c r="AE1842" s="38"/>
      <c r="AF1842" s="38"/>
      <c r="AG1842" s="40"/>
      <c r="AH1842" s="38"/>
    </row>
    <row r="1843" spans="1:34" x14ac:dyDescent="0.2">
      <c r="A1843" s="38"/>
      <c r="B1843" s="38"/>
      <c r="C1843" s="38"/>
      <c r="D1843" s="38"/>
      <c r="E1843" s="177"/>
      <c r="F1843" s="177"/>
      <c r="G1843" s="269"/>
      <c r="H1843" s="179"/>
      <c r="I1843" s="177"/>
      <c r="J1843" s="177"/>
      <c r="K1843" s="177"/>
      <c r="L1843" s="177"/>
      <c r="M1843" s="177"/>
      <c r="N1843" s="70"/>
      <c r="O1843" s="38"/>
      <c r="P1843" s="38"/>
      <c r="Q1843" s="760"/>
      <c r="R1843" s="590"/>
      <c r="S1843" s="38"/>
      <c r="T1843" s="38"/>
      <c r="U1843" s="38"/>
      <c r="V1843" s="37"/>
      <c r="W1843" s="39">
        <f>IF(AC1843="Intr",0,G1843*Definitions!$B$53)</f>
        <v>0</v>
      </c>
      <c r="X1843" s="39">
        <f>IF(AC1843="Intr",0,G1843*Definitions!$B$54)</f>
        <v>0</v>
      </c>
      <c r="Y1843" s="39">
        <f>IF(AC1843="Intr",G1843,G1843*Definitions!$B$55)</f>
        <v>0</v>
      </c>
      <c r="Z1843" s="39"/>
      <c r="AA1843" s="39"/>
      <c r="AB1843" s="39"/>
      <c r="AC1843" s="38"/>
      <c r="AD1843" s="38"/>
      <c r="AE1843" s="38"/>
      <c r="AF1843" s="38"/>
      <c r="AG1843" s="40"/>
      <c r="AH1843" s="38"/>
    </row>
    <row r="1844" spans="1:34" x14ac:dyDescent="0.2">
      <c r="A1844" s="38"/>
      <c r="B1844" s="38"/>
      <c r="C1844" s="38"/>
      <c r="D1844" s="38"/>
      <c r="E1844" s="177"/>
      <c r="F1844" s="177"/>
      <c r="G1844" s="269"/>
      <c r="H1844" s="179"/>
      <c r="I1844" s="177"/>
      <c r="J1844" s="177"/>
      <c r="K1844" s="177"/>
      <c r="L1844" s="177"/>
      <c r="M1844" s="177"/>
      <c r="N1844" s="70"/>
      <c r="O1844" s="38"/>
      <c r="P1844" s="38"/>
      <c r="Q1844" s="760"/>
      <c r="R1844" s="590"/>
      <c r="S1844" s="38"/>
      <c r="T1844" s="38"/>
      <c r="U1844" s="38"/>
      <c r="V1844" s="37"/>
      <c r="W1844" s="39">
        <f>IF(AC1844="Intr",0,G1844*Definitions!$B$53)</f>
        <v>0</v>
      </c>
      <c r="X1844" s="39">
        <f>IF(AC1844="Intr",0,G1844*Definitions!$B$54)</f>
        <v>0</v>
      </c>
      <c r="Y1844" s="39">
        <f>IF(AC1844="Intr",G1844,G1844*Definitions!$B$55)</f>
        <v>0</v>
      </c>
      <c r="Z1844" s="39"/>
      <c r="AA1844" s="39"/>
      <c r="AB1844" s="39"/>
      <c r="AC1844" s="38"/>
      <c r="AD1844" s="38"/>
      <c r="AE1844" s="38"/>
      <c r="AF1844" s="38"/>
      <c r="AG1844" s="40"/>
      <c r="AH1844" s="38"/>
    </row>
    <row r="1845" spans="1:34" x14ac:dyDescent="0.2">
      <c r="A1845" s="38"/>
      <c r="B1845" s="38"/>
      <c r="C1845" s="38"/>
      <c r="D1845" s="38"/>
      <c r="E1845" s="177"/>
      <c r="F1845" s="177"/>
      <c r="G1845" s="269"/>
      <c r="H1845" s="179"/>
      <c r="I1845" s="177"/>
      <c r="J1845" s="177"/>
      <c r="K1845" s="177"/>
      <c r="L1845" s="177"/>
      <c r="M1845" s="177"/>
      <c r="N1845" s="70"/>
      <c r="O1845" s="38"/>
      <c r="P1845" s="38"/>
      <c r="Q1845" s="760"/>
      <c r="R1845" s="590"/>
      <c r="S1845" s="38"/>
      <c r="T1845" s="38"/>
      <c r="U1845" s="38"/>
      <c r="V1845" s="37"/>
      <c r="W1845" s="39">
        <f>IF(AC1845="Intr",0,G1845*Definitions!$B$53)</f>
        <v>0</v>
      </c>
      <c r="X1845" s="39">
        <f>IF(AC1845="Intr",0,G1845*Definitions!$B$54)</f>
        <v>0</v>
      </c>
      <c r="Y1845" s="39">
        <f>IF(AC1845="Intr",G1845,G1845*Definitions!$B$55)</f>
        <v>0</v>
      </c>
      <c r="Z1845" s="39"/>
      <c r="AA1845" s="39"/>
      <c r="AB1845" s="39"/>
      <c r="AC1845" s="38"/>
      <c r="AD1845" s="38"/>
      <c r="AE1845" s="38"/>
      <c r="AF1845" s="38"/>
      <c r="AG1845" s="40"/>
      <c r="AH1845" s="38"/>
    </row>
    <row r="1846" spans="1:34" x14ac:dyDescent="0.2">
      <c r="A1846" s="38"/>
      <c r="B1846" s="38"/>
      <c r="C1846" s="38"/>
      <c r="D1846" s="38"/>
      <c r="E1846" s="177"/>
      <c r="F1846" s="177"/>
      <c r="G1846" s="269"/>
      <c r="H1846" s="179"/>
      <c r="I1846" s="177"/>
      <c r="J1846" s="177"/>
      <c r="K1846" s="177"/>
      <c r="L1846" s="177"/>
      <c r="M1846" s="177"/>
      <c r="N1846" s="70"/>
      <c r="O1846" s="38"/>
      <c r="P1846" s="38"/>
      <c r="Q1846" s="760"/>
      <c r="R1846" s="590"/>
      <c r="S1846" s="38"/>
      <c r="T1846" s="38"/>
      <c r="U1846" s="38"/>
      <c r="V1846" s="37"/>
      <c r="W1846" s="39">
        <f>IF(AC1846="Intr",0,G1846*Definitions!$B$53)</f>
        <v>0</v>
      </c>
      <c r="X1846" s="39">
        <f>IF(AC1846="Intr",0,G1846*Definitions!$B$54)</f>
        <v>0</v>
      </c>
      <c r="Y1846" s="39">
        <f>IF(AC1846="Intr",G1846,G1846*Definitions!$B$55)</f>
        <v>0</v>
      </c>
      <c r="Z1846" s="39"/>
      <c r="AA1846" s="39"/>
      <c r="AB1846" s="39"/>
      <c r="AC1846" s="38"/>
      <c r="AD1846" s="38"/>
      <c r="AE1846" s="38"/>
      <c r="AF1846" s="38"/>
      <c r="AG1846" s="40"/>
      <c r="AH1846" s="38"/>
    </row>
    <row r="1847" spans="1:34" x14ac:dyDescent="0.2">
      <c r="A1847" s="38"/>
      <c r="B1847" s="38"/>
      <c r="C1847" s="38"/>
      <c r="D1847" s="38"/>
      <c r="E1847" s="177"/>
      <c r="F1847" s="177"/>
      <c r="G1847" s="269"/>
      <c r="H1847" s="179"/>
      <c r="I1847" s="177"/>
      <c r="J1847" s="177"/>
      <c r="K1847" s="177"/>
      <c r="L1847" s="177"/>
      <c r="M1847" s="177"/>
      <c r="N1847" s="70"/>
      <c r="O1847" s="38"/>
      <c r="P1847" s="38"/>
      <c r="Q1847" s="760"/>
      <c r="R1847" s="590"/>
      <c r="S1847" s="38"/>
      <c r="T1847" s="38"/>
      <c r="U1847" s="38"/>
      <c r="V1847" s="37"/>
      <c r="W1847" s="39">
        <f>IF(AC1847="Intr",0,G1847*Definitions!$B$53)</f>
        <v>0</v>
      </c>
      <c r="X1847" s="39">
        <f>IF(AC1847="Intr",0,G1847*Definitions!$B$54)</f>
        <v>0</v>
      </c>
      <c r="Y1847" s="39">
        <f>IF(AC1847="Intr",G1847,G1847*Definitions!$B$55)</f>
        <v>0</v>
      </c>
      <c r="Z1847" s="39"/>
      <c r="AA1847" s="39"/>
      <c r="AB1847" s="39"/>
      <c r="AC1847" s="38"/>
      <c r="AD1847" s="38"/>
      <c r="AE1847" s="38"/>
      <c r="AF1847" s="38"/>
      <c r="AG1847" s="40"/>
      <c r="AH1847" s="38"/>
    </row>
    <row r="1848" spans="1:34" x14ac:dyDescent="0.2">
      <c r="A1848" s="38"/>
      <c r="B1848" s="38"/>
      <c r="C1848" s="38"/>
      <c r="D1848" s="38"/>
      <c r="E1848" s="177"/>
      <c r="F1848" s="177"/>
      <c r="G1848" s="269"/>
      <c r="H1848" s="179"/>
      <c r="I1848" s="177"/>
      <c r="J1848" s="177"/>
      <c r="K1848" s="177"/>
      <c r="L1848" s="177"/>
      <c r="M1848" s="177"/>
      <c r="N1848" s="70"/>
      <c r="O1848" s="38"/>
      <c r="P1848" s="38"/>
      <c r="Q1848" s="760"/>
      <c r="R1848" s="590"/>
      <c r="S1848" s="38"/>
      <c r="T1848" s="38"/>
      <c r="U1848" s="38"/>
      <c r="V1848" s="37"/>
      <c r="W1848" s="39">
        <f>IF(AC1848="Intr",0,G1848*Definitions!$B$53)</f>
        <v>0</v>
      </c>
      <c r="X1848" s="39">
        <f>IF(AC1848="Intr",0,G1848*Definitions!$B$54)</f>
        <v>0</v>
      </c>
      <c r="Y1848" s="39">
        <f>IF(AC1848="Intr",G1848,G1848*Definitions!$B$55)</f>
        <v>0</v>
      </c>
      <c r="Z1848" s="39"/>
      <c r="AA1848" s="39"/>
      <c r="AB1848" s="39"/>
      <c r="AC1848" s="38"/>
      <c r="AD1848" s="38"/>
      <c r="AE1848" s="38"/>
      <c r="AF1848" s="38"/>
      <c r="AG1848" s="40"/>
      <c r="AH1848" s="38"/>
    </row>
    <row r="1849" spans="1:34" x14ac:dyDescent="0.2">
      <c r="A1849" s="38"/>
      <c r="B1849" s="38"/>
      <c r="C1849" s="38"/>
      <c r="D1849" s="38"/>
      <c r="E1849" s="177"/>
      <c r="F1849" s="177"/>
      <c r="G1849" s="269"/>
      <c r="H1849" s="179"/>
      <c r="I1849" s="177"/>
      <c r="J1849" s="177"/>
      <c r="K1849" s="177"/>
      <c r="L1849" s="177"/>
      <c r="M1849" s="177"/>
      <c r="N1849" s="70"/>
      <c r="O1849" s="38"/>
      <c r="P1849" s="38"/>
      <c r="Q1849" s="760"/>
      <c r="R1849" s="590"/>
      <c r="S1849" s="38"/>
      <c r="T1849" s="38"/>
      <c r="U1849" s="38"/>
      <c r="V1849" s="37"/>
      <c r="W1849" s="39">
        <f>IF(AC1849="Intr",0,G1849*Definitions!$B$53)</f>
        <v>0</v>
      </c>
      <c r="X1849" s="39">
        <f>IF(AC1849="Intr",0,G1849*Definitions!$B$54)</f>
        <v>0</v>
      </c>
      <c r="Y1849" s="39">
        <f>IF(AC1849="Intr",G1849,G1849*Definitions!$B$55)</f>
        <v>0</v>
      </c>
      <c r="Z1849" s="39"/>
      <c r="AA1849" s="39"/>
      <c r="AB1849" s="39"/>
      <c r="AC1849" s="38"/>
      <c r="AD1849" s="38"/>
      <c r="AE1849" s="38"/>
      <c r="AF1849" s="38"/>
      <c r="AG1849" s="40"/>
      <c r="AH1849" s="38"/>
    </row>
    <row r="1850" spans="1:34" x14ac:dyDescent="0.2">
      <c r="A1850" s="38"/>
      <c r="B1850" s="38"/>
      <c r="C1850" s="38"/>
      <c r="D1850" s="38"/>
      <c r="E1850" s="177"/>
      <c r="F1850" s="177"/>
      <c r="G1850" s="269"/>
      <c r="H1850" s="179"/>
      <c r="I1850" s="177"/>
      <c r="J1850" s="177"/>
      <c r="K1850" s="177"/>
      <c r="L1850" s="177"/>
      <c r="M1850" s="177"/>
      <c r="N1850" s="70"/>
      <c r="O1850" s="38"/>
      <c r="P1850" s="38"/>
      <c r="Q1850" s="760"/>
      <c r="R1850" s="590"/>
      <c r="S1850" s="38"/>
      <c r="T1850" s="38"/>
      <c r="U1850" s="38"/>
      <c r="V1850" s="37"/>
      <c r="W1850" s="39">
        <f>IF(AC1850="Intr",0,G1850*Definitions!$B$53)</f>
        <v>0</v>
      </c>
      <c r="X1850" s="39">
        <f>IF(AC1850="Intr",0,G1850*Definitions!$B$54)</f>
        <v>0</v>
      </c>
      <c r="Y1850" s="39">
        <f>IF(AC1850="Intr",G1850,G1850*Definitions!$B$55)</f>
        <v>0</v>
      </c>
      <c r="Z1850" s="39"/>
      <c r="AA1850" s="39"/>
      <c r="AB1850" s="39"/>
      <c r="AC1850" s="38"/>
      <c r="AD1850" s="38"/>
      <c r="AE1850" s="38"/>
      <c r="AF1850" s="38"/>
      <c r="AG1850" s="40"/>
      <c r="AH1850" s="38"/>
    </row>
    <row r="1851" spans="1:34" x14ac:dyDescent="0.2">
      <c r="A1851" s="38"/>
      <c r="B1851" s="38"/>
      <c r="C1851" s="38"/>
      <c r="D1851" s="38"/>
      <c r="E1851" s="177"/>
      <c r="F1851" s="177"/>
      <c r="G1851" s="269"/>
      <c r="H1851" s="179"/>
      <c r="I1851" s="177"/>
      <c r="J1851" s="177"/>
      <c r="K1851" s="177"/>
      <c r="L1851" s="177"/>
      <c r="M1851" s="177"/>
      <c r="N1851" s="70"/>
      <c r="O1851" s="38"/>
      <c r="P1851" s="38"/>
      <c r="Q1851" s="760"/>
      <c r="R1851" s="590"/>
      <c r="S1851" s="38"/>
      <c r="T1851" s="38"/>
      <c r="U1851" s="38"/>
      <c r="V1851" s="37"/>
      <c r="W1851" s="39">
        <f>IF(AC1851="Intr",0,G1851*Definitions!$B$53)</f>
        <v>0</v>
      </c>
      <c r="X1851" s="39">
        <f>IF(AC1851="Intr",0,G1851*Definitions!$B$54)</f>
        <v>0</v>
      </c>
      <c r="Y1851" s="39">
        <f>IF(AC1851="Intr",G1851,G1851*Definitions!$B$55)</f>
        <v>0</v>
      </c>
      <c r="Z1851" s="39"/>
      <c r="AA1851" s="39"/>
      <c r="AB1851" s="39"/>
      <c r="AC1851" s="38"/>
      <c r="AD1851" s="38"/>
      <c r="AE1851" s="38"/>
      <c r="AF1851" s="38"/>
      <c r="AG1851" s="40"/>
      <c r="AH1851" s="38"/>
    </row>
    <row r="1852" spans="1:34" x14ac:dyDescent="0.2">
      <c r="A1852" s="38"/>
      <c r="B1852" s="38"/>
      <c r="C1852" s="38"/>
      <c r="D1852" s="38"/>
      <c r="E1852" s="177"/>
      <c r="F1852" s="177"/>
      <c r="G1852" s="269"/>
      <c r="H1852" s="179"/>
      <c r="I1852" s="177"/>
      <c r="J1852" s="177"/>
      <c r="K1852" s="177"/>
      <c r="L1852" s="177"/>
      <c r="M1852" s="177"/>
      <c r="N1852" s="70"/>
      <c r="O1852" s="38"/>
      <c r="P1852" s="38"/>
      <c r="Q1852" s="760"/>
      <c r="R1852" s="590"/>
      <c r="S1852" s="38"/>
      <c r="T1852" s="38"/>
      <c r="U1852" s="38"/>
      <c r="V1852" s="37"/>
      <c r="W1852" s="39">
        <f>IF(AC1852="Intr",0,G1852*Definitions!$B$53)</f>
        <v>0</v>
      </c>
      <c r="X1852" s="39">
        <f>IF(AC1852="Intr",0,G1852*Definitions!$B$54)</f>
        <v>0</v>
      </c>
      <c r="Y1852" s="39">
        <f>IF(AC1852="Intr",G1852,G1852*Definitions!$B$55)</f>
        <v>0</v>
      </c>
      <c r="Z1852" s="39"/>
      <c r="AA1852" s="39"/>
      <c r="AB1852" s="39"/>
      <c r="AC1852" s="38"/>
      <c r="AD1852" s="38"/>
      <c r="AE1852" s="38"/>
      <c r="AF1852" s="38"/>
      <c r="AG1852" s="40"/>
      <c r="AH1852" s="38"/>
    </row>
    <row r="1853" spans="1:34" x14ac:dyDescent="0.2">
      <c r="A1853" s="38"/>
      <c r="B1853" s="38"/>
      <c r="C1853" s="38"/>
      <c r="D1853" s="38"/>
      <c r="E1853" s="177"/>
      <c r="F1853" s="177"/>
      <c r="G1853" s="269"/>
      <c r="H1853" s="179"/>
      <c r="I1853" s="177"/>
      <c r="J1853" s="177"/>
      <c r="K1853" s="177"/>
      <c r="L1853" s="177"/>
      <c r="M1853" s="177"/>
      <c r="N1853" s="70"/>
      <c r="O1853" s="38"/>
      <c r="P1853" s="38"/>
      <c r="Q1853" s="760"/>
      <c r="R1853" s="590"/>
      <c r="S1853" s="38"/>
      <c r="T1853" s="38"/>
      <c r="U1853" s="38"/>
      <c r="V1853" s="37"/>
      <c r="W1853" s="39">
        <f>IF(AC1853="Intr",0,G1853*Definitions!$B$53)</f>
        <v>0</v>
      </c>
      <c r="X1853" s="39">
        <f>IF(AC1853="Intr",0,G1853*Definitions!$B$54)</f>
        <v>0</v>
      </c>
      <c r="Y1853" s="39">
        <f>IF(AC1853="Intr",G1853,G1853*Definitions!$B$55)</f>
        <v>0</v>
      </c>
      <c r="Z1853" s="39"/>
      <c r="AA1853" s="39"/>
      <c r="AB1853" s="39"/>
      <c r="AC1853" s="38"/>
      <c r="AD1853" s="38"/>
      <c r="AE1853" s="38"/>
      <c r="AF1853" s="38"/>
      <c r="AG1853" s="40"/>
      <c r="AH1853" s="38"/>
    </row>
    <row r="1854" spans="1:34" x14ac:dyDescent="0.2">
      <c r="A1854" s="38"/>
      <c r="B1854" s="38"/>
      <c r="C1854" s="38"/>
      <c r="D1854" s="38"/>
      <c r="E1854" s="177"/>
      <c r="F1854" s="177"/>
      <c r="G1854" s="269"/>
      <c r="H1854" s="179"/>
      <c r="I1854" s="177"/>
      <c r="J1854" s="177"/>
      <c r="K1854" s="177"/>
      <c r="L1854" s="177"/>
      <c r="M1854" s="177"/>
      <c r="N1854" s="70"/>
      <c r="O1854" s="38"/>
      <c r="P1854" s="38"/>
      <c r="Q1854" s="760"/>
      <c r="R1854" s="590"/>
      <c r="S1854" s="38"/>
      <c r="T1854" s="38"/>
      <c r="U1854" s="38"/>
      <c r="V1854" s="37"/>
      <c r="W1854" s="39">
        <f>IF(AC1854="Intr",0,G1854*Definitions!$B$53)</f>
        <v>0</v>
      </c>
      <c r="X1854" s="39">
        <f>IF(AC1854="Intr",0,G1854*Definitions!$B$54)</f>
        <v>0</v>
      </c>
      <c r="Y1854" s="39">
        <f>IF(AC1854="Intr",G1854,G1854*Definitions!$B$55)</f>
        <v>0</v>
      </c>
      <c r="Z1854" s="39"/>
      <c r="AA1854" s="39"/>
      <c r="AB1854" s="39"/>
      <c r="AC1854" s="38"/>
      <c r="AD1854" s="38"/>
      <c r="AE1854" s="38"/>
      <c r="AF1854" s="38"/>
      <c r="AG1854" s="40"/>
      <c r="AH1854" s="38"/>
    </row>
    <row r="1855" spans="1:34" x14ac:dyDescent="0.2">
      <c r="A1855" s="38"/>
      <c r="B1855" s="38"/>
      <c r="C1855" s="38"/>
      <c r="D1855" s="38"/>
      <c r="E1855" s="177"/>
      <c r="F1855" s="177"/>
      <c r="G1855" s="269"/>
      <c r="H1855" s="179"/>
      <c r="I1855" s="177"/>
      <c r="J1855" s="177"/>
      <c r="K1855" s="177"/>
      <c r="L1855" s="177"/>
      <c r="M1855" s="177"/>
      <c r="N1855" s="70"/>
      <c r="O1855" s="38"/>
      <c r="P1855" s="38"/>
      <c r="Q1855" s="760"/>
      <c r="R1855" s="590"/>
      <c r="S1855" s="38"/>
      <c r="T1855" s="38"/>
      <c r="U1855" s="38"/>
      <c r="V1855" s="37"/>
      <c r="W1855" s="39">
        <f>IF(AC1855="Intr",0,G1855*Definitions!$B$53)</f>
        <v>0</v>
      </c>
      <c r="X1855" s="39">
        <f>IF(AC1855="Intr",0,G1855*Definitions!$B$54)</f>
        <v>0</v>
      </c>
      <c r="Y1855" s="39">
        <f>IF(AC1855="Intr",G1855,G1855*Definitions!$B$55)</f>
        <v>0</v>
      </c>
      <c r="Z1855" s="39"/>
      <c r="AA1855" s="39"/>
      <c r="AB1855" s="39"/>
      <c r="AC1855" s="38"/>
      <c r="AD1855" s="38"/>
      <c r="AE1855" s="38"/>
      <c r="AF1855" s="38"/>
      <c r="AG1855" s="40"/>
      <c r="AH1855" s="38"/>
    </row>
    <row r="1856" spans="1:34" x14ac:dyDescent="0.2">
      <c r="A1856" s="38"/>
      <c r="B1856" s="38"/>
      <c r="C1856" s="38"/>
      <c r="D1856" s="38"/>
      <c r="E1856" s="177"/>
      <c r="F1856" s="177"/>
      <c r="G1856" s="269"/>
      <c r="H1856" s="179"/>
      <c r="I1856" s="177"/>
      <c r="J1856" s="177"/>
      <c r="K1856" s="177"/>
      <c r="L1856" s="177"/>
      <c r="M1856" s="177"/>
      <c r="N1856" s="70"/>
      <c r="O1856" s="38"/>
      <c r="P1856" s="38"/>
      <c r="Q1856" s="760"/>
      <c r="R1856" s="590"/>
      <c r="S1856" s="38"/>
      <c r="T1856" s="38"/>
      <c r="U1856" s="38"/>
      <c r="V1856" s="37"/>
      <c r="W1856" s="39">
        <f>IF(AC1856="Intr",0,G1856*Definitions!$B$53)</f>
        <v>0</v>
      </c>
      <c r="X1856" s="39">
        <f>IF(AC1856="Intr",0,G1856*Definitions!$B$54)</f>
        <v>0</v>
      </c>
      <c r="Y1856" s="39">
        <f>IF(AC1856="Intr",G1856,G1856*Definitions!$B$55)</f>
        <v>0</v>
      </c>
      <c r="Z1856" s="39"/>
      <c r="AA1856" s="39"/>
      <c r="AB1856" s="39"/>
      <c r="AC1856" s="38"/>
      <c r="AD1856" s="38"/>
      <c r="AE1856" s="38"/>
      <c r="AF1856" s="38"/>
      <c r="AG1856" s="40"/>
      <c r="AH1856" s="38"/>
    </row>
    <row r="1857" spans="1:34" x14ac:dyDescent="0.2">
      <c r="A1857" s="38"/>
      <c r="B1857" s="38"/>
      <c r="C1857" s="38"/>
      <c r="D1857" s="38"/>
      <c r="E1857" s="177"/>
      <c r="F1857" s="177"/>
      <c r="G1857" s="269"/>
      <c r="H1857" s="179"/>
      <c r="I1857" s="177"/>
      <c r="J1857" s="177"/>
      <c r="K1857" s="177"/>
      <c r="L1857" s="177"/>
      <c r="M1857" s="177"/>
      <c r="N1857" s="70"/>
      <c r="O1857" s="38"/>
      <c r="P1857" s="38"/>
      <c r="Q1857" s="760"/>
      <c r="R1857" s="590"/>
      <c r="S1857" s="38"/>
      <c r="T1857" s="38"/>
      <c r="U1857" s="38"/>
      <c r="V1857" s="37"/>
      <c r="W1857" s="39">
        <f>IF(AC1857="Intr",0,G1857*Definitions!$B$53)</f>
        <v>0</v>
      </c>
      <c r="X1857" s="39">
        <f>IF(AC1857="Intr",0,G1857*Definitions!$B$54)</f>
        <v>0</v>
      </c>
      <c r="Y1857" s="39">
        <f>IF(AC1857="Intr",G1857,G1857*Definitions!$B$55)</f>
        <v>0</v>
      </c>
      <c r="Z1857" s="39"/>
      <c r="AA1857" s="39"/>
      <c r="AB1857" s="39"/>
      <c r="AC1857" s="38"/>
      <c r="AD1857" s="38"/>
      <c r="AE1857" s="38"/>
      <c r="AF1857" s="38"/>
      <c r="AG1857" s="40"/>
      <c r="AH1857" s="38"/>
    </row>
    <row r="1858" spans="1:34" x14ac:dyDescent="0.2">
      <c r="A1858" s="38"/>
      <c r="B1858" s="38"/>
      <c r="C1858" s="38"/>
      <c r="D1858" s="38"/>
      <c r="E1858" s="177"/>
      <c r="F1858" s="177"/>
      <c r="G1858" s="269"/>
      <c r="H1858" s="179"/>
      <c r="I1858" s="177"/>
      <c r="J1858" s="177"/>
      <c r="K1858" s="177"/>
      <c r="L1858" s="177"/>
      <c r="M1858" s="177"/>
      <c r="N1858" s="70"/>
      <c r="O1858" s="38"/>
      <c r="P1858" s="38"/>
      <c r="Q1858" s="760"/>
      <c r="R1858" s="590"/>
      <c r="S1858" s="38"/>
      <c r="T1858" s="38"/>
      <c r="U1858" s="38"/>
      <c r="V1858" s="37"/>
      <c r="W1858" s="39">
        <f>IF(AC1858="Intr",0,G1858*Definitions!$B$53)</f>
        <v>0</v>
      </c>
      <c r="X1858" s="39">
        <f>IF(AC1858="Intr",0,G1858*Definitions!$B$54)</f>
        <v>0</v>
      </c>
      <c r="Y1858" s="39">
        <f>IF(AC1858="Intr",G1858,G1858*Definitions!$B$55)</f>
        <v>0</v>
      </c>
      <c r="Z1858" s="39"/>
      <c r="AA1858" s="39"/>
      <c r="AB1858" s="39"/>
      <c r="AC1858" s="38"/>
      <c r="AD1858" s="38"/>
      <c r="AE1858" s="38"/>
      <c r="AF1858" s="38"/>
      <c r="AG1858" s="40"/>
      <c r="AH1858" s="38"/>
    </row>
    <row r="1859" spans="1:34" x14ac:dyDescent="0.2">
      <c r="A1859" s="38"/>
      <c r="B1859" s="38"/>
      <c r="C1859" s="38"/>
      <c r="D1859" s="38"/>
      <c r="E1859" s="177"/>
      <c r="F1859" s="177"/>
      <c r="G1859" s="269"/>
      <c r="H1859" s="179"/>
      <c r="I1859" s="177"/>
      <c r="J1859" s="177"/>
      <c r="K1859" s="177"/>
      <c r="L1859" s="177"/>
      <c r="M1859" s="177"/>
      <c r="N1859" s="70"/>
      <c r="O1859" s="38"/>
      <c r="P1859" s="38"/>
      <c r="Q1859" s="760"/>
      <c r="R1859" s="590"/>
      <c r="S1859" s="38"/>
      <c r="T1859" s="38"/>
      <c r="U1859" s="38"/>
      <c r="V1859" s="37"/>
      <c r="W1859" s="39">
        <f>IF(AC1859="Intr",0,G1859*Definitions!$B$53)</f>
        <v>0</v>
      </c>
      <c r="X1859" s="39">
        <f>IF(AC1859="Intr",0,G1859*Definitions!$B$54)</f>
        <v>0</v>
      </c>
      <c r="Y1859" s="39">
        <f>IF(AC1859="Intr",G1859,G1859*Definitions!$B$55)</f>
        <v>0</v>
      </c>
      <c r="Z1859" s="39"/>
      <c r="AA1859" s="39"/>
      <c r="AB1859" s="39"/>
      <c r="AC1859" s="38"/>
      <c r="AD1859" s="38"/>
      <c r="AE1859" s="38"/>
      <c r="AF1859" s="38"/>
      <c r="AG1859" s="40"/>
      <c r="AH1859" s="38"/>
    </row>
    <row r="1860" spans="1:34" x14ac:dyDescent="0.2">
      <c r="A1860" s="38"/>
      <c r="B1860" s="38"/>
      <c r="C1860" s="38"/>
      <c r="D1860" s="38"/>
      <c r="E1860" s="177"/>
      <c r="F1860" s="177"/>
      <c r="G1860" s="269"/>
      <c r="H1860" s="179"/>
      <c r="I1860" s="177"/>
      <c r="J1860" s="177"/>
      <c r="K1860" s="177"/>
      <c r="L1860" s="177"/>
      <c r="M1860" s="177"/>
      <c r="N1860" s="70"/>
      <c r="O1860" s="38"/>
      <c r="P1860" s="38"/>
      <c r="Q1860" s="760"/>
      <c r="R1860" s="590"/>
      <c r="S1860" s="38"/>
      <c r="T1860" s="38"/>
      <c r="U1860" s="38"/>
      <c r="V1860" s="37"/>
      <c r="W1860" s="39">
        <f>IF(AC1860="Intr",0,G1860*Definitions!$B$53)</f>
        <v>0</v>
      </c>
      <c r="X1860" s="39">
        <f>IF(AC1860="Intr",0,G1860*Definitions!$B$54)</f>
        <v>0</v>
      </c>
      <c r="Y1860" s="39">
        <f>IF(AC1860="Intr",G1860,G1860*Definitions!$B$55)</f>
        <v>0</v>
      </c>
      <c r="Z1860" s="39"/>
      <c r="AA1860" s="39"/>
      <c r="AB1860" s="39"/>
      <c r="AC1860" s="38"/>
      <c r="AD1860" s="38"/>
      <c r="AE1860" s="38"/>
      <c r="AF1860" s="38"/>
      <c r="AG1860" s="40"/>
      <c r="AH1860" s="38"/>
    </row>
    <row r="1861" spans="1:34" x14ac:dyDescent="0.2">
      <c r="A1861" s="38"/>
      <c r="B1861" s="38"/>
      <c r="C1861" s="38"/>
      <c r="D1861" s="38"/>
      <c r="E1861" s="177"/>
      <c r="F1861" s="177"/>
      <c r="G1861" s="269"/>
      <c r="H1861" s="179"/>
      <c r="I1861" s="177"/>
      <c r="J1861" s="177"/>
      <c r="K1861" s="177"/>
      <c r="L1861" s="177"/>
      <c r="M1861" s="177"/>
      <c r="N1861" s="70"/>
      <c r="O1861" s="38"/>
      <c r="P1861" s="38"/>
      <c r="Q1861" s="760"/>
      <c r="R1861" s="590"/>
      <c r="S1861" s="38"/>
      <c r="T1861" s="38"/>
      <c r="U1861" s="38"/>
      <c r="V1861" s="37"/>
      <c r="W1861" s="39">
        <f>IF(AC1861="Intr",0,G1861*Definitions!$B$53)</f>
        <v>0</v>
      </c>
      <c r="X1861" s="39">
        <f>IF(AC1861="Intr",0,G1861*Definitions!$B$54)</f>
        <v>0</v>
      </c>
      <c r="Y1861" s="39">
        <f>IF(AC1861="Intr",G1861,G1861*Definitions!$B$55)</f>
        <v>0</v>
      </c>
      <c r="Z1861" s="39"/>
      <c r="AA1861" s="39"/>
      <c r="AB1861" s="39"/>
      <c r="AC1861" s="38"/>
      <c r="AD1861" s="38"/>
      <c r="AE1861" s="38"/>
      <c r="AF1861" s="38"/>
      <c r="AG1861" s="40"/>
      <c r="AH1861" s="38"/>
    </row>
    <row r="1862" spans="1:34" x14ac:dyDescent="0.2">
      <c r="A1862" s="38"/>
      <c r="B1862" s="38"/>
      <c r="C1862" s="38"/>
      <c r="D1862" s="38"/>
      <c r="E1862" s="177"/>
      <c r="F1862" s="177"/>
      <c r="G1862" s="269"/>
      <c r="H1862" s="179"/>
      <c r="I1862" s="177"/>
      <c r="J1862" s="177"/>
      <c r="K1862" s="177"/>
      <c r="L1862" s="177"/>
      <c r="M1862" s="177"/>
      <c r="N1862" s="70"/>
      <c r="O1862" s="38"/>
      <c r="P1862" s="38"/>
      <c r="Q1862" s="760"/>
      <c r="R1862" s="590"/>
      <c r="S1862" s="38"/>
      <c r="T1862" s="38"/>
      <c r="U1862" s="38"/>
      <c r="V1862" s="37"/>
      <c r="W1862" s="39">
        <f>IF(AC1862="Intr",0,G1862*Definitions!$B$53)</f>
        <v>0</v>
      </c>
      <c r="X1862" s="39">
        <f>IF(AC1862="Intr",0,G1862*Definitions!$B$54)</f>
        <v>0</v>
      </c>
      <c r="Y1862" s="39">
        <f>IF(AC1862="Intr",G1862,G1862*Definitions!$B$55)</f>
        <v>0</v>
      </c>
      <c r="Z1862" s="39"/>
      <c r="AA1862" s="39"/>
      <c r="AB1862" s="39"/>
      <c r="AC1862" s="38"/>
      <c r="AD1862" s="38"/>
      <c r="AE1862" s="38"/>
      <c r="AF1862" s="38"/>
      <c r="AG1862" s="40"/>
      <c r="AH1862" s="38"/>
    </row>
    <row r="1863" spans="1:34" x14ac:dyDescent="0.2">
      <c r="A1863" s="38"/>
      <c r="B1863" s="38"/>
      <c r="C1863" s="38"/>
      <c r="D1863" s="38"/>
      <c r="E1863" s="177"/>
      <c r="F1863" s="177"/>
      <c r="G1863" s="269"/>
      <c r="H1863" s="179"/>
      <c r="I1863" s="177"/>
      <c r="J1863" s="177"/>
      <c r="K1863" s="177"/>
      <c r="L1863" s="177"/>
      <c r="M1863" s="177"/>
      <c r="N1863" s="70"/>
      <c r="O1863" s="38"/>
      <c r="P1863" s="38"/>
      <c r="Q1863" s="760"/>
      <c r="R1863" s="590"/>
      <c r="S1863" s="38"/>
      <c r="T1863" s="38"/>
      <c r="U1863" s="38"/>
      <c r="V1863" s="37"/>
      <c r="W1863" s="39">
        <f>IF(AC1863="Intr",0,G1863*Definitions!$B$53)</f>
        <v>0</v>
      </c>
      <c r="X1863" s="39">
        <f>IF(AC1863="Intr",0,G1863*Definitions!$B$54)</f>
        <v>0</v>
      </c>
      <c r="Y1863" s="39">
        <f>IF(AC1863="Intr",G1863,G1863*Definitions!$B$55)</f>
        <v>0</v>
      </c>
      <c r="Z1863" s="39"/>
      <c r="AA1863" s="39"/>
      <c r="AB1863" s="39"/>
      <c r="AC1863" s="38"/>
      <c r="AD1863" s="38"/>
      <c r="AE1863" s="38"/>
      <c r="AF1863" s="38"/>
      <c r="AG1863" s="40"/>
      <c r="AH1863" s="38"/>
    </row>
    <row r="1864" spans="1:34" x14ac:dyDescent="0.2">
      <c r="A1864" s="38"/>
      <c r="B1864" s="38"/>
      <c r="C1864" s="38"/>
      <c r="D1864" s="38"/>
      <c r="E1864" s="177"/>
      <c r="F1864" s="177"/>
      <c r="G1864" s="269"/>
      <c r="H1864" s="179"/>
      <c r="I1864" s="177"/>
      <c r="J1864" s="177"/>
      <c r="K1864" s="177"/>
      <c r="L1864" s="177"/>
      <c r="M1864" s="177"/>
      <c r="N1864" s="70"/>
      <c r="O1864" s="38"/>
      <c r="P1864" s="38"/>
      <c r="Q1864" s="760"/>
      <c r="R1864" s="590"/>
      <c r="S1864" s="38"/>
      <c r="T1864" s="38"/>
      <c r="U1864" s="38"/>
      <c r="V1864" s="37"/>
      <c r="W1864" s="39">
        <f>IF(AC1864="Intr",0,G1864*Definitions!$B$53)</f>
        <v>0</v>
      </c>
      <c r="X1864" s="39">
        <f>IF(AC1864="Intr",0,G1864*Definitions!$B$54)</f>
        <v>0</v>
      </c>
      <c r="Y1864" s="39">
        <f>IF(AC1864="Intr",G1864,G1864*Definitions!$B$55)</f>
        <v>0</v>
      </c>
      <c r="Z1864" s="39"/>
      <c r="AA1864" s="39"/>
      <c r="AB1864" s="39"/>
      <c r="AC1864" s="38"/>
      <c r="AD1864" s="38"/>
      <c r="AE1864" s="38"/>
      <c r="AF1864" s="38"/>
      <c r="AG1864" s="40"/>
      <c r="AH1864" s="38"/>
    </row>
    <row r="1865" spans="1:34" x14ac:dyDescent="0.2">
      <c r="A1865" s="38"/>
      <c r="B1865" s="38"/>
      <c r="C1865" s="38"/>
      <c r="D1865" s="38"/>
      <c r="E1865" s="177"/>
      <c r="F1865" s="177"/>
      <c r="G1865" s="269"/>
      <c r="H1865" s="179"/>
      <c r="I1865" s="177"/>
      <c r="J1865" s="177"/>
      <c r="K1865" s="177"/>
      <c r="L1865" s="177"/>
      <c r="M1865" s="177"/>
      <c r="N1865" s="70"/>
      <c r="O1865" s="38"/>
      <c r="P1865" s="38"/>
      <c r="Q1865" s="760"/>
      <c r="R1865" s="590"/>
      <c r="S1865" s="38"/>
      <c r="T1865" s="38"/>
      <c r="U1865" s="38"/>
      <c r="V1865" s="37"/>
      <c r="W1865" s="39">
        <f>IF(AC1865="Intr",0,G1865*Definitions!$B$53)</f>
        <v>0</v>
      </c>
      <c r="X1865" s="39">
        <f>IF(AC1865="Intr",0,G1865*Definitions!$B$54)</f>
        <v>0</v>
      </c>
      <c r="Y1865" s="39">
        <f>IF(AC1865="Intr",G1865,G1865*Definitions!$B$55)</f>
        <v>0</v>
      </c>
      <c r="Z1865" s="39"/>
      <c r="AA1865" s="39"/>
      <c r="AB1865" s="39"/>
      <c r="AC1865" s="38"/>
      <c r="AD1865" s="38"/>
      <c r="AE1865" s="38"/>
      <c r="AF1865" s="38"/>
      <c r="AG1865" s="40"/>
      <c r="AH1865" s="38"/>
    </row>
    <row r="1866" spans="1:34" x14ac:dyDescent="0.2">
      <c r="A1866" s="38"/>
      <c r="B1866" s="38"/>
      <c r="C1866" s="38"/>
      <c r="D1866" s="38"/>
      <c r="E1866" s="177"/>
      <c r="F1866" s="177"/>
      <c r="G1866" s="269"/>
      <c r="H1866" s="179"/>
      <c r="I1866" s="177"/>
      <c r="J1866" s="177"/>
      <c r="K1866" s="177"/>
      <c r="L1866" s="177"/>
      <c r="M1866" s="177"/>
      <c r="N1866" s="70"/>
      <c r="O1866" s="38"/>
      <c r="P1866" s="38"/>
      <c r="Q1866" s="760"/>
      <c r="R1866" s="590"/>
      <c r="S1866" s="38"/>
      <c r="T1866" s="38"/>
      <c r="U1866" s="38"/>
      <c r="V1866" s="37"/>
      <c r="W1866" s="39">
        <f>IF(AC1866="Intr",0,G1866*Definitions!$B$53)</f>
        <v>0</v>
      </c>
      <c r="X1866" s="39">
        <f>IF(AC1866="Intr",0,G1866*Definitions!$B$54)</f>
        <v>0</v>
      </c>
      <c r="Y1866" s="39">
        <f>IF(AC1866="Intr",G1866,G1866*Definitions!$B$55)</f>
        <v>0</v>
      </c>
      <c r="Z1866" s="39"/>
      <c r="AA1866" s="39"/>
      <c r="AB1866" s="39"/>
      <c r="AC1866" s="38"/>
      <c r="AD1866" s="38"/>
      <c r="AE1866" s="38"/>
      <c r="AF1866" s="38"/>
      <c r="AG1866" s="40"/>
      <c r="AH1866" s="38"/>
    </row>
    <row r="1867" spans="1:34" x14ac:dyDescent="0.2">
      <c r="A1867" s="38"/>
      <c r="B1867" s="38"/>
      <c r="C1867" s="38"/>
      <c r="D1867" s="38"/>
      <c r="E1867" s="177"/>
      <c r="F1867" s="177"/>
      <c r="G1867" s="269"/>
      <c r="H1867" s="179"/>
      <c r="I1867" s="177"/>
      <c r="J1867" s="177"/>
      <c r="K1867" s="177"/>
      <c r="L1867" s="177"/>
      <c r="M1867" s="177"/>
      <c r="N1867" s="70"/>
      <c r="O1867" s="38"/>
      <c r="P1867" s="38"/>
      <c r="Q1867" s="760"/>
      <c r="R1867" s="590"/>
      <c r="S1867" s="38"/>
      <c r="T1867" s="38"/>
      <c r="U1867" s="38"/>
      <c r="V1867" s="37"/>
      <c r="W1867" s="39">
        <f>IF(AC1867="Intr",0,G1867*Definitions!$B$53)</f>
        <v>0</v>
      </c>
      <c r="X1867" s="39">
        <f>IF(AC1867="Intr",0,G1867*Definitions!$B$54)</f>
        <v>0</v>
      </c>
      <c r="Y1867" s="39">
        <f>IF(AC1867="Intr",G1867,G1867*Definitions!$B$55)</f>
        <v>0</v>
      </c>
      <c r="Z1867" s="39"/>
      <c r="AA1867" s="39"/>
      <c r="AB1867" s="39"/>
      <c r="AC1867" s="38"/>
      <c r="AD1867" s="38"/>
      <c r="AE1867" s="38"/>
      <c r="AF1867" s="38"/>
      <c r="AG1867" s="40"/>
      <c r="AH1867" s="38"/>
    </row>
    <row r="1868" spans="1:34" x14ac:dyDescent="0.2">
      <c r="A1868" s="38"/>
      <c r="B1868" s="38"/>
      <c r="C1868" s="38"/>
      <c r="D1868" s="38"/>
      <c r="E1868" s="177"/>
      <c r="F1868" s="177"/>
      <c r="G1868" s="269"/>
      <c r="H1868" s="179"/>
      <c r="I1868" s="177"/>
      <c r="J1868" s="177"/>
      <c r="K1868" s="177"/>
      <c r="L1868" s="177"/>
      <c r="M1868" s="177"/>
      <c r="N1868" s="70"/>
      <c r="O1868" s="38"/>
      <c r="P1868" s="38"/>
      <c r="Q1868" s="760"/>
      <c r="R1868" s="590"/>
      <c r="S1868" s="38"/>
      <c r="T1868" s="38"/>
      <c r="U1868" s="38"/>
      <c r="V1868" s="37"/>
      <c r="W1868" s="39">
        <f>IF(AC1868="Intr",0,G1868*Definitions!$B$53)</f>
        <v>0</v>
      </c>
      <c r="X1868" s="39">
        <f>IF(AC1868="Intr",0,G1868*Definitions!$B$54)</f>
        <v>0</v>
      </c>
      <c r="Y1868" s="39">
        <f>IF(AC1868="Intr",G1868,G1868*Definitions!$B$55)</f>
        <v>0</v>
      </c>
      <c r="Z1868" s="39"/>
      <c r="AA1868" s="39"/>
      <c r="AB1868" s="39"/>
      <c r="AC1868" s="38"/>
      <c r="AD1868" s="38"/>
      <c r="AE1868" s="38"/>
      <c r="AF1868" s="38"/>
      <c r="AG1868" s="40"/>
      <c r="AH1868" s="38"/>
    </row>
    <row r="1869" spans="1:34" x14ac:dyDescent="0.2">
      <c r="A1869" s="38"/>
      <c r="B1869" s="38"/>
      <c r="C1869" s="38"/>
      <c r="D1869" s="38"/>
      <c r="E1869" s="177"/>
      <c r="F1869" s="177"/>
      <c r="G1869" s="269"/>
      <c r="H1869" s="179"/>
      <c r="I1869" s="177"/>
      <c r="J1869" s="177"/>
      <c r="K1869" s="177"/>
      <c r="L1869" s="177"/>
      <c r="M1869" s="177"/>
      <c r="N1869" s="70"/>
      <c r="O1869" s="38"/>
      <c r="P1869" s="38"/>
      <c r="Q1869" s="760"/>
      <c r="R1869" s="590"/>
      <c r="S1869" s="38"/>
      <c r="T1869" s="38"/>
      <c r="U1869" s="38"/>
      <c r="V1869" s="37"/>
      <c r="W1869" s="39">
        <f>IF(AC1869="Intr",0,G1869*Definitions!$B$53)</f>
        <v>0</v>
      </c>
      <c r="X1869" s="39">
        <f>IF(AC1869="Intr",0,G1869*Definitions!$B$54)</f>
        <v>0</v>
      </c>
      <c r="Y1869" s="39">
        <f>IF(AC1869="Intr",G1869,G1869*Definitions!$B$55)</f>
        <v>0</v>
      </c>
      <c r="Z1869" s="39"/>
      <c r="AA1869" s="39"/>
      <c r="AB1869" s="39"/>
      <c r="AC1869" s="38"/>
      <c r="AD1869" s="38"/>
      <c r="AE1869" s="38"/>
      <c r="AF1869" s="38"/>
      <c r="AG1869" s="40"/>
      <c r="AH1869" s="38"/>
    </row>
    <row r="1870" spans="1:34" x14ac:dyDescent="0.2">
      <c r="A1870" s="38"/>
      <c r="B1870" s="38"/>
      <c r="C1870" s="38"/>
      <c r="D1870" s="38"/>
      <c r="E1870" s="177"/>
      <c r="F1870" s="177"/>
      <c r="G1870" s="269"/>
      <c r="H1870" s="179"/>
      <c r="I1870" s="177"/>
      <c r="J1870" s="177"/>
      <c r="K1870" s="177"/>
      <c r="L1870" s="177"/>
      <c r="M1870" s="177"/>
      <c r="N1870" s="70"/>
      <c r="O1870" s="38"/>
      <c r="P1870" s="38"/>
      <c r="Q1870" s="760"/>
      <c r="R1870" s="590"/>
      <c r="S1870" s="38"/>
      <c r="T1870" s="38"/>
      <c r="U1870" s="38"/>
      <c r="V1870" s="37"/>
      <c r="W1870" s="39">
        <f>IF(AC1870="Intr",0,G1870*Definitions!$B$53)</f>
        <v>0</v>
      </c>
      <c r="X1870" s="39">
        <f>IF(AC1870="Intr",0,G1870*Definitions!$B$54)</f>
        <v>0</v>
      </c>
      <c r="Y1870" s="39">
        <f>IF(AC1870="Intr",G1870,G1870*Definitions!$B$55)</f>
        <v>0</v>
      </c>
      <c r="Z1870" s="39"/>
      <c r="AA1870" s="39"/>
      <c r="AB1870" s="39"/>
      <c r="AC1870" s="38"/>
      <c r="AD1870" s="38"/>
      <c r="AE1870" s="38"/>
      <c r="AF1870" s="38"/>
      <c r="AG1870" s="40"/>
      <c r="AH1870" s="38"/>
    </row>
    <row r="1871" spans="1:34" x14ac:dyDescent="0.2">
      <c r="A1871" s="38"/>
      <c r="B1871" s="38"/>
      <c r="C1871" s="38"/>
      <c r="D1871" s="38"/>
      <c r="E1871" s="177"/>
      <c r="F1871" s="177"/>
      <c r="G1871" s="269"/>
      <c r="H1871" s="179"/>
      <c r="I1871" s="177"/>
      <c r="J1871" s="177"/>
      <c r="K1871" s="177"/>
      <c r="L1871" s="177"/>
      <c r="M1871" s="177"/>
      <c r="N1871" s="70"/>
      <c r="O1871" s="38"/>
      <c r="P1871" s="38"/>
      <c r="Q1871" s="760"/>
      <c r="R1871" s="590"/>
      <c r="S1871" s="38"/>
      <c r="T1871" s="38"/>
      <c r="U1871" s="38"/>
      <c r="V1871" s="37"/>
      <c r="W1871" s="39">
        <f>IF(AC1871="Intr",0,G1871*Definitions!$B$53)</f>
        <v>0</v>
      </c>
      <c r="X1871" s="39">
        <f>IF(AC1871="Intr",0,G1871*Definitions!$B$54)</f>
        <v>0</v>
      </c>
      <c r="Y1871" s="39">
        <f>IF(AC1871="Intr",G1871,G1871*Definitions!$B$55)</f>
        <v>0</v>
      </c>
      <c r="Z1871" s="39"/>
      <c r="AA1871" s="39"/>
      <c r="AB1871" s="39"/>
      <c r="AC1871" s="38"/>
      <c r="AD1871" s="38"/>
      <c r="AE1871" s="38"/>
      <c r="AF1871" s="38"/>
      <c r="AG1871" s="40"/>
      <c r="AH1871" s="38"/>
    </row>
    <row r="1872" spans="1:34" x14ac:dyDescent="0.2">
      <c r="A1872" s="38"/>
      <c r="B1872" s="38"/>
      <c r="C1872" s="38"/>
      <c r="D1872" s="38"/>
      <c r="E1872" s="177"/>
      <c r="F1872" s="177"/>
      <c r="G1872" s="269"/>
      <c r="H1872" s="179"/>
      <c r="I1872" s="177"/>
      <c r="J1872" s="177"/>
      <c r="K1872" s="177"/>
      <c r="L1872" s="177"/>
      <c r="M1872" s="177"/>
      <c r="N1872" s="70"/>
      <c r="O1872" s="38"/>
      <c r="P1872" s="38"/>
      <c r="Q1872" s="760"/>
      <c r="R1872" s="590"/>
      <c r="S1872" s="38"/>
      <c r="T1872" s="38"/>
      <c r="U1872" s="38"/>
      <c r="V1872" s="37"/>
      <c r="W1872" s="39">
        <f>IF(AC1872="Intr",0,G1872*Definitions!$B$53)</f>
        <v>0</v>
      </c>
      <c r="X1872" s="39">
        <f>IF(AC1872="Intr",0,G1872*Definitions!$B$54)</f>
        <v>0</v>
      </c>
      <c r="Y1872" s="39">
        <f>IF(AC1872="Intr",G1872,G1872*Definitions!$B$55)</f>
        <v>0</v>
      </c>
      <c r="Z1872" s="39"/>
      <c r="AA1872" s="39"/>
      <c r="AB1872" s="39"/>
      <c r="AC1872" s="38"/>
      <c r="AD1872" s="38"/>
      <c r="AE1872" s="38"/>
      <c r="AF1872" s="38"/>
      <c r="AG1872" s="40"/>
      <c r="AH1872" s="38"/>
    </row>
    <row r="1873" spans="1:34" x14ac:dyDescent="0.2">
      <c r="A1873" s="38"/>
      <c r="B1873" s="38"/>
      <c r="C1873" s="38"/>
      <c r="D1873" s="38"/>
      <c r="E1873" s="177"/>
      <c r="F1873" s="177"/>
      <c r="G1873" s="269"/>
      <c r="H1873" s="179"/>
      <c r="I1873" s="177"/>
      <c r="J1873" s="177"/>
      <c r="K1873" s="177"/>
      <c r="L1873" s="177"/>
      <c r="M1873" s="177"/>
      <c r="N1873" s="70"/>
      <c r="O1873" s="38"/>
      <c r="P1873" s="38"/>
      <c r="Q1873" s="760"/>
      <c r="R1873" s="590"/>
      <c r="S1873" s="38"/>
      <c r="T1873" s="38"/>
      <c r="U1873" s="38"/>
      <c r="V1873" s="37"/>
      <c r="W1873" s="39">
        <f>IF(AC1873="Intr",0,G1873*Definitions!$B$53)</f>
        <v>0</v>
      </c>
      <c r="X1873" s="39">
        <f>IF(AC1873="Intr",0,G1873*Definitions!$B$54)</f>
        <v>0</v>
      </c>
      <c r="Y1873" s="39">
        <f>IF(AC1873="Intr",G1873,G1873*Definitions!$B$55)</f>
        <v>0</v>
      </c>
      <c r="Z1873" s="39"/>
      <c r="AA1873" s="39"/>
      <c r="AB1873" s="39"/>
      <c r="AC1873" s="38"/>
      <c r="AD1873" s="38"/>
      <c r="AE1873" s="38"/>
      <c r="AF1873" s="38"/>
      <c r="AG1873" s="40"/>
      <c r="AH1873" s="38"/>
    </row>
    <row r="1874" spans="1:34" x14ac:dyDescent="0.2">
      <c r="A1874" s="38"/>
      <c r="B1874" s="38"/>
      <c r="C1874" s="38"/>
      <c r="D1874" s="38"/>
      <c r="E1874" s="177"/>
      <c r="F1874" s="177"/>
      <c r="G1874" s="269"/>
      <c r="H1874" s="179"/>
      <c r="I1874" s="177"/>
      <c r="J1874" s="177"/>
      <c r="K1874" s="177"/>
      <c r="L1874" s="177"/>
      <c r="M1874" s="177"/>
      <c r="N1874" s="70"/>
      <c r="O1874" s="38"/>
      <c r="P1874" s="38"/>
      <c r="Q1874" s="760"/>
      <c r="R1874" s="590"/>
      <c r="S1874" s="38"/>
      <c r="T1874" s="38"/>
      <c r="U1874" s="38"/>
      <c r="V1874" s="37"/>
      <c r="W1874" s="39">
        <f>IF(AC1874="Intr",0,G1874*Definitions!$B$53)</f>
        <v>0</v>
      </c>
      <c r="X1874" s="39">
        <f>IF(AC1874="Intr",0,G1874*Definitions!$B$54)</f>
        <v>0</v>
      </c>
      <c r="Y1874" s="39">
        <f>IF(AC1874="Intr",G1874,G1874*Definitions!$B$55)</f>
        <v>0</v>
      </c>
      <c r="Z1874" s="39"/>
      <c r="AA1874" s="39"/>
      <c r="AB1874" s="39"/>
      <c r="AC1874" s="38"/>
      <c r="AD1874" s="38"/>
      <c r="AE1874" s="38"/>
      <c r="AF1874" s="38"/>
      <c r="AG1874" s="40"/>
      <c r="AH1874" s="38"/>
    </row>
    <row r="1875" spans="1:34" x14ac:dyDescent="0.2">
      <c r="A1875" s="38"/>
      <c r="B1875" s="38"/>
      <c r="C1875" s="38"/>
      <c r="D1875" s="38"/>
      <c r="E1875" s="177"/>
      <c r="F1875" s="177"/>
      <c r="G1875" s="269"/>
      <c r="H1875" s="179"/>
      <c r="I1875" s="177"/>
      <c r="J1875" s="177"/>
      <c r="K1875" s="177"/>
      <c r="L1875" s="177"/>
      <c r="M1875" s="177"/>
      <c r="N1875" s="70"/>
      <c r="O1875" s="38"/>
      <c r="P1875" s="38"/>
      <c r="Q1875" s="760"/>
      <c r="R1875" s="590"/>
      <c r="S1875" s="38"/>
      <c r="T1875" s="38"/>
      <c r="U1875" s="38"/>
      <c r="V1875" s="37"/>
      <c r="W1875" s="39">
        <f>IF(AC1875="Intr",0,G1875*Definitions!$B$53)</f>
        <v>0</v>
      </c>
      <c r="X1875" s="39">
        <f>IF(AC1875="Intr",0,G1875*Definitions!$B$54)</f>
        <v>0</v>
      </c>
      <c r="Y1875" s="39">
        <f>IF(AC1875="Intr",G1875,G1875*Definitions!$B$55)</f>
        <v>0</v>
      </c>
      <c r="Z1875" s="39"/>
      <c r="AA1875" s="39"/>
      <c r="AB1875" s="39"/>
      <c r="AC1875" s="38"/>
      <c r="AD1875" s="38"/>
      <c r="AE1875" s="38"/>
      <c r="AF1875" s="38"/>
      <c r="AG1875" s="40"/>
      <c r="AH1875" s="38"/>
    </row>
    <row r="1876" spans="1:34" x14ac:dyDescent="0.2">
      <c r="A1876" s="38"/>
      <c r="B1876" s="38"/>
      <c r="C1876" s="38"/>
      <c r="D1876" s="38"/>
      <c r="E1876" s="177"/>
      <c r="F1876" s="177"/>
      <c r="G1876" s="269"/>
      <c r="H1876" s="179"/>
      <c r="I1876" s="177"/>
      <c r="J1876" s="177"/>
      <c r="K1876" s="177"/>
      <c r="L1876" s="177"/>
      <c r="M1876" s="177"/>
      <c r="N1876" s="70"/>
      <c r="O1876" s="38"/>
      <c r="P1876" s="38"/>
      <c r="Q1876" s="760"/>
      <c r="R1876" s="590"/>
      <c r="S1876" s="38"/>
      <c r="T1876" s="38"/>
      <c r="U1876" s="38"/>
      <c r="V1876" s="37"/>
      <c r="W1876" s="39">
        <f>IF(AC1876="Intr",0,G1876*Definitions!$B$53)</f>
        <v>0</v>
      </c>
      <c r="X1876" s="39">
        <f>IF(AC1876="Intr",0,G1876*Definitions!$B$54)</f>
        <v>0</v>
      </c>
      <c r="Y1876" s="39">
        <f>IF(AC1876="Intr",G1876,G1876*Definitions!$B$55)</f>
        <v>0</v>
      </c>
      <c r="Z1876" s="39"/>
      <c r="AA1876" s="39"/>
      <c r="AB1876" s="39"/>
      <c r="AC1876" s="38"/>
      <c r="AD1876" s="38"/>
      <c r="AE1876" s="38"/>
      <c r="AF1876" s="38"/>
      <c r="AG1876" s="40"/>
      <c r="AH1876" s="38"/>
    </row>
    <row r="1877" spans="1:34" x14ac:dyDescent="0.2">
      <c r="A1877" s="38"/>
      <c r="B1877" s="38"/>
      <c r="C1877" s="38"/>
      <c r="D1877" s="38"/>
      <c r="E1877" s="177"/>
      <c r="F1877" s="177"/>
      <c r="G1877" s="269"/>
      <c r="H1877" s="179"/>
      <c r="I1877" s="177"/>
      <c r="J1877" s="177"/>
      <c r="K1877" s="177"/>
      <c r="L1877" s="177"/>
      <c r="M1877" s="177"/>
      <c r="N1877" s="70"/>
      <c r="O1877" s="38"/>
      <c r="P1877" s="38"/>
      <c r="Q1877" s="760"/>
      <c r="R1877" s="590"/>
      <c r="S1877" s="38"/>
      <c r="T1877" s="38"/>
      <c r="U1877" s="38"/>
      <c r="V1877" s="37"/>
      <c r="W1877" s="39">
        <f>IF(AC1877="Intr",0,G1877*Definitions!$B$53)</f>
        <v>0</v>
      </c>
      <c r="X1877" s="39">
        <f>IF(AC1877="Intr",0,G1877*Definitions!$B$54)</f>
        <v>0</v>
      </c>
      <c r="Y1877" s="39">
        <f>IF(AC1877="Intr",G1877,G1877*Definitions!$B$55)</f>
        <v>0</v>
      </c>
      <c r="Z1877" s="39"/>
      <c r="AA1877" s="39"/>
      <c r="AB1877" s="39"/>
      <c r="AC1877" s="38"/>
      <c r="AD1877" s="38"/>
      <c r="AE1877" s="38"/>
      <c r="AF1877" s="38"/>
      <c r="AG1877" s="40"/>
      <c r="AH1877" s="38"/>
    </row>
    <row r="1878" spans="1:34" x14ac:dyDescent="0.2">
      <c r="A1878" s="38"/>
      <c r="B1878" s="38"/>
      <c r="C1878" s="38"/>
      <c r="D1878" s="38"/>
      <c r="E1878" s="177"/>
      <c r="F1878" s="177"/>
      <c r="G1878" s="269"/>
      <c r="H1878" s="179"/>
      <c r="I1878" s="177"/>
      <c r="J1878" s="177"/>
      <c r="K1878" s="177"/>
      <c r="L1878" s="177"/>
      <c r="M1878" s="177"/>
      <c r="N1878" s="70"/>
      <c r="O1878" s="38"/>
      <c r="P1878" s="38"/>
      <c r="Q1878" s="760"/>
      <c r="R1878" s="590"/>
      <c r="S1878" s="38"/>
      <c r="T1878" s="38"/>
      <c r="U1878" s="38"/>
      <c r="V1878" s="37"/>
      <c r="W1878" s="39">
        <f>IF(AC1878="Intr",0,G1878*Definitions!$B$53)</f>
        <v>0</v>
      </c>
      <c r="X1878" s="39">
        <f>IF(AC1878="Intr",0,G1878*Definitions!$B$54)</f>
        <v>0</v>
      </c>
      <c r="Y1878" s="39">
        <f>IF(AC1878="Intr",G1878,G1878*Definitions!$B$55)</f>
        <v>0</v>
      </c>
      <c r="Z1878" s="39"/>
      <c r="AA1878" s="39"/>
      <c r="AB1878" s="39"/>
      <c r="AC1878" s="38"/>
      <c r="AD1878" s="38"/>
      <c r="AE1878" s="38"/>
      <c r="AF1878" s="38"/>
      <c r="AG1878" s="40"/>
      <c r="AH1878" s="38"/>
    </row>
    <row r="1879" spans="1:34" x14ac:dyDescent="0.2">
      <c r="A1879" s="38"/>
      <c r="B1879" s="38"/>
      <c r="C1879" s="38"/>
      <c r="D1879" s="38"/>
      <c r="E1879" s="177"/>
      <c r="F1879" s="177"/>
      <c r="G1879" s="269"/>
      <c r="H1879" s="179"/>
      <c r="I1879" s="177"/>
      <c r="J1879" s="177"/>
      <c r="K1879" s="177"/>
      <c r="L1879" s="177"/>
      <c r="M1879" s="177"/>
      <c r="N1879" s="70"/>
      <c r="O1879" s="38"/>
      <c r="P1879" s="38"/>
      <c r="Q1879" s="760"/>
      <c r="R1879" s="590"/>
      <c r="S1879" s="38"/>
      <c r="T1879" s="38"/>
      <c r="U1879" s="38"/>
      <c r="V1879" s="37"/>
      <c r="W1879" s="39">
        <f>IF(AC1879="Intr",0,G1879*Definitions!$B$53)</f>
        <v>0</v>
      </c>
      <c r="X1879" s="39">
        <f>IF(AC1879="Intr",0,G1879*Definitions!$B$54)</f>
        <v>0</v>
      </c>
      <c r="Y1879" s="39">
        <f>IF(AC1879="Intr",G1879,G1879*Definitions!$B$55)</f>
        <v>0</v>
      </c>
      <c r="Z1879" s="39"/>
      <c r="AA1879" s="39"/>
      <c r="AB1879" s="39"/>
      <c r="AC1879" s="38"/>
      <c r="AD1879" s="38"/>
      <c r="AE1879" s="38"/>
      <c r="AF1879" s="38"/>
      <c r="AG1879" s="40"/>
      <c r="AH1879" s="38"/>
    </row>
    <row r="1880" spans="1:34" x14ac:dyDescent="0.2">
      <c r="A1880" s="38"/>
      <c r="B1880" s="38"/>
      <c r="C1880" s="38"/>
      <c r="D1880" s="38"/>
      <c r="E1880" s="177"/>
      <c r="F1880" s="177"/>
      <c r="G1880" s="269"/>
      <c r="H1880" s="179"/>
      <c r="I1880" s="177"/>
      <c r="J1880" s="177"/>
      <c r="K1880" s="177"/>
      <c r="L1880" s="177"/>
      <c r="M1880" s="177"/>
      <c r="N1880" s="70"/>
      <c r="O1880" s="38"/>
      <c r="P1880" s="38"/>
      <c r="Q1880" s="760"/>
      <c r="R1880" s="590"/>
      <c r="S1880" s="38"/>
      <c r="T1880" s="38"/>
      <c r="U1880" s="38"/>
      <c r="V1880" s="37"/>
      <c r="W1880" s="39">
        <f>IF(AC1880="Intr",0,G1880*Definitions!$B$53)</f>
        <v>0</v>
      </c>
      <c r="X1880" s="39">
        <f>IF(AC1880="Intr",0,G1880*Definitions!$B$54)</f>
        <v>0</v>
      </c>
      <c r="Y1880" s="39">
        <f>IF(AC1880="Intr",G1880,G1880*Definitions!$B$55)</f>
        <v>0</v>
      </c>
      <c r="Z1880" s="39"/>
      <c r="AA1880" s="39"/>
      <c r="AB1880" s="39"/>
      <c r="AC1880" s="38"/>
      <c r="AD1880" s="38"/>
      <c r="AE1880" s="38"/>
      <c r="AF1880" s="38"/>
      <c r="AG1880" s="40"/>
      <c r="AH1880" s="38"/>
    </row>
    <row r="1881" spans="1:34" x14ac:dyDescent="0.2">
      <c r="A1881" s="38"/>
      <c r="B1881" s="38"/>
      <c r="C1881" s="38"/>
      <c r="D1881" s="38"/>
      <c r="E1881" s="177"/>
      <c r="F1881" s="177"/>
      <c r="G1881" s="269"/>
      <c r="H1881" s="179"/>
      <c r="I1881" s="177"/>
      <c r="J1881" s="177"/>
      <c r="K1881" s="177"/>
      <c r="L1881" s="177"/>
      <c r="M1881" s="177"/>
      <c r="N1881" s="70"/>
      <c r="O1881" s="38"/>
      <c r="P1881" s="38"/>
      <c r="Q1881" s="760"/>
      <c r="R1881" s="590"/>
      <c r="S1881" s="38"/>
      <c r="T1881" s="38"/>
      <c r="U1881" s="38"/>
      <c r="V1881" s="37"/>
      <c r="W1881" s="39">
        <f>IF(AC1881="Intr",0,G1881*Definitions!$B$53)</f>
        <v>0</v>
      </c>
      <c r="X1881" s="39">
        <f>IF(AC1881="Intr",0,G1881*Definitions!$B$54)</f>
        <v>0</v>
      </c>
      <c r="Y1881" s="39">
        <f>IF(AC1881="Intr",G1881,G1881*Definitions!$B$55)</f>
        <v>0</v>
      </c>
      <c r="Z1881" s="39"/>
      <c r="AA1881" s="39"/>
      <c r="AB1881" s="39"/>
      <c r="AC1881" s="38"/>
      <c r="AD1881" s="38"/>
      <c r="AE1881" s="38"/>
      <c r="AF1881" s="38"/>
      <c r="AG1881" s="40"/>
      <c r="AH1881" s="38"/>
    </row>
    <row r="1882" spans="1:34" x14ac:dyDescent="0.2">
      <c r="A1882" s="38"/>
      <c r="B1882" s="38"/>
      <c r="C1882" s="38"/>
      <c r="D1882" s="38"/>
      <c r="E1882" s="177"/>
      <c r="F1882" s="177"/>
      <c r="G1882" s="269"/>
      <c r="H1882" s="179"/>
      <c r="I1882" s="177"/>
      <c r="J1882" s="177"/>
      <c r="K1882" s="177"/>
      <c r="L1882" s="177"/>
      <c r="M1882" s="177"/>
      <c r="N1882" s="70"/>
      <c r="O1882" s="38"/>
      <c r="P1882" s="38"/>
      <c r="Q1882" s="760"/>
      <c r="R1882" s="590"/>
      <c r="S1882" s="38"/>
      <c r="T1882" s="38"/>
      <c r="U1882" s="38"/>
      <c r="V1882" s="37"/>
      <c r="W1882" s="39">
        <f>IF(AC1882="Intr",0,G1882*Definitions!$B$53)</f>
        <v>0</v>
      </c>
      <c r="X1882" s="39">
        <f>IF(AC1882="Intr",0,G1882*Definitions!$B$54)</f>
        <v>0</v>
      </c>
      <c r="Y1882" s="39">
        <f>IF(AC1882="Intr",G1882,G1882*Definitions!$B$55)</f>
        <v>0</v>
      </c>
      <c r="Z1882" s="39"/>
      <c r="AA1882" s="39"/>
      <c r="AB1882" s="39"/>
      <c r="AC1882" s="38"/>
      <c r="AD1882" s="38"/>
      <c r="AE1882" s="38"/>
      <c r="AF1882" s="38"/>
      <c r="AG1882" s="40"/>
      <c r="AH1882" s="38"/>
    </row>
    <row r="1883" spans="1:34" x14ac:dyDescent="0.2">
      <c r="A1883" s="38"/>
      <c r="B1883" s="38"/>
      <c r="C1883" s="38"/>
      <c r="D1883" s="38"/>
      <c r="E1883" s="177"/>
      <c r="F1883" s="177"/>
      <c r="G1883" s="269"/>
      <c r="H1883" s="179"/>
      <c r="I1883" s="177"/>
      <c r="J1883" s="177"/>
      <c r="K1883" s="177"/>
      <c r="L1883" s="177"/>
      <c r="M1883" s="177"/>
      <c r="N1883" s="70"/>
      <c r="O1883" s="38"/>
      <c r="P1883" s="38"/>
      <c r="Q1883" s="760"/>
      <c r="R1883" s="590"/>
      <c r="S1883" s="38"/>
      <c r="T1883" s="38"/>
      <c r="U1883" s="38"/>
      <c r="V1883" s="37"/>
      <c r="W1883" s="39">
        <f>IF(AC1883="Intr",0,G1883*Definitions!$B$53)</f>
        <v>0</v>
      </c>
      <c r="X1883" s="39">
        <f>IF(AC1883="Intr",0,G1883*Definitions!$B$54)</f>
        <v>0</v>
      </c>
      <c r="Y1883" s="39">
        <f>IF(AC1883="Intr",G1883,G1883*Definitions!$B$55)</f>
        <v>0</v>
      </c>
      <c r="Z1883" s="39"/>
      <c r="AA1883" s="39"/>
      <c r="AB1883" s="39"/>
      <c r="AC1883" s="38"/>
      <c r="AD1883" s="38"/>
      <c r="AE1883" s="38"/>
      <c r="AF1883" s="38"/>
      <c r="AG1883" s="40"/>
      <c r="AH1883" s="38"/>
    </row>
    <row r="1884" spans="1:34" x14ac:dyDescent="0.2">
      <c r="A1884" s="38"/>
      <c r="B1884" s="38"/>
      <c r="C1884" s="38"/>
      <c r="D1884" s="38"/>
      <c r="E1884" s="177"/>
      <c r="F1884" s="177"/>
      <c r="G1884" s="269"/>
      <c r="H1884" s="179"/>
      <c r="I1884" s="177"/>
      <c r="J1884" s="177"/>
      <c r="K1884" s="177"/>
      <c r="L1884" s="177"/>
      <c r="M1884" s="177"/>
      <c r="N1884" s="70"/>
      <c r="O1884" s="38"/>
      <c r="P1884" s="38"/>
      <c r="Q1884" s="760"/>
      <c r="R1884" s="590"/>
      <c r="S1884" s="38"/>
      <c r="T1884" s="38"/>
      <c r="U1884" s="38"/>
      <c r="V1884" s="37"/>
      <c r="W1884" s="39">
        <f>IF(AC1884="Intr",0,G1884*Definitions!$B$53)</f>
        <v>0</v>
      </c>
      <c r="X1884" s="39">
        <f>IF(AC1884="Intr",0,G1884*Definitions!$B$54)</f>
        <v>0</v>
      </c>
      <c r="Y1884" s="39">
        <f>IF(AC1884="Intr",G1884,G1884*Definitions!$B$55)</f>
        <v>0</v>
      </c>
      <c r="Z1884" s="39"/>
      <c r="AA1884" s="39"/>
      <c r="AB1884" s="39"/>
      <c r="AC1884" s="38"/>
      <c r="AD1884" s="38"/>
      <c r="AE1884" s="38"/>
      <c r="AF1884" s="38"/>
      <c r="AG1884" s="40"/>
      <c r="AH1884" s="38"/>
    </row>
    <row r="1885" spans="1:34" x14ac:dyDescent="0.2">
      <c r="A1885" s="38"/>
      <c r="B1885" s="38"/>
      <c r="C1885" s="38"/>
      <c r="D1885" s="38"/>
      <c r="E1885" s="177"/>
      <c r="F1885" s="177"/>
      <c r="G1885" s="269"/>
      <c r="H1885" s="179"/>
      <c r="I1885" s="177"/>
      <c r="J1885" s="177"/>
      <c r="K1885" s="177"/>
      <c r="L1885" s="177"/>
      <c r="M1885" s="177"/>
      <c r="N1885" s="70"/>
      <c r="O1885" s="38"/>
      <c r="P1885" s="38"/>
      <c r="Q1885" s="760"/>
      <c r="R1885" s="590"/>
      <c r="S1885" s="38"/>
      <c r="T1885" s="38"/>
      <c r="U1885" s="38"/>
      <c r="V1885" s="37"/>
      <c r="W1885" s="39">
        <f>IF(AC1885="Intr",0,G1885*Definitions!$B$53)</f>
        <v>0</v>
      </c>
      <c r="X1885" s="39">
        <f>IF(AC1885="Intr",0,G1885*Definitions!$B$54)</f>
        <v>0</v>
      </c>
      <c r="Y1885" s="39">
        <f>IF(AC1885="Intr",G1885,G1885*Definitions!$B$55)</f>
        <v>0</v>
      </c>
      <c r="Z1885" s="39"/>
      <c r="AA1885" s="39"/>
      <c r="AB1885" s="39"/>
      <c r="AC1885" s="38"/>
      <c r="AD1885" s="38"/>
      <c r="AE1885" s="38"/>
      <c r="AF1885" s="38"/>
      <c r="AG1885" s="40"/>
      <c r="AH1885" s="38"/>
    </row>
    <row r="1886" spans="1:34" x14ac:dyDescent="0.2">
      <c r="A1886" s="38"/>
      <c r="B1886" s="38"/>
      <c r="C1886" s="38"/>
      <c r="D1886" s="38"/>
      <c r="E1886" s="177"/>
      <c r="F1886" s="177"/>
      <c r="G1886" s="269"/>
      <c r="H1886" s="179"/>
      <c r="I1886" s="177"/>
      <c r="J1886" s="177"/>
      <c r="K1886" s="177"/>
      <c r="L1886" s="177"/>
      <c r="M1886" s="177"/>
      <c r="N1886" s="70"/>
      <c r="O1886" s="38"/>
      <c r="P1886" s="38"/>
      <c r="Q1886" s="760"/>
      <c r="R1886" s="590"/>
      <c r="S1886" s="38"/>
      <c r="T1886" s="38"/>
      <c r="U1886" s="38"/>
      <c r="V1886" s="37"/>
      <c r="W1886" s="39">
        <f>IF(AC1886="Intr",0,G1886*Definitions!$B$53)</f>
        <v>0</v>
      </c>
      <c r="X1886" s="39">
        <f>IF(AC1886="Intr",0,G1886*Definitions!$B$54)</f>
        <v>0</v>
      </c>
      <c r="Y1886" s="39">
        <f>IF(AC1886="Intr",G1886,G1886*Definitions!$B$55)</f>
        <v>0</v>
      </c>
      <c r="Z1886" s="39"/>
      <c r="AA1886" s="39"/>
      <c r="AB1886" s="39"/>
      <c r="AC1886" s="38"/>
      <c r="AD1886" s="38"/>
      <c r="AE1886" s="38"/>
      <c r="AF1886" s="38"/>
      <c r="AG1886" s="40"/>
      <c r="AH1886" s="38"/>
    </row>
    <row r="1887" spans="1:34" x14ac:dyDescent="0.2">
      <c r="A1887" s="38"/>
      <c r="B1887" s="38"/>
      <c r="C1887" s="38"/>
      <c r="D1887" s="38"/>
      <c r="E1887" s="177"/>
      <c r="F1887" s="177"/>
      <c r="G1887" s="269"/>
      <c r="H1887" s="179"/>
      <c r="I1887" s="177"/>
      <c r="J1887" s="177"/>
      <c r="K1887" s="177"/>
      <c r="L1887" s="177"/>
      <c r="M1887" s="177"/>
      <c r="N1887" s="70"/>
      <c r="O1887" s="38"/>
      <c r="P1887" s="38"/>
      <c r="Q1887" s="760"/>
      <c r="R1887" s="590"/>
      <c r="S1887" s="38"/>
      <c r="T1887" s="38"/>
      <c r="U1887" s="38"/>
      <c r="V1887" s="37"/>
      <c r="W1887" s="39">
        <f>IF(AC1887="Intr",0,G1887*Definitions!$B$53)</f>
        <v>0</v>
      </c>
      <c r="X1887" s="39">
        <f>IF(AC1887="Intr",0,G1887*Definitions!$B$54)</f>
        <v>0</v>
      </c>
      <c r="Y1887" s="39">
        <f>IF(AC1887="Intr",G1887,G1887*Definitions!$B$55)</f>
        <v>0</v>
      </c>
      <c r="Z1887" s="39"/>
      <c r="AA1887" s="39"/>
      <c r="AB1887" s="39"/>
      <c r="AC1887" s="38"/>
      <c r="AD1887" s="38"/>
      <c r="AE1887" s="38"/>
      <c r="AF1887" s="38"/>
      <c r="AG1887" s="40"/>
      <c r="AH1887" s="38"/>
    </row>
    <row r="1888" spans="1:34" x14ac:dyDescent="0.2">
      <c r="A1888" s="38"/>
      <c r="B1888" s="38"/>
      <c r="C1888" s="38"/>
      <c r="D1888" s="38"/>
      <c r="E1888" s="177"/>
      <c r="F1888" s="177"/>
      <c r="G1888" s="269"/>
      <c r="H1888" s="179"/>
      <c r="I1888" s="177"/>
      <c r="J1888" s="177"/>
      <c r="K1888" s="177"/>
      <c r="L1888" s="177"/>
      <c r="M1888" s="177"/>
      <c r="N1888" s="70"/>
      <c r="O1888" s="38"/>
      <c r="P1888" s="38"/>
      <c r="Q1888" s="760"/>
      <c r="R1888" s="590"/>
      <c r="S1888" s="38"/>
      <c r="T1888" s="38"/>
      <c r="U1888" s="38"/>
      <c r="V1888" s="37"/>
      <c r="W1888" s="39">
        <f>IF(AC1888="Intr",0,G1888*Definitions!$B$53)</f>
        <v>0</v>
      </c>
      <c r="X1888" s="39">
        <f>IF(AC1888="Intr",0,G1888*Definitions!$B$54)</f>
        <v>0</v>
      </c>
      <c r="Y1888" s="39">
        <f>IF(AC1888="Intr",G1888,G1888*Definitions!$B$55)</f>
        <v>0</v>
      </c>
      <c r="Z1888" s="39"/>
      <c r="AA1888" s="39"/>
      <c r="AB1888" s="39"/>
      <c r="AC1888" s="38"/>
      <c r="AD1888" s="38"/>
      <c r="AE1888" s="38"/>
      <c r="AF1888" s="38"/>
      <c r="AG1888" s="40"/>
      <c r="AH1888" s="38"/>
    </row>
    <row r="1889" spans="1:34" x14ac:dyDescent="0.2">
      <c r="A1889" s="38"/>
      <c r="B1889" s="38"/>
      <c r="C1889" s="38"/>
      <c r="D1889" s="38"/>
      <c r="E1889" s="177"/>
      <c r="F1889" s="177"/>
      <c r="G1889" s="269"/>
      <c r="H1889" s="179"/>
      <c r="I1889" s="177"/>
      <c r="J1889" s="177"/>
      <c r="K1889" s="177"/>
      <c r="L1889" s="177"/>
      <c r="M1889" s="177"/>
      <c r="N1889" s="70"/>
      <c r="O1889" s="38"/>
      <c r="P1889" s="38"/>
      <c r="Q1889" s="760"/>
      <c r="R1889" s="590"/>
      <c r="S1889" s="38"/>
      <c r="T1889" s="38"/>
      <c r="U1889" s="38"/>
      <c r="V1889" s="37"/>
      <c r="W1889" s="39">
        <f>IF(AC1889="Intr",0,G1889*Definitions!$B$53)</f>
        <v>0</v>
      </c>
      <c r="X1889" s="39">
        <f>IF(AC1889="Intr",0,G1889*Definitions!$B$54)</f>
        <v>0</v>
      </c>
      <c r="Y1889" s="39">
        <f>IF(AC1889="Intr",G1889,G1889*Definitions!$B$55)</f>
        <v>0</v>
      </c>
      <c r="Z1889" s="39"/>
      <c r="AA1889" s="39"/>
      <c r="AB1889" s="39"/>
      <c r="AC1889" s="38"/>
      <c r="AD1889" s="38"/>
      <c r="AE1889" s="38"/>
      <c r="AF1889" s="38"/>
      <c r="AG1889" s="40"/>
      <c r="AH1889" s="38"/>
    </row>
    <row r="1890" spans="1:34" x14ac:dyDescent="0.2">
      <c r="A1890" s="38"/>
      <c r="B1890" s="38"/>
      <c r="C1890" s="38"/>
      <c r="D1890" s="38"/>
      <c r="E1890" s="177"/>
      <c r="F1890" s="177"/>
      <c r="G1890" s="269"/>
      <c r="H1890" s="179"/>
      <c r="I1890" s="177"/>
      <c r="J1890" s="177"/>
      <c r="K1890" s="177"/>
      <c r="L1890" s="177"/>
      <c r="M1890" s="177"/>
      <c r="N1890" s="70"/>
      <c r="O1890" s="38"/>
      <c r="P1890" s="38"/>
      <c r="Q1890" s="760"/>
      <c r="R1890" s="590"/>
      <c r="S1890" s="38"/>
      <c r="T1890" s="38"/>
      <c r="U1890" s="38"/>
      <c r="V1890" s="37"/>
      <c r="W1890" s="39">
        <f>IF(AC1890="Intr",0,G1890*Definitions!$B$53)</f>
        <v>0</v>
      </c>
      <c r="X1890" s="39">
        <f>IF(AC1890="Intr",0,G1890*Definitions!$B$54)</f>
        <v>0</v>
      </c>
      <c r="Y1890" s="39">
        <f>IF(AC1890="Intr",G1890,G1890*Definitions!$B$55)</f>
        <v>0</v>
      </c>
      <c r="Z1890" s="39"/>
      <c r="AA1890" s="39"/>
      <c r="AB1890" s="39"/>
      <c r="AC1890" s="38"/>
      <c r="AD1890" s="38"/>
      <c r="AE1890" s="38"/>
      <c r="AF1890" s="38"/>
      <c r="AG1890" s="40"/>
      <c r="AH1890" s="38"/>
    </row>
    <row r="1891" spans="1:34" x14ac:dyDescent="0.2">
      <c r="A1891" s="38"/>
      <c r="B1891" s="38"/>
      <c r="C1891" s="38"/>
      <c r="D1891" s="38"/>
      <c r="E1891" s="177"/>
      <c r="F1891" s="177"/>
      <c r="G1891" s="269"/>
      <c r="H1891" s="179"/>
      <c r="I1891" s="177"/>
      <c r="J1891" s="177"/>
      <c r="K1891" s="177"/>
      <c r="L1891" s="177"/>
      <c r="M1891" s="177"/>
      <c r="N1891" s="70"/>
      <c r="O1891" s="38"/>
      <c r="P1891" s="38"/>
      <c r="Q1891" s="760"/>
      <c r="R1891" s="590"/>
      <c r="S1891" s="38"/>
      <c r="T1891" s="38"/>
      <c r="U1891" s="38"/>
      <c r="V1891" s="37"/>
      <c r="W1891" s="39">
        <f>IF(AC1891="Intr",0,G1891*Definitions!$B$53)</f>
        <v>0</v>
      </c>
      <c r="X1891" s="39">
        <f>IF(AC1891="Intr",0,G1891*Definitions!$B$54)</f>
        <v>0</v>
      </c>
      <c r="Y1891" s="39">
        <f>IF(AC1891="Intr",G1891,G1891*Definitions!$B$55)</f>
        <v>0</v>
      </c>
      <c r="Z1891" s="39"/>
      <c r="AA1891" s="39"/>
      <c r="AB1891" s="39"/>
      <c r="AC1891" s="38"/>
      <c r="AD1891" s="38"/>
      <c r="AE1891" s="38"/>
      <c r="AF1891" s="38"/>
      <c r="AG1891" s="40"/>
      <c r="AH1891" s="38"/>
    </row>
    <row r="1892" spans="1:34" x14ac:dyDescent="0.2">
      <c r="A1892" s="38"/>
      <c r="B1892" s="38"/>
      <c r="C1892" s="38"/>
      <c r="D1892" s="38"/>
      <c r="E1892" s="177"/>
      <c r="F1892" s="177"/>
      <c r="G1892" s="269"/>
      <c r="H1892" s="179"/>
      <c r="I1892" s="177"/>
      <c r="J1892" s="177"/>
      <c r="K1892" s="177"/>
      <c r="L1892" s="177"/>
      <c r="M1892" s="177"/>
      <c r="N1892" s="70"/>
      <c r="O1892" s="38"/>
      <c r="P1892" s="38"/>
      <c r="Q1892" s="760"/>
      <c r="R1892" s="590"/>
      <c r="S1892" s="38"/>
      <c r="T1892" s="38"/>
      <c r="U1892" s="38"/>
      <c r="V1892" s="37"/>
      <c r="W1892" s="39">
        <f>IF(AC1892="Intr",0,G1892*Definitions!$B$53)</f>
        <v>0</v>
      </c>
      <c r="X1892" s="39">
        <f>IF(AC1892="Intr",0,G1892*Definitions!$B$54)</f>
        <v>0</v>
      </c>
      <c r="Y1892" s="39">
        <f>IF(AC1892="Intr",G1892,G1892*Definitions!$B$55)</f>
        <v>0</v>
      </c>
      <c r="Z1892" s="39"/>
      <c r="AA1892" s="39"/>
      <c r="AB1892" s="39"/>
      <c r="AC1892" s="38"/>
      <c r="AD1892" s="38"/>
      <c r="AE1892" s="38"/>
      <c r="AF1892" s="38"/>
      <c r="AG1892" s="40"/>
      <c r="AH1892" s="38"/>
    </row>
    <row r="1893" spans="1:34" x14ac:dyDescent="0.2">
      <c r="A1893" s="38"/>
      <c r="B1893" s="38"/>
      <c r="C1893" s="38"/>
      <c r="D1893" s="38"/>
      <c r="E1893" s="177"/>
      <c r="F1893" s="177"/>
      <c r="G1893" s="269"/>
      <c r="H1893" s="179"/>
      <c r="I1893" s="177"/>
      <c r="J1893" s="177"/>
      <c r="K1893" s="177"/>
      <c r="L1893" s="177"/>
      <c r="M1893" s="177"/>
      <c r="N1893" s="70"/>
      <c r="O1893" s="38"/>
      <c r="P1893" s="38"/>
      <c r="Q1893" s="760"/>
      <c r="R1893" s="590"/>
      <c r="S1893" s="38"/>
      <c r="T1893" s="38"/>
      <c r="U1893" s="38"/>
      <c r="V1893" s="37"/>
      <c r="W1893" s="39">
        <f>IF(AC1893="Intr",0,G1893*Definitions!$B$53)</f>
        <v>0</v>
      </c>
      <c r="X1893" s="39">
        <f>IF(AC1893="Intr",0,G1893*Definitions!$B$54)</f>
        <v>0</v>
      </c>
      <c r="Y1893" s="39">
        <f>IF(AC1893="Intr",G1893,G1893*Definitions!$B$55)</f>
        <v>0</v>
      </c>
      <c r="Z1893" s="39"/>
      <c r="AA1893" s="39"/>
      <c r="AB1893" s="39"/>
      <c r="AC1893" s="38"/>
      <c r="AD1893" s="38"/>
      <c r="AE1893" s="38"/>
      <c r="AF1893" s="38"/>
      <c r="AG1893" s="40"/>
      <c r="AH1893" s="38"/>
    </row>
    <row r="1894" spans="1:34" x14ac:dyDescent="0.2">
      <c r="A1894" s="38"/>
      <c r="B1894" s="38"/>
      <c r="C1894" s="38"/>
      <c r="D1894" s="38"/>
      <c r="E1894" s="177"/>
      <c r="F1894" s="177"/>
      <c r="G1894" s="269"/>
      <c r="H1894" s="179"/>
      <c r="I1894" s="177"/>
      <c r="J1894" s="177"/>
      <c r="K1894" s="177"/>
      <c r="L1894" s="177"/>
      <c r="M1894" s="177"/>
      <c r="N1894" s="70"/>
      <c r="O1894" s="38"/>
      <c r="P1894" s="38"/>
      <c r="Q1894" s="760"/>
      <c r="R1894" s="590"/>
      <c r="S1894" s="38"/>
      <c r="T1894" s="38"/>
      <c r="U1894" s="38"/>
      <c r="V1894" s="37"/>
      <c r="W1894" s="39">
        <f>IF(AC1894="Intr",0,G1894*Definitions!$B$53)</f>
        <v>0</v>
      </c>
      <c r="X1894" s="39">
        <f>IF(AC1894="Intr",0,G1894*Definitions!$B$54)</f>
        <v>0</v>
      </c>
      <c r="Y1894" s="39">
        <f>IF(AC1894="Intr",G1894,G1894*Definitions!$B$55)</f>
        <v>0</v>
      </c>
      <c r="Z1894" s="39"/>
      <c r="AA1894" s="39"/>
      <c r="AB1894" s="39"/>
      <c r="AC1894" s="38"/>
      <c r="AD1894" s="38"/>
      <c r="AE1894" s="38"/>
      <c r="AF1894" s="38"/>
      <c r="AG1894" s="40"/>
      <c r="AH1894" s="38"/>
    </row>
    <row r="1895" spans="1:34" x14ac:dyDescent="0.2">
      <c r="A1895" s="38"/>
      <c r="B1895" s="38"/>
      <c r="C1895" s="38"/>
      <c r="D1895" s="38"/>
      <c r="E1895" s="177"/>
      <c r="F1895" s="177"/>
      <c r="G1895" s="269"/>
      <c r="H1895" s="179"/>
      <c r="I1895" s="177"/>
      <c r="J1895" s="177"/>
      <c r="K1895" s="177"/>
      <c r="L1895" s="177"/>
      <c r="M1895" s="177"/>
      <c r="N1895" s="70"/>
      <c r="O1895" s="38"/>
      <c r="P1895" s="38"/>
      <c r="Q1895" s="760"/>
      <c r="R1895" s="590"/>
      <c r="S1895" s="38"/>
      <c r="T1895" s="38"/>
      <c r="U1895" s="38"/>
      <c r="V1895" s="37"/>
      <c r="W1895" s="39">
        <f>IF(AC1895="Intr",0,G1895*Definitions!$B$53)</f>
        <v>0</v>
      </c>
      <c r="X1895" s="39">
        <f>IF(AC1895="Intr",0,G1895*Definitions!$B$54)</f>
        <v>0</v>
      </c>
      <c r="Y1895" s="39">
        <f>IF(AC1895="Intr",G1895,G1895*Definitions!$B$55)</f>
        <v>0</v>
      </c>
      <c r="Z1895" s="39"/>
      <c r="AA1895" s="39"/>
      <c r="AB1895" s="39"/>
      <c r="AC1895" s="38"/>
      <c r="AD1895" s="38"/>
      <c r="AE1895" s="38"/>
      <c r="AF1895" s="38"/>
      <c r="AG1895" s="40"/>
      <c r="AH1895" s="38"/>
    </row>
    <row r="1896" spans="1:34" x14ac:dyDescent="0.2">
      <c r="A1896" s="38"/>
      <c r="B1896" s="38"/>
      <c r="C1896" s="38"/>
      <c r="D1896" s="38"/>
      <c r="E1896" s="177"/>
      <c r="F1896" s="177"/>
      <c r="G1896" s="269"/>
      <c r="H1896" s="179"/>
      <c r="I1896" s="177"/>
      <c r="J1896" s="177"/>
      <c r="K1896" s="177"/>
      <c r="L1896" s="177"/>
      <c r="M1896" s="177"/>
      <c r="N1896" s="70"/>
      <c r="O1896" s="38"/>
      <c r="P1896" s="38"/>
      <c r="Q1896" s="760"/>
      <c r="R1896" s="590"/>
      <c r="S1896" s="38"/>
      <c r="T1896" s="38"/>
      <c r="U1896" s="38"/>
      <c r="V1896" s="37"/>
      <c r="W1896" s="39">
        <f>IF(AC1896="Intr",0,G1896*Definitions!$B$53)</f>
        <v>0</v>
      </c>
      <c r="X1896" s="39">
        <f>IF(AC1896="Intr",0,G1896*Definitions!$B$54)</f>
        <v>0</v>
      </c>
      <c r="Y1896" s="39">
        <f>IF(AC1896="Intr",G1896,G1896*Definitions!$B$55)</f>
        <v>0</v>
      </c>
      <c r="Z1896" s="39"/>
      <c r="AA1896" s="39"/>
      <c r="AB1896" s="39"/>
      <c r="AC1896" s="38"/>
      <c r="AD1896" s="38"/>
      <c r="AE1896" s="38"/>
      <c r="AF1896" s="38"/>
      <c r="AG1896" s="40"/>
      <c r="AH1896" s="38"/>
    </row>
    <row r="1897" spans="1:34" x14ac:dyDescent="0.2">
      <c r="A1897" s="38"/>
      <c r="B1897" s="38"/>
      <c r="C1897" s="38"/>
      <c r="D1897" s="38"/>
      <c r="E1897" s="177"/>
      <c r="F1897" s="177"/>
      <c r="G1897" s="269"/>
      <c r="H1897" s="179"/>
      <c r="I1897" s="177"/>
      <c r="J1897" s="177"/>
      <c r="K1897" s="177"/>
      <c r="L1897" s="177"/>
      <c r="M1897" s="177"/>
      <c r="N1897" s="70"/>
      <c r="O1897" s="38"/>
      <c r="P1897" s="38"/>
      <c r="Q1897" s="760"/>
      <c r="R1897" s="590"/>
      <c r="S1897" s="38"/>
      <c r="T1897" s="38"/>
      <c r="U1897" s="38"/>
      <c r="V1897" s="37"/>
      <c r="W1897" s="39">
        <f>IF(AC1897="Intr",0,G1897*Definitions!$B$53)</f>
        <v>0</v>
      </c>
      <c r="X1897" s="39">
        <f>IF(AC1897="Intr",0,G1897*Definitions!$B$54)</f>
        <v>0</v>
      </c>
      <c r="Y1897" s="39">
        <f>IF(AC1897="Intr",G1897,G1897*Definitions!$B$55)</f>
        <v>0</v>
      </c>
      <c r="Z1897" s="39"/>
      <c r="AA1897" s="39"/>
      <c r="AB1897" s="39"/>
      <c r="AC1897" s="38"/>
      <c r="AD1897" s="38"/>
      <c r="AE1897" s="38"/>
      <c r="AF1897" s="38"/>
      <c r="AG1897" s="40"/>
      <c r="AH1897" s="38"/>
    </row>
    <row r="1898" spans="1:34" x14ac:dyDescent="0.2">
      <c r="A1898" s="38"/>
      <c r="B1898" s="38"/>
      <c r="C1898" s="38"/>
      <c r="D1898" s="38"/>
      <c r="E1898" s="177"/>
      <c r="F1898" s="177"/>
      <c r="G1898" s="269"/>
      <c r="H1898" s="179"/>
      <c r="I1898" s="177"/>
      <c r="J1898" s="177"/>
      <c r="K1898" s="177"/>
      <c r="L1898" s="177"/>
      <c r="M1898" s="177"/>
      <c r="N1898" s="70"/>
      <c r="O1898" s="38"/>
      <c r="P1898" s="38"/>
      <c r="Q1898" s="760"/>
      <c r="R1898" s="590"/>
      <c r="S1898" s="38"/>
      <c r="T1898" s="38"/>
      <c r="U1898" s="38"/>
      <c r="V1898" s="37"/>
      <c r="W1898" s="39">
        <f>IF(AC1898="Intr",0,G1898*Definitions!$B$53)</f>
        <v>0</v>
      </c>
      <c r="X1898" s="39">
        <f>IF(AC1898="Intr",0,G1898*Definitions!$B$54)</f>
        <v>0</v>
      </c>
      <c r="Y1898" s="39">
        <f>IF(AC1898="Intr",G1898,G1898*Definitions!$B$55)</f>
        <v>0</v>
      </c>
      <c r="Z1898" s="39"/>
      <c r="AA1898" s="39"/>
      <c r="AB1898" s="39"/>
      <c r="AC1898" s="38"/>
      <c r="AD1898" s="38"/>
      <c r="AE1898" s="38"/>
      <c r="AF1898" s="38"/>
      <c r="AG1898" s="40"/>
      <c r="AH1898" s="38"/>
    </row>
    <row r="1899" spans="1:34" x14ac:dyDescent="0.2">
      <c r="A1899" s="38"/>
      <c r="B1899" s="38"/>
      <c r="C1899" s="38"/>
      <c r="D1899" s="38"/>
      <c r="E1899" s="177"/>
      <c r="F1899" s="177"/>
      <c r="G1899" s="269"/>
      <c r="H1899" s="179"/>
      <c r="I1899" s="177"/>
      <c r="J1899" s="177"/>
      <c r="K1899" s="177"/>
      <c r="L1899" s="177"/>
      <c r="M1899" s="177"/>
      <c r="N1899" s="70"/>
      <c r="O1899" s="38"/>
      <c r="P1899" s="38"/>
      <c r="Q1899" s="760"/>
      <c r="R1899" s="590"/>
      <c r="S1899" s="38"/>
      <c r="T1899" s="38"/>
      <c r="U1899" s="38"/>
      <c r="V1899" s="37"/>
      <c r="W1899" s="39">
        <f>IF(AC1899="Intr",0,G1899*Definitions!$B$53)</f>
        <v>0</v>
      </c>
      <c r="X1899" s="39">
        <f>IF(AC1899="Intr",0,G1899*Definitions!$B$54)</f>
        <v>0</v>
      </c>
      <c r="Y1899" s="39">
        <f>IF(AC1899="Intr",G1899,G1899*Definitions!$B$55)</f>
        <v>0</v>
      </c>
      <c r="Z1899" s="39"/>
      <c r="AA1899" s="39"/>
      <c r="AB1899" s="39"/>
      <c r="AC1899" s="38"/>
      <c r="AD1899" s="38"/>
      <c r="AE1899" s="38"/>
      <c r="AF1899" s="38"/>
      <c r="AG1899" s="40"/>
      <c r="AH1899" s="38"/>
    </row>
    <row r="1900" spans="1:34" x14ac:dyDescent="0.2">
      <c r="A1900" s="38"/>
      <c r="B1900" s="38"/>
      <c r="C1900" s="38"/>
      <c r="D1900" s="38"/>
      <c r="E1900" s="177"/>
      <c r="F1900" s="177"/>
      <c r="G1900" s="269"/>
      <c r="H1900" s="179"/>
      <c r="I1900" s="177"/>
      <c r="J1900" s="177"/>
      <c r="K1900" s="177"/>
      <c r="L1900" s="177"/>
      <c r="M1900" s="177"/>
      <c r="N1900" s="70"/>
      <c r="O1900" s="38"/>
      <c r="P1900" s="38"/>
      <c r="Q1900" s="760"/>
      <c r="R1900" s="590"/>
      <c r="S1900" s="38"/>
      <c r="T1900" s="38"/>
      <c r="U1900" s="38"/>
      <c r="V1900" s="37"/>
      <c r="W1900" s="39">
        <f>IF(AC1900="Intr",0,G1900*Definitions!$B$53)</f>
        <v>0</v>
      </c>
      <c r="X1900" s="39">
        <f>IF(AC1900="Intr",0,G1900*Definitions!$B$54)</f>
        <v>0</v>
      </c>
      <c r="Y1900" s="39">
        <f>IF(AC1900="Intr",G1900,G1900*Definitions!$B$55)</f>
        <v>0</v>
      </c>
      <c r="Z1900" s="39"/>
      <c r="AA1900" s="39"/>
      <c r="AB1900" s="39"/>
      <c r="AC1900" s="38"/>
      <c r="AD1900" s="38"/>
      <c r="AE1900" s="38"/>
      <c r="AF1900" s="38"/>
      <c r="AG1900" s="40"/>
      <c r="AH1900" s="38"/>
    </row>
    <row r="1901" spans="1:34" x14ac:dyDescent="0.2">
      <c r="A1901" s="38"/>
      <c r="B1901" s="38"/>
      <c r="C1901" s="38"/>
      <c r="D1901" s="38"/>
      <c r="E1901" s="177"/>
      <c r="F1901" s="177"/>
      <c r="G1901" s="269"/>
      <c r="H1901" s="179"/>
      <c r="I1901" s="177"/>
      <c r="J1901" s="177"/>
      <c r="K1901" s="177"/>
      <c r="L1901" s="177"/>
      <c r="M1901" s="177"/>
      <c r="N1901" s="70"/>
      <c r="O1901" s="38"/>
      <c r="P1901" s="38"/>
      <c r="Q1901" s="760"/>
      <c r="R1901" s="590"/>
      <c r="S1901" s="38"/>
      <c r="T1901" s="38"/>
      <c r="U1901" s="38"/>
      <c r="V1901" s="37"/>
      <c r="W1901" s="39">
        <f>IF(AC1901="Intr",0,G1901*Definitions!$B$53)</f>
        <v>0</v>
      </c>
      <c r="X1901" s="39">
        <f>IF(AC1901="Intr",0,G1901*Definitions!$B$54)</f>
        <v>0</v>
      </c>
      <c r="Y1901" s="39">
        <f>IF(AC1901="Intr",G1901,G1901*Definitions!$B$55)</f>
        <v>0</v>
      </c>
      <c r="Z1901" s="39"/>
      <c r="AA1901" s="39"/>
      <c r="AB1901" s="39"/>
      <c r="AC1901" s="38"/>
      <c r="AD1901" s="38"/>
      <c r="AE1901" s="38"/>
      <c r="AF1901" s="38"/>
      <c r="AG1901" s="40"/>
      <c r="AH1901" s="38"/>
    </row>
    <row r="1902" spans="1:34" x14ac:dyDescent="0.2">
      <c r="A1902" s="38"/>
      <c r="B1902" s="38"/>
      <c r="C1902" s="38"/>
      <c r="D1902" s="38"/>
      <c r="E1902" s="177"/>
      <c r="F1902" s="177"/>
      <c r="G1902" s="269"/>
      <c r="H1902" s="179"/>
      <c r="I1902" s="177"/>
      <c r="J1902" s="177"/>
      <c r="K1902" s="177"/>
      <c r="L1902" s="177"/>
      <c r="M1902" s="177"/>
      <c r="N1902" s="70"/>
      <c r="O1902" s="38"/>
      <c r="P1902" s="38"/>
      <c r="Q1902" s="760"/>
      <c r="R1902" s="590"/>
      <c r="S1902" s="38"/>
      <c r="T1902" s="38"/>
      <c r="U1902" s="38"/>
      <c r="V1902" s="37"/>
      <c r="W1902" s="39">
        <f>IF(AC1902="Intr",0,G1902*Definitions!$B$53)</f>
        <v>0</v>
      </c>
      <c r="X1902" s="39">
        <f>IF(AC1902="Intr",0,G1902*Definitions!$B$54)</f>
        <v>0</v>
      </c>
      <c r="Y1902" s="39">
        <f>IF(AC1902="Intr",G1902,G1902*Definitions!$B$55)</f>
        <v>0</v>
      </c>
      <c r="Z1902" s="39"/>
      <c r="AA1902" s="39"/>
      <c r="AB1902" s="39"/>
      <c r="AC1902" s="38"/>
      <c r="AD1902" s="38"/>
      <c r="AE1902" s="38"/>
      <c r="AF1902" s="38"/>
      <c r="AG1902" s="40"/>
      <c r="AH1902" s="38"/>
    </row>
    <row r="1903" spans="1:34" x14ac:dyDescent="0.2">
      <c r="A1903" s="38"/>
      <c r="B1903" s="38"/>
      <c r="C1903" s="38"/>
      <c r="D1903" s="38"/>
      <c r="E1903" s="177"/>
      <c r="F1903" s="177"/>
      <c r="G1903" s="269"/>
      <c r="H1903" s="179"/>
      <c r="I1903" s="177"/>
      <c r="J1903" s="177"/>
      <c r="K1903" s="177"/>
      <c r="L1903" s="177"/>
      <c r="M1903" s="177"/>
      <c r="N1903" s="70"/>
      <c r="O1903" s="38"/>
      <c r="P1903" s="38"/>
      <c r="Q1903" s="760"/>
      <c r="R1903" s="590"/>
      <c r="S1903" s="38"/>
      <c r="T1903" s="38"/>
      <c r="U1903" s="38"/>
      <c r="V1903" s="37"/>
      <c r="W1903" s="39">
        <f>IF(AC1903="Intr",0,G1903*Definitions!$B$53)</f>
        <v>0</v>
      </c>
      <c r="X1903" s="39">
        <f>IF(AC1903="Intr",0,G1903*Definitions!$B$54)</f>
        <v>0</v>
      </c>
      <c r="Y1903" s="39">
        <f>IF(AC1903="Intr",G1903,G1903*Definitions!$B$55)</f>
        <v>0</v>
      </c>
      <c r="Z1903" s="39"/>
      <c r="AA1903" s="39"/>
      <c r="AB1903" s="39"/>
      <c r="AC1903" s="38"/>
      <c r="AD1903" s="38"/>
      <c r="AE1903" s="38"/>
      <c r="AF1903" s="38"/>
      <c r="AG1903" s="40"/>
      <c r="AH1903" s="38"/>
    </row>
    <row r="1904" spans="1:34" x14ac:dyDescent="0.2">
      <c r="A1904" s="38"/>
      <c r="B1904" s="38"/>
      <c r="C1904" s="38"/>
      <c r="D1904" s="38"/>
      <c r="E1904" s="177"/>
      <c r="F1904" s="177"/>
      <c r="G1904" s="269"/>
      <c r="H1904" s="179"/>
      <c r="I1904" s="177"/>
      <c r="J1904" s="177"/>
      <c r="K1904" s="177"/>
      <c r="L1904" s="177"/>
      <c r="M1904" s="177"/>
      <c r="N1904" s="70"/>
      <c r="O1904" s="38"/>
      <c r="P1904" s="38"/>
      <c r="Q1904" s="760"/>
      <c r="R1904" s="590"/>
      <c r="S1904" s="38"/>
      <c r="T1904" s="38"/>
      <c r="U1904" s="38"/>
      <c r="V1904" s="37"/>
      <c r="W1904" s="39">
        <f>IF(AC1904="Intr",0,G1904*Definitions!$B$53)</f>
        <v>0</v>
      </c>
      <c r="X1904" s="39">
        <f>IF(AC1904="Intr",0,G1904*Definitions!$B$54)</f>
        <v>0</v>
      </c>
      <c r="Y1904" s="39">
        <f>IF(AC1904="Intr",G1904,G1904*Definitions!$B$55)</f>
        <v>0</v>
      </c>
      <c r="Z1904" s="39"/>
      <c r="AA1904" s="39"/>
      <c r="AB1904" s="39"/>
      <c r="AC1904" s="38"/>
      <c r="AD1904" s="38"/>
      <c r="AE1904" s="38"/>
      <c r="AF1904" s="38"/>
      <c r="AG1904" s="40"/>
      <c r="AH1904" s="38"/>
    </row>
    <row r="1905" spans="1:34" x14ac:dyDescent="0.2">
      <c r="A1905" s="38"/>
      <c r="B1905" s="38"/>
      <c r="C1905" s="38"/>
      <c r="D1905" s="38"/>
      <c r="E1905" s="177"/>
      <c r="F1905" s="177"/>
      <c r="G1905" s="269"/>
      <c r="H1905" s="179"/>
      <c r="I1905" s="177"/>
      <c r="J1905" s="177"/>
      <c r="K1905" s="177"/>
      <c r="L1905" s="177"/>
      <c r="M1905" s="177"/>
      <c r="N1905" s="70"/>
      <c r="O1905" s="38"/>
      <c r="P1905" s="38"/>
      <c r="Q1905" s="760"/>
      <c r="R1905" s="590"/>
      <c r="S1905" s="38"/>
      <c r="T1905" s="38"/>
      <c r="U1905" s="38"/>
      <c r="V1905" s="37"/>
      <c r="W1905" s="39">
        <f>IF(AC1905="Intr",0,G1905*Definitions!$B$53)</f>
        <v>0</v>
      </c>
      <c r="X1905" s="39">
        <f>IF(AC1905="Intr",0,G1905*Definitions!$B$54)</f>
        <v>0</v>
      </c>
      <c r="Y1905" s="39">
        <f>IF(AC1905="Intr",G1905,G1905*Definitions!$B$55)</f>
        <v>0</v>
      </c>
      <c r="Z1905" s="39"/>
      <c r="AA1905" s="39"/>
      <c r="AB1905" s="39"/>
      <c r="AC1905" s="38"/>
      <c r="AD1905" s="38"/>
      <c r="AE1905" s="38"/>
      <c r="AF1905" s="38"/>
      <c r="AG1905" s="40"/>
      <c r="AH1905" s="38"/>
    </row>
    <row r="1906" spans="1:34" x14ac:dyDescent="0.2">
      <c r="A1906" s="38"/>
      <c r="B1906" s="38"/>
      <c r="C1906" s="38"/>
      <c r="D1906" s="38"/>
      <c r="E1906" s="177"/>
      <c r="F1906" s="177"/>
      <c r="G1906" s="269"/>
      <c r="H1906" s="179"/>
      <c r="I1906" s="177"/>
      <c r="J1906" s="177"/>
      <c r="K1906" s="177"/>
      <c r="L1906" s="177"/>
      <c r="M1906" s="177"/>
      <c r="N1906" s="70"/>
      <c r="O1906" s="38"/>
      <c r="P1906" s="38"/>
      <c r="Q1906" s="760"/>
      <c r="R1906" s="590"/>
      <c r="S1906" s="38"/>
      <c r="T1906" s="38"/>
      <c r="U1906" s="38"/>
      <c r="V1906" s="37"/>
      <c r="W1906" s="39">
        <f>IF(AC1906="Intr",0,G1906*Definitions!$B$53)</f>
        <v>0</v>
      </c>
      <c r="X1906" s="39">
        <f>IF(AC1906="Intr",0,G1906*Definitions!$B$54)</f>
        <v>0</v>
      </c>
      <c r="Y1906" s="39">
        <f>IF(AC1906="Intr",G1906,G1906*Definitions!$B$55)</f>
        <v>0</v>
      </c>
      <c r="Z1906" s="39"/>
      <c r="AA1906" s="39"/>
      <c r="AB1906" s="39"/>
      <c r="AC1906" s="38"/>
      <c r="AD1906" s="38"/>
      <c r="AE1906" s="38"/>
      <c r="AF1906" s="38"/>
      <c r="AG1906" s="40"/>
      <c r="AH1906" s="38"/>
    </row>
    <row r="1907" spans="1:34" x14ac:dyDescent="0.2">
      <c r="A1907" s="38"/>
      <c r="B1907" s="38"/>
      <c r="C1907" s="38"/>
      <c r="D1907" s="38"/>
      <c r="E1907" s="177"/>
      <c r="F1907" s="177"/>
      <c r="G1907" s="269"/>
      <c r="H1907" s="179"/>
      <c r="I1907" s="177"/>
      <c r="J1907" s="177"/>
      <c r="K1907" s="177"/>
      <c r="L1907" s="177"/>
      <c r="M1907" s="177"/>
      <c r="N1907" s="70"/>
      <c r="O1907" s="38"/>
      <c r="P1907" s="38"/>
      <c r="Q1907" s="760"/>
      <c r="R1907" s="590"/>
      <c r="S1907" s="38"/>
      <c r="T1907" s="38"/>
      <c r="U1907" s="38"/>
      <c r="V1907" s="37"/>
      <c r="W1907" s="39">
        <f>IF(AC1907="Intr",0,G1907*Definitions!$B$53)</f>
        <v>0</v>
      </c>
      <c r="X1907" s="39">
        <f>IF(AC1907="Intr",0,G1907*Definitions!$B$54)</f>
        <v>0</v>
      </c>
      <c r="Y1907" s="39">
        <f>IF(AC1907="Intr",G1907,G1907*Definitions!$B$55)</f>
        <v>0</v>
      </c>
      <c r="Z1907" s="39"/>
      <c r="AA1907" s="39"/>
      <c r="AB1907" s="39"/>
      <c r="AC1907" s="38"/>
      <c r="AD1907" s="38"/>
      <c r="AE1907" s="38"/>
      <c r="AF1907" s="38"/>
      <c r="AG1907" s="40"/>
      <c r="AH1907" s="38"/>
    </row>
    <row r="1908" spans="1:34" x14ac:dyDescent="0.2">
      <c r="A1908" s="38"/>
      <c r="B1908" s="38"/>
      <c r="C1908" s="38"/>
      <c r="D1908" s="38"/>
      <c r="E1908" s="177"/>
      <c r="F1908" s="177"/>
      <c r="G1908" s="269"/>
      <c r="H1908" s="179"/>
      <c r="I1908" s="177"/>
      <c r="J1908" s="177"/>
      <c r="K1908" s="177"/>
      <c r="L1908" s="177"/>
      <c r="M1908" s="177"/>
      <c r="N1908" s="70"/>
      <c r="O1908" s="38"/>
      <c r="P1908" s="38"/>
      <c r="Q1908" s="760"/>
      <c r="R1908" s="590"/>
      <c r="S1908" s="38"/>
      <c r="T1908" s="38"/>
      <c r="U1908" s="38"/>
      <c r="V1908" s="37"/>
      <c r="W1908" s="39">
        <f>IF(AC1908="Intr",0,G1908*Definitions!$B$53)</f>
        <v>0</v>
      </c>
      <c r="X1908" s="39">
        <f>IF(AC1908="Intr",0,G1908*Definitions!$B$54)</f>
        <v>0</v>
      </c>
      <c r="Y1908" s="39">
        <f>IF(AC1908="Intr",G1908,G1908*Definitions!$B$55)</f>
        <v>0</v>
      </c>
      <c r="Z1908" s="39"/>
      <c r="AA1908" s="39"/>
      <c r="AB1908" s="39"/>
      <c r="AC1908" s="38"/>
      <c r="AD1908" s="38"/>
      <c r="AE1908" s="38"/>
      <c r="AF1908" s="38"/>
      <c r="AG1908" s="40"/>
      <c r="AH1908" s="38"/>
    </row>
    <row r="1909" spans="1:34" x14ac:dyDescent="0.2">
      <c r="A1909" s="38"/>
      <c r="B1909" s="38"/>
      <c r="C1909" s="38"/>
      <c r="D1909" s="38"/>
      <c r="E1909" s="177"/>
      <c r="F1909" s="177"/>
      <c r="G1909" s="269"/>
      <c r="H1909" s="179"/>
      <c r="I1909" s="177"/>
      <c r="J1909" s="177"/>
      <c r="K1909" s="177"/>
      <c r="L1909" s="177"/>
      <c r="M1909" s="177"/>
      <c r="N1909" s="70"/>
      <c r="O1909" s="38"/>
      <c r="P1909" s="38"/>
      <c r="Q1909" s="760"/>
      <c r="R1909" s="590"/>
      <c r="S1909" s="38"/>
      <c r="T1909" s="38"/>
      <c r="U1909" s="38"/>
      <c r="V1909" s="37"/>
      <c r="W1909" s="39">
        <f>IF(AC1909="Intr",0,G1909*Definitions!$B$53)</f>
        <v>0</v>
      </c>
      <c r="X1909" s="39">
        <f>IF(AC1909="Intr",0,G1909*Definitions!$B$54)</f>
        <v>0</v>
      </c>
      <c r="Y1909" s="39">
        <f>IF(AC1909="Intr",G1909,G1909*Definitions!$B$55)</f>
        <v>0</v>
      </c>
      <c r="Z1909" s="39"/>
      <c r="AA1909" s="39"/>
      <c r="AB1909" s="39"/>
      <c r="AC1909" s="38"/>
      <c r="AD1909" s="38"/>
      <c r="AE1909" s="38"/>
      <c r="AF1909" s="38"/>
      <c r="AG1909" s="40"/>
      <c r="AH1909" s="38"/>
    </row>
    <row r="1910" spans="1:34" x14ac:dyDescent="0.2">
      <c r="A1910" s="38"/>
      <c r="B1910" s="38"/>
      <c r="C1910" s="38"/>
      <c r="D1910" s="38"/>
      <c r="E1910" s="177"/>
      <c r="F1910" s="177"/>
      <c r="G1910" s="269"/>
      <c r="H1910" s="179"/>
      <c r="I1910" s="177"/>
      <c r="J1910" s="177"/>
      <c r="K1910" s="177"/>
      <c r="L1910" s="177"/>
      <c r="M1910" s="177"/>
      <c r="N1910" s="70"/>
      <c r="O1910" s="38"/>
      <c r="P1910" s="38"/>
      <c r="Q1910" s="760"/>
      <c r="R1910" s="590"/>
      <c r="S1910" s="38"/>
      <c r="T1910" s="38"/>
      <c r="U1910" s="38"/>
      <c r="V1910" s="37"/>
      <c r="W1910" s="39">
        <f>IF(AC1910="Intr",0,G1910*Definitions!$B$53)</f>
        <v>0</v>
      </c>
      <c r="X1910" s="39">
        <f>IF(AC1910="Intr",0,G1910*Definitions!$B$54)</f>
        <v>0</v>
      </c>
      <c r="Y1910" s="39">
        <f>IF(AC1910="Intr",G1910,G1910*Definitions!$B$55)</f>
        <v>0</v>
      </c>
      <c r="Z1910" s="39"/>
      <c r="AA1910" s="39"/>
      <c r="AB1910" s="39"/>
      <c r="AC1910" s="38"/>
      <c r="AD1910" s="38"/>
      <c r="AE1910" s="38"/>
      <c r="AF1910" s="38"/>
      <c r="AG1910" s="40"/>
      <c r="AH1910" s="38"/>
    </row>
    <row r="1911" spans="1:34" x14ac:dyDescent="0.2">
      <c r="A1911" s="38"/>
      <c r="B1911" s="38"/>
      <c r="C1911" s="38"/>
      <c r="D1911" s="38"/>
      <c r="E1911" s="177"/>
      <c r="F1911" s="177"/>
      <c r="G1911" s="269"/>
      <c r="H1911" s="179"/>
      <c r="I1911" s="177"/>
      <c r="J1911" s="177"/>
      <c r="K1911" s="177"/>
      <c r="L1911" s="177"/>
      <c r="M1911" s="177"/>
      <c r="N1911" s="70"/>
      <c r="O1911" s="38"/>
      <c r="P1911" s="38"/>
      <c r="Q1911" s="760"/>
      <c r="R1911" s="590"/>
      <c r="S1911" s="38"/>
      <c r="T1911" s="38"/>
      <c r="U1911" s="38"/>
      <c r="V1911" s="37"/>
      <c r="W1911" s="39">
        <f>IF(AC1911="Intr",0,G1911*Definitions!$B$53)</f>
        <v>0</v>
      </c>
      <c r="X1911" s="39">
        <f>IF(AC1911="Intr",0,G1911*Definitions!$B$54)</f>
        <v>0</v>
      </c>
      <c r="Y1911" s="39">
        <f>IF(AC1911="Intr",G1911,G1911*Definitions!$B$55)</f>
        <v>0</v>
      </c>
      <c r="Z1911" s="39"/>
      <c r="AA1911" s="39"/>
      <c r="AB1911" s="39"/>
      <c r="AC1911" s="38"/>
      <c r="AD1911" s="38"/>
      <c r="AE1911" s="38"/>
      <c r="AF1911" s="38"/>
      <c r="AG1911" s="40"/>
      <c r="AH1911" s="38"/>
    </row>
    <row r="1912" spans="1:34" x14ac:dyDescent="0.2">
      <c r="A1912" s="38"/>
      <c r="B1912" s="38"/>
      <c r="C1912" s="38"/>
      <c r="D1912" s="38"/>
      <c r="E1912" s="177"/>
      <c r="F1912" s="177"/>
      <c r="G1912" s="269"/>
      <c r="H1912" s="179"/>
      <c r="I1912" s="177"/>
      <c r="J1912" s="177"/>
      <c r="K1912" s="177"/>
      <c r="L1912" s="177"/>
      <c r="M1912" s="177"/>
      <c r="N1912" s="70"/>
      <c r="O1912" s="38"/>
      <c r="P1912" s="38"/>
      <c r="Q1912" s="760"/>
      <c r="R1912" s="590"/>
      <c r="S1912" s="38"/>
      <c r="T1912" s="38"/>
      <c r="U1912" s="38"/>
      <c r="V1912" s="37"/>
      <c r="W1912" s="39">
        <f>IF(AC1912="Intr",0,G1912*Definitions!$B$53)</f>
        <v>0</v>
      </c>
      <c r="X1912" s="39">
        <f>IF(AC1912="Intr",0,G1912*Definitions!$B$54)</f>
        <v>0</v>
      </c>
      <c r="Y1912" s="39">
        <f>IF(AC1912="Intr",G1912,G1912*Definitions!$B$55)</f>
        <v>0</v>
      </c>
      <c r="Z1912" s="39"/>
      <c r="AA1912" s="39"/>
      <c r="AB1912" s="39"/>
      <c r="AC1912" s="38"/>
      <c r="AD1912" s="38"/>
      <c r="AE1912" s="38"/>
      <c r="AF1912" s="38"/>
      <c r="AG1912" s="40"/>
      <c r="AH1912" s="38"/>
    </row>
    <row r="1913" spans="1:34" x14ac:dyDescent="0.2">
      <c r="A1913" s="38"/>
      <c r="B1913" s="38"/>
      <c r="C1913" s="38"/>
      <c r="D1913" s="38"/>
      <c r="E1913" s="177"/>
      <c r="F1913" s="177"/>
      <c r="G1913" s="269"/>
      <c r="H1913" s="179"/>
      <c r="I1913" s="177"/>
      <c r="J1913" s="177"/>
      <c r="K1913" s="177"/>
      <c r="L1913" s="177"/>
      <c r="M1913" s="177"/>
      <c r="N1913" s="70"/>
      <c r="O1913" s="38"/>
      <c r="P1913" s="38"/>
      <c r="Q1913" s="760"/>
      <c r="R1913" s="590"/>
      <c r="S1913" s="38"/>
      <c r="T1913" s="38"/>
      <c r="U1913" s="38"/>
      <c r="V1913" s="37"/>
      <c r="W1913" s="39">
        <f>IF(AC1913="Intr",0,G1913*Definitions!$B$53)</f>
        <v>0</v>
      </c>
      <c r="X1913" s="39">
        <f>IF(AC1913="Intr",0,G1913*Definitions!$B$54)</f>
        <v>0</v>
      </c>
      <c r="Y1913" s="39">
        <f>IF(AC1913="Intr",G1913,G1913*Definitions!$B$55)</f>
        <v>0</v>
      </c>
      <c r="Z1913" s="39"/>
      <c r="AA1913" s="39"/>
      <c r="AB1913" s="39"/>
      <c r="AC1913" s="38"/>
      <c r="AD1913" s="38"/>
      <c r="AE1913" s="38"/>
      <c r="AF1913" s="38"/>
      <c r="AG1913" s="40"/>
      <c r="AH1913" s="38"/>
    </row>
    <row r="1914" spans="1:34" x14ac:dyDescent="0.2">
      <c r="A1914" s="38"/>
      <c r="B1914" s="38"/>
      <c r="C1914" s="38"/>
      <c r="D1914" s="38"/>
      <c r="E1914" s="177"/>
      <c r="F1914" s="177"/>
      <c r="G1914" s="269"/>
      <c r="H1914" s="179"/>
      <c r="I1914" s="177"/>
      <c r="J1914" s="177"/>
      <c r="K1914" s="177"/>
      <c r="L1914" s="177"/>
      <c r="M1914" s="177"/>
      <c r="N1914" s="70"/>
      <c r="O1914" s="38"/>
      <c r="P1914" s="38"/>
      <c r="Q1914" s="760"/>
      <c r="R1914" s="590"/>
      <c r="S1914" s="38"/>
      <c r="T1914" s="38"/>
      <c r="U1914" s="38"/>
      <c r="V1914" s="37"/>
      <c r="W1914" s="39">
        <f>IF(AC1914="Intr",0,G1914*Definitions!$B$53)</f>
        <v>0</v>
      </c>
      <c r="X1914" s="39">
        <f>IF(AC1914="Intr",0,G1914*Definitions!$B$54)</f>
        <v>0</v>
      </c>
      <c r="Y1914" s="39">
        <f>IF(AC1914="Intr",G1914,G1914*Definitions!$B$55)</f>
        <v>0</v>
      </c>
      <c r="Z1914" s="39"/>
      <c r="AA1914" s="39"/>
      <c r="AB1914" s="39"/>
      <c r="AC1914" s="38"/>
      <c r="AD1914" s="38"/>
      <c r="AE1914" s="38"/>
      <c r="AF1914" s="38"/>
      <c r="AG1914" s="40"/>
      <c r="AH1914" s="38"/>
    </row>
    <row r="1915" spans="1:34" x14ac:dyDescent="0.2">
      <c r="A1915" s="38"/>
      <c r="B1915" s="38"/>
      <c r="C1915" s="38"/>
      <c r="D1915" s="38"/>
      <c r="E1915" s="177"/>
      <c r="F1915" s="177"/>
      <c r="G1915" s="269"/>
      <c r="H1915" s="179"/>
      <c r="I1915" s="177"/>
      <c r="J1915" s="177"/>
      <c r="K1915" s="177"/>
      <c r="L1915" s="177"/>
      <c r="M1915" s="177"/>
      <c r="N1915" s="70"/>
      <c r="O1915" s="38"/>
      <c r="P1915" s="38"/>
      <c r="Q1915" s="760"/>
      <c r="R1915" s="590"/>
      <c r="S1915" s="38"/>
      <c r="T1915" s="38"/>
      <c r="U1915" s="38"/>
      <c r="V1915" s="37"/>
      <c r="W1915" s="39">
        <f>IF(AC1915="Intr",0,G1915*Definitions!$B$53)</f>
        <v>0</v>
      </c>
      <c r="X1915" s="39">
        <f>IF(AC1915="Intr",0,G1915*Definitions!$B$54)</f>
        <v>0</v>
      </c>
      <c r="Y1915" s="39">
        <f>IF(AC1915="Intr",G1915,G1915*Definitions!$B$55)</f>
        <v>0</v>
      </c>
      <c r="Z1915" s="39"/>
      <c r="AA1915" s="39"/>
      <c r="AB1915" s="39"/>
      <c r="AC1915" s="38"/>
      <c r="AD1915" s="38"/>
      <c r="AE1915" s="38"/>
      <c r="AF1915" s="38"/>
      <c r="AG1915" s="40"/>
      <c r="AH1915" s="38"/>
    </row>
    <row r="1916" spans="1:34" x14ac:dyDescent="0.2">
      <c r="A1916" s="38"/>
      <c r="B1916" s="38"/>
      <c r="C1916" s="38"/>
      <c r="D1916" s="38"/>
      <c r="E1916" s="177"/>
      <c r="F1916" s="177"/>
      <c r="G1916" s="269"/>
      <c r="H1916" s="179"/>
      <c r="I1916" s="177"/>
      <c r="J1916" s="177"/>
      <c r="K1916" s="177"/>
      <c r="L1916" s="177"/>
      <c r="M1916" s="177"/>
      <c r="N1916" s="70"/>
      <c r="O1916" s="38"/>
      <c r="P1916" s="38"/>
      <c r="Q1916" s="760"/>
      <c r="R1916" s="590"/>
      <c r="S1916" s="38"/>
      <c r="T1916" s="38"/>
      <c r="U1916" s="38"/>
      <c r="V1916" s="37"/>
      <c r="W1916" s="39">
        <f>IF(AC1916="Intr",0,G1916*Definitions!$B$53)</f>
        <v>0</v>
      </c>
      <c r="X1916" s="39">
        <f>IF(AC1916="Intr",0,G1916*Definitions!$B$54)</f>
        <v>0</v>
      </c>
      <c r="Y1916" s="39">
        <f>IF(AC1916="Intr",G1916,G1916*Definitions!$B$55)</f>
        <v>0</v>
      </c>
      <c r="Z1916" s="39"/>
      <c r="AA1916" s="39"/>
      <c r="AB1916" s="39"/>
      <c r="AC1916" s="38"/>
      <c r="AD1916" s="38"/>
      <c r="AE1916" s="38"/>
      <c r="AF1916" s="38"/>
      <c r="AG1916" s="40"/>
      <c r="AH1916" s="38"/>
    </row>
    <row r="1917" spans="1:34" x14ac:dyDescent="0.2">
      <c r="A1917" s="38"/>
      <c r="B1917" s="38"/>
      <c r="C1917" s="38"/>
      <c r="D1917" s="38"/>
      <c r="E1917" s="177"/>
      <c r="F1917" s="177"/>
      <c r="G1917" s="269"/>
      <c r="H1917" s="179"/>
      <c r="I1917" s="177"/>
      <c r="J1917" s="177"/>
      <c r="K1917" s="177"/>
      <c r="L1917" s="177"/>
      <c r="M1917" s="177"/>
      <c r="N1917" s="70"/>
      <c r="O1917" s="38"/>
      <c r="P1917" s="38"/>
      <c r="Q1917" s="760"/>
      <c r="R1917" s="590"/>
      <c r="S1917" s="38"/>
      <c r="T1917" s="38"/>
      <c r="U1917" s="38"/>
      <c r="V1917" s="37"/>
      <c r="W1917" s="39">
        <f>IF(AC1917="Intr",0,G1917*Definitions!$B$53)</f>
        <v>0</v>
      </c>
      <c r="X1917" s="39">
        <f>IF(AC1917="Intr",0,G1917*Definitions!$B$54)</f>
        <v>0</v>
      </c>
      <c r="Y1917" s="39">
        <f>IF(AC1917="Intr",G1917,G1917*Definitions!$B$55)</f>
        <v>0</v>
      </c>
      <c r="Z1917" s="39"/>
      <c r="AA1917" s="39"/>
      <c r="AB1917" s="39"/>
      <c r="AC1917" s="38"/>
      <c r="AD1917" s="38"/>
      <c r="AE1917" s="38"/>
      <c r="AF1917" s="38"/>
      <c r="AG1917" s="40"/>
      <c r="AH1917" s="38"/>
    </row>
    <row r="1918" spans="1:34" x14ac:dyDescent="0.2">
      <c r="A1918" s="38"/>
      <c r="B1918" s="38"/>
      <c r="C1918" s="38"/>
      <c r="D1918" s="38"/>
      <c r="E1918" s="177"/>
      <c r="F1918" s="177"/>
      <c r="G1918" s="269"/>
      <c r="H1918" s="179"/>
      <c r="I1918" s="177"/>
      <c r="J1918" s="177"/>
      <c r="K1918" s="177"/>
      <c r="L1918" s="177"/>
      <c r="M1918" s="177"/>
      <c r="N1918" s="70"/>
      <c r="O1918" s="38"/>
      <c r="P1918" s="38"/>
      <c r="Q1918" s="760"/>
      <c r="R1918" s="590"/>
      <c r="S1918" s="38"/>
      <c r="T1918" s="38"/>
      <c r="U1918" s="38"/>
      <c r="V1918" s="37"/>
      <c r="W1918" s="39">
        <f>IF(AC1918="Intr",0,G1918*Definitions!$B$53)</f>
        <v>0</v>
      </c>
      <c r="X1918" s="39">
        <f>IF(AC1918="Intr",0,G1918*Definitions!$B$54)</f>
        <v>0</v>
      </c>
      <c r="Y1918" s="39">
        <f>IF(AC1918="Intr",G1918,G1918*Definitions!$B$55)</f>
        <v>0</v>
      </c>
      <c r="Z1918" s="39"/>
      <c r="AA1918" s="39"/>
      <c r="AB1918" s="39"/>
      <c r="AC1918" s="38"/>
      <c r="AD1918" s="38"/>
      <c r="AE1918" s="38"/>
      <c r="AF1918" s="38"/>
      <c r="AG1918" s="40"/>
      <c r="AH1918" s="38"/>
    </row>
    <row r="1919" spans="1:34" x14ac:dyDescent="0.2">
      <c r="A1919" s="38"/>
      <c r="B1919" s="38"/>
      <c r="C1919" s="38"/>
      <c r="D1919" s="38"/>
      <c r="E1919" s="177"/>
      <c r="F1919" s="177"/>
      <c r="G1919" s="269"/>
      <c r="H1919" s="179"/>
      <c r="I1919" s="177"/>
      <c r="J1919" s="177"/>
      <c r="K1919" s="177"/>
      <c r="L1919" s="177"/>
      <c r="M1919" s="177"/>
      <c r="N1919" s="70"/>
      <c r="O1919" s="38"/>
      <c r="P1919" s="38"/>
      <c r="Q1919" s="760"/>
      <c r="R1919" s="590"/>
      <c r="S1919" s="38"/>
      <c r="T1919" s="38"/>
      <c r="U1919" s="38"/>
      <c r="V1919" s="37"/>
      <c r="W1919" s="39">
        <f>IF(AC1919="Intr",0,G1919*Definitions!$B$53)</f>
        <v>0</v>
      </c>
      <c r="X1919" s="39">
        <f>IF(AC1919="Intr",0,G1919*Definitions!$B$54)</f>
        <v>0</v>
      </c>
      <c r="Y1919" s="39">
        <f>IF(AC1919="Intr",G1919,G1919*Definitions!$B$55)</f>
        <v>0</v>
      </c>
      <c r="Z1919" s="39"/>
      <c r="AA1919" s="39"/>
      <c r="AB1919" s="39"/>
      <c r="AC1919" s="38"/>
      <c r="AD1919" s="38"/>
      <c r="AE1919" s="38"/>
      <c r="AF1919" s="38"/>
      <c r="AG1919" s="40"/>
      <c r="AH1919" s="38"/>
    </row>
    <row r="1920" spans="1:34" x14ac:dyDescent="0.2">
      <c r="A1920" s="38"/>
      <c r="B1920" s="38"/>
      <c r="C1920" s="38"/>
      <c r="D1920" s="38"/>
      <c r="E1920" s="177"/>
      <c r="F1920" s="177"/>
      <c r="G1920" s="269"/>
      <c r="H1920" s="179"/>
      <c r="I1920" s="177"/>
      <c r="J1920" s="177"/>
      <c r="K1920" s="177"/>
      <c r="L1920" s="177"/>
      <c r="M1920" s="177"/>
      <c r="N1920" s="70"/>
      <c r="O1920" s="38"/>
      <c r="P1920" s="38"/>
      <c r="Q1920" s="760"/>
      <c r="R1920" s="590"/>
      <c r="S1920" s="38"/>
      <c r="T1920" s="38"/>
      <c r="U1920" s="38"/>
      <c r="V1920" s="37"/>
      <c r="W1920" s="39">
        <f>IF(AC1920="Intr",0,G1920*Definitions!$B$53)</f>
        <v>0</v>
      </c>
      <c r="X1920" s="39">
        <f>IF(AC1920="Intr",0,G1920*Definitions!$B$54)</f>
        <v>0</v>
      </c>
      <c r="Y1920" s="39">
        <f>IF(AC1920="Intr",G1920,G1920*Definitions!$B$55)</f>
        <v>0</v>
      </c>
      <c r="Z1920" s="39"/>
      <c r="AA1920" s="39"/>
      <c r="AB1920" s="39"/>
      <c r="AC1920" s="38"/>
      <c r="AD1920" s="38"/>
      <c r="AE1920" s="38"/>
      <c r="AF1920" s="38"/>
      <c r="AG1920" s="40"/>
      <c r="AH1920" s="38"/>
    </row>
    <row r="1921" spans="1:34" x14ac:dyDescent="0.2">
      <c r="A1921" s="38"/>
      <c r="B1921" s="38"/>
      <c r="C1921" s="38"/>
      <c r="D1921" s="38"/>
      <c r="E1921" s="177"/>
      <c r="F1921" s="177"/>
      <c r="G1921" s="269"/>
      <c r="H1921" s="179"/>
      <c r="I1921" s="177"/>
      <c r="J1921" s="177"/>
      <c r="K1921" s="177"/>
      <c r="L1921" s="177"/>
      <c r="M1921" s="177"/>
      <c r="N1921" s="70"/>
      <c r="O1921" s="38"/>
      <c r="P1921" s="38"/>
      <c r="Q1921" s="760"/>
      <c r="R1921" s="590"/>
      <c r="S1921" s="38"/>
      <c r="T1921" s="38"/>
      <c r="U1921" s="38"/>
      <c r="V1921" s="37"/>
      <c r="W1921" s="39">
        <f>IF(AC1921="Intr",0,G1921*Definitions!$B$53)</f>
        <v>0</v>
      </c>
      <c r="X1921" s="39">
        <f>IF(AC1921="Intr",0,G1921*Definitions!$B$54)</f>
        <v>0</v>
      </c>
      <c r="Y1921" s="39">
        <f>IF(AC1921="Intr",G1921,G1921*Definitions!$B$55)</f>
        <v>0</v>
      </c>
      <c r="Z1921" s="39"/>
      <c r="AA1921" s="39"/>
      <c r="AB1921" s="39"/>
      <c r="AC1921" s="38"/>
      <c r="AD1921" s="38"/>
      <c r="AE1921" s="38"/>
      <c r="AF1921" s="38"/>
      <c r="AG1921" s="40"/>
      <c r="AH1921" s="38"/>
    </row>
    <row r="1922" spans="1:34" x14ac:dyDescent="0.2">
      <c r="A1922" s="38"/>
      <c r="B1922" s="38"/>
      <c r="C1922" s="38"/>
      <c r="D1922" s="38"/>
      <c r="E1922" s="177"/>
      <c r="F1922" s="177"/>
      <c r="G1922" s="269"/>
      <c r="H1922" s="179"/>
      <c r="I1922" s="177"/>
      <c r="J1922" s="177"/>
      <c r="K1922" s="177"/>
      <c r="L1922" s="177"/>
      <c r="M1922" s="177"/>
      <c r="N1922" s="70"/>
      <c r="O1922" s="38"/>
      <c r="P1922" s="38"/>
      <c r="Q1922" s="760"/>
      <c r="R1922" s="590"/>
      <c r="S1922" s="38"/>
      <c r="T1922" s="38"/>
      <c r="U1922" s="38"/>
      <c r="V1922" s="37"/>
      <c r="W1922" s="39">
        <f>IF(AC1922="Intr",0,G1922*Definitions!$B$53)</f>
        <v>0</v>
      </c>
      <c r="X1922" s="39">
        <f>IF(AC1922="Intr",0,G1922*Definitions!$B$54)</f>
        <v>0</v>
      </c>
      <c r="Y1922" s="39">
        <f>IF(AC1922="Intr",G1922,G1922*Definitions!$B$55)</f>
        <v>0</v>
      </c>
      <c r="Z1922" s="39"/>
      <c r="AA1922" s="39"/>
      <c r="AB1922" s="39"/>
      <c r="AC1922" s="38"/>
      <c r="AD1922" s="38"/>
      <c r="AE1922" s="38"/>
      <c r="AF1922" s="38"/>
      <c r="AG1922" s="40"/>
      <c r="AH1922" s="38"/>
    </row>
    <row r="1923" spans="1:34" x14ac:dyDescent="0.2">
      <c r="A1923" s="38"/>
      <c r="B1923" s="38"/>
      <c r="C1923" s="38"/>
      <c r="D1923" s="38"/>
      <c r="E1923" s="177"/>
      <c r="F1923" s="177"/>
      <c r="G1923" s="269"/>
      <c r="H1923" s="179"/>
      <c r="I1923" s="177"/>
      <c r="J1923" s="177"/>
      <c r="K1923" s="177"/>
      <c r="L1923" s="177"/>
      <c r="M1923" s="177"/>
      <c r="N1923" s="70"/>
      <c r="O1923" s="38"/>
      <c r="P1923" s="38"/>
      <c r="Q1923" s="760"/>
      <c r="R1923" s="590"/>
      <c r="S1923" s="38"/>
      <c r="T1923" s="38"/>
      <c r="U1923" s="38"/>
      <c r="V1923" s="37"/>
      <c r="W1923" s="39">
        <f>IF(AC1923="Intr",0,G1923*Definitions!$B$53)</f>
        <v>0</v>
      </c>
      <c r="X1923" s="39">
        <f>IF(AC1923="Intr",0,G1923*Definitions!$B$54)</f>
        <v>0</v>
      </c>
      <c r="Y1923" s="39">
        <f>IF(AC1923="Intr",G1923,G1923*Definitions!$B$55)</f>
        <v>0</v>
      </c>
      <c r="Z1923" s="39"/>
      <c r="AA1923" s="39"/>
      <c r="AB1923" s="39"/>
      <c r="AC1923" s="38"/>
      <c r="AD1923" s="38"/>
      <c r="AE1923" s="38"/>
      <c r="AF1923" s="38"/>
      <c r="AG1923" s="40"/>
      <c r="AH1923" s="38"/>
    </row>
    <row r="1924" spans="1:34" x14ac:dyDescent="0.2">
      <c r="A1924" s="38"/>
      <c r="B1924" s="38"/>
      <c r="C1924" s="38"/>
      <c r="D1924" s="38"/>
      <c r="E1924" s="177"/>
      <c r="F1924" s="177"/>
      <c r="G1924" s="269"/>
      <c r="H1924" s="179"/>
      <c r="I1924" s="177"/>
      <c r="J1924" s="177"/>
      <c r="K1924" s="177"/>
      <c r="L1924" s="177"/>
      <c r="M1924" s="177"/>
      <c r="N1924" s="70"/>
      <c r="O1924" s="38"/>
      <c r="P1924" s="38"/>
      <c r="Q1924" s="760"/>
      <c r="R1924" s="590"/>
      <c r="S1924" s="38"/>
      <c r="T1924" s="38"/>
      <c r="U1924" s="38"/>
      <c r="V1924" s="37"/>
      <c r="W1924" s="39">
        <f>IF(AC1924="Intr",0,G1924*Definitions!$B$53)</f>
        <v>0</v>
      </c>
      <c r="X1924" s="39">
        <f>IF(AC1924="Intr",0,G1924*Definitions!$B$54)</f>
        <v>0</v>
      </c>
      <c r="Y1924" s="39">
        <f>IF(AC1924="Intr",G1924,G1924*Definitions!$B$55)</f>
        <v>0</v>
      </c>
      <c r="Z1924" s="39"/>
      <c r="AA1924" s="39"/>
      <c r="AB1924" s="39"/>
      <c r="AC1924" s="38"/>
      <c r="AD1924" s="38"/>
      <c r="AE1924" s="38"/>
      <c r="AF1924" s="38"/>
      <c r="AG1924" s="40"/>
      <c r="AH1924" s="38"/>
    </row>
    <row r="1925" spans="1:34" x14ac:dyDescent="0.2">
      <c r="A1925" s="38"/>
      <c r="B1925" s="38"/>
      <c r="C1925" s="38"/>
      <c r="D1925" s="38"/>
      <c r="E1925" s="177"/>
      <c r="F1925" s="177"/>
      <c r="G1925" s="269"/>
      <c r="H1925" s="179"/>
      <c r="I1925" s="177"/>
      <c r="J1925" s="177"/>
      <c r="K1925" s="177"/>
      <c r="L1925" s="177"/>
      <c r="M1925" s="177"/>
      <c r="N1925" s="70"/>
      <c r="O1925" s="38"/>
      <c r="P1925" s="38"/>
      <c r="Q1925" s="760"/>
      <c r="R1925" s="590"/>
      <c r="S1925" s="38"/>
      <c r="T1925" s="38"/>
      <c r="U1925" s="38"/>
      <c r="V1925" s="37"/>
      <c r="W1925" s="39">
        <f>IF(AC1925="Intr",0,G1925*Definitions!$B$53)</f>
        <v>0</v>
      </c>
      <c r="X1925" s="39">
        <f>IF(AC1925="Intr",0,G1925*Definitions!$B$54)</f>
        <v>0</v>
      </c>
      <c r="Y1925" s="39">
        <f>IF(AC1925="Intr",G1925,G1925*Definitions!$B$55)</f>
        <v>0</v>
      </c>
      <c r="Z1925" s="39"/>
      <c r="AA1925" s="39"/>
      <c r="AB1925" s="39"/>
      <c r="AC1925" s="38"/>
      <c r="AD1925" s="38"/>
      <c r="AE1925" s="38"/>
      <c r="AF1925" s="38"/>
      <c r="AG1925" s="40"/>
      <c r="AH1925" s="38"/>
    </row>
    <row r="1926" spans="1:34" x14ac:dyDescent="0.2">
      <c r="A1926" s="38"/>
      <c r="B1926" s="38"/>
      <c r="C1926" s="38"/>
      <c r="D1926" s="38"/>
      <c r="E1926" s="177"/>
      <c r="F1926" s="177"/>
      <c r="G1926" s="269"/>
      <c r="H1926" s="179"/>
      <c r="I1926" s="177"/>
      <c r="J1926" s="177"/>
      <c r="K1926" s="177"/>
      <c r="L1926" s="177"/>
      <c r="M1926" s="177"/>
      <c r="N1926" s="70"/>
      <c r="O1926" s="38"/>
      <c r="P1926" s="38"/>
      <c r="Q1926" s="760"/>
      <c r="R1926" s="590"/>
      <c r="S1926" s="38"/>
      <c r="T1926" s="38"/>
      <c r="U1926" s="38"/>
      <c r="V1926" s="37"/>
      <c r="W1926" s="39">
        <f>IF(AC1926="Intr",0,G1926*Definitions!$B$53)</f>
        <v>0</v>
      </c>
      <c r="X1926" s="39">
        <f>IF(AC1926="Intr",0,G1926*Definitions!$B$54)</f>
        <v>0</v>
      </c>
      <c r="Y1926" s="39">
        <f>IF(AC1926="Intr",G1926,G1926*Definitions!$B$55)</f>
        <v>0</v>
      </c>
      <c r="Z1926" s="39"/>
      <c r="AA1926" s="39"/>
      <c r="AB1926" s="39"/>
      <c r="AC1926" s="38"/>
      <c r="AD1926" s="38"/>
      <c r="AE1926" s="38"/>
      <c r="AF1926" s="38"/>
      <c r="AG1926" s="40"/>
      <c r="AH1926" s="38"/>
    </row>
    <row r="1927" spans="1:34" x14ac:dyDescent="0.2">
      <c r="A1927" s="38"/>
      <c r="B1927" s="38"/>
      <c r="C1927" s="38"/>
      <c r="D1927" s="38"/>
      <c r="E1927" s="177"/>
      <c r="F1927" s="177"/>
      <c r="G1927" s="269"/>
      <c r="H1927" s="179"/>
      <c r="I1927" s="177"/>
      <c r="J1927" s="177"/>
      <c r="K1927" s="177"/>
      <c r="L1927" s="177"/>
      <c r="M1927" s="177"/>
      <c r="N1927" s="70"/>
      <c r="O1927" s="38"/>
      <c r="P1927" s="38"/>
      <c r="Q1927" s="760"/>
      <c r="R1927" s="590"/>
      <c r="S1927" s="38"/>
      <c r="T1927" s="38"/>
      <c r="U1927" s="38"/>
      <c r="V1927" s="37"/>
      <c r="W1927" s="39">
        <f>IF(AC1927="Intr",0,G1927*Definitions!$B$53)</f>
        <v>0</v>
      </c>
      <c r="X1927" s="39">
        <f>IF(AC1927="Intr",0,G1927*Definitions!$B$54)</f>
        <v>0</v>
      </c>
      <c r="Y1927" s="39">
        <f>IF(AC1927="Intr",G1927,G1927*Definitions!$B$55)</f>
        <v>0</v>
      </c>
      <c r="Z1927" s="39"/>
      <c r="AA1927" s="39"/>
      <c r="AB1927" s="39"/>
      <c r="AC1927" s="38"/>
      <c r="AD1927" s="38"/>
      <c r="AE1927" s="38"/>
      <c r="AF1927" s="38"/>
      <c r="AG1927" s="40"/>
      <c r="AH1927" s="38"/>
    </row>
    <row r="1928" spans="1:34" x14ac:dyDescent="0.2">
      <c r="A1928" s="38"/>
      <c r="B1928" s="38"/>
      <c r="C1928" s="38"/>
      <c r="D1928" s="38"/>
      <c r="E1928" s="177"/>
      <c r="F1928" s="177"/>
      <c r="G1928" s="269"/>
      <c r="H1928" s="179"/>
      <c r="I1928" s="177"/>
      <c r="J1928" s="177"/>
      <c r="K1928" s="177"/>
      <c r="L1928" s="177"/>
      <c r="M1928" s="177"/>
      <c r="N1928" s="70"/>
      <c r="O1928" s="38"/>
      <c r="P1928" s="38"/>
      <c r="Q1928" s="760"/>
      <c r="R1928" s="590"/>
      <c r="S1928" s="38"/>
      <c r="T1928" s="38"/>
      <c r="U1928" s="38"/>
      <c r="V1928" s="37"/>
      <c r="W1928" s="39">
        <f>IF(AC1928="Intr",0,G1928*Definitions!$B$53)</f>
        <v>0</v>
      </c>
      <c r="X1928" s="39">
        <f>IF(AC1928="Intr",0,G1928*Definitions!$B$54)</f>
        <v>0</v>
      </c>
      <c r="Y1928" s="39">
        <f>IF(AC1928="Intr",G1928,G1928*Definitions!$B$55)</f>
        <v>0</v>
      </c>
      <c r="Z1928" s="39"/>
      <c r="AA1928" s="39"/>
      <c r="AB1928" s="39"/>
      <c r="AC1928" s="38"/>
      <c r="AD1928" s="38"/>
      <c r="AE1928" s="38"/>
      <c r="AF1928" s="38"/>
      <c r="AG1928" s="40"/>
      <c r="AH1928" s="38"/>
    </row>
    <row r="1929" spans="1:34" x14ac:dyDescent="0.2">
      <c r="A1929" s="38"/>
      <c r="B1929" s="38"/>
      <c r="C1929" s="38"/>
      <c r="D1929" s="38"/>
      <c r="E1929" s="177"/>
      <c r="F1929" s="177"/>
      <c r="G1929" s="269"/>
      <c r="H1929" s="179"/>
      <c r="I1929" s="177"/>
      <c r="J1929" s="177"/>
      <c r="K1929" s="177"/>
      <c r="L1929" s="177"/>
      <c r="M1929" s="177"/>
      <c r="N1929" s="70"/>
      <c r="O1929" s="38"/>
      <c r="P1929" s="38"/>
      <c r="Q1929" s="760"/>
      <c r="R1929" s="590"/>
      <c r="S1929" s="38"/>
      <c r="T1929" s="38"/>
      <c r="U1929" s="38"/>
      <c r="V1929" s="37"/>
      <c r="W1929" s="39">
        <f>IF(AC1929="Intr",0,G1929*Definitions!$B$53)</f>
        <v>0</v>
      </c>
      <c r="X1929" s="39">
        <f>IF(AC1929="Intr",0,G1929*Definitions!$B$54)</f>
        <v>0</v>
      </c>
      <c r="Y1929" s="39">
        <f>IF(AC1929="Intr",G1929,G1929*Definitions!$B$55)</f>
        <v>0</v>
      </c>
      <c r="Z1929" s="39"/>
      <c r="AA1929" s="39"/>
      <c r="AB1929" s="39"/>
      <c r="AC1929" s="38"/>
      <c r="AD1929" s="38"/>
      <c r="AE1929" s="38"/>
      <c r="AF1929" s="38"/>
      <c r="AG1929" s="40"/>
      <c r="AH1929" s="38"/>
    </row>
    <row r="1930" spans="1:34" x14ac:dyDescent="0.2">
      <c r="A1930" s="38"/>
      <c r="B1930" s="38"/>
      <c r="C1930" s="38"/>
      <c r="D1930" s="38"/>
      <c r="E1930" s="177"/>
      <c r="F1930" s="177"/>
      <c r="G1930" s="269"/>
      <c r="H1930" s="179"/>
      <c r="I1930" s="177"/>
      <c r="J1930" s="177"/>
      <c r="K1930" s="177"/>
      <c r="L1930" s="177"/>
      <c r="M1930" s="177"/>
      <c r="N1930" s="70"/>
      <c r="O1930" s="38"/>
      <c r="P1930" s="38"/>
      <c r="Q1930" s="760"/>
      <c r="R1930" s="590"/>
      <c r="S1930" s="38"/>
      <c r="T1930" s="38"/>
      <c r="U1930" s="38"/>
      <c r="V1930" s="37"/>
      <c r="W1930" s="39">
        <f>IF(AC1930="Intr",0,G1930*Definitions!$B$53)</f>
        <v>0</v>
      </c>
      <c r="X1930" s="39">
        <f>IF(AC1930="Intr",0,G1930*Definitions!$B$54)</f>
        <v>0</v>
      </c>
      <c r="Y1930" s="39">
        <f>IF(AC1930="Intr",G1930,G1930*Definitions!$B$55)</f>
        <v>0</v>
      </c>
      <c r="Z1930" s="39"/>
      <c r="AA1930" s="39"/>
      <c r="AB1930" s="39"/>
      <c r="AC1930" s="38"/>
      <c r="AD1930" s="38"/>
      <c r="AE1930" s="38"/>
      <c r="AF1930" s="38"/>
      <c r="AG1930" s="40"/>
      <c r="AH1930" s="38"/>
    </row>
    <row r="1931" spans="1:34" x14ac:dyDescent="0.2">
      <c r="A1931" s="38"/>
      <c r="B1931" s="38"/>
      <c r="C1931" s="38"/>
      <c r="D1931" s="38"/>
      <c r="E1931" s="177"/>
      <c r="F1931" s="177"/>
      <c r="G1931" s="269"/>
      <c r="H1931" s="179"/>
      <c r="I1931" s="177"/>
      <c r="J1931" s="177"/>
      <c r="K1931" s="177"/>
      <c r="L1931" s="177"/>
      <c r="M1931" s="177"/>
      <c r="N1931" s="70"/>
      <c r="O1931" s="38"/>
      <c r="P1931" s="38"/>
      <c r="Q1931" s="760"/>
      <c r="R1931" s="590"/>
      <c r="S1931" s="38"/>
      <c r="T1931" s="38"/>
      <c r="U1931" s="38"/>
      <c r="V1931" s="37"/>
      <c r="W1931" s="39">
        <f>IF(AC1931="Intr",0,G1931*Definitions!$B$53)</f>
        <v>0</v>
      </c>
      <c r="X1931" s="39">
        <f>IF(AC1931="Intr",0,G1931*Definitions!$B$54)</f>
        <v>0</v>
      </c>
      <c r="Y1931" s="39">
        <f>IF(AC1931="Intr",G1931,G1931*Definitions!$B$55)</f>
        <v>0</v>
      </c>
      <c r="Z1931" s="39"/>
      <c r="AA1931" s="39"/>
      <c r="AB1931" s="39"/>
      <c r="AC1931" s="38"/>
      <c r="AD1931" s="38"/>
      <c r="AE1931" s="38"/>
      <c r="AF1931" s="38"/>
      <c r="AG1931" s="40"/>
      <c r="AH1931" s="38"/>
    </row>
    <row r="1932" spans="1:34" x14ac:dyDescent="0.2">
      <c r="A1932" s="38"/>
      <c r="B1932" s="38"/>
      <c r="C1932" s="38"/>
      <c r="D1932" s="38"/>
      <c r="E1932" s="177"/>
      <c r="F1932" s="177"/>
      <c r="G1932" s="269"/>
      <c r="H1932" s="179"/>
      <c r="I1932" s="177"/>
      <c r="J1932" s="177"/>
      <c r="K1932" s="177"/>
      <c r="L1932" s="177"/>
      <c r="M1932" s="177"/>
      <c r="N1932" s="70"/>
      <c r="O1932" s="38"/>
      <c r="P1932" s="38"/>
      <c r="Q1932" s="760"/>
      <c r="R1932" s="590"/>
      <c r="S1932" s="38"/>
      <c r="T1932" s="38"/>
      <c r="U1932" s="38"/>
      <c r="V1932" s="37"/>
      <c r="W1932" s="39">
        <f>IF(AC1932="Intr",0,G1932*Definitions!$B$53)</f>
        <v>0</v>
      </c>
      <c r="X1932" s="39">
        <f>IF(AC1932="Intr",0,G1932*Definitions!$B$54)</f>
        <v>0</v>
      </c>
      <c r="Y1932" s="39">
        <f>IF(AC1932="Intr",G1932,G1932*Definitions!$B$55)</f>
        <v>0</v>
      </c>
      <c r="Z1932" s="39"/>
      <c r="AA1932" s="39"/>
      <c r="AB1932" s="39"/>
      <c r="AC1932" s="38"/>
      <c r="AD1932" s="38"/>
      <c r="AE1932" s="38"/>
      <c r="AF1932" s="38"/>
      <c r="AG1932" s="40"/>
      <c r="AH1932" s="38"/>
    </row>
    <row r="1933" spans="1:34" x14ac:dyDescent="0.2">
      <c r="A1933" s="38"/>
      <c r="B1933" s="38"/>
      <c r="C1933" s="38"/>
      <c r="D1933" s="38"/>
      <c r="E1933" s="177"/>
      <c r="F1933" s="177"/>
      <c r="G1933" s="269"/>
      <c r="H1933" s="179"/>
      <c r="I1933" s="177"/>
      <c r="J1933" s="177"/>
      <c r="K1933" s="177"/>
      <c r="L1933" s="177"/>
      <c r="M1933" s="177"/>
      <c r="N1933" s="70"/>
      <c r="O1933" s="38"/>
      <c r="P1933" s="38"/>
      <c r="Q1933" s="760"/>
      <c r="R1933" s="590"/>
      <c r="S1933" s="38"/>
      <c r="T1933" s="38"/>
      <c r="U1933" s="38"/>
      <c r="V1933" s="37"/>
      <c r="W1933" s="39">
        <f>IF(AC1933="Intr",0,G1933*Definitions!$B$53)</f>
        <v>0</v>
      </c>
      <c r="X1933" s="39">
        <f>IF(AC1933="Intr",0,G1933*Definitions!$B$54)</f>
        <v>0</v>
      </c>
      <c r="Y1933" s="39">
        <f>IF(AC1933="Intr",G1933,G1933*Definitions!$B$55)</f>
        <v>0</v>
      </c>
      <c r="Z1933" s="39"/>
      <c r="AA1933" s="39"/>
      <c r="AB1933" s="39"/>
      <c r="AC1933" s="38"/>
      <c r="AD1933" s="38"/>
      <c r="AE1933" s="38"/>
      <c r="AF1933" s="38"/>
      <c r="AG1933" s="40"/>
      <c r="AH1933" s="38"/>
    </row>
    <row r="1934" spans="1:34" x14ac:dyDescent="0.2">
      <c r="A1934" s="38"/>
      <c r="B1934" s="38"/>
      <c r="C1934" s="38"/>
      <c r="D1934" s="38"/>
      <c r="E1934" s="177"/>
      <c r="F1934" s="177"/>
      <c r="G1934" s="269"/>
      <c r="H1934" s="179"/>
      <c r="I1934" s="177"/>
      <c r="J1934" s="177"/>
      <c r="K1934" s="177"/>
      <c r="L1934" s="177"/>
      <c r="M1934" s="177"/>
      <c r="N1934" s="70"/>
      <c r="O1934" s="38"/>
      <c r="P1934" s="38"/>
      <c r="Q1934" s="760"/>
      <c r="R1934" s="590"/>
      <c r="S1934" s="38"/>
      <c r="T1934" s="38"/>
      <c r="U1934" s="38"/>
      <c r="V1934" s="37"/>
      <c r="W1934" s="39">
        <f>IF(AC1934="Intr",0,G1934*Definitions!$B$53)</f>
        <v>0</v>
      </c>
      <c r="X1934" s="39">
        <f>IF(AC1934="Intr",0,G1934*Definitions!$B$54)</f>
        <v>0</v>
      </c>
      <c r="Y1934" s="39">
        <f>IF(AC1934="Intr",G1934,G1934*Definitions!$B$55)</f>
        <v>0</v>
      </c>
      <c r="Z1934" s="39"/>
      <c r="AA1934" s="39"/>
      <c r="AB1934" s="39"/>
      <c r="AC1934" s="38"/>
      <c r="AD1934" s="38"/>
      <c r="AE1934" s="38"/>
      <c r="AF1934" s="38"/>
      <c r="AG1934" s="40"/>
      <c r="AH1934" s="38"/>
    </row>
    <row r="1935" spans="1:34" x14ac:dyDescent="0.2">
      <c r="A1935" s="38"/>
      <c r="B1935" s="38"/>
      <c r="C1935" s="38"/>
      <c r="D1935" s="38"/>
      <c r="E1935" s="177"/>
      <c r="F1935" s="177"/>
      <c r="G1935" s="269"/>
      <c r="H1935" s="179"/>
      <c r="I1935" s="177"/>
      <c r="J1935" s="177"/>
      <c r="K1935" s="177"/>
      <c r="L1935" s="177"/>
      <c r="M1935" s="177"/>
      <c r="N1935" s="70"/>
      <c r="O1935" s="38"/>
      <c r="P1935" s="38"/>
      <c r="Q1935" s="760"/>
      <c r="R1935" s="590"/>
      <c r="S1935" s="38"/>
      <c r="T1935" s="38"/>
      <c r="U1935" s="38"/>
      <c r="V1935" s="37"/>
      <c r="W1935" s="39">
        <f>IF(AC1935="Intr",0,G1935*Definitions!$B$53)</f>
        <v>0</v>
      </c>
      <c r="X1935" s="39">
        <f>IF(AC1935="Intr",0,G1935*Definitions!$B$54)</f>
        <v>0</v>
      </c>
      <c r="Y1935" s="39">
        <f>IF(AC1935="Intr",G1935,G1935*Definitions!$B$55)</f>
        <v>0</v>
      </c>
      <c r="Z1935" s="39"/>
      <c r="AA1935" s="39"/>
      <c r="AB1935" s="39"/>
      <c r="AC1935" s="38"/>
      <c r="AD1935" s="38"/>
      <c r="AE1935" s="38"/>
      <c r="AF1935" s="38"/>
      <c r="AG1935" s="40"/>
      <c r="AH1935" s="38"/>
    </row>
    <row r="1936" spans="1:34" x14ac:dyDescent="0.2">
      <c r="A1936" s="38"/>
      <c r="B1936" s="38"/>
      <c r="C1936" s="38"/>
      <c r="D1936" s="38"/>
      <c r="E1936" s="177"/>
      <c r="F1936" s="177"/>
      <c r="G1936" s="269"/>
      <c r="H1936" s="179"/>
      <c r="I1936" s="177"/>
      <c r="J1936" s="177"/>
      <c r="K1936" s="177"/>
      <c r="L1936" s="177"/>
      <c r="M1936" s="177"/>
      <c r="N1936" s="70"/>
      <c r="O1936" s="38"/>
      <c r="P1936" s="38"/>
      <c r="Q1936" s="760"/>
      <c r="R1936" s="590"/>
      <c r="S1936" s="38"/>
      <c r="T1936" s="38"/>
      <c r="U1936" s="38"/>
      <c r="V1936" s="37"/>
      <c r="W1936" s="39">
        <f>IF(AC1936="Intr",0,G1936*Definitions!$B$53)</f>
        <v>0</v>
      </c>
      <c r="X1936" s="39">
        <f>IF(AC1936="Intr",0,G1936*Definitions!$B$54)</f>
        <v>0</v>
      </c>
      <c r="Y1936" s="39">
        <f>IF(AC1936="Intr",G1936,G1936*Definitions!$B$55)</f>
        <v>0</v>
      </c>
      <c r="Z1936" s="39"/>
      <c r="AA1936" s="39"/>
      <c r="AB1936" s="39"/>
      <c r="AC1936" s="38"/>
      <c r="AD1936" s="38"/>
      <c r="AE1936" s="38"/>
      <c r="AF1936" s="38"/>
      <c r="AG1936" s="40"/>
      <c r="AH1936" s="38"/>
    </row>
    <row r="1937" spans="1:34" x14ac:dyDescent="0.2">
      <c r="A1937" s="38"/>
      <c r="B1937" s="38"/>
      <c r="C1937" s="38"/>
      <c r="D1937" s="38"/>
      <c r="E1937" s="177"/>
      <c r="F1937" s="177"/>
      <c r="G1937" s="269"/>
      <c r="H1937" s="179"/>
      <c r="I1937" s="177"/>
      <c r="J1937" s="177"/>
      <c r="K1937" s="177"/>
      <c r="L1937" s="177"/>
      <c r="M1937" s="177"/>
      <c r="N1937" s="70"/>
      <c r="O1937" s="38"/>
      <c r="P1937" s="38"/>
      <c r="Q1937" s="760"/>
      <c r="R1937" s="590"/>
      <c r="S1937" s="38"/>
      <c r="T1937" s="38"/>
      <c r="U1937" s="38"/>
      <c r="V1937" s="37"/>
      <c r="W1937" s="39">
        <f>IF(AC1937="Intr",0,G1937*Definitions!$B$53)</f>
        <v>0</v>
      </c>
      <c r="X1937" s="39">
        <f>IF(AC1937="Intr",0,G1937*Definitions!$B$54)</f>
        <v>0</v>
      </c>
      <c r="Y1937" s="39">
        <f>IF(AC1937="Intr",G1937,G1937*Definitions!$B$55)</f>
        <v>0</v>
      </c>
      <c r="Z1937" s="39"/>
      <c r="AA1937" s="39"/>
      <c r="AB1937" s="39"/>
      <c r="AC1937" s="38"/>
      <c r="AD1937" s="38"/>
      <c r="AE1937" s="38"/>
      <c r="AF1937" s="38"/>
      <c r="AG1937" s="40"/>
      <c r="AH1937" s="38"/>
    </row>
    <row r="1938" spans="1:34" x14ac:dyDescent="0.2">
      <c r="A1938" s="38"/>
      <c r="B1938" s="38"/>
      <c r="C1938" s="38"/>
      <c r="D1938" s="38"/>
      <c r="E1938" s="177"/>
      <c r="F1938" s="177"/>
      <c r="G1938" s="269"/>
      <c r="H1938" s="179"/>
      <c r="I1938" s="177"/>
      <c r="J1938" s="177"/>
      <c r="K1938" s="177"/>
      <c r="L1938" s="177"/>
      <c r="M1938" s="177"/>
      <c r="N1938" s="70"/>
      <c r="O1938" s="38"/>
      <c r="P1938" s="38"/>
      <c r="Q1938" s="760"/>
      <c r="R1938" s="590"/>
      <c r="S1938" s="38"/>
      <c r="T1938" s="38"/>
      <c r="U1938" s="38"/>
      <c r="V1938" s="37"/>
      <c r="W1938" s="39">
        <f>IF(AC1938="Intr",0,G1938*Definitions!$B$53)</f>
        <v>0</v>
      </c>
      <c r="X1938" s="39">
        <f>IF(AC1938="Intr",0,G1938*Definitions!$B$54)</f>
        <v>0</v>
      </c>
      <c r="Y1938" s="39">
        <f>IF(AC1938="Intr",G1938,G1938*Definitions!$B$55)</f>
        <v>0</v>
      </c>
      <c r="Z1938" s="39"/>
      <c r="AA1938" s="39"/>
      <c r="AB1938" s="39"/>
      <c r="AC1938" s="38"/>
      <c r="AD1938" s="38"/>
      <c r="AE1938" s="38"/>
      <c r="AF1938" s="38"/>
      <c r="AG1938" s="40"/>
      <c r="AH1938" s="38"/>
    </row>
    <row r="1939" spans="1:34" x14ac:dyDescent="0.2">
      <c r="A1939" s="38"/>
      <c r="B1939" s="38"/>
      <c r="C1939" s="38"/>
      <c r="D1939" s="38"/>
      <c r="E1939" s="177"/>
      <c r="F1939" s="177"/>
      <c r="G1939" s="269"/>
      <c r="H1939" s="179"/>
      <c r="I1939" s="177"/>
      <c r="J1939" s="177"/>
      <c r="K1939" s="177"/>
      <c r="L1939" s="177"/>
      <c r="M1939" s="177"/>
      <c r="N1939" s="70"/>
      <c r="O1939" s="38"/>
      <c r="P1939" s="38"/>
      <c r="Q1939" s="760"/>
      <c r="R1939" s="590"/>
      <c r="S1939" s="38"/>
      <c r="T1939" s="38"/>
      <c r="U1939" s="38"/>
      <c r="V1939" s="37"/>
      <c r="W1939" s="39">
        <f>IF(AC1939="Intr",0,G1939*Definitions!$B$53)</f>
        <v>0</v>
      </c>
      <c r="X1939" s="39">
        <f>IF(AC1939="Intr",0,G1939*Definitions!$B$54)</f>
        <v>0</v>
      </c>
      <c r="Y1939" s="39">
        <f>IF(AC1939="Intr",G1939,G1939*Definitions!$B$55)</f>
        <v>0</v>
      </c>
      <c r="Z1939" s="39"/>
      <c r="AA1939" s="39"/>
      <c r="AB1939" s="39"/>
      <c r="AC1939" s="38"/>
      <c r="AD1939" s="38"/>
      <c r="AE1939" s="38"/>
      <c r="AF1939" s="38"/>
      <c r="AG1939" s="40"/>
      <c r="AH1939" s="38"/>
    </row>
    <row r="1940" spans="1:34" x14ac:dyDescent="0.2">
      <c r="A1940" s="38"/>
      <c r="B1940" s="38"/>
      <c r="C1940" s="38"/>
      <c r="D1940" s="38"/>
      <c r="E1940" s="177"/>
      <c r="F1940" s="177"/>
      <c r="G1940" s="269"/>
      <c r="H1940" s="179"/>
      <c r="I1940" s="177"/>
      <c r="J1940" s="177"/>
      <c r="K1940" s="177"/>
      <c r="L1940" s="177"/>
      <c r="M1940" s="177"/>
      <c r="N1940" s="70"/>
      <c r="O1940" s="38"/>
      <c r="P1940" s="38"/>
      <c r="Q1940" s="760"/>
      <c r="R1940" s="590"/>
      <c r="S1940" s="38"/>
      <c r="T1940" s="38"/>
      <c r="U1940" s="38"/>
      <c r="V1940" s="37"/>
      <c r="W1940" s="39">
        <f>IF(AC1940="Intr",0,G1940*Definitions!$B$53)</f>
        <v>0</v>
      </c>
      <c r="X1940" s="39">
        <f>IF(AC1940="Intr",0,G1940*Definitions!$B$54)</f>
        <v>0</v>
      </c>
      <c r="Y1940" s="39">
        <f>IF(AC1940="Intr",G1940,G1940*Definitions!$B$55)</f>
        <v>0</v>
      </c>
      <c r="Z1940" s="39"/>
      <c r="AA1940" s="39"/>
      <c r="AB1940" s="39"/>
      <c r="AC1940" s="38"/>
      <c r="AD1940" s="38"/>
      <c r="AE1940" s="38"/>
      <c r="AF1940" s="38"/>
      <c r="AG1940" s="40"/>
      <c r="AH1940" s="38"/>
    </row>
    <row r="1941" spans="1:34" x14ac:dyDescent="0.2">
      <c r="A1941" s="38"/>
      <c r="B1941" s="38"/>
      <c r="C1941" s="38"/>
      <c r="D1941" s="38"/>
      <c r="E1941" s="177"/>
      <c r="F1941" s="177"/>
      <c r="G1941" s="269"/>
      <c r="H1941" s="179"/>
      <c r="I1941" s="177"/>
      <c r="J1941" s="177"/>
      <c r="K1941" s="177"/>
      <c r="L1941" s="177"/>
      <c r="M1941" s="177"/>
      <c r="N1941" s="70"/>
      <c r="O1941" s="38"/>
      <c r="P1941" s="38"/>
      <c r="Q1941" s="760"/>
      <c r="R1941" s="590"/>
      <c r="S1941" s="38"/>
      <c r="T1941" s="38"/>
      <c r="U1941" s="38"/>
      <c r="V1941" s="37"/>
      <c r="W1941" s="39">
        <f>IF(AC1941="Intr",0,G1941*Definitions!$B$53)</f>
        <v>0</v>
      </c>
      <c r="X1941" s="39">
        <f>IF(AC1941="Intr",0,G1941*Definitions!$B$54)</f>
        <v>0</v>
      </c>
      <c r="Y1941" s="39">
        <f>IF(AC1941="Intr",G1941,G1941*Definitions!$B$55)</f>
        <v>0</v>
      </c>
      <c r="Z1941" s="39"/>
      <c r="AA1941" s="39"/>
      <c r="AB1941" s="39"/>
      <c r="AC1941" s="38"/>
      <c r="AD1941" s="38"/>
      <c r="AE1941" s="38"/>
      <c r="AF1941" s="38"/>
      <c r="AG1941" s="40"/>
      <c r="AH1941" s="38"/>
    </row>
    <row r="1942" spans="1:34" x14ac:dyDescent="0.2">
      <c r="A1942" s="38"/>
      <c r="B1942" s="38"/>
      <c r="C1942" s="38"/>
      <c r="D1942" s="38"/>
      <c r="E1942" s="177"/>
      <c r="F1942" s="177"/>
      <c r="G1942" s="269"/>
      <c r="H1942" s="179"/>
      <c r="I1942" s="177"/>
      <c r="J1942" s="177"/>
      <c r="K1942" s="177"/>
      <c r="L1942" s="177"/>
      <c r="M1942" s="177"/>
      <c r="N1942" s="70"/>
      <c r="O1942" s="38"/>
      <c r="P1942" s="38"/>
      <c r="Q1942" s="760"/>
      <c r="R1942" s="590"/>
      <c r="S1942" s="38"/>
      <c r="T1942" s="38"/>
      <c r="U1942" s="38"/>
      <c r="V1942" s="37"/>
      <c r="W1942" s="39">
        <f>IF(AC1942="Intr",0,G1942*Definitions!$B$53)</f>
        <v>0</v>
      </c>
      <c r="X1942" s="39">
        <f>IF(AC1942="Intr",0,G1942*Definitions!$B$54)</f>
        <v>0</v>
      </c>
      <c r="Y1942" s="39">
        <f>IF(AC1942="Intr",G1942,G1942*Definitions!$B$55)</f>
        <v>0</v>
      </c>
      <c r="Z1942" s="39"/>
      <c r="AA1942" s="39"/>
      <c r="AB1942" s="39"/>
      <c r="AC1942" s="38"/>
      <c r="AD1942" s="38"/>
      <c r="AE1942" s="38"/>
      <c r="AF1942" s="38"/>
      <c r="AG1942" s="40"/>
      <c r="AH1942" s="38"/>
    </row>
    <row r="1943" spans="1:34" x14ac:dyDescent="0.2">
      <c r="A1943" s="38"/>
      <c r="B1943" s="38"/>
      <c r="C1943" s="38"/>
      <c r="D1943" s="38"/>
      <c r="E1943" s="177"/>
      <c r="F1943" s="177"/>
      <c r="G1943" s="269"/>
      <c r="H1943" s="179"/>
      <c r="I1943" s="177"/>
      <c r="J1943" s="177"/>
      <c r="K1943" s="177"/>
      <c r="L1943" s="177"/>
      <c r="M1943" s="177"/>
      <c r="N1943" s="70"/>
      <c r="O1943" s="38"/>
      <c r="P1943" s="38"/>
      <c r="Q1943" s="760"/>
      <c r="R1943" s="590"/>
      <c r="S1943" s="38"/>
      <c r="T1943" s="38"/>
      <c r="U1943" s="38"/>
      <c r="V1943" s="37"/>
      <c r="W1943" s="39">
        <f>IF(AC1943="Intr",0,G1943*Definitions!$B$53)</f>
        <v>0</v>
      </c>
      <c r="X1943" s="39">
        <f>IF(AC1943="Intr",0,G1943*Definitions!$B$54)</f>
        <v>0</v>
      </c>
      <c r="Y1943" s="39">
        <f>IF(AC1943="Intr",G1943,G1943*Definitions!$B$55)</f>
        <v>0</v>
      </c>
      <c r="Z1943" s="39"/>
      <c r="AA1943" s="39"/>
      <c r="AB1943" s="39"/>
      <c r="AC1943" s="38"/>
      <c r="AD1943" s="38"/>
      <c r="AE1943" s="38"/>
      <c r="AF1943" s="38"/>
      <c r="AG1943" s="40"/>
      <c r="AH1943" s="38"/>
    </row>
    <row r="1944" spans="1:34" x14ac:dyDescent="0.2">
      <c r="A1944" s="38"/>
      <c r="B1944" s="38"/>
      <c r="C1944" s="38"/>
      <c r="D1944" s="38"/>
      <c r="E1944" s="177"/>
      <c r="F1944" s="177"/>
      <c r="G1944" s="269"/>
      <c r="H1944" s="179"/>
      <c r="I1944" s="177"/>
      <c r="J1944" s="177"/>
      <c r="K1944" s="177"/>
      <c r="L1944" s="177"/>
      <c r="M1944" s="177"/>
      <c r="N1944" s="70"/>
      <c r="O1944" s="38"/>
      <c r="P1944" s="38"/>
      <c r="Q1944" s="760"/>
      <c r="R1944" s="590"/>
      <c r="S1944" s="38"/>
      <c r="T1944" s="38"/>
      <c r="U1944" s="38"/>
      <c r="V1944" s="37"/>
      <c r="W1944" s="39">
        <f>IF(AC1944="Intr",0,G1944*Definitions!$B$53)</f>
        <v>0</v>
      </c>
      <c r="X1944" s="39">
        <f>IF(AC1944="Intr",0,G1944*Definitions!$B$54)</f>
        <v>0</v>
      </c>
      <c r="Y1944" s="39">
        <f>IF(AC1944="Intr",G1944,G1944*Definitions!$B$55)</f>
        <v>0</v>
      </c>
      <c r="Z1944" s="39"/>
      <c r="AA1944" s="39"/>
      <c r="AB1944" s="39"/>
      <c r="AC1944" s="38"/>
      <c r="AD1944" s="38"/>
      <c r="AE1944" s="38"/>
      <c r="AF1944" s="38"/>
      <c r="AG1944" s="40"/>
      <c r="AH1944" s="38"/>
    </row>
    <row r="1945" spans="1:34" x14ac:dyDescent="0.2">
      <c r="A1945" s="38"/>
      <c r="B1945" s="38"/>
      <c r="C1945" s="38"/>
      <c r="D1945" s="38"/>
      <c r="E1945" s="177"/>
      <c r="F1945" s="177"/>
      <c r="G1945" s="269"/>
      <c r="H1945" s="179"/>
      <c r="I1945" s="177"/>
      <c r="J1945" s="177"/>
      <c r="K1945" s="177"/>
      <c r="L1945" s="177"/>
      <c r="M1945" s="177"/>
      <c r="N1945" s="70"/>
      <c r="O1945" s="38"/>
      <c r="P1945" s="38"/>
      <c r="Q1945" s="760"/>
      <c r="R1945" s="590"/>
      <c r="S1945" s="38"/>
      <c r="T1945" s="38"/>
      <c r="U1945" s="38"/>
      <c r="V1945" s="37"/>
      <c r="W1945" s="39">
        <f>IF(AC1945="Intr",0,G1945*Definitions!$B$53)</f>
        <v>0</v>
      </c>
      <c r="X1945" s="39">
        <f>IF(AC1945="Intr",0,G1945*Definitions!$B$54)</f>
        <v>0</v>
      </c>
      <c r="Y1945" s="39">
        <f>IF(AC1945="Intr",G1945,G1945*Definitions!$B$55)</f>
        <v>0</v>
      </c>
      <c r="Z1945" s="39"/>
      <c r="AA1945" s="39"/>
      <c r="AB1945" s="39"/>
      <c r="AC1945" s="38"/>
      <c r="AD1945" s="38"/>
      <c r="AE1945" s="38"/>
      <c r="AF1945" s="38"/>
      <c r="AG1945" s="40"/>
      <c r="AH1945" s="38"/>
    </row>
    <row r="1946" spans="1:34" x14ac:dyDescent="0.2">
      <c r="A1946" s="38"/>
      <c r="B1946" s="38"/>
      <c r="C1946" s="38"/>
      <c r="D1946" s="38"/>
      <c r="E1946" s="177"/>
      <c r="F1946" s="177"/>
      <c r="G1946" s="269"/>
      <c r="H1946" s="179"/>
      <c r="I1946" s="177"/>
      <c r="J1946" s="177"/>
      <c r="K1946" s="177"/>
      <c r="L1946" s="177"/>
      <c r="M1946" s="177"/>
      <c r="N1946" s="70"/>
      <c r="O1946" s="38"/>
      <c r="P1946" s="38"/>
      <c r="Q1946" s="760"/>
      <c r="R1946" s="590"/>
      <c r="S1946" s="38"/>
      <c r="T1946" s="38"/>
      <c r="U1946" s="38"/>
      <c r="V1946" s="37"/>
      <c r="W1946" s="39">
        <f>IF(AC1946="Intr",0,G1946*Definitions!$B$53)</f>
        <v>0</v>
      </c>
      <c r="X1946" s="39">
        <f>IF(AC1946="Intr",0,G1946*Definitions!$B$54)</f>
        <v>0</v>
      </c>
      <c r="Y1946" s="39">
        <f>IF(AC1946="Intr",G1946,G1946*Definitions!$B$55)</f>
        <v>0</v>
      </c>
      <c r="Z1946" s="39"/>
      <c r="AA1946" s="39"/>
      <c r="AB1946" s="39"/>
      <c r="AC1946" s="38"/>
      <c r="AD1946" s="38"/>
      <c r="AE1946" s="38"/>
      <c r="AF1946" s="38"/>
      <c r="AG1946" s="40"/>
      <c r="AH1946" s="38"/>
    </row>
    <row r="1947" spans="1:34" x14ac:dyDescent="0.2">
      <c r="A1947" s="38"/>
      <c r="B1947" s="38"/>
      <c r="C1947" s="38"/>
      <c r="D1947" s="38"/>
      <c r="E1947" s="177"/>
      <c r="F1947" s="177"/>
      <c r="G1947" s="269"/>
      <c r="H1947" s="179"/>
      <c r="I1947" s="177"/>
      <c r="J1947" s="177"/>
      <c r="K1947" s="177"/>
      <c r="L1947" s="177"/>
      <c r="M1947" s="177"/>
      <c r="N1947" s="70"/>
      <c r="O1947" s="38"/>
      <c r="P1947" s="38"/>
      <c r="Q1947" s="760"/>
      <c r="R1947" s="590"/>
      <c r="S1947" s="38"/>
      <c r="T1947" s="38"/>
      <c r="U1947" s="38"/>
      <c r="V1947" s="37"/>
      <c r="W1947" s="39">
        <f>IF(AC1947="Intr",0,G1947*Definitions!$B$53)</f>
        <v>0</v>
      </c>
      <c r="X1947" s="39">
        <f>IF(AC1947="Intr",0,G1947*Definitions!$B$54)</f>
        <v>0</v>
      </c>
      <c r="Y1947" s="39">
        <f>IF(AC1947="Intr",G1947,G1947*Definitions!$B$55)</f>
        <v>0</v>
      </c>
      <c r="Z1947" s="39"/>
      <c r="AA1947" s="39"/>
      <c r="AB1947" s="39"/>
      <c r="AC1947" s="38"/>
      <c r="AD1947" s="38"/>
      <c r="AE1947" s="38"/>
      <c r="AF1947" s="38"/>
      <c r="AG1947" s="40"/>
      <c r="AH1947" s="38"/>
    </row>
    <row r="1948" spans="1:34" x14ac:dyDescent="0.2">
      <c r="A1948" s="38"/>
      <c r="B1948" s="38"/>
      <c r="C1948" s="38"/>
      <c r="D1948" s="38"/>
      <c r="E1948" s="177"/>
      <c r="F1948" s="177"/>
      <c r="G1948" s="269"/>
      <c r="H1948" s="179"/>
      <c r="I1948" s="177"/>
      <c r="J1948" s="177"/>
      <c r="K1948" s="177"/>
      <c r="L1948" s="177"/>
      <c r="M1948" s="177"/>
      <c r="N1948" s="70"/>
      <c r="O1948" s="38"/>
      <c r="P1948" s="38"/>
      <c r="Q1948" s="760"/>
      <c r="R1948" s="590"/>
      <c r="S1948" s="38"/>
      <c r="T1948" s="38"/>
      <c r="U1948" s="38"/>
      <c r="V1948" s="37"/>
      <c r="W1948" s="39">
        <f>IF(AC1948="Intr",0,G1948*Definitions!$B$53)</f>
        <v>0</v>
      </c>
      <c r="X1948" s="39">
        <f>IF(AC1948="Intr",0,G1948*Definitions!$B$54)</f>
        <v>0</v>
      </c>
      <c r="Y1948" s="39">
        <f>IF(AC1948="Intr",G1948,G1948*Definitions!$B$55)</f>
        <v>0</v>
      </c>
      <c r="Z1948" s="39"/>
      <c r="AA1948" s="39"/>
      <c r="AB1948" s="39"/>
      <c r="AC1948" s="38"/>
      <c r="AD1948" s="38"/>
      <c r="AE1948" s="38"/>
      <c r="AF1948" s="38"/>
      <c r="AG1948" s="40"/>
      <c r="AH1948" s="38"/>
    </row>
    <row r="1949" spans="1:34" x14ac:dyDescent="0.2">
      <c r="A1949" s="38"/>
      <c r="B1949" s="38"/>
      <c r="C1949" s="38"/>
      <c r="D1949" s="38"/>
      <c r="E1949" s="177"/>
      <c r="F1949" s="177"/>
      <c r="G1949" s="269"/>
      <c r="H1949" s="179"/>
      <c r="I1949" s="177"/>
      <c r="J1949" s="177"/>
      <c r="K1949" s="177"/>
      <c r="L1949" s="177"/>
      <c r="M1949" s="177"/>
      <c r="N1949" s="70"/>
      <c r="O1949" s="38"/>
      <c r="P1949" s="38"/>
      <c r="Q1949" s="760"/>
      <c r="R1949" s="590"/>
      <c r="S1949" s="38"/>
      <c r="T1949" s="38"/>
      <c r="U1949" s="38"/>
      <c r="V1949" s="37"/>
      <c r="W1949" s="39">
        <f>IF(AC1949="Intr",0,G1949*Definitions!$B$53)</f>
        <v>0</v>
      </c>
      <c r="X1949" s="39">
        <f>IF(AC1949="Intr",0,G1949*Definitions!$B$54)</f>
        <v>0</v>
      </c>
      <c r="Y1949" s="39">
        <f>IF(AC1949="Intr",G1949,G1949*Definitions!$B$55)</f>
        <v>0</v>
      </c>
      <c r="Z1949" s="39"/>
      <c r="AA1949" s="39"/>
      <c r="AB1949" s="39"/>
      <c r="AC1949" s="38"/>
      <c r="AD1949" s="38"/>
      <c r="AE1949" s="38"/>
      <c r="AF1949" s="38"/>
      <c r="AG1949" s="40"/>
      <c r="AH1949" s="38"/>
    </row>
    <row r="1950" spans="1:34" x14ac:dyDescent="0.2">
      <c r="A1950" s="38"/>
      <c r="B1950" s="38"/>
      <c r="C1950" s="38"/>
      <c r="D1950" s="38"/>
      <c r="E1950" s="177"/>
      <c r="F1950" s="177"/>
      <c r="G1950" s="269"/>
      <c r="H1950" s="179"/>
      <c r="I1950" s="177"/>
      <c r="J1950" s="177"/>
      <c r="K1950" s="177"/>
      <c r="L1950" s="177"/>
      <c r="M1950" s="177"/>
      <c r="N1950" s="70"/>
      <c r="O1950" s="38"/>
      <c r="P1950" s="38"/>
      <c r="Q1950" s="760"/>
      <c r="R1950" s="590"/>
      <c r="S1950" s="38"/>
      <c r="T1950" s="38"/>
      <c r="U1950" s="38"/>
      <c r="V1950" s="37"/>
      <c r="W1950" s="39">
        <f>IF(AC1950="Intr",0,G1950*Definitions!$B$53)</f>
        <v>0</v>
      </c>
      <c r="X1950" s="39">
        <f>IF(AC1950="Intr",0,G1950*Definitions!$B$54)</f>
        <v>0</v>
      </c>
      <c r="Y1950" s="39">
        <f>IF(AC1950="Intr",G1950,G1950*Definitions!$B$55)</f>
        <v>0</v>
      </c>
      <c r="Z1950" s="39"/>
      <c r="AA1950" s="39"/>
      <c r="AB1950" s="39"/>
      <c r="AC1950" s="38"/>
      <c r="AD1950" s="38"/>
      <c r="AE1950" s="38"/>
      <c r="AF1950" s="38"/>
      <c r="AG1950" s="40"/>
      <c r="AH1950" s="38"/>
    </row>
    <row r="1951" spans="1:34" x14ac:dyDescent="0.2">
      <c r="A1951" s="38"/>
      <c r="B1951" s="38"/>
      <c r="C1951" s="38"/>
      <c r="D1951" s="38"/>
      <c r="E1951" s="177"/>
      <c r="F1951" s="177"/>
      <c r="G1951" s="269"/>
      <c r="H1951" s="179"/>
      <c r="I1951" s="177"/>
      <c r="J1951" s="177"/>
      <c r="K1951" s="177"/>
      <c r="L1951" s="177"/>
      <c r="M1951" s="177"/>
      <c r="N1951" s="70"/>
      <c r="O1951" s="38"/>
      <c r="P1951" s="38"/>
      <c r="Q1951" s="760"/>
      <c r="R1951" s="590"/>
      <c r="S1951" s="38"/>
      <c r="T1951" s="38"/>
      <c r="U1951" s="38"/>
      <c r="V1951" s="37"/>
      <c r="W1951" s="39">
        <f>IF(AC1951="Intr",0,G1951*Definitions!$B$53)</f>
        <v>0</v>
      </c>
      <c r="X1951" s="39">
        <f>IF(AC1951="Intr",0,G1951*Definitions!$B$54)</f>
        <v>0</v>
      </c>
      <c r="Y1951" s="39">
        <f>IF(AC1951="Intr",G1951,G1951*Definitions!$B$55)</f>
        <v>0</v>
      </c>
      <c r="Z1951" s="39"/>
      <c r="AA1951" s="39"/>
      <c r="AB1951" s="39"/>
      <c r="AC1951" s="38"/>
      <c r="AD1951" s="38"/>
      <c r="AE1951" s="38"/>
      <c r="AF1951" s="38"/>
      <c r="AG1951" s="40"/>
      <c r="AH1951" s="38"/>
    </row>
    <row r="1952" spans="1:34" x14ac:dyDescent="0.2">
      <c r="A1952" s="38"/>
      <c r="B1952" s="38"/>
      <c r="C1952" s="38"/>
      <c r="D1952" s="38"/>
      <c r="E1952" s="177"/>
      <c r="F1952" s="177"/>
      <c r="G1952" s="269"/>
      <c r="H1952" s="179"/>
      <c r="I1952" s="177"/>
      <c r="J1952" s="177"/>
      <c r="K1952" s="177"/>
      <c r="L1952" s="177"/>
      <c r="M1952" s="177"/>
      <c r="N1952" s="70"/>
      <c r="O1952" s="38"/>
      <c r="P1952" s="38"/>
      <c r="Q1952" s="760"/>
      <c r="R1952" s="590"/>
      <c r="S1952" s="38"/>
      <c r="T1952" s="38"/>
      <c r="U1952" s="38"/>
      <c r="V1952" s="37"/>
      <c r="W1952" s="39">
        <f>IF(AC1952="Intr",0,G1952*Definitions!$B$53)</f>
        <v>0</v>
      </c>
      <c r="X1952" s="39">
        <f>IF(AC1952="Intr",0,G1952*Definitions!$B$54)</f>
        <v>0</v>
      </c>
      <c r="Y1952" s="39">
        <f>IF(AC1952="Intr",G1952,G1952*Definitions!$B$55)</f>
        <v>0</v>
      </c>
      <c r="Z1952" s="39"/>
      <c r="AA1952" s="39"/>
      <c r="AB1952" s="39"/>
      <c r="AC1952" s="38"/>
      <c r="AD1952" s="38"/>
      <c r="AE1952" s="38"/>
      <c r="AF1952" s="38"/>
      <c r="AG1952" s="40"/>
      <c r="AH1952" s="38"/>
    </row>
    <row r="1953" spans="1:34" x14ac:dyDescent="0.2">
      <c r="A1953" s="38"/>
      <c r="B1953" s="38"/>
      <c r="C1953" s="38"/>
      <c r="D1953" s="38"/>
      <c r="E1953" s="177"/>
      <c r="F1953" s="177"/>
      <c r="G1953" s="269"/>
      <c r="H1953" s="179"/>
      <c r="I1953" s="177"/>
      <c r="J1953" s="177"/>
      <c r="K1953" s="177"/>
      <c r="L1953" s="177"/>
      <c r="M1953" s="177"/>
      <c r="N1953" s="70"/>
      <c r="O1953" s="38"/>
      <c r="P1953" s="38"/>
      <c r="Q1953" s="760"/>
      <c r="R1953" s="590"/>
      <c r="S1953" s="38"/>
      <c r="T1953" s="38"/>
      <c r="U1953" s="38"/>
      <c r="V1953" s="37"/>
      <c r="W1953" s="39">
        <f>IF(AC1953="Intr",0,G1953*Definitions!$B$53)</f>
        <v>0</v>
      </c>
      <c r="X1953" s="39">
        <f>IF(AC1953="Intr",0,G1953*Definitions!$B$54)</f>
        <v>0</v>
      </c>
      <c r="Y1953" s="39">
        <f>IF(AC1953="Intr",G1953,G1953*Definitions!$B$55)</f>
        <v>0</v>
      </c>
      <c r="Z1953" s="39"/>
      <c r="AA1953" s="39"/>
      <c r="AB1953" s="39"/>
      <c r="AC1953" s="38"/>
      <c r="AD1953" s="38"/>
      <c r="AE1953" s="38"/>
      <c r="AF1953" s="38"/>
      <c r="AG1953" s="40"/>
      <c r="AH1953" s="38"/>
    </row>
    <row r="1954" spans="1:34" x14ac:dyDescent="0.2">
      <c r="A1954" s="38"/>
      <c r="B1954" s="38"/>
      <c r="C1954" s="38"/>
      <c r="D1954" s="38"/>
      <c r="E1954" s="177"/>
      <c r="F1954" s="177"/>
      <c r="G1954" s="269"/>
      <c r="H1954" s="179"/>
      <c r="I1954" s="177"/>
      <c r="J1954" s="177"/>
      <c r="K1954" s="177"/>
      <c r="L1954" s="177"/>
      <c r="M1954" s="177"/>
      <c r="N1954" s="70"/>
      <c r="O1954" s="38"/>
      <c r="P1954" s="38"/>
      <c r="Q1954" s="760"/>
      <c r="R1954" s="590"/>
      <c r="S1954" s="38"/>
      <c r="T1954" s="38"/>
      <c r="U1954" s="38"/>
      <c r="V1954" s="37"/>
      <c r="W1954" s="39">
        <f>IF(AC1954="Intr",0,G1954*Definitions!$B$53)</f>
        <v>0</v>
      </c>
      <c r="X1954" s="39">
        <f>IF(AC1954="Intr",0,G1954*Definitions!$B$54)</f>
        <v>0</v>
      </c>
      <c r="Y1954" s="39">
        <f>IF(AC1954="Intr",G1954,G1954*Definitions!$B$55)</f>
        <v>0</v>
      </c>
      <c r="Z1954" s="39"/>
      <c r="AA1954" s="39"/>
      <c r="AB1954" s="39"/>
      <c r="AC1954" s="38"/>
      <c r="AD1954" s="38"/>
      <c r="AE1954" s="38"/>
      <c r="AF1954" s="38"/>
      <c r="AG1954" s="40"/>
      <c r="AH1954" s="38"/>
    </row>
    <row r="1955" spans="1:34" x14ac:dyDescent="0.2">
      <c r="A1955" s="38"/>
      <c r="B1955" s="38"/>
      <c r="C1955" s="38"/>
      <c r="D1955" s="38"/>
      <c r="E1955" s="177"/>
      <c r="F1955" s="177"/>
      <c r="G1955" s="269"/>
      <c r="H1955" s="179"/>
      <c r="I1955" s="177"/>
      <c r="J1955" s="177"/>
      <c r="K1955" s="177"/>
      <c r="L1955" s="177"/>
      <c r="M1955" s="177"/>
      <c r="N1955" s="70"/>
      <c r="O1955" s="38"/>
      <c r="P1955" s="38"/>
      <c r="Q1955" s="760"/>
      <c r="R1955" s="590"/>
      <c r="S1955" s="38"/>
      <c r="T1955" s="38"/>
      <c r="U1955" s="38"/>
      <c r="V1955" s="37"/>
      <c r="W1955" s="39">
        <f>IF(AC1955="Intr",0,G1955*Definitions!$B$53)</f>
        <v>0</v>
      </c>
      <c r="X1955" s="39">
        <f>IF(AC1955="Intr",0,G1955*Definitions!$B$54)</f>
        <v>0</v>
      </c>
      <c r="Y1955" s="39">
        <f>IF(AC1955="Intr",G1955,G1955*Definitions!$B$55)</f>
        <v>0</v>
      </c>
      <c r="Z1955" s="39"/>
      <c r="AA1955" s="39"/>
      <c r="AB1955" s="39"/>
      <c r="AC1955" s="38"/>
      <c r="AD1955" s="38"/>
      <c r="AE1955" s="38"/>
      <c r="AF1955" s="38"/>
      <c r="AG1955" s="40"/>
      <c r="AH1955" s="38"/>
    </row>
    <row r="1956" spans="1:34" x14ac:dyDescent="0.2">
      <c r="A1956" s="38"/>
      <c r="B1956" s="38"/>
      <c r="C1956" s="38"/>
      <c r="D1956" s="38"/>
      <c r="E1956" s="177"/>
      <c r="F1956" s="177"/>
      <c r="G1956" s="269"/>
      <c r="H1956" s="179"/>
      <c r="I1956" s="177"/>
      <c r="J1956" s="177"/>
      <c r="K1956" s="177"/>
      <c r="L1956" s="177"/>
      <c r="M1956" s="177"/>
      <c r="N1956" s="70"/>
      <c r="O1956" s="38"/>
      <c r="P1956" s="38"/>
      <c r="Q1956" s="760"/>
      <c r="R1956" s="590"/>
      <c r="S1956" s="38"/>
      <c r="T1956" s="38"/>
      <c r="U1956" s="38"/>
      <c r="V1956" s="37"/>
      <c r="W1956" s="39">
        <f>IF(AC1956="Intr",0,G1956*Definitions!$B$53)</f>
        <v>0</v>
      </c>
      <c r="X1956" s="39">
        <f>IF(AC1956="Intr",0,G1956*Definitions!$B$54)</f>
        <v>0</v>
      </c>
      <c r="Y1956" s="39">
        <f>IF(AC1956="Intr",G1956,G1956*Definitions!$B$55)</f>
        <v>0</v>
      </c>
      <c r="Z1956" s="39"/>
      <c r="AA1956" s="39"/>
      <c r="AB1956" s="39"/>
      <c r="AC1956" s="38"/>
      <c r="AD1956" s="38"/>
      <c r="AE1956" s="38"/>
      <c r="AF1956" s="38"/>
      <c r="AG1956" s="40"/>
      <c r="AH1956" s="38"/>
    </row>
    <row r="1957" spans="1:34" x14ac:dyDescent="0.2">
      <c r="A1957" s="38"/>
      <c r="B1957" s="38"/>
      <c r="C1957" s="38"/>
      <c r="D1957" s="38"/>
      <c r="E1957" s="177"/>
      <c r="F1957" s="177"/>
      <c r="G1957" s="269"/>
      <c r="H1957" s="179"/>
      <c r="I1957" s="177"/>
      <c r="J1957" s="177"/>
      <c r="K1957" s="177"/>
      <c r="L1957" s="177"/>
      <c r="M1957" s="177"/>
      <c r="N1957" s="70"/>
      <c r="O1957" s="38"/>
      <c r="P1957" s="38"/>
      <c r="Q1957" s="760"/>
      <c r="R1957" s="590"/>
      <c r="S1957" s="38"/>
      <c r="T1957" s="38"/>
      <c r="U1957" s="38"/>
      <c r="V1957" s="37"/>
      <c r="W1957" s="39">
        <f>IF(AC1957="Intr",0,G1957*Definitions!$B$53)</f>
        <v>0</v>
      </c>
      <c r="X1957" s="39">
        <f>IF(AC1957="Intr",0,G1957*Definitions!$B$54)</f>
        <v>0</v>
      </c>
      <c r="Y1957" s="39">
        <f>IF(AC1957="Intr",G1957,G1957*Definitions!$B$55)</f>
        <v>0</v>
      </c>
      <c r="Z1957" s="39"/>
      <c r="AA1957" s="39"/>
      <c r="AB1957" s="39"/>
      <c r="AC1957" s="38"/>
      <c r="AD1957" s="38"/>
      <c r="AE1957" s="38"/>
      <c r="AF1957" s="38"/>
      <c r="AG1957" s="40"/>
      <c r="AH1957" s="38"/>
    </row>
    <row r="1958" spans="1:34" x14ac:dyDescent="0.2">
      <c r="A1958" s="38"/>
      <c r="B1958" s="38"/>
      <c r="C1958" s="38"/>
      <c r="D1958" s="38"/>
      <c r="E1958" s="177"/>
      <c r="F1958" s="177"/>
      <c r="G1958" s="269"/>
      <c r="H1958" s="179"/>
      <c r="I1958" s="177"/>
      <c r="J1958" s="177"/>
      <c r="K1958" s="177"/>
      <c r="L1958" s="177"/>
      <c r="M1958" s="177"/>
      <c r="N1958" s="70"/>
      <c r="O1958" s="38"/>
      <c r="P1958" s="38"/>
      <c r="Q1958" s="760"/>
      <c r="R1958" s="590"/>
      <c r="S1958" s="38"/>
      <c r="T1958" s="38"/>
      <c r="U1958" s="38"/>
      <c r="V1958" s="37"/>
      <c r="W1958" s="39">
        <f>IF(AC1958="Intr",0,G1958*Definitions!$B$53)</f>
        <v>0</v>
      </c>
      <c r="X1958" s="39">
        <f>IF(AC1958="Intr",0,G1958*Definitions!$B$54)</f>
        <v>0</v>
      </c>
      <c r="Y1958" s="39">
        <f>IF(AC1958="Intr",G1958,G1958*Definitions!$B$55)</f>
        <v>0</v>
      </c>
      <c r="Z1958" s="39"/>
      <c r="AA1958" s="39"/>
      <c r="AB1958" s="39"/>
      <c r="AC1958" s="38"/>
      <c r="AD1958" s="38"/>
      <c r="AE1958" s="38"/>
      <c r="AF1958" s="38"/>
      <c r="AG1958" s="40"/>
      <c r="AH1958" s="38"/>
    </row>
    <row r="1959" spans="1:34" x14ac:dyDescent="0.2">
      <c r="A1959" s="38"/>
      <c r="B1959" s="38"/>
      <c r="C1959" s="38"/>
      <c r="D1959" s="38"/>
      <c r="E1959" s="177"/>
      <c r="F1959" s="177"/>
      <c r="G1959" s="269"/>
      <c r="H1959" s="179"/>
      <c r="I1959" s="177"/>
      <c r="J1959" s="177"/>
      <c r="K1959" s="177"/>
      <c r="L1959" s="177"/>
      <c r="M1959" s="177"/>
      <c r="N1959" s="70"/>
      <c r="O1959" s="38"/>
      <c r="P1959" s="38"/>
      <c r="Q1959" s="760"/>
      <c r="R1959" s="590"/>
      <c r="S1959" s="38"/>
      <c r="T1959" s="38"/>
      <c r="U1959" s="38"/>
      <c r="V1959" s="37"/>
      <c r="W1959" s="39">
        <f>IF(AC1959="Intr",0,G1959*Definitions!$B$53)</f>
        <v>0</v>
      </c>
      <c r="X1959" s="39">
        <f>IF(AC1959="Intr",0,G1959*Definitions!$B$54)</f>
        <v>0</v>
      </c>
      <c r="Y1959" s="39">
        <f>IF(AC1959="Intr",G1959,G1959*Definitions!$B$55)</f>
        <v>0</v>
      </c>
      <c r="Z1959" s="39"/>
      <c r="AA1959" s="39"/>
      <c r="AB1959" s="39"/>
      <c r="AC1959" s="38"/>
      <c r="AD1959" s="38"/>
      <c r="AE1959" s="38"/>
      <c r="AF1959" s="38"/>
      <c r="AG1959" s="40"/>
      <c r="AH1959" s="38"/>
    </row>
    <row r="1960" spans="1:34" x14ac:dyDescent="0.2">
      <c r="A1960" s="38"/>
      <c r="B1960" s="38"/>
      <c r="C1960" s="38"/>
      <c r="D1960" s="38"/>
      <c r="E1960" s="177"/>
      <c r="F1960" s="177"/>
      <c r="G1960" s="269"/>
      <c r="H1960" s="179"/>
      <c r="I1960" s="177"/>
      <c r="J1960" s="177"/>
      <c r="K1960" s="177"/>
      <c r="L1960" s="177"/>
      <c r="M1960" s="177"/>
      <c r="N1960" s="70"/>
      <c r="O1960" s="38"/>
      <c r="P1960" s="38"/>
      <c r="Q1960" s="760"/>
      <c r="R1960" s="590"/>
      <c r="S1960" s="38"/>
      <c r="T1960" s="38"/>
      <c r="U1960" s="38"/>
      <c r="V1960" s="37"/>
      <c r="W1960" s="39">
        <f>IF(AC1960="Intr",0,G1960*Definitions!$B$53)</f>
        <v>0</v>
      </c>
      <c r="X1960" s="39">
        <f>IF(AC1960="Intr",0,G1960*Definitions!$B$54)</f>
        <v>0</v>
      </c>
      <c r="Y1960" s="39">
        <f>IF(AC1960="Intr",G1960,G1960*Definitions!$B$55)</f>
        <v>0</v>
      </c>
      <c r="Z1960" s="39"/>
      <c r="AA1960" s="39"/>
      <c r="AB1960" s="39"/>
      <c r="AC1960" s="38"/>
      <c r="AD1960" s="38"/>
      <c r="AE1960" s="38"/>
      <c r="AF1960" s="38"/>
      <c r="AG1960" s="40"/>
      <c r="AH1960" s="38"/>
    </row>
    <row r="1961" spans="1:34" x14ac:dyDescent="0.2">
      <c r="A1961" s="38"/>
      <c r="B1961" s="38"/>
      <c r="C1961" s="38"/>
      <c r="D1961" s="38"/>
      <c r="E1961" s="177"/>
      <c r="F1961" s="177"/>
      <c r="G1961" s="269"/>
      <c r="H1961" s="179"/>
      <c r="I1961" s="177"/>
      <c r="J1961" s="177"/>
      <c r="K1961" s="177"/>
      <c r="L1961" s="177"/>
      <c r="M1961" s="177"/>
      <c r="N1961" s="70"/>
      <c r="O1961" s="38"/>
      <c r="P1961" s="38"/>
      <c r="Q1961" s="760"/>
      <c r="R1961" s="590"/>
      <c r="S1961" s="38"/>
      <c r="T1961" s="38"/>
      <c r="U1961" s="38"/>
      <c r="V1961" s="37"/>
      <c r="W1961" s="39">
        <f>IF(AC1961="Intr",0,G1961*Definitions!$B$53)</f>
        <v>0</v>
      </c>
      <c r="X1961" s="39">
        <f>IF(AC1961="Intr",0,G1961*Definitions!$B$54)</f>
        <v>0</v>
      </c>
      <c r="Y1961" s="39">
        <f>IF(AC1961="Intr",G1961,G1961*Definitions!$B$55)</f>
        <v>0</v>
      </c>
      <c r="Z1961" s="39"/>
      <c r="AA1961" s="39"/>
      <c r="AB1961" s="39"/>
      <c r="AC1961" s="38"/>
      <c r="AD1961" s="38"/>
      <c r="AE1961" s="38"/>
      <c r="AF1961" s="38"/>
      <c r="AG1961" s="40"/>
      <c r="AH1961" s="38"/>
    </row>
    <row r="1962" spans="1:34" x14ac:dyDescent="0.2">
      <c r="A1962" s="38"/>
      <c r="B1962" s="38"/>
      <c r="C1962" s="38"/>
      <c r="D1962" s="38"/>
      <c r="E1962" s="177"/>
      <c r="F1962" s="177"/>
      <c r="G1962" s="269"/>
      <c r="H1962" s="179"/>
      <c r="I1962" s="177"/>
      <c r="J1962" s="177"/>
      <c r="K1962" s="177"/>
      <c r="L1962" s="177"/>
      <c r="M1962" s="177"/>
      <c r="N1962" s="70"/>
      <c r="O1962" s="38"/>
      <c r="P1962" s="38"/>
      <c r="Q1962" s="760"/>
      <c r="R1962" s="590"/>
      <c r="S1962" s="38"/>
      <c r="T1962" s="38"/>
      <c r="U1962" s="38"/>
      <c r="V1962" s="37"/>
      <c r="W1962" s="39">
        <f>IF(AC1962="Intr",0,G1962*Definitions!$B$53)</f>
        <v>0</v>
      </c>
      <c r="X1962" s="39">
        <f>IF(AC1962="Intr",0,G1962*Definitions!$B$54)</f>
        <v>0</v>
      </c>
      <c r="Y1962" s="39">
        <f>IF(AC1962="Intr",G1962,G1962*Definitions!$B$55)</f>
        <v>0</v>
      </c>
      <c r="Z1962" s="39"/>
      <c r="AA1962" s="39"/>
      <c r="AB1962" s="39"/>
      <c r="AC1962" s="38"/>
      <c r="AD1962" s="38"/>
      <c r="AE1962" s="38"/>
      <c r="AF1962" s="38"/>
      <c r="AG1962" s="40"/>
      <c r="AH1962" s="38"/>
    </row>
    <row r="1963" spans="1:34" x14ac:dyDescent="0.2">
      <c r="A1963" s="38"/>
      <c r="B1963" s="38"/>
      <c r="C1963" s="38"/>
      <c r="D1963" s="38"/>
      <c r="E1963" s="177"/>
      <c r="F1963" s="177"/>
      <c r="G1963" s="269"/>
      <c r="H1963" s="179"/>
      <c r="I1963" s="177"/>
      <c r="J1963" s="177"/>
      <c r="K1963" s="177"/>
      <c r="L1963" s="177"/>
      <c r="M1963" s="177"/>
      <c r="N1963" s="70"/>
      <c r="O1963" s="38"/>
      <c r="P1963" s="38"/>
      <c r="Q1963" s="760"/>
      <c r="R1963" s="590"/>
      <c r="S1963" s="38"/>
      <c r="T1963" s="38"/>
      <c r="U1963" s="38"/>
      <c r="V1963" s="37"/>
      <c r="W1963" s="39">
        <f>IF(AC1963="Intr",0,G1963*Definitions!$B$53)</f>
        <v>0</v>
      </c>
      <c r="X1963" s="39">
        <f>IF(AC1963="Intr",0,G1963*Definitions!$B$54)</f>
        <v>0</v>
      </c>
      <c r="Y1963" s="39">
        <f>IF(AC1963="Intr",G1963,G1963*Definitions!$B$55)</f>
        <v>0</v>
      </c>
      <c r="Z1963" s="39"/>
      <c r="AA1963" s="39"/>
      <c r="AB1963" s="39"/>
      <c r="AC1963" s="38"/>
      <c r="AD1963" s="38"/>
      <c r="AE1963" s="38"/>
      <c r="AF1963" s="38"/>
      <c r="AG1963" s="40"/>
      <c r="AH1963" s="38"/>
    </row>
    <row r="1964" spans="1:34" x14ac:dyDescent="0.2">
      <c r="A1964" s="38"/>
      <c r="B1964" s="38"/>
      <c r="C1964" s="38"/>
      <c r="D1964" s="38"/>
      <c r="E1964" s="177"/>
      <c r="F1964" s="177"/>
      <c r="G1964" s="269"/>
      <c r="H1964" s="179"/>
      <c r="I1964" s="177"/>
      <c r="J1964" s="177"/>
      <c r="K1964" s="177"/>
      <c r="L1964" s="177"/>
      <c r="M1964" s="177"/>
      <c r="N1964" s="70"/>
      <c r="O1964" s="38"/>
      <c r="P1964" s="38"/>
      <c r="Q1964" s="760"/>
      <c r="R1964" s="590"/>
      <c r="S1964" s="38"/>
      <c r="T1964" s="38"/>
      <c r="U1964" s="38"/>
      <c r="V1964" s="37"/>
      <c r="W1964" s="39">
        <f>IF(AC1964="Intr",0,G1964*Definitions!$B$53)</f>
        <v>0</v>
      </c>
      <c r="X1964" s="39">
        <f>IF(AC1964="Intr",0,G1964*Definitions!$B$54)</f>
        <v>0</v>
      </c>
      <c r="Y1964" s="39">
        <f>IF(AC1964="Intr",G1964,G1964*Definitions!$B$55)</f>
        <v>0</v>
      </c>
      <c r="Z1964" s="39"/>
      <c r="AA1964" s="39"/>
      <c r="AB1964" s="39"/>
      <c r="AC1964" s="38"/>
      <c r="AD1964" s="38"/>
      <c r="AE1964" s="38"/>
      <c r="AF1964" s="38"/>
      <c r="AG1964" s="40"/>
      <c r="AH1964" s="38"/>
    </row>
    <row r="1965" spans="1:34" x14ac:dyDescent="0.2">
      <c r="A1965" s="38"/>
      <c r="B1965" s="38"/>
      <c r="C1965" s="38"/>
      <c r="D1965" s="38"/>
      <c r="E1965" s="177"/>
      <c r="F1965" s="177"/>
      <c r="G1965" s="269"/>
      <c r="H1965" s="179"/>
      <c r="I1965" s="177"/>
      <c r="J1965" s="177"/>
      <c r="K1965" s="177"/>
      <c r="L1965" s="177"/>
      <c r="M1965" s="177"/>
      <c r="N1965" s="70"/>
      <c r="O1965" s="38"/>
      <c r="P1965" s="38"/>
      <c r="Q1965" s="760"/>
      <c r="R1965" s="590"/>
      <c r="S1965" s="38"/>
      <c r="T1965" s="38"/>
      <c r="U1965" s="38"/>
      <c r="V1965" s="37"/>
      <c r="W1965" s="39">
        <f>IF(AC1965="Intr",0,G1965*Definitions!$B$53)</f>
        <v>0</v>
      </c>
      <c r="X1965" s="39">
        <f>IF(AC1965="Intr",0,G1965*Definitions!$B$54)</f>
        <v>0</v>
      </c>
      <c r="Y1965" s="39">
        <f>IF(AC1965="Intr",G1965,G1965*Definitions!$B$55)</f>
        <v>0</v>
      </c>
      <c r="Z1965" s="39"/>
      <c r="AA1965" s="39"/>
      <c r="AB1965" s="39"/>
      <c r="AC1965" s="38"/>
      <c r="AD1965" s="38"/>
      <c r="AE1965" s="38"/>
      <c r="AF1965" s="38"/>
      <c r="AG1965" s="40"/>
      <c r="AH1965" s="38"/>
    </row>
    <row r="1966" spans="1:34" x14ac:dyDescent="0.2">
      <c r="A1966" s="38"/>
      <c r="B1966" s="38"/>
      <c r="C1966" s="38"/>
      <c r="D1966" s="38"/>
      <c r="E1966" s="177"/>
      <c r="F1966" s="177"/>
      <c r="G1966" s="269"/>
      <c r="H1966" s="179"/>
      <c r="I1966" s="177"/>
      <c r="J1966" s="177"/>
      <c r="K1966" s="177"/>
      <c r="L1966" s="177"/>
      <c r="M1966" s="177"/>
      <c r="N1966" s="70"/>
      <c r="O1966" s="38"/>
      <c r="P1966" s="38"/>
      <c r="Q1966" s="760"/>
      <c r="R1966" s="590"/>
      <c r="S1966" s="38"/>
      <c r="T1966" s="38"/>
      <c r="U1966" s="38"/>
      <c r="V1966" s="37"/>
      <c r="W1966" s="39">
        <f>IF(AC1966="Intr",0,G1966*Definitions!$B$53)</f>
        <v>0</v>
      </c>
      <c r="X1966" s="39">
        <f>IF(AC1966="Intr",0,G1966*Definitions!$B$54)</f>
        <v>0</v>
      </c>
      <c r="Y1966" s="39">
        <f>IF(AC1966="Intr",G1966,G1966*Definitions!$B$55)</f>
        <v>0</v>
      </c>
      <c r="Z1966" s="39"/>
      <c r="AA1966" s="39"/>
      <c r="AB1966" s="39"/>
      <c r="AC1966" s="38"/>
      <c r="AD1966" s="38"/>
      <c r="AE1966" s="38"/>
      <c r="AF1966" s="38"/>
      <c r="AG1966" s="40"/>
      <c r="AH1966" s="38"/>
    </row>
    <row r="1967" spans="1:34" x14ac:dyDescent="0.2">
      <c r="A1967" s="38"/>
      <c r="B1967" s="38"/>
      <c r="C1967" s="38"/>
      <c r="D1967" s="38"/>
      <c r="E1967" s="177"/>
      <c r="F1967" s="177"/>
      <c r="G1967" s="269"/>
      <c r="H1967" s="179"/>
      <c r="I1967" s="177"/>
      <c r="J1967" s="177"/>
      <c r="K1967" s="177"/>
      <c r="L1967" s="177"/>
      <c r="M1967" s="177"/>
      <c r="N1967" s="70"/>
      <c r="O1967" s="38"/>
      <c r="P1967" s="38"/>
      <c r="Q1967" s="760"/>
      <c r="R1967" s="590"/>
      <c r="S1967" s="38"/>
      <c r="T1967" s="38"/>
      <c r="U1967" s="38"/>
      <c r="V1967" s="37"/>
      <c r="W1967" s="39">
        <f>IF(AC1967="Intr",0,G1967*Definitions!$B$53)</f>
        <v>0</v>
      </c>
      <c r="X1967" s="39">
        <f>IF(AC1967="Intr",0,G1967*Definitions!$B$54)</f>
        <v>0</v>
      </c>
      <c r="Y1967" s="39">
        <f>IF(AC1967="Intr",G1967,G1967*Definitions!$B$55)</f>
        <v>0</v>
      </c>
      <c r="Z1967" s="39"/>
      <c r="AA1967" s="39"/>
      <c r="AB1967" s="39"/>
      <c r="AC1967" s="38"/>
      <c r="AD1967" s="38"/>
      <c r="AE1967" s="38"/>
      <c r="AF1967" s="38"/>
      <c r="AG1967" s="40"/>
      <c r="AH1967" s="38"/>
    </row>
    <row r="1968" spans="1:34" x14ac:dyDescent="0.2">
      <c r="A1968" s="38"/>
      <c r="B1968" s="38"/>
      <c r="C1968" s="38"/>
      <c r="D1968" s="38"/>
      <c r="E1968" s="177"/>
      <c r="F1968" s="177"/>
      <c r="G1968" s="269"/>
      <c r="H1968" s="179"/>
      <c r="I1968" s="177"/>
      <c r="J1968" s="177"/>
      <c r="K1968" s="177"/>
      <c r="L1968" s="177"/>
      <c r="M1968" s="177"/>
      <c r="N1968" s="70"/>
      <c r="O1968" s="38"/>
      <c r="P1968" s="38"/>
      <c r="Q1968" s="760"/>
      <c r="R1968" s="590"/>
      <c r="S1968" s="38"/>
      <c r="T1968" s="38"/>
      <c r="U1968" s="38"/>
      <c r="V1968" s="37"/>
      <c r="W1968" s="39">
        <f>IF(AC1968="Intr",0,G1968*Definitions!$B$53)</f>
        <v>0</v>
      </c>
      <c r="X1968" s="39">
        <f>IF(AC1968="Intr",0,G1968*Definitions!$B$54)</f>
        <v>0</v>
      </c>
      <c r="Y1968" s="39">
        <f>IF(AC1968="Intr",G1968,G1968*Definitions!$B$55)</f>
        <v>0</v>
      </c>
      <c r="Z1968" s="39"/>
      <c r="AA1968" s="39"/>
      <c r="AB1968" s="39"/>
      <c r="AC1968" s="38"/>
      <c r="AD1968" s="38"/>
      <c r="AE1968" s="38"/>
      <c r="AF1968" s="38"/>
      <c r="AG1968" s="40"/>
      <c r="AH1968" s="38"/>
    </row>
    <row r="1969" spans="1:34" x14ac:dyDescent="0.2">
      <c r="A1969" s="38"/>
      <c r="B1969" s="38"/>
      <c r="C1969" s="38"/>
      <c r="D1969" s="38"/>
      <c r="E1969" s="177"/>
      <c r="F1969" s="177"/>
      <c r="G1969" s="269"/>
      <c r="H1969" s="179"/>
      <c r="I1969" s="177"/>
      <c r="J1969" s="177"/>
      <c r="K1969" s="177"/>
      <c r="L1969" s="177"/>
      <c r="M1969" s="177"/>
      <c r="N1969" s="70"/>
      <c r="O1969" s="38"/>
      <c r="P1969" s="38"/>
      <c r="Q1969" s="760"/>
      <c r="R1969" s="590"/>
      <c r="S1969" s="38"/>
      <c r="T1969" s="38"/>
      <c r="U1969" s="38"/>
      <c r="V1969" s="37"/>
      <c r="W1969" s="39">
        <f>IF(AC1969="Intr",0,G1969*Definitions!$B$53)</f>
        <v>0</v>
      </c>
      <c r="X1969" s="39">
        <f>IF(AC1969="Intr",0,G1969*Definitions!$B$54)</f>
        <v>0</v>
      </c>
      <c r="Y1969" s="39">
        <f>IF(AC1969="Intr",G1969,G1969*Definitions!$B$55)</f>
        <v>0</v>
      </c>
      <c r="Z1969" s="39"/>
      <c r="AA1969" s="39"/>
      <c r="AB1969" s="39"/>
      <c r="AC1969" s="38"/>
      <c r="AD1969" s="38"/>
      <c r="AE1969" s="38"/>
      <c r="AF1969" s="38"/>
      <c r="AG1969" s="40"/>
      <c r="AH1969" s="38"/>
    </row>
    <row r="1970" spans="1:34" x14ac:dyDescent="0.2">
      <c r="A1970" s="38"/>
      <c r="B1970" s="38"/>
      <c r="C1970" s="38"/>
      <c r="D1970" s="38"/>
      <c r="E1970" s="177"/>
      <c r="F1970" s="177"/>
      <c r="G1970" s="269"/>
      <c r="H1970" s="179"/>
      <c r="I1970" s="177"/>
      <c r="J1970" s="177"/>
      <c r="K1970" s="177"/>
      <c r="L1970" s="177"/>
      <c r="M1970" s="177"/>
      <c r="N1970" s="70"/>
      <c r="O1970" s="38"/>
      <c r="P1970" s="38"/>
      <c r="Q1970" s="760"/>
      <c r="R1970" s="590"/>
      <c r="S1970" s="38"/>
      <c r="T1970" s="38"/>
      <c r="U1970" s="38"/>
      <c r="V1970" s="37"/>
      <c r="W1970" s="39">
        <f>IF(AC1970="Intr",0,G1970*Definitions!$B$53)</f>
        <v>0</v>
      </c>
      <c r="X1970" s="39">
        <f>IF(AC1970="Intr",0,G1970*Definitions!$B$54)</f>
        <v>0</v>
      </c>
      <c r="Y1970" s="39">
        <f>IF(AC1970="Intr",G1970,G1970*Definitions!$B$55)</f>
        <v>0</v>
      </c>
      <c r="Z1970" s="39"/>
      <c r="AA1970" s="39"/>
      <c r="AB1970" s="39"/>
      <c r="AC1970" s="38"/>
      <c r="AD1970" s="38"/>
      <c r="AE1970" s="38"/>
      <c r="AF1970" s="38"/>
      <c r="AG1970" s="40"/>
      <c r="AH1970" s="38"/>
    </row>
    <row r="1971" spans="1:34" x14ac:dyDescent="0.2">
      <c r="A1971" s="38"/>
      <c r="B1971" s="38"/>
      <c r="C1971" s="38"/>
      <c r="D1971" s="38"/>
      <c r="E1971" s="177"/>
      <c r="F1971" s="177"/>
      <c r="G1971" s="269"/>
      <c r="H1971" s="179"/>
      <c r="I1971" s="177"/>
      <c r="J1971" s="177"/>
      <c r="K1971" s="177"/>
      <c r="L1971" s="177"/>
      <c r="M1971" s="177"/>
      <c r="N1971" s="70"/>
      <c r="O1971" s="38"/>
      <c r="P1971" s="38"/>
      <c r="Q1971" s="760"/>
      <c r="R1971" s="590"/>
      <c r="S1971" s="38"/>
      <c r="T1971" s="38"/>
      <c r="U1971" s="38"/>
      <c r="V1971" s="37"/>
      <c r="W1971" s="39">
        <f>IF(AC1971="Intr",0,G1971*Definitions!$B$53)</f>
        <v>0</v>
      </c>
      <c r="X1971" s="39">
        <f>IF(AC1971="Intr",0,G1971*Definitions!$B$54)</f>
        <v>0</v>
      </c>
      <c r="Y1971" s="39">
        <f>IF(AC1971="Intr",G1971,G1971*Definitions!$B$55)</f>
        <v>0</v>
      </c>
      <c r="Z1971" s="39"/>
      <c r="AA1971" s="39"/>
      <c r="AB1971" s="39"/>
      <c r="AC1971" s="38"/>
      <c r="AD1971" s="38"/>
      <c r="AE1971" s="38"/>
      <c r="AF1971" s="38"/>
      <c r="AG1971" s="40"/>
      <c r="AH1971" s="38"/>
    </row>
    <row r="1972" spans="1:34" x14ac:dyDescent="0.2">
      <c r="A1972" s="38"/>
      <c r="B1972" s="38"/>
      <c r="C1972" s="38"/>
      <c r="D1972" s="38"/>
      <c r="E1972" s="177"/>
      <c r="F1972" s="177"/>
      <c r="G1972" s="269"/>
      <c r="H1972" s="179"/>
      <c r="I1972" s="177"/>
      <c r="J1972" s="177"/>
      <c r="K1972" s="177"/>
      <c r="L1972" s="177"/>
      <c r="M1972" s="177"/>
      <c r="N1972" s="70"/>
      <c r="O1972" s="38"/>
      <c r="P1972" s="38"/>
      <c r="Q1972" s="760"/>
      <c r="R1972" s="590"/>
      <c r="S1972" s="38"/>
      <c r="T1972" s="38"/>
      <c r="U1972" s="38"/>
      <c r="V1972" s="37"/>
      <c r="W1972" s="39">
        <f>IF(AC1972="Intr",0,G1972*Definitions!$B$53)</f>
        <v>0</v>
      </c>
      <c r="X1972" s="39">
        <f>IF(AC1972="Intr",0,G1972*Definitions!$B$54)</f>
        <v>0</v>
      </c>
      <c r="Y1972" s="39">
        <f>IF(AC1972="Intr",G1972,G1972*Definitions!$B$55)</f>
        <v>0</v>
      </c>
      <c r="Z1972" s="39"/>
      <c r="AA1972" s="39"/>
      <c r="AB1972" s="39"/>
      <c r="AC1972" s="38"/>
      <c r="AD1972" s="38"/>
      <c r="AE1972" s="38"/>
      <c r="AF1972" s="38"/>
      <c r="AG1972" s="40"/>
      <c r="AH1972" s="38"/>
    </row>
    <row r="1973" spans="1:34" x14ac:dyDescent="0.2">
      <c r="A1973" s="38"/>
      <c r="B1973" s="38"/>
      <c r="C1973" s="38"/>
      <c r="D1973" s="38"/>
      <c r="E1973" s="177"/>
      <c r="F1973" s="177"/>
      <c r="G1973" s="269"/>
      <c r="H1973" s="179"/>
      <c r="I1973" s="177"/>
      <c r="J1973" s="177"/>
      <c r="K1973" s="177"/>
      <c r="L1973" s="177"/>
      <c r="M1973" s="177"/>
      <c r="N1973" s="70"/>
      <c r="O1973" s="38"/>
      <c r="P1973" s="38"/>
      <c r="Q1973" s="760"/>
      <c r="R1973" s="590"/>
      <c r="S1973" s="38"/>
      <c r="T1973" s="38"/>
      <c r="U1973" s="38"/>
      <c r="V1973" s="37"/>
      <c r="W1973" s="39">
        <f>IF(AC1973="Intr",0,G1973*Definitions!$B$53)</f>
        <v>0</v>
      </c>
      <c r="X1973" s="39">
        <f>IF(AC1973="Intr",0,G1973*Definitions!$B$54)</f>
        <v>0</v>
      </c>
      <c r="Y1973" s="39">
        <f>IF(AC1973="Intr",G1973,G1973*Definitions!$B$55)</f>
        <v>0</v>
      </c>
      <c r="Z1973" s="39"/>
      <c r="AA1973" s="39"/>
      <c r="AB1973" s="39"/>
      <c r="AC1973" s="38"/>
      <c r="AD1973" s="38"/>
      <c r="AE1973" s="38"/>
      <c r="AF1973" s="38"/>
      <c r="AG1973" s="40"/>
      <c r="AH1973" s="38"/>
    </row>
    <row r="1974" spans="1:34" x14ac:dyDescent="0.2">
      <c r="A1974" s="38"/>
      <c r="B1974" s="38"/>
      <c r="C1974" s="38"/>
      <c r="D1974" s="38"/>
      <c r="E1974" s="177"/>
      <c r="F1974" s="177"/>
      <c r="G1974" s="269"/>
      <c r="H1974" s="179"/>
      <c r="I1974" s="177"/>
      <c r="J1974" s="177"/>
      <c r="K1974" s="177"/>
      <c r="L1974" s="177"/>
      <c r="M1974" s="177"/>
      <c r="N1974" s="70"/>
      <c r="O1974" s="38"/>
      <c r="P1974" s="38"/>
      <c r="Q1974" s="760"/>
      <c r="R1974" s="590"/>
      <c r="S1974" s="38"/>
      <c r="T1974" s="38"/>
      <c r="U1974" s="38"/>
      <c r="V1974" s="37"/>
      <c r="W1974" s="39">
        <f>IF(AC1974="Intr",0,G1974*Definitions!$B$53)</f>
        <v>0</v>
      </c>
      <c r="X1974" s="39">
        <f>IF(AC1974="Intr",0,G1974*Definitions!$B$54)</f>
        <v>0</v>
      </c>
      <c r="Y1974" s="39">
        <f>IF(AC1974="Intr",G1974,G1974*Definitions!$B$55)</f>
        <v>0</v>
      </c>
      <c r="Z1974" s="39"/>
      <c r="AA1974" s="39"/>
      <c r="AB1974" s="39"/>
      <c r="AC1974" s="38"/>
      <c r="AD1974" s="38"/>
      <c r="AE1974" s="38"/>
      <c r="AF1974" s="38"/>
      <c r="AG1974" s="40"/>
      <c r="AH1974" s="38"/>
    </row>
    <row r="1975" spans="1:34" x14ac:dyDescent="0.2">
      <c r="A1975" s="38"/>
      <c r="B1975" s="38"/>
      <c r="C1975" s="38"/>
      <c r="D1975" s="38"/>
      <c r="E1975" s="177"/>
      <c r="F1975" s="177"/>
      <c r="G1975" s="269"/>
      <c r="H1975" s="179"/>
      <c r="I1975" s="177"/>
      <c r="J1975" s="177"/>
      <c r="K1975" s="177"/>
      <c r="L1975" s="177"/>
      <c r="M1975" s="177"/>
      <c r="N1975" s="70"/>
      <c r="O1975" s="38"/>
      <c r="P1975" s="38"/>
      <c r="Q1975" s="760"/>
      <c r="R1975" s="590"/>
      <c r="S1975" s="38"/>
      <c r="T1975" s="38"/>
      <c r="U1975" s="38"/>
      <c r="V1975" s="37"/>
      <c r="W1975" s="39">
        <f>IF(AC1975="Intr",0,G1975*Definitions!$B$53)</f>
        <v>0</v>
      </c>
      <c r="X1975" s="39">
        <f>IF(AC1975="Intr",0,G1975*Definitions!$B$54)</f>
        <v>0</v>
      </c>
      <c r="Y1975" s="39">
        <f>IF(AC1975="Intr",G1975,G1975*Definitions!$B$55)</f>
        <v>0</v>
      </c>
      <c r="Z1975" s="39"/>
      <c r="AA1975" s="39"/>
      <c r="AB1975" s="39"/>
      <c r="AC1975" s="38"/>
      <c r="AD1975" s="38"/>
      <c r="AE1975" s="38"/>
      <c r="AF1975" s="38"/>
      <c r="AG1975" s="40"/>
      <c r="AH1975" s="38"/>
    </row>
    <row r="1976" spans="1:34" x14ac:dyDescent="0.2">
      <c r="A1976" s="38"/>
      <c r="B1976" s="38"/>
      <c r="C1976" s="38"/>
      <c r="D1976" s="38"/>
      <c r="E1976" s="177"/>
      <c r="F1976" s="177"/>
      <c r="G1976" s="269"/>
      <c r="H1976" s="179"/>
      <c r="I1976" s="177"/>
      <c r="J1976" s="177"/>
      <c r="K1976" s="177"/>
      <c r="L1976" s="177"/>
      <c r="M1976" s="177"/>
      <c r="N1976" s="70"/>
      <c r="O1976" s="38"/>
      <c r="P1976" s="38"/>
      <c r="Q1976" s="760"/>
      <c r="R1976" s="590"/>
      <c r="S1976" s="38"/>
      <c r="T1976" s="38"/>
      <c r="U1976" s="38"/>
      <c r="V1976" s="37"/>
      <c r="W1976" s="39">
        <f>IF(AC1976="Intr",0,G1976*Definitions!$B$53)</f>
        <v>0</v>
      </c>
      <c r="X1976" s="39">
        <f>IF(AC1976="Intr",0,G1976*Definitions!$B$54)</f>
        <v>0</v>
      </c>
      <c r="Y1976" s="39">
        <f>IF(AC1976="Intr",G1976,G1976*Definitions!$B$55)</f>
        <v>0</v>
      </c>
      <c r="Z1976" s="39"/>
      <c r="AA1976" s="39"/>
      <c r="AB1976" s="39"/>
      <c r="AC1976" s="38"/>
      <c r="AD1976" s="38"/>
      <c r="AE1976" s="38"/>
      <c r="AF1976" s="38"/>
      <c r="AG1976" s="40"/>
      <c r="AH1976" s="38"/>
    </row>
    <row r="1977" spans="1:34" x14ac:dyDescent="0.2">
      <c r="A1977" s="38"/>
      <c r="B1977" s="38"/>
      <c r="C1977" s="38"/>
      <c r="D1977" s="38"/>
      <c r="E1977" s="177"/>
      <c r="F1977" s="177"/>
      <c r="G1977" s="269"/>
      <c r="H1977" s="179"/>
      <c r="I1977" s="177"/>
      <c r="J1977" s="177"/>
      <c r="K1977" s="177"/>
      <c r="L1977" s="177"/>
      <c r="M1977" s="177"/>
      <c r="N1977" s="70"/>
      <c r="O1977" s="38"/>
      <c r="P1977" s="38"/>
      <c r="Q1977" s="760"/>
      <c r="R1977" s="590"/>
      <c r="S1977" s="38"/>
      <c r="T1977" s="38"/>
      <c r="U1977" s="38"/>
      <c r="V1977" s="37"/>
      <c r="W1977" s="39">
        <f>IF(AC1977="Intr",0,G1977*Definitions!$B$53)</f>
        <v>0</v>
      </c>
      <c r="X1977" s="39">
        <f>IF(AC1977="Intr",0,G1977*Definitions!$B$54)</f>
        <v>0</v>
      </c>
      <c r="Y1977" s="39">
        <f>IF(AC1977="Intr",G1977,G1977*Definitions!$B$55)</f>
        <v>0</v>
      </c>
      <c r="Z1977" s="39"/>
      <c r="AA1977" s="39"/>
      <c r="AB1977" s="39"/>
      <c r="AC1977" s="38"/>
      <c r="AD1977" s="38"/>
      <c r="AE1977" s="38"/>
      <c r="AF1977" s="38"/>
      <c r="AG1977" s="40"/>
      <c r="AH1977" s="38"/>
    </row>
    <row r="1978" spans="1:34" x14ac:dyDescent="0.2">
      <c r="A1978" s="38"/>
      <c r="B1978" s="38"/>
      <c r="C1978" s="38"/>
      <c r="D1978" s="38"/>
      <c r="E1978" s="177"/>
      <c r="F1978" s="177"/>
      <c r="G1978" s="269"/>
      <c r="H1978" s="179"/>
      <c r="I1978" s="177"/>
      <c r="J1978" s="177"/>
      <c r="K1978" s="177"/>
      <c r="L1978" s="177"/>
      <c r="M1978" s="177"/>
      <c r="N1978" s="70"/>
      <c r="O1978" s="38"/>
      <c r="P1978" s="38"/>
      <c r="Q1978" s="760"/>
      <c r="R1978" s="590"/>
      <c r="S1978" s="38"/>
      <c r="T1978" s="38"/>
      <c r="U1978" s="38"/>
      <c r="V1978" s="37"/>
      <c r="W1978" s="39">
        <f>IF(AC1978="Intr",0,G1978*Definitions!$B$53)</f>
        <v>0</v>
      </c>
      <c r="X1978" s="39">
        <f>IF(AC1978="Intr",0,G1978*Definitions!$B$54)</f>
        <v>0</v>
      </c>
      <c r="Y1978" s="39">
        <f>IF(AC1978="Intr",G1978,G1978*Definitions!$B$55)</f>
        <v>0</v>
      </c>
      <c r="Z1978" s="39"/>
      <c r="AA1978" s="39"/>
      <c r="AB1978" s="39"/>
      <c r="AC1978" s="38"/>
      <c r="AD1978" s="38"/>
      <c r="AE1978" s="38"/>
      <c r="AF1978" s="38"/>
      <c r="AG1978" s="40"/>
      <c r="AH1978" s="38"/>
    </row>
    <row r="1979" spans="1:34" x14ac:dyDescent="0.2">
      <c r="A1979" s="38"/>
      <c r="B1979" s="38"/>
      <c r="C1979" s="38"/>
      <c r="D1979" s="38"/>
      <c r="E1979" s="177"/>
      <c r="F1979" s="177"/>
      <c r="G1979" s="269"/>
      <c r="H1979" s="179"/>
      <c r="I1979" s="177"/>
      <c r="J1979" s="177"/>
      <c r="K1979" s="177"/>
      <c r="L1979" s="177"/>
      <c r="M1979" s="177"/>
      <c r="N1979" s="70"/>
      <c r="O1979" s="38"/>
      <c r="P1979" s="38"/>
      <c r="Q1979" s="760"/>
      <c r="R1979" s="590"/>
      <c r="S1979" s="38"/>
      <c r="T1979" s="38"/>
      <c r="U1979" s="38"/>
      <c r="V1979" s="37"/>
      <c r="W1979" s="39">
        <f>IF(AC1979="Intr",0,G1979*Definitions!$B$53)</f>
        <v>0</v>
      </c>
      <c r="X1979" s="39">
        <f>IF(AC1979="Intr",0,G1979*Definitions!$B$54)</f>
        <v>0</v>
      </c>
      <c r="Y1979" s="39">
        <f>IF(AC1979="Intr",G1979,G1979*Definitions!$B$55)</f>
        <v>0</v>
      </c>
      <c r="Z1979" s="39"/>
      <c r="AA1979" s="39"/>
      <c r="AB1979" s="39"/>
      <c r="AC1979" s="38"/>
      <c r="AD1979" s="38"/>
      <c r="AE1979" s="38"/>
      <c r="AF1979" s="38"/>
      <c r="AG1979" s="40"/>
      <c r="AH1979" s="38"/>
    </row>
    <row r="1980" spans="1:34" x14ac:dyDescent="0.2">
      <c r="A1980" s="38"/>
      <c r="B1980" s="38"/>
      <c r="C1980" s="38"/>
      <c r="D1980" s="38"/>
      <c r="E1980" s="177"/>
      <c r="F1980" s="177"/>
      <c r="G1980" s="269"/>
      <c r="H1980" s="179"/>
      <c r="I1980" s="177"/>
      <c r="J1980" s="177"/>
      <c r="K1980" s="177"/>
      <c r="L1980" s="177"/>
      <c r="M1980" s="177"/>
      <c r="N1980" s="70"/>
      <c r="O1980" s="38"/>
      <c r="P1980" s="38"/>
      <c r="Q1980" s="760"/>
      <c r="R1980" s="590"/>
      <c r="S1980" s="38"/>
      <c r="T1980" s="38"/>
      <c r="U1980" s="38"/>
      <c r="V1980" s="37"/>
      <c r="W1980" s="39">
        <f>IF(AC1980="Intr",0,G1980*Definitions!$B$53)</f>
        <v>0</v>
      </c>
      <c r="X1980" s="39">
        <f>IF(AC1980="Intr",0,G1980*Definitions!$B$54)</f>
        <v>0</v>
      </c>
      <c r="Y1980" s="39">
        <f>IF(AC1980="Intr",G1980,G1980*Definitions!$B$55)</f>
        <v>0</v>
      </c>
      <c r="Z1980" s="39"/>
      <c r="AA1980" s="39"/>
      <c r="AB1980" s="39"/>
      <c r="AC1980" s="38"/>
      <c r="AD1980" s="38"/>
      <c r="AE1980" s="38"/>
      <c r="AF1980" s="38"/>
      <c r="AG1980" s="40"/>
      <c r="AH1980" s="38"/>
    </row>
    <row r="1981" spans="1:34" x14ac:dyDescent="0.2">
      <c r="A1981" s="38"/>
      <c r="B1981" s="38"/>
      <c r="C1981" s="38"/>
      <c r="D1981" s="38"/>
      <c r="E1981" s="177"/>
      <c r="F1981" s="177"/>
      <c r="G1981" s="269"/>
      <c r="H1981" s="179"/>
      <c r="I1981" s="177"/>
      <c r="J1981" s="177"/>
      <c r="K1981" s="177"/>
      <c r="L1981" s="177"/>
      <c r="M1981" s="177"/>
      <c r="N1981" s="70"/>
      <c r="O1981" s="38"/>
      <c r="P1981" s="38"/>
      <c r="Q1981" s="760"/>
      <c r="R1981" s="590"/>
      <c r="S1981" s="38"/>
      <c r="T1981" s="38"/>
      <c r="U1981" s="38"/>
      <c r="V1981" s="37"/>
      <c r="W1981" s="39">
        <f>IF(AC1981="Intr",0,G1981*Definitions!$B$53)</f>
        <v>0</v>
      </c>
      <c r="X1981" s="39">
        <f>IF(AC1981="Intr",0,G1981*Definitions!$B$54)</f>
        <v>0</v>
      </c>
      <c r="Y1981" s="39">
        <f>IF(AC1981="Intr",G1981,G1981*Definitions!$B$55)</f>
        <v>0</v>
      </c>
      <c r="Z1981" s="39"/>
      <c r="AA1981" s="39"/>
      <c r="AB1981" s="39"/>
      <c r="AC1981" s="38"/>
      <c r="AD1981" s="38"/>
      <c r="AE1981" s="38"/>
      <c r="AF1981" s="38"/>
      <c r="AG1981" s="40"/>
      <c r="AH1981" s="38"/>
    </row>
    <row r="1982" spans="1:34" x14ac:dyDescent="0.2">
      <c r="A1982" s="38"/>
      <c r="B1982" s="38"/>
      <c r="C1982" s="38"/>
      <c r="D1982" s="38"/>
      <c r="E1982" s="177"/>
      <c r="F1982" s="177"/>
      <c r="G1982" s="269"/>
      <c r="H1982" s="179"/>
      <c r="I1982" s="177"/>
      <c r="J1982" s="177"/>
      <c r="K1982" s="177"/>
      <c r="L1982" s="177"/>
      <c r="M1982" s="177"/>
      <c r="N1982" s="70"/>
      <c r="O1982" s="38"/>
      <c r="P1982" s="38"/>
      <c r="Q1982" s="760"/>
      <c r="R1982" s="590"/>
      <c r="S1982" s="38"/>
      <c r="T1982" s="38"/>
      <c r="U1982" s="38"/>
      <c r="V1982" s="37"/>
      <c r="W1982" s="39">
        <f>IF(AC1982="Intr",0,G1982*Definitions!$B$53)</f>
        <v>0</v>
      </c>
      <c r="X1982" s="39">
        <f>IF(AC1982="Intr",0,G1982*Definitions!$B$54)</f>
        <v>0</v>
      </c>
      <c r="Y1982" s="39">
        <f>IF(AC1982="Intr",G1982,G1982*Definitions!$B$55)</f>
        <v>0</v>
      </c>
      <c r="Z1982" s="39"/>
      <c r="AA1982" s="39"/>
      <c r="AB1982" s="39"/>
      <c r="AC1982" s="38"/>
      <c r="AD1982" s="38"/>
      <c r="AE1982" s="38"/>
      <c r="AF1982" s="38"/>
      <c r="AG1982" s="40"/>
      <c r="AH1982" s="38"/>
    </row>
    <row r="1983" spans="1:34" x14ac:dyDescent="0.2">
      <c r="A1983" s="38"/>
      <c r="B1983" s="38"/>
      <c r="C1983" s="38"/>
      <c r="D1983" s="38"/>
      <c r="E1983" s="177"/>
      <c r="F1983" s="177"/>
      <c r="G1983" s="269"/>
      <c r="H1983" s="179"/>
      <c r="I1983" s="177"/>
      <c r="J1983" s="177"/>
      <c r="K1983" s="177"/>
      <c r="L1983" s="177"/>
      <c r="M1983" s="177"/>
      <c r="N1983" s="70"/>
      <c r="O1983" s="38"/>
      <c r="P1983" s="38"/>
      <c r="Q1983" s="760"/>
      <c r="R1983" s="590"/>
      <c r="S1983" s="38"/>
      <c r="T1983" s="38"/>
      <c r="U1983" s="38"/>
      <c r="V1983" s="37"/>
      <c r="W1983" s="39">
        <f>IF(AC1983="Intr",0,G1983*Definitions!$B$53)</f>
        <v>0</v>
      </c>
      <c r="X1983" s="39">
        <f>IF(AC1983="Intr",0,G1983*Definitions!$B$54)</f>
        <v>0</v>
      </c>
      <c r="Y1983" s="39">
        <f>IF(AC1983="Intr",G1983,G1983*Definitions!$B$55)</f>
        <v>0</v>
      </c>
      <c r="Z1983" s="39"/>
      <c r="AA1983" s="39"/>
      <c r="AB1983" s="39"/>
      <c r="AC1983" s="38"/>
      <c r="AD1983" s="38"/>
      <c r="AE1983" s="38"/>
      <c r="AF1983" s="38"/>
      <c r="AG1983" s="40"/>
      <c r="AH1983" s="38"/>
    </row>
    <row r="1984" spans="1:34" x14ac:dyDescent="0.2">
      <c r="A1984" s="38"/>
      <c r="B1984" s="38"/>
      <c r="C1984" s="38"/>
      <c r="D1984" s="38"/>
      <c r="E1984" s="177"/>
      <c r="F1984" s="177"/>
      <c r="G1984" s="269"/>
      <c r="H1984" s="179"/>
      <c r="I1984" s="177"/>
      <c r="J1984" s="177"/>
      <c r="K1984" s="177"/>
      <c r="L1984" s="177"/>
      <c r="M1984" s="177"/>
      <c r="N1984" s="70"/>
      <c r="O1984" s="38"/>
      <c r="P1984" s="38"/>
      <c r="Q1984" s="760"/>
      <c r="R1984" s="590"/>
      <c r="S1984" s="38"/>
      <c r="T1984" s="38"/>
      <c r="U1984" s="38"/>
      <c r="V1984" s="37"/>
      <c r="W1984" s="39">
        <f>IF(AC1984="Intr",0,G1984*Definitions!$B$53)</f>
        <v>0</v>
      </c>
      <c r="X1984" s="39">
        <f>IF(AC1984="Intr",0,G1984*Definitions!$B$54)</f>
        <v>0</v>
      </c>
      <c r="Y1984" s="39">
        <f>IF(AC1984="Intr",G1984,G1984*Definitions!$B$55)</f>
        <v>0</v>
      </c>
      <c r="Z1984" s="39"/>
      <c r="AA1984" s="39"/>
      <c r="AB1984" s="39"/>
      <c r="AC1984" s="38"/>
      <c r="AD1984" s="38"/>
      <c r="AE1984" s="38"/>
      <c r="AF1984" s="38"/>
      <c r="AG1984" s="40"/>
      <c r="AH1984" s="38"/>
    </row>
    <row r="1985" spans="1:34" x14ac:dyDescent="0.2">
      <c r="A1985" s="38"/>
      <c r="B1985" s="38"/>
      <c r="C1985" s="38"/>
      <c r="D1985" s="38"/>
      <c r="E1985" s="177"/>
      <c r="F1985" s="177"/>
      <c r="G1985" s="269"/>
      <c r="H1985" s="179"/>
      <c r="I1985" s="177"/>
      <c r="J1985" s="177"/>
      <c r="K1985" s="177"/>
      <c r="L1985" s="177"/>
      <c r="M1985" s="177"/>
      <c r="N1985" s="70"/>
      <c r="O1985" s="38"/>
      <c r="P1985" s="38"/>
      <c r="Q1985" s="760"/>
      <c r="R1985" s="590"/>
      <c r="S1985" s="38"/>
      <c r="T1985" s="38"/>
      <c r="U1985" s="38"/>
      <c r="V1985" s="37"/>
      <c r="W1985" s="39">
        <f>IF(AC1985="Intr",0,G1985*Definitions!$B$53)</f>
        <v>0</v>
      </c>
      <c r="X1985" s="39">
        <f>IF(AC1985="Intr",0,G1985*Definitions!$B$54)</f>
        <v>0</v>
      </c>
      <c r="Y1985" s="39">
        <f>IF(AC1985="Intr",G1985,G1985*Definitions!$B$55)</f>
        <v>0</v>
      </c>
      <c r="Z1985" s="39"/>
      <c r="AA1985" s="39"/>
      <c r="AB1985" s="39"/>
      <c r="AC1985" s="38"/>
      <c r="AD1985" s="38"/>
      <c r="AE1985" s="38"/>
      <c r="AF1985" s="38"/>
      <c r="AG1985" s="40"/>
      <c r="AH1985" s="38"/>
    </row>
    <row r="1986" spans="1:34" x14ac:dyDescent="0.2">
      <c r="A1986" s="38"/>
      <c r="B1986" s="38"/>
      <c r="C1986" s="38"/>
      <c r="D1986" s="38"/>
      <c r="E1986" s="177"/>
      <c r="F1986" s="177"/>
      <c r="G1986" s="269"/>
      <c r="H1986" s="179"/>
      <c r="I1986" s="177"/>
      <c r="J1986" s="177"/>
      <c r="K1986" s="177"/>
      <c r="L1986" s="177"/>
      <c r="M1986" s="177"/>
      <c r="N1986" s="70"/>
      <c r="O1986" s="38"/>
      <c r="P1986" s="38"/>
      <c r="Q1986" s="760"/>
      <c r="R1986" s="590"/>
      <c r="S1986" s="38"/>
      <c r="T1986" s="38"/>
      <c r="U1986" s="38"/>
      <c r="V1986" s="37"/>
      <c r="W1986" s="39">
        <f>IF(AC1986="Intr",0,G1986*Definitions!$B$53)</f>
        <v>0</v>
      </c>
      <c r="X1986" s="39">
        <f>IF(AC1986="Intr",0,G1986*Definitions!$B$54)</f>
        <v>0</v>
      </c>
      <c r="Y1986" s="39">
        <f>IF(AC1986="Intr",G1986,G1986*Definitions!$B$55)</f>
        <v>0</v>
      </c>
      <c r="Z1986" s="39"/>
      <c r="AA1986" s="39"/>
      <c r="AB1986" s="39"/>
      <c r="AC1986" s="38"/>
      <c r="AD1986" s="38"/>
      <c r="AE1986" s="38"/>
      <c r="AF1986" s="38"/>
      <c r="AG1986" s="40"/>
      <c r="AH1986" s="38"/>
    </row>
    <row r="1987" spans="1:34" x14ac:dyDescent="0.2">
      <c r="A1987" s="38"/>
      <c r="B1987" s="38"/>
      <c r="C1987" s="38"/>
      <c r="D1987" s="38"/>
      <c r="E1987" s="177"/>
      <c r="F1987" s="177"/>
      <c r="G1987" s="269"/>
      <c r="H1987" s="179"/>
      <c r="I1987" s="177"/>
      <c r="J1987" s="177"/>
      <c r="K1987" s="177"/>
      <c r="L1987" s="177"/>
      <c r="M1987" s="177"/>
      <c r="N1987" s="70"/>
      <c r="O1987" s="38"/>
      <c r="P1987" s="38"/>
      <c r="Q1987" s="760"/>
      <c r="R1987" s="590"/>
      <c r="S1987" s="38"/>
      <c r="T1987" s="38"/>
      <c r="U1987" s="38"/>
      <c r="V1987" s="37"/>
      <c r="W1987" s="39">
        <f>IF(AC1987="Intr",0,G1987*Definitions!$B$53)</f>
        <v>0</v>
      </c>
      <c r="X1987" s="39">
        <f>IF(AC1987="Intr",0,G1987*Definitions!$B$54)</f>
        <v>0</v>
      </c>
      <c r="Y1987" s="39">
        <f>IF(AC1987="Intr",G1987,G1987*Definitions!$B$55)</f>
        <v>0</v>
      </c>
      <c r="Z1987" s="39"/>
      <c r="AA1987" s="39"/>
      <c r="AB1987" s="39"/>
      <c r="AC1987" s="38"/>
      <c r="AD1987" s="38"/>
      <c r="AE1987" s="38"/>
      <c r="AF1987" s="38"/>
      <c r="AG1987" s="40"/>
      <c r="AH1987" s="38"/>
    </row>
    <row r="1988" spans="1:34" x14ac:dyDescent="0.2">
      <c r="A1988" s="38"/>
      <c r="B1988" s="38"/>
      <c r="C1988" s="38"/>
      <c r="D1988" s="38"/>
      <c r="E1988" s="177"/>
      <c r="F1988" s="177"/>
      <c r="G1988" s="269"/>
      <c r="H1988" s="179"/>
      <c r="I1988" s="177"/>
      <c r="J1988" s="177"/>
      <c r="K1988" s="177"/>
      <c r="L1988" s="177"/>
      <c r="M1988" s="177"/>
      <c r="N1988" s="70"/>
      <c r="O1988" s="38"/>
      <c r="P1988" s="38"/>
      <c r="Q1988" s="760"/>
      <c r="R1988" s="590"/>
      <c r="S1988" s="38"/>
      <c r="T1988" s="38"/>
      <c r="U1988" s="38"/>
      <c r="V1988" s="37"/>
      <c r="W1988" s="39">
        <f>IF(AC1988="Intr",0,G1988*Definitions!$B$53)</f>
        <v>0</v>
      </c>
      <c r="X1988" s="39">
        <f>IF(AC1988="Intr",0,G1988*Definitions!$B$54)</f>
        <v>0</v>
      </c>
      <c r="Y1988" s="39">
        <f>IF(AC1988="Intr",G1988,G1988*Definitions!$B$55)</f>
        <v>0</v>
      </c>
      <c r="Z1988" s="39"/>
      <c r="AA1988" s="39"/>
      <c r="AB1988" s="39"/>
      <c r="AC1988" s="38"/>
      <c r="AD1988" s="38"/>
      <c r="AE1988" s="38"/>
      <c r="AF1988" s="38"/>
      <c r="AG1988" s="40"/>
      <c r="AH1988" s="38"/>
    </row>
    <row r="1989" spans="1:34" x14ac:dyDescent="0.2">
      <c r="A1989" s="38"/>
      <c r="B1989" s="38"/>
      <c r="C1989" s="38"/>
      <c r="D1989" s="38"/>
      <c r="E1989" s="177"/>
      <c r="F1989" s="177"/>
      <c r="G1989" s="269"/>
      <c r="H1989" s="179"/>
      <c r="I1989" s="177"/>
      <c r="J1989" s="177"/>
      <c r="K1989" s="177"/>
      <c r="L1989" s="177"/>
      <c r="M1989" s="177"/>
      <c r="N1989" s="70"/>
      <c r="O1989" s="38"/>
      <c r="P1989" s="38"/>
      <c r="Q1989" s="760"/>
      <c r="R1989" s="590"/>
      <c r="S1989" s="38"/>
      <c r="T1989" s="38"/>
      <c r="U1989" s="38"/>
      <c r="V1989" s="37"/>
      <c r="W1989" s="39">
        <f>IF(AC1989="Intr",0,G1989*Definitions!$B$53)</f>
        <v>0</v>
      </c>
      <c r="X1989" s="39">
        <f>IF(AC1989="Intr",0,G1989*Definitions!$B$54)</f>
        <v>0</v>
      </c>
      <c r="Y1989" s="39">
        <f>IF(AC1989="Intr",G1989,G1989*Definitions!$B$55)</f>
        <v>0</v>
      </c>
      <c r="Z1989" s="39"/>
      <c r="AA1989" s="39"/>
      <c r="AB1989" s="39"/>
      <c r="AC1989" s="38"/>
      <c r="AD1989" s="38"/>
      <c r="AE1989" s="38"/>
      <c r="AF1989" s="38"/>
      <c r="AG1989" s="40"/>
      <c r="AH1989" s="38"/>
    </row>
    <row r="1990" spans="1:34" x14ac:dyDescent="0.2">
      <c r="A1990" s="38"/>
      <c r="B1990" s="38"/>
      <c r="C1990" s="38"/>
      <c r="D1990" s="38"/>
      <c r="E1990" s="177"/>
      <c r="F1990" s="177"/>
      <c r="G1990" s="269"/>
      <c r="H1990" s="179"/>
      <c r="I1990" s="177"/>
      <c r="J1990" s="177"/>
      <c r="K1990" s="177"/>
      <c r="L1990" s="177"/>
      <c r="M1990" s="177"/>
      <c r="N1990" s="70"/>
      <c r="O1990" s="38"/>
      <c r="P1990" s="38"/>
      <c r="Q1990" s="760"/>
      <c r="R1990" s="590"/>
      <c r="S1990" s="38"/>
      <c r="T1990" s="38"/>
      <c r="U1990" s="38"/>
      <c r="V1990" s="37"/>
      <c r="W1990" s="39">
        <f>IF(AC1990="Intr",0,G1990*Definitions!$B$53)</f>
        <v>0</v>
      </c>
      <c r="X1990" s="39">
        <f>IF(AC1990="Intr",0,G1990*Definitions!$B$54)</f>
        <v>0</v>
      </c>
      <c r="Y1990" s="39">
        <f>IF(AC1990="Intr",G1990,G1990*Definitions!$B$55)</f>
        <v>0</v>
      </c>
      <c r="Z1990" s="39"/>
      <c r="AA1990" s="39"/>
      <c r="AB1990" s="39"/>
      <c r="AC1990" s="38"/>
      <c r="AD1990" s="38"/>
      <c r="AE1990" s="38"/>
      <c r="AF1990" s="38"/>
      <c r="AG1990" s="40"/>
      <c r="AH1990" s="38"/>
    </row>
    <row r="1991" spans="1:34" x14ac:dyDescent="0.2">
      <c r="A1991" s="38"/>
      <c r="B1991" s="38"/>
      <c r="C1991" s="38"/>
      <c r="D1991" s="38"/>
      <c r="E1991" s="177"/>
      <c r="F1991" s="177"/>
      <c r="G1991" s="269"/>
      <c r="H1991" s="179"/>
      <c r="I1991" s="177"/>
      <c r="J1991" s="177"/>
      <c r="K1991" s="177"/>
      <c r="L1991" s="177"/>
      <c r="M1991" s="177"/>
      <c r="N1991" s="70"/>
      <c r="O1991" s="38"/>
      <c r="P1991" s="38"/>
      <c r="Q1991" s="760"/>
      <c r="R1991" s="590"/>
      <c r="S1991" s="38"/>
      <c r="T1991" s="38"/>
      <c r="U1991" s="38"/>
      <c r="V1991" s="37"/>
      <c r="W1991" s="39">
        <f>IF(AC1991="Intr",0,G1991*Definitions!$B$53)</f>
        <v>0</v>
      </c>
      <c r="X1991" s="39">
        <f>IF(AC1991="Intr",0,G1991*Definitions!$B$54)</f>
        <v>0</v>
      </c>
      <c r="Y1991" s="39">
        <f>IF(AC1991="Intr",G1991,G1991*Definitions!$B$55)</f>
        <v>0</v>
      </c>
      <c r="Z1991" s="39"/>
      <c r="AA1991" s="39"/>
      <c r="AB1991" s="39"/>
      <c r="AC1991" s="38"/>
      <c r="AD1991" s="38"/>
      <c r="AE1991" s="38"/>
      <c r="AF1991" s="38"/>
      <c r="AG1991" s="40"/>
      <c r="AH1991" s="38"/>
    </row>
    <row r="1992" spans="1:34" x14ac:dyDescent="0.2">
      <c r="A1992" s="38"/>
      <c r="B1992" s="38"/>
      <c r="C1992" s="38"/>
      <c r="D1992" s="38"/>
      <c r="E1992" s="177"/>
      <c r="F1992" s="177"/>
      <c r="G1992" s="269"/>
      <c r="H1992" s="179"/>
      <c r="I1992" s="177"/>
      <c r="J1992" s="177"/>
      <c r="K1992" s="177"/>
      <c r="L1992" s="177"/>
      <c r="M1992" s="177"/>
      <c r="N1992" s="70"/>
      <c r="O1992" s="38"/>
      <c r="P1992" s="38"/>
      <c r="Q1992" s="760"/>
      <c r="R1992" s="590"/>
      <c r="S1992" s="38"/>
      <c r="T1992" s="38"/>
      <c r="U1992" s="38"/>
      <c r="V1992" s="37"/>
      <c r="W1992" s="39">
        <f>IF(AC1992="Intr",0,G1992*Definitions!$B$53)</f>
        <v>0</v>
      </c>
      <c r="X1992" s="39">
        <f>IF(AC1992="Intr",0,G1992*Definitions!$B$54)</f>
        <v>0</v>
      </c>
      <c r="Y1992" s="39">
        <f>IF(AC1992="Intr",G1992,G1992*Definitions!$B$55)</f>
        <v>0</v>
      </c>
      <c r="Z1992" s="39"/>
      <c r="AA1992" s="39"/>
      <c r="AB1992" s="39"/>
      <c r="AC1992" s="38"/>
      <c r="AD1992" s="38"/>
      <c r="AE1992" s="38"/>
      <c r="AF1992" s="38"/>
      <c r="AG1992" s="40"/>
      <c r="AH1992" s="38"/>
    </row>
    <row r="1993" spans="1:34" x14ac:dyDescent="0.2">
      <c r="A1993" s="38"/>
      <c r="B1993" s="38"/>
      <c r="C1993" s="38"/>
      <c r="D1993" s="38"/>
      <c r="E1993" s="177"/>
      <c r="F1993" s="177"/>
      <c r="G1993" s="269"/>
      <c r="H1993" s="179"/>
      <c r="I1993" s="177"/>
      <c r="J1993" s="177"/>
      <c r="K1993" s="177"/>
      <c r="L1993" s="177"/>
      <c r="M1993" s="177"/>
      <c r="N1993" s="70"/>
      <c r="O1993" s="38"/>
      <c r="P1993" s="38"/>
      <c r="Q1993" s="760"/>
      <c r="R1993" s="590"/>
      <c r="S1993" s="38"/>
      <c r="T1993" s="38"/>
      <c r="U1993" s="38"/>
      <c r="V1993" s="37"/>
      <c r="W1993" s="39">
        <f>IF(AC1993="Intr",0,G1993*Definitions!$B$53)</f>
        <v>0</v>
      </c>
      <c r="X1993" s="39">
        <f>IF(AC1993="Intr",0,G1993*Definitions!$B$54)</f>
        <v>0</v>
      </c>
      <c r="Y1993" s="39">
        <f>IF(AC1993="Intr",G1993,G1993*Definitions!$B$55)</f>
        <v>0</v>
      </c>
      <c r="Z1993" s="39"/>
      <c r="AA1993" s="39"/>
      <c r="AB1993" s="39"/>
      <c r="AC1993" s="38"/>
      <c r="AD1993" s="38"/>
      <c r="AE1993" s="38"/>
      <c r="AF1993" s="38"/>
      <c r="AG1993" s="40"/>
      <c r="AH1993" s="38"/>
    </row>
    <row r="1994" spans="1:34" x14ac:dyDescent="0.2">
      <c r="A1994" s="38"/>
      <c r="B1994" s="38"/>
      <c r="C1994" s="38"/>
      <c r="D1994" s="38"/>
      <c r="E1994" s="177"/>
      <c r="F1994" s="177"/>
      <c r="G1994" s="269"/>
      <c r="H1994" s="179"/>
      <c r="I1994" s="177"/>
      <c r="J1994" s="177"/>
      <c r="K1994" s="177"/>
      <c r="L1994" s="177"/>
      <c r="M1994" s="177"/>
      <c r="N1994" s="70"/>
      <c r="O1994" s="38"/>
      <c r="P1994" s="38"/>
      <c r="Q1994" s="760"/>
      <c r="R1994" s="590"/>
      <c r="S1994" s="38"/>
      <c r="T1994" s="38"/>
      <c r="U1994" s="38"/>
      <c r="V1994" s="37"/>
      <c r="W1994" s="39">
        <f>IF(AC1994="Intr",0,G1994*Definitions!$B$53)</f>
        <v>0</v>
      </c>
      <c r="X1994" s="39">
        <f>IF(AC1994="Intr",0,G1994*Definitions!$B$54)</f>
        <v>0</v>
      </c>
      <c r="Y1994" s="39">
        <f>IF(AC1994="Intr",G1994,G1994*Definitions!$B$55)</f>
        <v>0</v>
      </c>
      <c r="Z1994" s="39"/>
      <c r="AA1994" s="39"/>
      <c r="AB1994" s="39"/>
      <c r="AC1994" s="38"/>
      <c r="AD1994" s="38"/>
      <c r="AE1994" s="38"/>
      <c r="AF1994" s="38"/>
      <c r="AG1994" s="40"/>
      <c r="AH1994" s="38"/>
    </row>
    <row r="1995" spans="1:34" x14ac:dyDescent="0.2">
      <c r="A1995" s="38"/>
      <c r="B1995" s="38"/>
      <c r="C1995" s="38"/>
      <c r="D1995" s="38"/>
      <c r="E1995" s="177"/>
      <c r="F1995" s="177"/>
      <c r="G1995" s="269"/>
      <c r="H1995" s="179"/>
      <c r="I1995" s="177"/>
      <c r="J1995" s="177"/>
      <c r="K1995" s="177"/>
      <c r="L1995" s="177"/>
      <c r="M1995" s="177"/>
      <c r="N1995" s="70"/>
      <c r="O1995" s="38"/>
      <c r="P1995" s="38"/>
      <c r="Q1995" s="760"/>
      <c r="R1995" s="590"/>
      <c r="S1995" s="38"/>
      <c r="T1995" s="38"/>
      <c r="U1995" s="38"/>
      <c r="V1995" s="37"/>
      <c r="W1995" s="39">
        <f>IF(AC1995="Intr",0,G1995*Definitions!$B$53)</f>
        <v>0</v>
      </c>
      <c r="X1995" s="39">
        <f>IF(AC1995="Intr",0,G1995*Definitions!$B$54)</f>
        <v>0</v>
      </c>
      <c r="Y1995" s="39">
        <f>IF(AC1995="Intr",G1995,G1995*Definitions!$B$55)</f>
        <v>0</v>
      </c>
      <c r="Z1995" s="39"/>
      <c r="AA1995" s="39"/>
      <c r="AB1995" s="39"/>
      <c r="AC1995" s="38"/>
      <c r="AD1995" s="38"/>
      <c r="AE1995" s="38"/>
      <c r="AF1995" s="38"/>
      <c r="AG1995" s="40"/>
      <c r="AH1995" s="38"/>
    </row>
    <row r="1996" spans="1:34" x14ac:dyDescent="0.2">
      <c r="A1996" s="38"/>
      <c r="B1996" s="38"/>
      <c r="C1996" s="38"/>
      <c r="D1996" s="38"/>
      <c r="E1996" s="177"/>
      <c r="F1996" s="177"/>
      <c r="G1996" s="269"/>
      <c r="H1996" s="179"/>
      <c r="I1996" s="177"/>
      <c r="J1996" s="177"/>
      <c r="K1996" s="177"/>
      <c r="L1996" s="177"/>
      <c r="M1996" s="177"/>
      <c r="N1996" s="70"/>
      <c r="O1996" s="38"/>
      <c r="P1996" s="38"/>
      <c r="Q1996" s="760"/>
      <c r="R1996" s="590"/>
      <c r="S1996" s="38"/>
      <c r="T1996" s="38"/>
      <c r="U1996" s="38"/>
      <c r="V1996" s="37"/>
      <c r="W1996" s="39">
        <f>IF(AC1996="Intr",0,G1996*Definitions!$B$53)</f>
        <v>0</v>
      </c>
      <c r="X1996" s="39">
        <f>IF(AC1996="Intr",0,G1996*Definitions!$B$54)</f>
        <v>0</v>
      </c>
      <c r="Y1996" s="39">
        <f>IF(AC1996="Intr",G1996,G1996*Definitions!$B$55)</f>
        <v>0</v>
      </c>
      <c r="Z1996" s="39"/>
      <c r="AA1996" s="39"/>
      <c r="AB1996" s="39"/>
      <c r="AC1996" s="38"/>
      <c r="AD1996" s="38"/>
      <c r="AE1996" s="38"/>
      <c r="AF1996" s="38"/>
      <c r="AG1996" s="40"/>
      <c r="AH1996" s="38"/>
    </row>
    <row r="1997" spans="1:34" x14ac:dyDescent="0.2">
      <c r="A1997" s="38"/>
      <c r="B1997" s="38"/>
      <c r="C1997" s="38"/>
      <c r="D1997" s="38"/>
      <c r="E1997" s="177"/>
      <c r="F1997" s="177"/>
      <c r="G1997" s="269"/>
      <c r="H1997" s="179"/>
      <c r="I1997" s="177"/>
      <c r="J1997" s="177"/>
      <c r="K1997" s="177"/>
      <c r="L1997" s="177"/>
      <c r="M1997" s="177"/>
      <c r="N1997" s="70"/>
      <c r="O1997" s="38"/>
      <c r="P1997" s="38"/>
      <c r="Q1997" s="760"/>
      <c r="R1997" s="590"/>
      <c r="S1997" s="38"/>
      <c r="T1997" s="38"/>
      <c r="U1997" s="38"/>
      <c r="V1997" s="37"/>
      <c r="W1997" s="39">
        <f>IF(AC1997="Intr",0,G1997*Definitions!$B$53)</f>
        <v>0</v>
      </c>
      <c r="X1997" s="39">
        <f>IF(AC1997="Intr",0,G1997*Definitions!$B$54)</f>
        <v>0</v>
      </c>
      <c r="Y1997" s="39">
        <f>IF(AC1997="Intr",G1997,G1997*Definitions!$B$55)</f>
        <v>0</v>
      </c>
      <c r="Z1997" s="39"/>
      <c r="AA1997" s="39"/>
      <c r="AB1997" s="39"/>
      <c r="AC1997" s="38"/>
      <c r="AD1997" s="38"/>
      <c r="AE1997" s="38"/>
      <c r="AF1997" s="38"/>
      <c r="AG1997" s="40"/>
      <c r="AH1997" s="38"/>
    </row>
    <row r="1998" spans="1:34" x14ac:dyDescent="0.2">
      <c r="A1998" s="38"/>
      <c r="B1998" s="38"/>
      <c r="C1998" s="38"/>
      <c r="D1998" s="38"/>
      <c r="E1998" s="177"/>
      <c r="F1998" s="177"/>
      <c r="G1998" s="269"/>
      <c r="H1998" s="179"/>
      <c r="I1998" s="177"/>
      <c r="J1998" s="177"/>
      <c r="K1998" s="177"/>
      <c r="L1998" s="177"/>
      <c r="M1998" s="177"/>
      <c r="N1998" s="70"/>
      <c r="O1998" s="38"/>
      <c r="P1998" s="38"/>
      <c r="Q1998" s="760"/>
      <c r="R1998" s="590"/>
      <c r="S1998" s="38"/>
      <c r="T1998" s="38"/>
      <c r="U1998" s="38"/>
      <c r="V1998" s="37"/>
      <c r="W1998" s="39">
        <f>IF(AC1998="Intr",0,G1998*Definitions!$B$53)</f>
        <v>0</v>
      </c>
      <c r="X1998" s="39">
        <f>IF(AC1998="Intr",0,G1998*Definitions!$B$54)</f>
        <v>0</v>
      </c>
      <c r="Y1998" s="39">
        <f>IF(AC1998="Intr",G1998,G1998*Definitions!$B$55)</f>
        <v>0</v>
      </c>
      <c r="Z1998" s="39"/>
      <c r="AA1998" s="39"/>
      <c r="AB1998" s="39"/>
      <c r="AC1998" s="38"/>
      <c r="AD1998" s="38"/>
      <c r="AE1998" s="38"/>
      <c r="AF1998" s="38"/>
      <c r="AG1998" s="40"/>
      <c r="AH1998" s="38"/>
    </row>
    <row r="1999" spans="1:34" x14ac:dyDescent="0.2">
      <c r="A1999" s="38"/>
      <c r="B1999" s="38"/>
      <c r="C1999" s="38"/>
      <c r="D1999" s="38"/>
      <c r="E1999" s="177"/>
      <c r="F1999" s="177"/>
      <c r="G1999" s="269"/>
      <c r="H1999" s="179"/>
      <c r="I1999" s="177"/>
      <c r="J1999" s="177"/>
      <c r="K1999" s="177"/>
      <c r="L1999" s="177"/>
      <c r="M1999" s="177"/>
      <c r="N1999" s="70"/>
      <c r="O1999" s="38"/>
      <c r="P1999" s="38"/>
      <c r="Q1999" s="760"/>
      <c r="R1999" s="590"/>
      <c r="S1999" s="38"/>
      <c r="T1999" s="38"/>
      <c r="U1999" s="38"/>
      <c r="V1999" s="37"/>
      <c r="W1999" s="39">
        <f>IF(AC1999="Intr",0,G1999*Definitions!$B$53)</f>
        <v>0</v>
      </c>
      <c r="X1999" s="39">
        <f>IF(AC1999="Intr",0,G1999*Definitions!$B$54)</f>
        <v>0</v>
      </c>
      <c r="Y1999" s="39">
        <f>IF(AC1999="Intr",G1999,G1999*Definitions!$B$55)</f>
        <v>0</v>
      </c>
      <c r="Z1999" s="39"/>
      <c r="AA1999" s="39"/>
      <c r="AB1999" s="39"/>
      <c r="AC1999" s="38"/>
      <c r="AD1999" s="38"/>
      <c r="AE1999" s="38"/>
      <c r="AF1999" s="38"/>
      <c r="AG1999" s="40"/>
      <c r="AH1999" s="38"/>
    </row>
    <row r="2000" spans="1:34" x14ac:dyDescent="0.2">
      <c r="A2000" s="38"/>
      <c r="B2000" s="38"/>
      <c r="C2000" s="38"/>
      <c r="D2000" s="38"/>
      <c r="E2000" s="177"/>
      <c r="F2000" s="177"/>
      <c r="G2000" s="269"/>
      <c r="H2000" s="179"/>
      <c r="I2000" s="177"/>
      <c r="J2000" s="177"/>
      <c r="K2000" s="177"/>
      <c r="L2000" s="177"/>
      <c r="M2000" s="177"/>
      <c r="N2000" s="70"/>
      <c r="O2000" s="38"/>
      <c r="P2000" s="38"/>
      <c r="Q2000" s="760"/>
      <c r="R2000" s="590"/>
      <c r="S2000" s="38"/>
      <c r="T2000" s="38"/>
      <c r="U2000" s="38"/>
      <c r="V2000" s="37"/>
      <c r="W2000" s="39">
        <f>IF(AC2000="Intr",0,G2000*Definitions!$B$53)</f>
        <v>0</v>
      </c>
      <c r="X2000" s="39">
        <f>IF(AC2000="Intr",0,G2000*Definitions!$B$54)</f>
        <v>0</v>
      </c>
      <c r="Y2000" s="39">
        <f>IF(AC2000="Intr",G2000,G2000*Definitions!$B$55)</f>
        <v>0</v>
      </c>
      <c r="Z2000" s="39"/>
      <c r="AA2000" s="39"/>
      <c r="AB2000" s="39"/>
      <c r="AC2000" s="38"/>
      <c r="AD2000" s="38"/>
      <c r="AE2000" s="38"/>
      <c r="AF2000" s="38"/>
      <c r="AG2000" s="40"/>
      <c r="AH2000" s="38"/>
    </row>
    <row r="2001" spans="1:34" x14ac:dyDescent="0.2">
      <c r="A2001" s="38"/>
      <c r="B2001" s="38"/>
      <c r="C2001" s="38"/>
      <c r="D2001" s="38"/>
      <c r="E2001" s="177"/>
      <c r="F2001" s="177"/>
      <c r="G2001" s="269"/>
      <c r="H2001" s="179"/>
      <c r="I2001" s="177"/>
      <c r="J2001" s="177"/>
      <c r="K2001" s="177"/>
      <c r="L2001" s="177"/>
      <c r="M2001" s="177"/>
      <c r="N2001" s="70"/>
      <c r="O2001" s="38"/>
      <c r="P2001" s="38"/>
      <c r="Q2001" s="760"/>
      <c r="R2001" s="590"/>
      <c r="S2001" s="38"/>
      <c r="T2001" s="38"/>
      <c r="U2001" s="38"/>
      <c r="V2001" s="37"/>
      <c r="W2001" s="39">
        <f>IF(AC2001="Intr",0,G2001*Definitions!$B$53)</f>
        <v>0</v>
      </c>
      <c r="X2001" s="39">
        <f>IF(AC2001="Intr",0,G2001*Definitions!$B$54)</f>
        <v>0</v>
      </c>
      <c r="Y2001" s="39">
        <f>IF(AC2001="Intr",G2001,G2001*Definitions!$B$55)</f>
        <v>0</v>
      </c>
      <c r="Z2001" s="39"/>
      <c r="AA2001" s="39"/>
      <c r="AB2001" s="39"/>
      <c r="AC2001" s="38"/>
      <c r="AD2001" s="38"/>
      <c r="AE2001" s="38"/>
      <c r="AF2001" s="38"/>
      <c r="AG2001" s="40"/>
      <c r="AH2001" s="38"/>
    </row>
    <row r="2002" spans="1:34" x14ac:dyDescent="0.2">
      <c r="A2002" s="38"/>
      <c r="B2002" s="38"/>
      <c r="C2002" s="38"/>
      <c r="D2002" s="38"/>
      <c r="E2002" s="177"/>
      <c r="F2002" s="177"/>
      <c r="G2002" s="269"/>
      <c r="H2002" s="179"/>
      <c r="I2002" s="177"/>
      <c r="J2002" s="177"/>
      <c r="K2002" s="177"/>
      <c r="L2002" s="177"/>
      <c r="M2002" s="177"/>
      <c r="N2002" s="70"/>
      <c r="O2002" s="38"/>
      <c r="P2002" s="38"/>
      <c r="Q2002" s="760"/>
      <c r="R2002" s="590"/>
      <c r="S2002" s="38"/>
      <c r="T2002" s="38"/>
      <c r="U2002" s="38"/>
      <c r="V2002" s="37"/>
      <c r="W2002" s="39">
        <f>IF(AC2002="Intr",0,G2002*Definitions!$B$53)</f>
        <v>0</v>
      </c>
      <c r="X2002" s="39">
        <f>IF(AC2002="Intr",0,G2002*Definitions!$B$54)</f>
        <v>0</v>
      </c>
      <c r="Y2002" s="39">
        <f>IF(AC2002="Intr",G2002,G2002*Definitions!$B$55)</f>
        <v>0</v>
      </c>
      <c r="Z2002" s="39"/>
      <c r="AA2002" s="39"/>
      <c r="AB2002" s="39"/>
      <c r="AC2002" s="38"/>
      <c r="AD2002" s="38"/>
      <c r="AE2002" s="38"/>
      <c r="AF2002" s="38"/>
      <c r="AG2002" s="40"/>
      <c r="AH2002" s="38"/>
    </row>
    <row r="2003" spans="1:34" x14ac:dyDescent="0.2">
      <c r="A2003" s="38"/>
      <c r="B2003" s="38"/>
      <c r="C2003" s="38"/>
      <c r="D2003" s="38"/>
      <c r="E2003" s="177"/>
      <c r="F2003" s="177"/>
      <c r="G2003" s="269"/>
      <c r="H2003" s="179"/>
      <c r="I2003" s="177"/>
      <c r="J2003" s="177"/>
      <c r="K2003" s="177"/>
      <c r="L2003" s="177"/>
      <c r="M2003" s="177"/>
      <c r="N2003" s="70"/>
      <c r="O2003" s="38"/>
      <c r="P2003" s="38"/>
      <c r="Q2003" s="760"/>
      <c r="R2003" s="590"/>
      <c r="S2003" s="38"/>
      <c r="T2003" s="38"/>
      <c r="U2003" s="38"/>
      <c r="V2003" s="37"/>
      <c r="W2003" s="39">
        <f>IF(AC2003="Intr",0,G2003*Definitions!$B$53)</f>
        <v>0</v>
      </c>
      <c r="X2003" s="39">
        <f>IF(AC2003="Intr",0,G2003*Definitions!$B$54)</f>
        <v>0</v>
      </c>
      <c r="Y2003" s="39">
        <f>IF(AC2003="Intr",G2003,G2003*Definitions!$B$55)</f>
        <v>0</v>
      </c>
      <c r="Z2003" s="39"/>
      <c r="AA2003" s="39"/>
      <c r="AB2003" s="39"/>
      <c r="AC2003" s="38"/>
      <c r="AD2003" s="38"/>
      <c r="AE2003" s="38"/>
      <c r="AF2003" s="38"/>
      <c r="AG2003" s="40"/>
      <c r="AH2003" s="38"/>
    </row>
    <row r="2004" spans="1:34" x14ac:dyDescent="0.2">
      <c r="A2004" s="38"/>
      <c r="B2004" s="38"/>
      <c r="C2004" s="38"/>
      <c r="D2004" s="38"/>
      <c r="E2004" s="177"/>
      <c r="F2004" s="177"/>
      <c r="G2004" s="269"/>
      <c r="H2004" s="179"/>
      <c r="I2004" s="177"/>
      <c r="J2004" s="177"/>
      <c r="K2004" s="177"/>
      <c r="L2004" s="177"/>
      <c r="M2004" s="177"/>
      <c r="N2004" s="70"/>
      <c r="O2004" s="38"/>
      <c r="P2004" s="38"/>
      <c r="Q2004" s="760"/>
      <c r="R2004" s="590"/>
      <c r="S2004" s="38"/>
      <c r="T2004" s="38"/>
      <c r="U2004" s="38"/>
      <c r="V2004" s="37"/>
      <c r="W2004" s="39">
        <f>IF(AC2004="Intr",0,G2004*Definitions!$B$53)</f>
        <v>0</v>
      </c>
      <c r="X2004" s="39">
        <f>IF(AC2004="Intr",0,G2004*Definitions!$B$54)</f>
        <v>0</v>
      </c>
      <c r="Y2004" s="39">
        <f>IF(AC2004="Intr",G2004,G2004*Definitions!$B$55)</f>
        <v>0</v>
      </c>
      <c r="Z2004" s="39"/>
      <c r="AA2004" s="39"/>
      <c r="AB2004" s="39"/>
      <c r="AC2004" s="38"/>
      <c r="AD2004" s="38"/>
      <c r="AE2004" s="38"/>
      <c r="AF2004" s="38"/>
      <c r="AG2004" s="40"/>
      <c r="AH2004" s="38"/>
    </row>
    <row r="2005" spans="1:34" x14ac:dyDescent="0.2">
      <c r="A2005" s="38"/>
      <c r="B2005" s="38"/>
      <c r="C2005" s="38"/>
      <c r="D2005" s="38"/>
      <c r="E2005" s="177"/>
      <c r="F2005" s="177"/>
      <c r="G2005" s="269"/>
      <c r="H2005" s="179"/>
      <c r="I2005" s="177"/>
      <c r="J2005" s="177"/>
      <c r="K2005" s="177"/>
      <c r="L2005" s="177"/>
      <c r="M2005" s="177"/>
      <c r="N2005" s="70"/>
      <c r="O2005" s="38"/>
      <c r="P2005" s="38"/>
      <c r="Q2005" s="760"/>
      <c r="R2005" s="590"/>
      <c r="S2005" s="38"/>
      <c r="T2005" s="38"/>
      <c r="U2005" s="38"/>
      <c r="V2005" s="37"/>
      <c r="W2005" s="39">
        <f>IF(AC2005="Intr",0,G2005*Definitions!$B$53)</f>
        <v>0</v>
      </c>
      <c r="X2005" s="39">
        <f>IF(AC2005="Intr",0,G2005*Definitions!$B$54)</f>
        <v>0</v>
      </c>
      <c r="Y2005" s="39">
        <f>IF(AC2005="Intr",G2005,G2005*Definitions!$B$55)</f>
        <v>0</v>
      </c>
      <c r="Z2005" s="39"/>
      <c r="AA2005" s="39"/>
      <c r="AB2005" s="39"/>
      <c r="AC2005" s="38"/>
      <c r="AD2005" s="38"/>
      <c r="AE2005" s="38"/>
      <c r="AF2005" s="38"/>
      <c r="AG2005" s="40"/>
      <c r="AH2005" s="38"/>
    </row>
    <row r="2006" spans="1:34" x14ac:dyDescent="0.2">
      <c r="A2006" s="38"/>
      <c r="B2006" s="38"/>
      <c r="C2006" s="38"/>
      <c r="D2006" s="38"/>
      <c r="E2006" s="177"/>
      <c r="F2006" s="177"/>
      <c r="G2006" s="269"/>
      <c r="H2006" s="179"/>
      <c r="I2006" s="177"/>
      <c r="J2006" s="177"/>
      <c r="K2006" s="177"/>
      <c r="L2006" s="177"/>
      <c r="M2006" s="177"/>
      <c r="N2006" s="70"/>
      <c r="O2006" s="38"/>
      <c r="P2006" s="38"/>
      <c r="Q2006" s="760"/>
      <c r="R2006" s="590"/>
      <c r="S2006" s="38"/>
      <c r="T2006" s="38"/>
      <c r="U2006" s="38"/>
      <c r="V2006" s="37"/>
      <c r="W2006" s="39">
        <f>IF(AC2006="Intr",0,G2006*Definitions!$B$53)</f>
        <v>0</v>
      </c>
      <c r="X2006" s="39">
        <f>IF(AC2006="Intr",0,G2006*Definitions!$B$54)</f>
        <v>0</v>
      </c>
      <c r="Y2006" s="39">
        <f>IF(AC2006="Intr",G2006,G2006*Definitions!$B$55)</f>
        <v>0</v>
      </c>
      <c r="Z2006" s="39"/>
      <c r="AA2006" s="39"/>
      <c r="AB2006" s="39"/>
      <c r="AC2006" s="38"/>
      <c r="AD2006" s="38"/>
      <c r="AE2006" s="38"/>
      <c r="AF2006" s="38"/>
      <c r="AG2006" s="40"/>
      <c r="AH2006" s="38"/>
    </row>
    <row r="2007" spans="1:34" x14ac:dyDescent="0.2">
      <c r="A2007" s="38"/>
      <c r="B2007" s="38"/>
      <c r="C2007" s="38"/>
      <c r="D2007" s="38"/>
      <c r="E2007" s="177"/>
      <c r="F2007" s="177"/>
      <c r="G2007" s="269"/>
      <c r="H2007" s="179"/>
      <c r="I2007" s="177"/>
      <c r="J2007" s="177"/>
      <c r="K2007" s="177"/>
      <c r="L2007" s="177"/>
      <c r="M2007" s="177"/>
      <c r="N2007" s="70"/>
      <c r="O2007" s="38"/>
      <c r="P2007" s="38"/>
      <c r="Q2007" s="760"/>
      <c r="R2007" s="590"/>
      <c r="S2007" s="38"/>
      <c r="T2007" s="38"/>
      <c r="U2007" s="38"/>
      <c r="V2007" s="37"/>
      <c r="W2007" s="39">
        <f>IF(AC2007="Intr",0,G2007*Definitions!$B$53)</f>
        <v>0</v>
      </c>
      <c r="X2007" s="39">
        <f>IF(AC2007="Intr",0,G2007*Definitions!$B$54)</f>
        <v>0</v>
      </c>
      <c r="Y2007" s="39">
        <f>IF(AC2007="Intr",G2007,G2007*Definitions!$B$55)</f>
        <v>0</v>
      </c>
      <c r="Z2007" s="39"/>
      <c r="AA2007" s="39"/>
      <c r="AB2007" s="39"/>
      <c r="AC2007" s="38"/>
      <c r="AD2007" s="38"/>
      <c r="AE2007" s="38"/>
      <c r="AF2007" s="38"/>
      <c r="AG2007" s="40"/>
      <c r="AH2007" s="38"/>
    </row>
    <row r="2008" spans="1:34" x14ac:dyDescent="0.2">
      <c r="A2008" s="38"/>
      <c r="B2008" s="38"/>
      <c r="C2008" s="38"/>
      <c r="D2008" s="38"/>
      <c r="E2008" s="177"/>
      <c r="F2008" s="177"/>
      <c r="G2008" s="269"/>
      <c r="H2008" s="179"/>
      <c r="I2008" s="177"/>
      <c r="J2008" s="177"/>
      <c r="K2008" s="177"/>
      <c r="L2008" s="177"/>
      <c r="M2008" s="177"/>
      <c r="N2008" s="70"/>
      <c r="O2008" s="38"/>
      <c r="P2008" s="38"/>
      <c r="Q2008" s="760"/>
      <c r="R2008" s="590"/>
      <c r="S2008" s="38"/>
      <c r="T2008" s="38"/>
      <c r="U2008" s="38"/>
      <c r="V2008" s="37"/>
      <c r="W2008" s="39">
        <f>IF(AC2008="Intr",0,G2008*Definitions!$B$53)</f>
        <v>0</v>
      </c>
      <c r="X2008" s="39">
        <f>IF(AC2008="Intr",0,G2008*Definitions!$B$54)</f>
        <v>0</v>
      </c>
      <c r="Y2008" s="39">
        <f>IF(AC2008="Intr",G2008,G2008*Definitions!$B$55)</f>
        <v>0</v>
      </c>
      <c r="Z2008" s="39"/>
      <c r="AA2008" s="39"/>
      <c r="AB2008" s="39"/>
      <c r="AC2008" s="38"/>
      <c r="AD2008" s="38"/>
      <c r="AE2008" s="38"/>
      <c r="AF2008" s="38"/>
      <c r="AG2008" s="40"/>
      <c r="AH2008" s="38"/>
    </row>
    <row r="2009" spans="1:34" x14ac:dyDescent="0.2">
      <c r="A2009" s="38"/>
      <c r="B2009" s="38"/>
      <c r="C2009" s="38"/>
      <c r="D2009" s="38"/>
      <c r="E2009" s="177"/>
      <c r="F2009" s="177"/>
      <c r="G2009" s="269"/>
      <c r="H2009" s="179"/>
      <c r="I2009" s="177"/>
      <c r="J2009" s="177"/>
      <c r="K2009" s="177"/>
      <c r="L2009" s="177"/>
      <c r="M2009" s="177"/>
      <c r="N2009" s="70"/>
      <c r="O2009" s="38"/>
      <c r="P2009" s="38"/>
      <c r="Q2009" s="760"/>
      <c r="R2009" s="590"/>
      <c r="S2009" s="38"/>
      <c r="T2009" s="38"/>
      <c r="U2009" s="38"/>
      <c r="V2009" s="37"/>
      <c r="W2009" s="39">
        <f>IF(AC2009="Intr",0,G2009*Definitions!$B$53)</f>
        <v>0</v>
      </c>
      <c r="X2009" s="39">
        <f>IF(AC2009="Intr",0,G2009*Definitions!$B$54)</f>
        <v>0</v>
      </c>
      <c r="Y2009" s="39">
        <f>IF(AC2009="Intr",G2009,G2009*Definitions!$B$55)</f>
        <v>0</v>
      </c>
      <c r="Z2009" s="39"/>
      <c r="AA2009" s="39"/>
      <c r="AB2009" s="39"/>
      <c r="AC2009" s="38"/>
      <c r="AD2009" s="38"/>
      <c r="AE2009" s="38"/>
      <c r="AF2009" s="38"/>
      <c r="AG2009" s="40"/>
      <c r="AH2009" s="38"/>
    </row>
    <row r="2010" spans="1:34" x14ac:dyDescent="0.2">
      <c r="A2010" s="38"/>
      <c r="B2010" s="38"/>
      <c r="C2010" s="38"/>
      <c r="D2010" s="38"/>
      <c r="E2010" s="177"/>
      <c r="F2010" s="177"/>
      <c r="G2010" s="269"/>
      <c r="H2010" s="179"/>
      <c r="I2010" s="177"/>
      <c r="J2010" s="177"/>
      <c r="K2010" s="177"/>
      <c r="L2010" s="177"/>
      <c r="M2010" s="177"/>
      <c r="N2010" s="70"/>
      <c r="O2010" s="38"/>
      <c r="P2010" s="38"/>
      <c r="Q2010" s="760"/>
      <c r="R2010" s="590"/>
      <c r="S2010" s="38"/>
      <c r="T2010" s="38"/>
      <c r="U2010" s="38"/>
      <c r="V2010" s="37"/>
      <c r="W2010" s="39">
        <f>IF(AC2010="Intr",0,G2010*Definitions!$B$53)</f>
        <v>0</v>
      </c>
      <c r="X2010" s="39">
        <f>IF(AC2010="Intr",0,G2010*Definitions!$B$54)</f>
        <v>0</v>
      </c>
      <c r="Y2010" s="39">
        <f>IF(AC2010="Intr",G2010,G2010*Definitions!$B$55)</f>
        <v>0</v>
      </c>
      <c r="Z2010" s="39"/>
      <c r="AA2010" s="39"/>
      <c r="AB2010" s="39"/>
      <c r="AC2010" s="38"/>
      <c r="AD2010" s="38"/>
      <c r="AE2010" s="38"/>
      <c r="AF2010" s="38"/>
      <c r="AG2010" s="40"/>
      <c r="AH2010" s="38"/>
    </row>
    <row r="2011" spans="1:34" x14ac:dyDescent="0.2">
      <c r="A2011" s="38"/>
      <c r="B2011" s="38"/>
      <c r="C2011" s="38"/>
      <c r="D2011" s="38"/>
      <c r="E2011" s="177"/>
      <c r="F2011" s="177"/>
      <c r="G2011" s="269"/>
      <c r="H2011" s="179"/>
      <c r="I2011" s="177"/>
      <c r="J2011" s="177"/>
      <c r="K2011" s="177"/>
      <c r="L2011" s="177"/>
      <c r="M2011" s="177"/>
      <c r="N2011" s="70"/>
      <c r="O2011" s="38"/>
      <c r="P2011" s="38"/>
      <c r="Q2011" s="760"/>
      <c r="R2011" s="590"/>
      <c r="S2011" s="38"/>
      <c r="T2011" s="38"/>
      <c r="U2011" s="38"/>
      <c r="V2011" s="37"/>
      <c r="W2011" s="39">
        <f>IF(AC2011="Intr",0,G2011*Definitions!$B$53)</f>
        <v>0</v>
      </c>
      <c r="X2011" s="39">
        <f>IF(AC2011="Intr",0,G2011*Definitions!$B$54)</f>
        <v>0</v>
      </c>
      <c r="Y2011" s="39">
        <f>IF(AC2011="Intr",G2011,G2011*Definitions!$B$55)</f>
        <v>0</v>
      </c>
      <c r="Z2011" s="39"/>
      <c r="AA2011" s="39"/>
      <c r="AB2011" s="39"/>
      <c r="AC2011" s="38"/>
      <c r="AD2011" s="38"/>
      <c r="AE2011" s="38"/>
      <c r="AF2011" s="38"/>
      <c r="AG2011" s="40"/>
      <c r="AH2011" s="38"/>
    </row>
    <row r="2012" spans="1:34" x14ac:dyDescent="0.2">
      <c r="A2012" s="38"/>
      <c r="B2012" s="38"/>
      <c r="C2012" s="38"/>
      <c r="D2012" s="38"/>
      <c r="E2012" s="177"/>
      <c r="F2012" s="177"/>
      <c r="G2012" s="269"/>
      <c r="H2012" s="179"/>
      <c r="I2012" s="177"/>
      <c r="J2012" s="177"/>
      <c r="K2012" s="177"/>
      <c r="L2012" s="177"/>
      <c r="M2012" s="177"/>
      <c r="N2012" s="70"/>
      <c r="O2012" s="38"/>
      <c r="P2012" s="38"/>
      <c r="Q2012" s="760"/>
      <c r="R2012" s="590"/>
      <c r="S2012" s="38"/>
      <c r="T2012" s="38"/>
      <c r="U2012" s="38"/>
      <c r="V2012" s="37"/>
      <c r="W2012" s="39">
        <f>IF(AC2012="Intr",0,G2012*Definitions!$B$53)</f>
        <v>0</v>
      </c>
      <c r="X2012" s="39">
        <f>IF(AC2012="Intr",0,G2012*Definitions!$B$54)</f>
        <v>0</v>
      </c>
      <c r="Y2012" s="39">
        <f>IF(AC2012="Intr",G2012,G2012*Definitions!$B$55)</f>
        <v>0</v>
      </c>
      <c r="Z2012" s="39"/>
      <c r="AA2012" s="39"/>
      <c r="AB2012" s="39"/>
      <c r="AC2012" s="38"/>
      <c r="AD2012" s="38"/>
      <c r="AE2012" s="38"/>
      <c r="AF2012" s="38"/>
      <c r="AG2012" s="40"/>
      <c r="AH2012" s="38"/>
    </row>
    <row r="2013" spans="1:34" x14ac:dyDescent="0.2">
      <c r="A2013" s="38"/>
      <c r="B2013" s="38"/>
      <c r="C2013" s="38"/>
      <c r="D2013" s="38"/>
      <c r="E2013" s="177"/>
      <c r="F2013" s="177"/>
      <c r="G2013" s="269"/>
      <c r="H2013" s="179"/>
      <c r="I2013" s="177"/>
      <c r="J2013" s="177"/>
      <c r="K2013" s="177"/>
      <c r="L2013" s="177"/>
      <c r="M2013" s="177"/>
      <c r="N2013" s="70"/>
      <c r="O2013" s="38"/>
      <c r="P2013" s="38"/>
      <c r="Q2013" s="760"/>
      <c r="R2013" s="590"/>
      <c r="S2013" s="38"/>
      <c r="T2013" s="38"/>
      <c r="U2013" s="38"/>
      <c r="V2013" s="37"/>
      <c r="W2013" s="39">
        <f>IF(AC2013="Intr",0,G2013*Definitions!$B$53)</f>
        <v>0</v>
      </c>
      <c r="X2013" s="39">
        <f>IF(AC2013="Intr",0,G2013*Definitions!$B$54)</f>
        <v>0</v>
      </c>
      <c r="Y2013" s="39">
        <f>IF(AC2013="Intr",G2013,G2013*Definitions!$B$55)</f>
        <v>0</v>
      </c>
      <c r="Z2013" s="39"/>
      <c r="AA2013" s="39"/>
      <c r="AB2013" s="39"/>
      <c r="AC2013" s="38"/>
      <c r="AD2013" s="38"/>
      <c r="AE2013" s="38"/>
      <c r="AF2013" s="38"/>
      <c r="AG2013" s="40"/>
      <c r="AH2013" s="38"/>
    </row>
    <row r="2014" spans="1:34" x14ac:dyDescent="0.2">
      <c r="A2014" s="38"/>
      <c r="B2014" s="38"/>
      <c r="C2014" s="38"/>
      <c r="D2014" s="38"/>
      <c r="E2014" s="177"/>
      <c r="F2014" s="177"/>
      <c r="G2014" s="269"/>
      <c r="H2014" s="179"/>
      <c r="I2014" s="177"/>
      <c r="J2014" s="177"/>
      <c r="K2014" s="177"/>
      <c r="L2014" s="177"/>
      <c r="M2014" s="177"/>
      <c r="N2014" s="70"/>
      <c r="O2014" s="38"/>
      <c r="P2014" s="38"/>
      <c r="Q2014" s="760"/>
      <c r="R2014" s="590"/>
      <c r="S2014" s="38"/>
      <c r="T2014" s="38"/>
      <c r="U2014" s="38"/>
      <c r="V2014" s="37"/>
      <c r="W2014" s="39">
        <f>IF(AC2014="Intr",0,G2014*Definitions!$B$53)</f>
        <v>0</v>
      </c>
      <c r="X2014" s="39">
        <f>IF(AC2014="Intr",0,G2014*Definitions!$B$54)</f>
        <v>0</v>
      </c>
      <c r="Y2014" s="39">
        <f>IF(AC2014="Intr",G2014,G2014*Definitions!$B$55)</f>
        <v>0</v>
      </c>
      <c r="Z2014" s="39"/>
      <c r="AA2014" s="39"/>
      <c r="AB2014" s="39"/>
      <c r="AC2014" s="38"/>
      <c r="AD2014" s="38"/>
      <c r="AE2014" s="38"/>
      <c r="AF2014" s="38"/>
      <c r="AG2014" s="40"/>
      <c r="AH2014" s="38"/>
    </row>
    <row r="2015" spans="1:34" x14ac:dyDescent="0.2">
      <c r="A2015" s="38"/>
      <c r="B2015" s="38"/>
      <c r="C2015" s="38"/>
      <c r="D2015" s="38"/>
      <c r="E2015" s="177"/>
      <c r="F2015" s="177"/>
      <c r="G2015" s="269"/>
      <c r="H2015" s="179"/>
      <c r="I2015" s="177"/>
      <c r="J2015" s="177"/>
      <c r="K2015" s="177"/>
      <c r="L2015" s="177"/>
      <c r="M2015" s="177"/>
      <c r="N2015" s="70"/>
      <c r="O2015" s="38"/>
      <c r="P2015" s="38"/>
      <c r="Q2015" s="760"/>
      <c r="R2015" s="590"/>
      <c r="S2015" s="38"/>
      <c r="T2015" s="38"/>
      <c r="U2015" s="38"/>
      <c r="V2015" s="37"/>
      <c r="W2015" s="39">
        <f>IF(AC2015="Intr",0,G2015*Definitions!$B$53)</f>
        <v>0</v>
      </c>
      <c r="X2015" s="39">
        <f>IF(AC2015="Intr",0,G2015*Definitions!$B$54)</f>
        <v>0</v>
      </c>
      <c r="Y2015" s="39">
        <f>IF(AC2015="Intr",G2015,G2015*Definitions!$B$55)</f>
        <v>0</v>
      </c>
      <c r="Z2015" s="39"/>
      <c r="AA2015" s="39"/>
      <c r="AB2015" s="39"/>
      <c r="AC2015" s="38"/>
      <c r="AD2015" s="38"/>
      <c r="AE2015" s="38"/>
      <c r="AF2015" s="38"/>
      <c r="AG2015" s="40"/>
      <c r="AH2015" s="38"/>
    </row>
    <row r="2016" spans="1:34" x14ac:dyDescent="0.2">
      <c r="A2016" s="38"/>
      <c r="B2016" s="38"/>
      <c r="C2016" s="38"/>
      <c r="D2016" s="38"/>
      <c r="E2016" s="177"/>
      <c r="F2016" s="177"/>
      <c r="G2016" s="269"/>
      <c r="H2016" s="179"/>
      <c r="I2016" s="177"/>
      <c r="J2016" s="177"/>
      <c r="K2016" s="177"/>
      <c r="L2016" s="177"/>
      <c r="M2016" s="177"/>
      <c r="N2016" s="70"/>
      <c r="O2016" s="38"/>
      <c r="P2016" s="38"/>
      <c r="Q2016" s="760"/>
      <c r="R2016" s="590"/>
      <c r="S2016" s="38"/>
      <c r="T2016" s="38"/>
      <c r="U2016" s="38"/>
      <c r="V2016" s="37"/>
      <c r="W2016" s="39">
        <f>IF(AC2016="Intr",0,G2016*Definitions!$B$53)</f>
        <v>0</v>
      </c>
      <c r="X2016" s="39">
        <f>IF(AC2016="Intr",0,G2016*Definitions!$B$54)</f>
        <v>0</v>
      </c>
      <c r="Y2016" s="39">
        <f>IF(AC2016="Intr",G2016,G2016*Definitions!$B$55)</f>
        <v>0</v>
      </c>
      <c r="Z2016" s="39"/>
      <c r="AA2016" s="39"/>
      <c r="AB2016" s="39"/>
      <c r="AC2016" s="38"/>
      <c r="AD2016" s="38"/>
      <c r="AE2016" s="38"/>
      <c r="AF2016" s="38"/>
      <c r="AG2016" s="40"/>
      <c r="AH2016" s="38"/>
    </row>
    <row r="2017" spans="1:34" x14ac:dyDescent="0.2">
      <c r="A2017" s="38"/>
      <c r="B2017" s="38"/>
      <c r="C2017" s="38"/>
      <c r="D2017" s="38"/>
      <c r="E2017" s="177"/>
      <c r="F2017" s="177"/>
      <c r="G2017" s="269"/>
      <c r="H2017" s="179"/>
      <c r="I2017" s="177"/>
      <c r="J2017" s="177"/>
      <c r="K2017" s="177"/>
      <c r="L2017" s="177"/>
      <c r="M2017" s="177"/>
      <c r="N2017" s="70"/>
      <c r="O2017" s="38"/>
      <c r="P2017" s="38"/>
      <c r="Q2017" s="760"/>
      <c r="R2017" s="590"/>
      <c r="S2017" s="38"/>
      <c r="T2017" s="38"/>
      <c r="U2017" s="38"/>
      <c r="V2017" s="37"/>
      <c r="W2017" s="39">
        <f>IF(AC2017="Intr",0,G2017*Definitions!$B$53)</f>
        <v>0</v>
      </c>
      <c r="X2017" s="39">
        <f>IF(AC2017="Intr",0,G2017*Definitions!$B$54)</f>
        <v>0</v>
      </c>
      <c r="Y2017" s="39">
        <f>IF(AC2017="Intr",G2017,G2017*Definitions!$B$55)</f>
        <v>0</v>
      </c>
      <c r="Z2017" s="39"/>
      <c r="AA2017" s="39"/>
      <c r="AB2017" s="39"/>
      <c r="AC2017" s="38"/>
      <c r="AD2017" s="38"/>
      <c r="AE2017" s="38"/>
      <c r="AF2017" s="38"/>
      <c r="AG2017" s="40"/>
      <c r="AH2017" s="38"/>
    </row>
    <row r="2018" spans="1:34" x14ac:dyDescent="0.2">
      <c r="A2018" s="38"/>
      <c r="B2018" s="38"/>
      <c r="C2018" s="38"/>
      <c r="D2018" s="38"/>
      <c r="E2018" s="177"/>
      <c r="F2018" s="177"/>
      <c r="G2018" s="269"/>
      <c r="H2018" s="179"/>
      <c r="I2018" s="177"/>
      <c r="J2018" s="177"/>
      <c r="K2018" s="177"/>
      <c r="L2018" s="177"/>
      <c r="M2018" s="177"/>
      <c r="N2018" s="70"/>
      <c r="O2018" s="38"/>
      <c r="P2018" s="38"/>
      <c r="Q2018" s="760"/>
      <c r="R2018" s="590"/>
      <c r="S2018" s="38"/>
      <c r="T2018" s="38"/>
      <c r="U2018" s="38"/>
      <c r="V2018" s="37"/>
      <c r="W2018" s="39">
        <f>IF(AC2018="Intr",0,G2018*Definitions!$B$53)</f>
        <v>0</v>
      </c>
      <c r="X2018" s="39">
        <f>IF(AC2018="Intr",0,G2018*Definitions!$B$54)</f>
        <v>0</v>
      </c>
      <c r="Y2018" s="39">
        <f>IF(AC2018="Intr",G2018,G2018*Definitions!$B$55)</f>
        <v>0</v>
      </c>
      <c r="Z2018" s="39"/>
      <c r="AA2018" s="39"/>
      <c r="AB2018" s="39"/>
      <c r="AC2018" s="38"/>
      <c r="AD2018" s="38"/>
      <c r="AE2018" s="38"/>
      <c r="AF2018" s="38"/>
      <c r="AG2018" s="40"/>
      <c r="AH2018" s="38"/>
    </row>
    <row r="2019" spans="1:34" x14ac:dyDescent="0.2">
      <c r="A2019" s="38"/>
      <c r="B2019" s="38"/>
      <c r="C2019" s="38"/>
      <c r="D2019" s="38"/>
      <c r="E2019" s="177"/>
      <c r="F2019" s="177"/>
      <c r="G2019" s="269"/>
      <c r="H2019" s="179"/>
      <c r="I2019" s="177"/>
      <c r="J2019" s="177"/>
      <c r="K2019" s="177"/>
      <c r="L2019" s="177"/>
      <c r="M2019" s="177"/>
      <c r="N2019" s="70"/>
      <c r="O2019" s="38"/>
      <c r="P2019" s="38"/>
      <c r="Q2019" s="760"/>
      <c r="R2019" s="590"/>
      <c r="S2019" s="38"/>
      <c r="T2019" s="38"/>
      <c r="U2019" s="38"/>
      <c r="V2019" s="37"/>
      <c r="W2019" s="39">
        <f>IF(AC2019="Intr",0,G2019*Definitions!$B$53)</f>
        <v>0</v>
      </c>
      <c r="X2019" s="39">
        <f>IF(AC2019="Intr",0,G2019*Definitions!$B$54)</f>
        <v>0</v>
      </c>
      <c r="Y2019" s="39">
        <f>IF(AC2019="Intr",G2019,G2019*Definitions!$B$55)</f>
        <v>0</v>
      </c>
      <c r="Z2019" s="39"/>
      <c r="AA2019" s="39"/>
      <c r="AB2019" s="39"/>
      <c r="AC2019" s="38"/>
      <c r="AD2019" s="38"/>
      <c r="AE2019" s="38"/>
      <c r="AF2019" s="38"/>
      <c r="AG2019" s="40"/>
      <c r="AH2019" s="38"/>
    </row>
    <row r="2020" spans="1:34" x14ac:dyDescent="0.2">
      <c r="A2020" s="38"/>
      <c r="B2020" s="38"/>
      <c r="C2020" s="38"/>
      <c r="D2020" s="38"/>
      <c r="E2020" s="177"/>
      <c r="F2020" s="177"/>
      <c r="G2020" s="269"/>
      <c r="H2020" s="179"/>
      <c r="I2020" s="177"/>
      <c r="J2020" s="177"/>
      <c r="K2020" s="177"/>
      <c r="L2020" s="177"/>
      <c r="M2020" s="177"/>
      <c r="N2020" s="70"/>
      <c r="O2020" s="38"/>
      <c r="P2020" s="38"/>
      <c r="Q2020" s="760"/>
      <c r="R2020" s="590"/>
      <c r="S2020" s="38"/>
      <c r="T2020" s="38"/>
      <c r="U2020" s="38"/>
      <c r="V2020" s="37"/>
      <c r="W2020" s="39">
        <f>IF(AC2020="Intr",0,G2020*Definitions!$B$53)</f>
        <v>0</v>
      </c>
      <c r="X2020" s="39">
        <f>IF(AC2020="Intr",0,G2020*Definitions!$B$54)</f>
        <v>0</v>
      </c>
      <c r="Y2020" s="39">
        <f>IF(AC2020="Intr",G2020,G2020*Definitions!$B$55)</f>
        <v>0</v>
      </c>
      <c r="Z2020" s="39"/>
      <c r="AA2020" s="39"/>
      <c r="AB2020" s="39"/>
      <c r="AC2020" s="38"/>
      <c r="AD2020" s="38"/>
      <c r="AE2020" s="38"/>
      <c r="AF2020" s="38"/>
      <c r="AG2020" s="40"/>
      <c r="AH2020" s="38"/>
    </row>
    <row r="2021" spans="1:34" x14ac:dyDescent="0.2">
      <c r="A2021" s="38"/>
      <c r="B2021" s="38"/>
      <c r="C2021" s="38"/>
      <c r="D2021" s="38"/>
      <c r="E2021" s="177"/>
      <c r="F2021" s="177"/>
      <c r="G2021" s="269"/>
      <c r="H2021" s="179"/>
      <c r="I2021" s="177"/>
      <c r="J2021" s="177"/>
      <c r="K2021" s="177"/>
      <c r="L2021" s="177"/>
      <c r="M2021" s="177"/>
      <c r="N2021" s="70"/>
      <c r="O2021" s="38"/>
      <c r="P2021" s="38"/>
      <c r="Q2021" s="760"/>
      <c r="R2021" s="590"/>
      <c r="S2021" s="38"/>
      <c r="T2021" s="38"/>
      <c r="U2021" s="38"/>
      <c r="V2021" s="37"/>
      <c r="W2021" s="39">
        <f>IF(AC2021="Intr",0,G2021*Definitions!$B$53)</f>
        <v>0</v>
      </c>
      <c r="X2021" s="39">
        <f>IF(AC2021="Intr",0,G2021*Definitions!$B$54)</f>
        <v>0</v>
      </c>
      <c r="Y2021" s="39">
        <f>IF(AC2021="Intr",G2021,G2021*Definitions!$B$55)</f>
        <v>0</v>
      </c>
      <c r="Z2021" s="39"/>
      <c r="AA2021" s="39"/>
      <c r="AB2021" s="39"/>
      <c r="AC2021" s="38"/>
      <c r="AD2021" s="38"/>
      <c r="AE2021" s="38"/>
      <c r="AF2021" s="38"/>
      <c r="AG2021" s="40"/>
      <c r="AH2021" s="38"/>
    </row>
    <row r="2022" spans="1:34" x14ac:dyDescent="0.2">
      <c r="A2022" s="38"/>
      <c r="B2022" s="38"/>
      <c r="C2022" s="38"/>
      <c r="D2022" s="38"/>
      <c r="E2022" s="177"/>
      <c r="F2022" s="177"/>
      <c r="G2022" s="269"/>
      <c r="H2022" s="179"/>
      <c r="I2022" s="177"/>
      <c r="J2022" s="177"/>
      <c r="K2022" s="177"/>
      <c r="L2022" s="177"/>
      <c r="M2022" s="177"/>
      <c r="N2022" s="70"/>
      <c r="O2022" s="38"/>
      <c r="P2022" s="38"/>
      <c r="Q2022" s="760"/>
      <c r="R2022" s="590"/>
      <c r="S2022" s="38"/>
      <c r="T2022" s="38"/>
      <c r="U2022" s="38"/>
      <c r="V2022" s="37"/>
      <c r="W2022" s="39">
        <f>IF(AC2022="Intr",0,G2022*Definitions!$B$53)</f>
        <v>0</v>
      </c>
      <c r="X2022" s="39">
        <f>IF(AC2022="Intr",0,G2022*Definitions!$B$54)</f>
        <v>0</v>
      </c>
      <c r="Y2022" s="39">
        <f>IF(AC2022="Intr",G2022,G2022*Definitions!$B$55)</f>
        <v>0</v>
      </c>
      <c r="Z2022" s="39"/>
      <c r="AA2022" s="39"/>
      <c r="AB2022" s="39"/>
      <c r="AC2022" s="38"/>
      <c r="AD2022" s="38"/>
      <c r="AE2022" s="38"/>
      <c r="AF2022" s="38"/>
      <c r="AG2022" s="40"/>
      <c r="AH2022" s="38"/>
    </row>
    <row r="2023" spans="1:34" x14ac:dyDescent="0.2">
      <c r="A2023" s="38"/>
      <c r="B2023" s="38"/>
      <c r="C2023" s="38"/>
      <c r="D2023" s="38"/>
      <c r="E2023" s="177"/>
      <c r="F2023" s="177"/>
      <c r="G2023" s="269"/>
      <c r="H2023" s="179"/>
      <c r="I2023" s="177"/>
      <c r="J2023" s="177"/>
      <c r="K2023" s="177"/>
      <c r="L2023" s="177"/>
      <c r="M2023" s="177"/>
      <c r="N2023" s="70"/>
      <c r="O2023" s="38"/>
      <c r="P2023" s="38"/>
      <c r="Q2023" s="760"/>
      <c r="R2023" s="590"/>
      <c r="S2023" s="38"/>
      <c r="T2023" s="38"/>
      <c r="U2023" s="38"/>
      <c r="V2023" s="37"/>
      <c r="W2023" s="39">
        <f>IF(AC2023="Intr",0,G2023*Definitions!$B$53)</f>
        <v>0</v>
      </c>
      <c r="X2023" s="39">
        <f>IF(AC2023="Intr",0,G2023*Definitions!$B$54)</f>
        <v>0</v>
      </c>
      <c r="Y2023" s="39">
        <f>IF(AC2023="Intr",G2023,G2023*Definitions!$B$55)</f>
        <v>0</v>
      </c>
      <c r="Z2023" s="39"/>
      <c r="AA2023" s="39"/>
      <c r="AB2023" s="39"/>
      <c r="AC2023" s="38"/>
      <c r="AD2023" s="38"/>
      <c r="AE2023" s="38"/>
      <c r="AF2023" s="38"/>
      <c r="AG2023" s="40"/>
      <c r="AH2023" s="38"/>
    </row>
    <row r="2024" spans="1:34" x14ac:dyDescent="0.2">
      <c r="A2024" s="38"/>
      <c r="B2024" s="38"/>
      <c r="C2024" s="38"/>
      <c r="D2024" s="38"/>
      <c r="E2024" s="177"/>
      <c r="F2024" s="177"/>
      <c r="G2024" s="269"/>
      <c r="H2024" s="179"/>
      <c r="I2024" s="177"/>
      <c r="J2024" s="177"/>
      <c r="K2024" s="177"/>
      <c r="L2024" s="177"/>
      <c r="M2024" s="177"/>
      <c r="N2024" s="70"/>
      <c r="O2024" s="38"/>
      <c r="P2024" s="38"/>
      <c r="Q2024" s="760"/>
      <c r="R2024" s="590"/>
      <c r="S2024" s="38"/>
      <c r="T2024" s="38"/>
      <c r="U2024" s="38"/>
      <c r="V2024" s="37"/>
      <c r="W2024" s="39">
        <f>IF(AC2024="Intr",0,G2024*Definitions!$B$53)</f>
        <v>0</v>
      </c>
      <c r="X2024" s="39">
        <f>IF(AC2024="Intr",0,G2024*Definitions!$B$54)</f>
        <v>0</v>
      </c>
      <c r="Y2024" s="39">
        <f>IF(AC2024="Intr",G2024,G2024*Definitions!$B$55)</f>
        <v>0</v>
      </c>
      <c r="Z2024" s="39"/>
      <c r="AA2024" s="39"/>
      <c r="AB2024" s="39"/>
      <c r="AC2024" s="38"/>
      <c r="AD2024" s="38"/>
      <c r="AE2024" s="38"/>
      <c r="AF2024" s="38"/>
      <c r="AG2024" s="40"/>
      <c r="AH2024" s="38"/>
    </row>
    <row r="2025" spans="1:34" x14ac:dyDescent="0.2">
      <c r="A2025" s="38"/>
      <c r="B2025" s="38"/>
      <c r="C2025" s="38"/>
      <c r="D2025" s="38"/>
      <c r="E2025" s="177"/>
      <c r="F2025" s="177"/>
      <c r="G2025" s="269"/>
      <c r="H2025" s="179"/>
      <c r="I2025" s="177"/>
      <c r="J2025" s="177"/>
      <c r="K2025" s="177"/>
      <c r="L2025" s="177"/>
      <c r="M2025" s="177"/>
      <c r="N2025" s="70"/>
      <c r="O2025" s="38"/>
      <c r="P2025" s="38"/>
      <c r="Q2025" s="760"/>
      <c r="R2025" s="590"/>
      <c r="S2025" s="38"/>
      <c r="T2025" s="38"/>
      <c r="U2025" s="38"/>
      <c r="V2025" s="37"/>
      <c r="W2025" s="39">
        <f>IF(AC2025="Intr",0,G2025*Definitions!$B$53)</f>
        <v>0</v>
      </c>
      <c r="X2025" s="39">
        <f>IF(AC2025="Intr",0,G2025*Definitions!$B$54)</f>
        <v>0</v>
      </c>
      <c r="Y2025" s="39">
        <f>IF(AC2025="Intr",G2025,G2025*Definitions!$B$55)</f>
        <v>0</v>
      </c>
      <c r="Z2025" s="39"/>
      <c r="AA2025" s="39"/>
      <c r="AB2025" s="39"/>
      <c r="AC2025" s="38"/>
      <c r="AD2025" s="38"/>
      <c r="AE2025" s="38"/>
      <c r="AF2025" s="38"/>
      <c r="AG2025" s="40"/>
      <c r="AH2025" s="38"/>
    </row>
    <row r="2026" spans="1:34" x14ac:dyDescent="0.2">
      <c r="A2026" s="38"/>
      <c r="B2026" s="38"/>
      <c r="C2026" s="38"/>
      <c r="D2026" s="38"/>
      <c r="E2026" s="177"/>
      <c r="F2026" s="177"/>
      <c r="G2026" s="269"/>
      <c r="H2026" s="179"/>
      <c r="I2026" s="177"/>
      <c r="J2026" s="177"/>
      <c r="K2026" s="177"/>
      <c r="L2026" s="177"/>
      <c r="M2026" s="177"/>
      <c r="N2026" s="70"/>
      <c r="O2026" s="38"/>
      <c r="P2026" s="38"/>
      <c r="Q2026" s="760"/>
      <c r="R2026" s="590"/>
      <c r="S2026" s="38"/>
      <c r="T2026" s="38"/>
      <c r="U2026" s="38"/>
      <c r="V2026" s="37"/>
      <c r="W2026" s="39">
        <f>IF(AC2026="Intr",0,G2026*Definitions!$B$53)</f>
        <v>0</v>
      </c>
      <c r="X2026" s="39">
        <f>IF(AC2026="Intr",0,G2026*Definitions!$B$54)</f>
        <v>0</v>
      </c>
      <c r="Y2026" s="39">
        <f>IF(AC2026="Intr",G2026,G2026*Definitions!$B$55)</f>
        <v>0</v>
      </c>
      <c r="Z2026" s="39"/>
      <c r="AA2026" s="39"/>
      <c r="AB2026" s="39"/>
      <c r="AC2026" s="38"/>
      <c r="AD2026" s="38"/>
      <c r="AE2026" s="38"/>
      <c r="AF2026" s="38"/>
      <c r="AG2026" s="40"/>
      <c r="AH2026" s="38"/>
    </row>
    <row r="2027" spans="1:34" x14ac:dyDescent="0.2">
      <c r="A2027" s="38"/>
      <c r="B2027" s="38"/>
      <c r="C2027" s="38"/>
      <c r="D2027" s="38"/>
      <c r="E2027" s="177"/>
      <c r="F2027" s="177"/>
      <c r="G2027" s="269"/>
      <c r="H2027" s="179"/>
      <c r="I2027" s="177"/>
      <c r="J2027" s="177"/>
      <c r="K2027" s="177"/>
      <c r="L2027" s="177"/>
      <c r="M2027" s="177"/>
      <c r="N2027" s="70"/>
      <c r="O2027" s="38"/>
      <c r="P2027" s="38"/>
      <c r="Q2027" s="760"/>
      <c r="R2027" s="590"/>
      <c r="S2027" s="38"/>
      <c r="T2027" s="38"/>
      <c r="U2027" s="38"/>
      <c r="V2027" s="37"/>
      <c r="W2027" s="39">
        <f>IF(AC2027="Intr",0,G2027*Definitions!$B$53)</f>
        <v>0</v>
      </c>
      <c r="X2027" s="39">
        <f>IF(AC2027="Intr",0,G2027*Definitions!$B$54)</f>
        <v>0</v>
      </c>
      <c r="Y2027" s="39">
        <f>IF(AC2027="Intr",G2027,G2027*Definitions!$B$55)</f>
        <v>0</v>
      </c>
      <c r="Z2027" s="39"/>
      <c r="AA2027" s="39"/>
      <c r="AB2027" s="39"/>
      <c r="AC2027" s="38"/>
      <c r="AD2027" s="38"/>
      <c r="AE2027" s="38"/>
      <c r="AF2027" s="38"/>
      <c r="AG2027" s="40"/>
      <c r="AH2027" s="38"/>
    </row>
    <row r="2028" spans="1:34" x14ac:dyDescent="0.2">
      <c r="A2028" s="38"/>
      <c r="B2028" s="38"/>
      <c r="C2028" s="38"/>
      <c r="D2028" s="38"/>
      <c r="E2028" s="177"/>
      <c r="F2028" s="177"/>
      <c r="G2028" s="269"/>
      <c r="H2028" s="179"/>
      <c r="I2028" s="177"/>
      <c r="J2028" s="177"/>
      <c r="K2028" s="177"/>
      <c r="L2028" s="177"/>
      <c r="M2028" s="177"/>
      <c r="N2028" s="70"/>
      <c r="O2028" s="38"/>
      <c r="P2028" s="38"/>
      <c r="Q2028" s="760"/>
      <c r="R2028" s="590"/>
      <c r="S2028" s="38"/>
      <c r="T2028" s="38"/>
      <c r="U2028" s="38"/>
      <c r="V2028" s="37"/>
      <c r="W2028" s="39">
        <f>IF(AC2028="Intr",0,G2028*Definitions!$B$53)</f>
        <v>0</v>
      </c>
      <c r="X2028" s="39">
        <f>IF(AC2028="Intr",0,G2028*Definitions!$B$54)</f>
        <v>0</v>
      </c>
      <c r="Y2028" s="39">
        <f>IF(AC2028="Intr",G2028,G2028*Definitions!$B$55)</f>
        <v>0</v>
      </c>
      <c r="Z2028" s="39"/>
      <c r="AA2028" s="39"/>
      <c r="AB2028" s="39"/>
      <c r="AC2028" s="38"/>
      <c r="AD2028" s="38"/>
      <c r="AE2028" s="38"/>
      <c r="AF2028" s="38"/>
      <c r="AG2028" s="40"/>
      <c r="AH2028" s="38"/>
    </row>
    <row r="2029" spans="1:34" x14ac:dyDescent="0.2">
      <c r="A2029" s="38"/>
      <c r="B2029" s="38"/>
      <c r="C2029" s="38"/>
      <c r="D2029" s="38"/>
      <c r="E2029" s="177"/>
      <c r="F2029" s="177"/>
      <c r="G2029" s="269"/>
      <c r="H2029" s="179"/>
      <c r="I2029" s="177"/>
      <c r="J2029" s="177"/>
      <c r="K2029" s="177"/>
      <c r="L2029" s="177"/>
      <c r="M2029" s="177"/>
      <c r="N2029" s="70"/>
      <c r="O2029" s="38"/>
      <c r="P2029" s="38"/>
      <c r="Q2029" s="760"/>
      <c r="R2029" s="590"/>
      <c r="S2029" s="38"/>
      <c r="T2029" s="38"/>
      <c r="U2029" s="38"/>
      <c r="V2029" s="37"/>
      <c r="W2029" s="39">
        <f>IF(AC2029="Intr",0,G2029*Definitions!$B$53)</f>
        <v>0</v>
      </c>
      <c r="X2029" s="39">
        <f>IF(AC2029="Intr",0,G2029*Definitions!$B$54)</f>
        <v>0</v>
      </c>
      <c r="Y2029" s="39">
        <f>IF(AC2029="Intr",G2029,G2029*Definitions!$B$55)</f>
        <v>0</v>
      </c>
      <c r="Z2029" s="39"/>
      <c r="AA2029" s="39"/>
      <c r="AB2029" s="39"/>
      <c r="AC2029" s="38"/>
      <c r="AD2029" s="38"/>
      <c r="AE2029" s="38"/>
      <c r="AF2029" s="38"/>
      <c r="AG2029" s="40"/>
      <c r="AH2029" s="38"/>
    </row>
    <row r="2030" spans="1:34" x14ac:dyDescent="0.2">
      <c r="A2030" s="38"/>
      <c r="B2030" s="38"/>
      <c r="C2030" s="38"/>
      <c r="D2030" s="38"/>
      <c r="E2030" s="177"/>
      <c r="F2030" s="177"/>
      <c r="G2030" s="269"/>
      <c r="H2030" s="179"/>
      <c r="I2030" s="177"/>
      <c r="J2030" s="177"/>
      <c r="K2030" s="177"/>
      <c r="L2030" s="177"/>
      <c r="M2030" s="177"/>
      <c r="N2030" s="70"/>
      <c r="O2030" s="38"/>
      <c r="P2030" s="38"/>
      <c r="Q2030" s="760"/>
      <c r="R2030" s="590"/>
      <c r="S2030" s="38"/>
      <c r="T2030" s="38"/>
      <c r="U2030" s="38"/>
      <c r="V2030" s="37"/>
      <c r="W2030" s="39">
        <f>IF(AC2030="Intr",0,G2030*Definitions!$B$53)</f>
        <v>0</v>
      </c>
      <c r="X2030" s="39">
        <f>IF(AC2030="Intr",0,G2030*Definitions!$B$54)</f>
        <v>0</v>
      </c>
      <c r="Y2030" s="39">
        <f>IF(AC2030="Intr",G2030,G2030*Definitions!$B$55)</f>
        <v>0</v>
      </c>
      <c r="Z2030" s="39"/>
      <c r="AA2030" s="39"/>
      <c r="AB2030" s="39"/>
      <c r="AC2030" s="38"/>
      <c r="AD2030" s="38"/>
      <c r="AE2030" s="38"/>
      <c r="AF2030" s="38"/>
      <c r="AG2030" s="40"/>
      <c r="AH2030" s="38"/>
    </row>
    <row r="2031" spans="1:34" x14ac:dyDescent="0.2">
      <c r="A2031" s="38"/>
      <c r="B2031" s="38"/>
      <c r="C2031" s="38"/>
      <c r="D2031" s="38"/>
      <c r="E2031" s="177"/>
      <c r="F2031" s="177"/>
      <c r="G2031" s="269"/>
      <c r="H2031" s="179"/>
      <c r="I2031" s="177"/>
      <c r="J2031" s="177"/>
      <c r="K2031" s="177"/>
      <c r="L2031" s="177"/>
      <c r="M2031" s="177"/>
      <c r="N2031" s="70"/>
      <c r="O2031" s="38"/>
      <c r="P2031" s="38"/>
      <c r="Q2031" s="760"/>
      <c r="R2031" s="590"/>
      <c r="S2031" s="38"/>
      <c r="T2031" s="38"/>
      <c r="U2031" s="38"/>
      <c r="V2031" s="37"/>
      <c r="W2031" s="39">
        <f>IF(AC2031="Intr",0,G2031*Definitions!$B$53)</f>
        <v>0</v>
      </c>
      <c r="X2031" s="39">
        <f>IF(AC2031="Intr",0,G2031*Definitions!$B$54)</f>
        <v>0</v>
      </c>
      <c r="Y2031" s="39">
        <f>IF(AC2031="Intr",G2031,G2031*Definitions!$B$55)</f>
        <v>0</v>
      </c>
      <c r="Z2031" s="39"/>
      <c r="AA2031" s="39"/>
      <c r="AB2031" s="39"/>
      <c r="AC2031" s="38"/>
      <c r="AD2031" s="38"/>
      <c r="AE2031" s="38"/>
      <c r="AF2031" s="38"/>
      <c r="AG2031" s="40"/>
      <c r="AH2031" s="38"/>
    </row>
    <row r="2032" spans="1:34" x14ac:dyDescent="0.2">
      <c r="A2032" s="38"/>
      <c r="B2032" s="38"/>
      <c r="C2032" s="38"/>
      <c r="D2032" s="38"/>
      <c r="E2032" s="177"/>
      <c r="F2032" s="177"/>
      <c r="G2032" s="269"/>
      <c r="H2032" s="179"/>
      <c r="I2032" s="177"/>
      <c r="J2032" s="177"/>
      <c r="K2032" s="177"/>
      <c r="L2032" s="177"/>
      <c r="M2032" s="177"/>
      <c r="N2032" s="70"/>
      <c r="O2032" s="38"/>
      <c r="P2032" s="38"/>
      <c r="Q2032" s="760"/>
      <c r="R2032" s="590"/>
      <c r="S2032" s="38"/>
      <c r="T2032" s="38"/>
      <c r="U2032" s="38"/>
      <c r="V2032" s="37"/>
      <c r="W2032" s="39">
        <f>IF(AC2032="Intr",0,G2032*Definitions!$B$53)</f>
        <v>0</v>
      </c>
      <c r="X2032" s="39">
        <f>IF(AC2032="Intr",0,G2032*Definitions!$B$54)</f>
        <v>0</v>
      </c>
      <c r="Y2032" s="39">
        <f>IF(AC2032="Intr",G2032,G2032*Definitions!$B$55)</f>
        <v>0</v>
      </c>
      <c r="Z2032" s="39"/>
      <c r="AA2032" s="39"/>
      <c r="AB2032" s="39"/>
      <c r="AC2032" s="38"/>
      <c r="AD2032" s="38"/>
      <c r="AE2032" s="38"/>
      <c r="AF2032" s="38"/>
      <c r="AG2032" s="40"/>
      <c r="AH2032" s="38"/>
    </row>
    <row r="2033" spans="1:34" x14ac:dyDescent="0.2">
      <c r="A2033" s="38"/>
      <c r="B2033" s="38"/>
      <c r="C2033" s="38"/>
      <c r="D2033" s="38"/>
      <c r="E2033" s="177"/>
      <c r="F2033" s="177"/>
      <c r="G2033" s="269"/>
      <c r="H2033" s="179"/>
      <c r="I2033" s="177"/>
      <c r="J2033" s="177"/>
      <c r="K2033" s="177"/>
      <c r="L2033" s="177"/>
      <c r="M2033" s="177"/>
      <c r="N2033" s="70"/>
      <c r="O2033" s="38"/>
      <c r="P2033" s="38"/>
      <c r="Q2033" s="760"/>
      <c r="R2033" s="590"/>
      <c r="S2033" s="38"/>
      <c r="T2033" s="38"/>
      <c r="U2033" s="38"/>
      <c r="V2033" s="37"/>
      <c r="W2033" s="39">
        <f>IF(AC2033="Intr",0,G2033*Definitions!$B$53)</f>
        <v>0</v>
      </c>
      <c r="X2033" s="39">
        <f>IF(AC2033="Intr",0,G2033*Definitions!$B$54)</f>
        <v>0</v>
      </c>
      <c r="Y2033" s="39">
        <f>IF(AC2033="Intr",G2033,G2033*Definitions!$B$55)</f>
        <v>0</v>
      </c>
      <c r="Z2033" s="39"/>
      <c r="AA2033" s="39"/>
      <c r="AB2033" s="39"/>
      <c r="AC2033" s="38"/>
      <c r="AD2033" s="38"/>
      <c r="AE2033" s="38"/>
      <c r="AF2033" s="38"/>
      <c r="AG2033" s="40"/>
      <c r="AH2033" s="38"/>
    </row>
    <row r="2034" spans="1:34" x14ac:dyDescent="0.2">
      <c r="A2034" s="38"/>
      <c r="B2034" s="38"/>
      <c r="C2034" s="38"/>
      <c r="D2034" s="38"/>
      <c r="E2034" s="177"/>
      <c r="F2034" s="177"/>
      <c r="G2034" s="269"/>
      <c r="H2034" s="179"/>
      <c r="I2034" s="177"/>
      <c r="J2034" s="177"/>
      <c r="K2034" s="177"/>
      <c r="L2034" s="177"/>
      <c r="M2034" s="177"/>
      <c r="N2034" s="70"/>
      <c r="O2034" s="38"/>
      <c r="P2034" s="38"/>
      <c r="Q2034" s="760"/>
      <c r="R2034" s="590"/>
      <c r="S2034" s="38"/>
      <c r="T2034" s="38"/>
      <c r="U2034" s="38"/>
      <c r="V2034" s="37"/>
      <c r="W2034" s="39">
        <f>IF(AC2034="Intr",0,G2034*Definitions!$B$53)</f>
        <v>0</v>
      </c>
      <c r="X2034" s="39">
        <f>IF(AC2034="Intr",0,G2034*Definitions!$B$54)</f>
        <v>0</v>
      </c>
      <c r="Y2034" s="39">
        <f>IF(AC2034="Intr",G2034,G2034*Definitions!$B$55)</f>
        <v>0</v>
      </c>
      <c r="Z2034" s="39"/>
      <c r="AA2034" s="39"/>
      <c r="AB2034" s="39"/>
      <c r="AC2034" s="38"/>
      <c r="AD2034" s="38"/>
      <c r="AE2034" s="38"/>
      <c r="AF2034" s="38"/>
      <c r="AG2034" s="40"/>
      <c r="AH2034" s="38"/>
    </row>
    <row r="2035" spans="1:34" x14ac:dyDescent="0.2">
      <c r="A2035" s="38"/>
      <c r="B2035" s="38"/>
      <c r="C2035" s="38"/>
      <c r="D2035" s="38"/>
      <c r="E2035" s="177"/>
      <c r="F2035" s="177"/>
      <c r="G2035" s="269"/>
      <c r="H2035" s="179"/>
      <c r="I2035" s="177"/>
      <c r="J2035" s="177"/>
      <c r="K2035" s="177"/>
      <c r="L2035" s="177"/>
      <c r="M2035" s="177"/>
      <c r="N2035" s="70"/>
      <c r="O2035" s="38"/>
      <c r="P2035" s="38"/>
      <c r="Q2035" s="760"/>
      <c r="R2035" s="590"/>
      <c r="S2035" s="38"/>
      <c r="T2035" s="38"/>
      <c r="U2035" s="38"/>
      <c r="V2035" s="37"/>
      <c r="W2035" s="39">
        <f>IF(AC2035="Intr",0,G2035*Definitions!$B$53)</f>
        <v>0</v>
      </c>
      <c r="X2035" s="39">
        <f>IF(AC2035="Intr",0,G2035*Definitions!$B$54)</f>
        <v>0</v>
      </c>
      <c r="Y2035" s="39">
        <f>IF(AC2035="Intr",G2035,G2035*Definitions!$B$55)</f>
        <v>0</v>
      </c>
      <c r="Z2035" s="39"/>
      <c r="AA2035" s="39"/>
      <c r="AB2035" s="39"/>
      <c r="AC2035" s="38"/>
      <c r="AD2035" s="38"/>
      <c r="AE2035" s="38"/>
      <c r="AF2035" s="38"/>
      <c r="AG2035" s="40"/>
      <c r="AH2035" s="38"/>
    </row>
    <row r="2036" spans="1:34" x14ac:dyDescent="0.2">
      <c r="A2036" s="38"/>
      <c r="B2036" s="38"/>
      <c r="C2036" s="38"/>
      <c r="D2036" s="38"/>
      <c r="E2036" s="177"/>
      <c r="F2036" s="177"/>
      <c r="G2036" s="269"/>
      <c r="H2036" s="179"/>
      <c r="I2036" s="177"/>
      <c r="J2036" s="177"/>
      <c r="K2036" s="177"/>
      <c r="L2036" s="177"/>
      <c r="M2036" s="177"/>
      <c r="N2036" s="70"/>
      <c r="O2036" s="38"/>
      <c r="P2036" s="38"/>
      <c r="Q2036" s="760"/>
      <c r="R2036" s="590"/>
      <c r="S2036" s="38"/>
      <c r="T2036" s="38"/>
      <c r="U2036" s="38"/>
      <c r="V2036" s="37"/>
      <c r="W2036" s="39">
        <f>IF(AC2036="Intr",0,G2036*Definitions!$B$53)</f>
        <v>0</v>
      </c>
      <c r="X2036" s="39">
        <f>IF(AC2036="Intr",0,G2036*Definitions!$B$54)</f>
        <v>0</v>
      </c>
      <c r="Y2036" s="39">
        <f>IF(AC2036="Intr",G2036,G2036*Definitions!$B$55)</f>
        <v>0</v>
      </c>
      <c r="Z2036" s="39"/>
      <c r="AA2036" s="39"/>
      <c r="AB2036" s="39"/>
      <c r="AC2036" s="38"/>
      <c r="AD2036" s="38"/>
      <c r="AE2036" s="38"/>
      <c r="AF2036" s="38"/>
      <c r="AG2036" s="40"/>
      <c r="AH2036" s="38"/>
    </row>
    <row r="2037" spans="1:34" x14ac:dyDescent="0.2">
      <c r="A2037" s="38"/>
      <c r="B2037" s="38"/>
      <c r="C2037" s="38"/>
      <c r="D2037" s="38"/>
      <c r="E2037" s="177"/>
      <c r="F2037" s="177"/>
      <c r="G2037" s="269"/>
      <c r="H2037" s="179"/>
      <c r="I2037" s="177"/>
      <c r="J2037" s="177"/>
      <c r="K2037" s="177"/>
      <c r="L2037" s="177"/>
      <c r="M2037" s="177"/>
      <c r="N2037" s="70"/>
      <c r="O2037" s="38"/>
      <c r="P2037" s="38"/>
      <c r="Q2037" s="760"/>
      <c r="R2037" s="590"/>
      <c r="S2037" s="38"/>
      <c r="T2037" s="38"/>
      <c r="U2037" s="38"/>
      <c r="V2037" s="37"/>
      <c r="W2037" s="39">
        <f>IF(AC2037="Intr",0,G2037*Definitions!$B$53)</f>
        <v>0</v>
      </c>
      <c r="X2037" s="39">
        <f>IF(AC2037="Intr",0,G2037*Definitions!$B$54)</f>
        <v>0</v>
      </c>
      <c r="Y2037" s="39">
        <f>IF(AC2037="Intr",G2037,G2037*Definitions!$B$55)</f>
        <v>0</v>
      </c>
      <c r="Z2037" s="39"/>
      <c r="AA2037" s="39"/>
      <c r="AB2037" s="39"/>
      <c r="AC2037" s="38"/>
      <c r="AD2037" s="38"/>
      <c r="AE2037" s="38"/>
      <c r="AF2037" s="38"/>
      <c r="AG2037" s="40"/>
      <c r="AH2037" s="38"/>
    </row>
    <row r="2038" spans="1:34" x14ac:dyDescent="0.2">
      <c r="A2038" s="38"/>
      <c r="B2038" s="38"/>
      <c r="C2038" s="38"/>
      <c r="D2038" s="38"/>
      <c r="E2038" s="177"/>
      <c r="F2038" s="177"/>
      <c r="G2038" s="269"/>
      <c r="H2038" s="179"/>
      <c r="I2038" s="177"/>
      <c r="J2038" s="177"/>
      <c r="K2038" s="177"/>
      <c r="L2038" s="177"/>
      <c r="M2038" s="177"/>
      <c r="N2038" s="70"/>
      <c r="O2038" s="38"/>
      <c r="P2038" s="38"/>
      <c r="Q2038" s="760"/>
      <c r="R2038" s="590"/>
      <c r="S2038" s="38"/>
      <c r="T2038" s="38"/>
      <c r="U2038" s="38"/>
      <c r="V2038" s="37"/>
      <c r="W2038" s="39">
        <f>IF(AC2038="Intr",0,G2038*Definitions!$B$53)</f>
        <v>0</v>
      </c>
      <c r="X2038" s="39">
        <f>IF(AC2038="Intr",0,G2038*Definitions!$B$54)</f>
        <v>0</v>
      </c>
      <c r="Y2038" s="39">
        <f>IF(AC2038="Intr",G2038,G2038*Definitions!$B$55)</f>
        <v>0</v>
      </c>
      <c r="Z2038" s="39"/>
      <c r="AA2038" s="39"/>
      <c r="AB2038" s="39"/>
      <c r="AC2038" s="38"/>
      <c r="AD2038" s="38"/>
      <c r="AE2038" s="38"/>
      <c r="AF2038" s="38"/>
      <c r="AG2038" s="40"/>
      <c r="AH2038" s="38"/>
    </row>
    <row r="2039" spans="1:34" x14ac:dyDescent="0.2">
      <c r="A2039" s="38"/>
      <c r="B2039" s="38"/>
      <c r="C2039" s="38"/>
      <c r="D2039" s="38"/>
      <c r="E2039" s="177"/>
      <c r="F2039" s="177"/>
      <c r="G2039" s="269"/>
      <c r="H2039" s="179"/>
      <c r="I2039" s="177"/>
      <c r="J2039" s="177"/>
      <c r="K2039" s="177"/>
      <c r="L2039" s="177"/>
      <c r="M2039" s="177"/>
      <c r="N2039" s="70"/>
      <c r="O2039" s="38"/>
      <c r="P2039" s="38"/>
      <c r="Q2039" s="760"/>
      <c r="R2039" s="590"/>
      <c r="S2039" s="38"/>
      <c r="T2039" s="38"/>
      <c r="U2039" s="38"/>
      <c r="V2039" s="37"/>
      <c r="W2039" s="39">
        <f>IF(AC2039="Intr",0,G2039*Definitions!$B$53)</f>
        <v>0</v>
      </c>
      <c r="X2039" s="39">
        <f>IF(AC2039="Intr",0,G2039*Definitions!$B$54)</f>
        <v>0</v>
      </c>
      <c r="Y2039" s="39">
        <f>IF(AC2039="Intr",G2039,G2039*Definitions!$B$55)</f>
        <v>0</v>
      </c>
      <c r="Z2039" s="39"/>
      <c r="AA2039" s="39"/>
      <c r="AB2039" s="39"/>
      <c r="AC2039" s="38"/>
      <c r="AD2039" s="38"/>
      <c r="AE2039" s="38"/>
      <c r="AF2039" s="38"/>
      <c r="AG2039" s="40"/>
      <c r="AH2039" s="38"/>
    </row>
    <row r="2040" spans="1:34" x14ac:dyDescent="0.2">
      <c r="A2040" s="38"/>
      <c r="B2040" s="38"/>
      <c r="C2040" s="38"/>
      <c r="D2040" s="38"/>
      <c r="E2040" s="177"/>
      <c r="F2040" s="177"/>
      <c r="G2040" s="269"/>
      <c r="H2040" s="179"/>
      <c r="I2040" s="177"/>
      <c r="J2040" s="177"/>
      <c r="K2040" s="177"/>
      <c r="L2040" s="177"/>
      <c r="M2040" s="177"/>
      <c r="N2040" s="70"/>
      <c r="O2040" s="38"/>
      <c r="P2040" s="38"/>
      <c r="Q2040" s="760"/>
      <c r="R2040" s="590"/>
      <c r="S2040" s="38"/>
      <c r="T2040" s="38"/>
      <c r="U2040" s="38"/>
      <c r="V2040" s="37"/>
      <c r="W2040" s="39">
        <f>IF(AC2040="Intr",0,G2040*Definitions!$B$53)</f>
        <v>0</v>
      </c>
      <c r="X2040" s="39">
        <f>IF(AC2040="Intr",0,G2040*Definitions!$B$54)</f>
        <v>0</v>
      </c>
      <c r="Y2040" s="39">
        <f>IF(AC2040="Intr",G2040,G2040*Definitions!$B$55)</f>
        <v>0</v>
      </c>
      <c r="Z2040" s="39"/>
      <c r="AA2040" s="39"/>
      <c r="AB2040" s="39"/>
      <c r="AC2040" s="38"/>
      <c r="AD2040" s="38"/>
      <c r="AE2040" s="38"/>
      <c r="AF2040" s="38"/>
      <c r="AG2040" s="40"/>
      <c r="AH2040" s="38"/>
    </row>
    <row r="2041" spans="1:34" x14ac:dyDescent="0.2">
      <c r="A2041" s="38"/>
      <c r="B2041" s="38"/>
      <c r="C2041" s="38"/>
      <c r="D2041" s="38"/>
      <c r="E2041" s="177"/>
      <c r="F2041" s="177"/>
      <c r="G2041" s="269"/>
      <c r="H2041" s="179"/>
      <c r="I2041" s="177"/>
      <c r="J2041" s="177"/>
      <c r="K2041" s="177"/>
      <c r="L2041" s="177"/>
      <c r="M2041" s="177"/>
      <c r="N2041" s="70"/>
      <c r="O2041" s="38"/>
      <c r="P2041" s="38"/>
      <c r="Q2041" s="760"/>
      <c r="R2041" s="590"/>
      <c r="S2041" s="38"/>
      <c r="T2041" s="38"/>
      <c r="U2041" s="38"/>
      <c r="V2041" s="37"/>
      <c r="W2041" s="39">
        <f>IF(AC2041="Intr",0,G2041*Definitions!$B$53)</f>
        <v>0</v>
      </c>
      <c r="X2041" s="39">
        <f>IF(AC2041="Intr",0,G2041*Definitions!$B$54)</f>
        <v>0</v>
      </c>
      <c r="Y2041" s="39">
        <f>IF(AC2041="Intr",G2041,G2041*Definitions!$B$55)</f>
        <v>0</v>
      </c>
      <c r="Z2041" s="39"/>
      <c r="AA2041" s="39"/>
      <c r="AB2041" s="39"/>
      <c r="AC2041" s="38"/>
      <c r="AD2041" s="38"/>
      <c r="AE2041" s="38"/>
      <c r="AF2041" s="38"/>
      <c r="AG2041" s="40"/>
      <c r="AH2041" s="38"/>
    </row>
    <row r="2042" spans="1:34" x14ac:dyDescent="0.2">
      <c r="A2042" s="38"/>
      <c r="B2042" s="38"/>
      <c r="C2042" s="38"/>
      <c r="D2042" s="38"/>
      <c r="E2042" s="177"/>
      <c r="F2042" s="177"/>
      <c r="G2042" s="269"/>
      <c r="H2042" s="179"/>
      <c r="I2042" s="177"/>
      <c r="J2042" s="177"/>
      <c r="K2042" s="177"/>
      <c r="L2042" s="177"/>
      <c r="M2042" s="177"/>
      <c r="N2042" s="70"/>
      <c r="O2042" s="38"/>
      <c r="P2042" s="38"/>
      <c r="Q2042" s="760"/>
      <c r="R2042" s="590"/>
      <c r="S2042" s="38"/>
      <c r="T2042" s="38"/>
      <c r="U2042" s="38"/>
      <c r="V2042" s="37"/>
      <c r="W2042" s="39">
        <f>IF(AC2042="Intr",0,G2042*Definitions!$B$53)</f>
        <v>0</v>
      </c>
      <c r="X2042" s="39">
        <f>IF(AC2042="Intr",0,G2042*Definitions!$B$54)</f>
        <v>0</v>
      </c>
      <c r="Y2042" s="39">
        <f>IF(AC2042="Intr",G2042,G2042*Definitions!$B$55)</f>
        <v>0</v>
      </c>
      <c r="Z2042" s="39"/>
      <c r="AA2042" s="39"/>
      <c r="AB2042" s="39"/>
      <c r="AC2042" s="38"/>
      <c r="AD2042" s="38"/>
      <c r="AE2042" s="38"/>
      <c r="AF2042" s="38"/>
      <c r="AG2042" s="40"/>
      <c r="AH2042" s="38"/>
    </row>
    <row r="2043" spans="1:34" x14ac:dyDescent="0.2">
      <c r="A2043" s="38"/>
      <c r="B2043" s="38"/>
      <c r="C2043" s="38"/>
      <c r="D2043" s="38"/>
      <c r="E2043" s="177"/>
      <c r="F2043" s="177"/>
      <c r="G2043" s="269"/>
      <c r="H2043" s="179"/>
      <c r="I2043" s="177"/>
      <c r="J2043" s="177"/>
      <c r="K2043" s="177"/>
      <c r="L2043" s="177"/>
      <c r="M2043" s="177"/>
      <c r="N2043" s="70"/>
      <c r="O2043" s="38"/>
      <c r="P2043" s="38"/>
      <c r="Q2043" s="760"/>
      <c r="R2043" s="590"/>
      <c r="S2043" s="38"/>
      <c r="T2043" s="38"/>
      <c r="U2043" s="38"/>
      <c r="V2043" s="37"/>
      <c r="W2043" s="39">
        <f>IF(AC2043="Intr",0,G2043*Definitions!$B$53)</f>
        <v>0</v>
      </c>
      <c r="X2043" s="39">
        <f>IF(AC2043="Intr",0,G2043*Definitions!$B$54)</f>
        <v>0</v>
      </c>
      <c r="Y2043" s="39">
        <f>IF(AC2043="Intr",G2043,G2043*Definitions!$B$55)</f>
        <v>0</v>
      </c>
      <c r="Z2043" s="39"/>
      <c r="AA2043" s="39"/>
      <c r="AB2043" s="39"/>
      <c r="AC2043" s="38"/>
      <c r="AD2043" s="38"/>
      <c r="AE2043" s="38"/>
      <c r="AF2043" s="38"/>
      <c r="AG2043" s="40"/>
      <c r="AH2043" s="38"/>
    </row>
    <row r="2044" spans="1:34" x14ac:dyDescent="0.2">
      <c r="A2044" s="38"/>
      <c r="B2044" s="38"/>
      <c r="C2044" s="38"/>
      <c r="D2044" s="38"/>
      <c r="E2044" s="177"/>
      <c r="F2044" s="177"/>
      <c r="G2044" s="269"/>
      <c r="H2044" s="179"/>
      <c r="I2044" s="177"/>
      <c r="J2044" s="177"/>
      <c r="K2044" s="177"/>
      <c r="L2044" s="177"/>
      <c r="M2044" s="177"/>
      <c r="N2044" s="70"/>
      <c r="O2044" s="38"/>
      <c r="P2044" s="38"/>
      <c r="Q2044" s="760"/>
      <c r="R2044" s="590"/>
      <c r="S2044" s="38"/>
      <c r="T2044" s="38"/>
      <c r="U2044" s="38"/>
      <c r="V2044" s="37"/>
      <c r="W2044" s="39">
        <f>IF(AC2044="Intr",0,G2044*Definitions!$B$53)</f>
        <v>0</v>
      </c>
      <c r="X2044" s="39">
        <f>IF(AC2044="Intr",0,G2044*Definitions!$B$54)</f>
        <v>0</v>
      </c>
      <c r="Y2044" s="39">
        <f>IF(AC2044="Intr",G2044,G2044*Definitions!$B$55)</f>
        <v>0</v>
      </c>
      <c r="Z2044" s="39"/>
      <c r="AA2044" s="39"/>
      <c r="AB2044" s="39"/>
      <c r="AC2044" s="38"/>
      <c r="AD2044" s="38"/>
      <c r="AE2044" s="38"/>
      <c r="AF2044" s="38"/>
      <c r="AG2044" s="40"/>
      <c r="AH2044" s="38"/>
    </row>
    <row r="2045" spans="1:34" x14ac:dyDescent="0.2">
      <c r="A2045" s="38"/>
      <c r="B2045" s="38"/>
      <c r="C2045" s="38"/>
      <c r="D2045" s="38"/>
      <c r="E2045" s="177"/>
      <c r="F2045" s="177"/>
      <c r="G2045" s="269"/>
      <c r="H2045" s="179"/>
      <c r="I2045" s="177"/>
      <c r="J2045" s="177"/>
      <c r="K2045" s="177"/>
      <c r="L2045" s="177"/>
      <c r="M2045" s="177"/>
      <c r="N2045" s="70"/>
      <c r="O2045" s="38"/>
      <c r="P2045" s="38"/>
      <c r="Q2045" s="760"/>
      <c r="R2045" s="590"/>
      <c r="S2045" s="38"/>
      <c r="T2045" s="38"/>
      <c r="U2045" s="38"/>
      <c r="V2045" s="37"/>
      <c r="W2045" s="39">
        <f>IF(AC2045="Intr",0,G2045*Definitions!$B$53)</f>
        <v>0</v>
      </c>
      <c r="X2045" s="39">
        <f>IF(AC2045="Intr",0,G2045*Definitions!$B$54)</f>
        <v>0</v>
      </c>
      <c r="Y2045" s="39">
        <f>IF(AC2045="Intr",G2045,G2045*Definitions!$B$55)</f>
        <v>0</v>
      </c>
      <c r="Z2045" s="39"/>
      <c r="AA2045" s="39"/>
      <c r="AB2045" s="39"/>
      <c r="AC2045" s="38"/>
      <c r="AD2045" s="38"/>
      <c r="AE2045" s="38"/>
      <c r="AF2045" s="38"/>
      <c r="AG2045" s="40"/>
      <c r="AH2045" s="38"/>
    </row>
    <row r="2046" spans="1:34" x14ac:dyDescent="0.2">
      <c r="A2046" s="38"/>
      <c r="B2046" s="38"/>
      <c r="C2046" s="38"/>
      <c r="D2046" s="38"/>
      <c r="E2046" s="177"/>
      <c r="F2046" s="177"/>
      <c r="G2046" s="269"/>
      <c r="H2046" s="179"/>
      <c r="I2046" s="177"/>
      <c r="J2046" s="177"/>
      <c r="K2046" s="177"/>
      <c r="L2046" s="177"/>
      <c r="M2046" s="177"/>
      <c r="N2046" s="70"/>
      <c r="O2046" s="38"/>
      <c r="P2046" s="38"/>
      <c r="Q2046" s="760"/>
      <c r="R2046" s="590"/>
      <c r="S2046" s="38"/>
      <c r="T2046" s="38"/>
      <c r="U2046" s="38"/>
      <c r="V2046" s="37"/>
      <c r="W2046" s="39">
        <f>IF(AC2046="Intr",0,G2046*Definitions!$B$53)</f>
        <v>0</v>
      </c>
      <c r="X2046" s="39">
        <f>IF(AC2046="Intr",0,G2046*Definitions!$B$54)</f>
        <v>0</v>
      </c>
      <c r="Y2046" s="39">
        <f>IF(AC2046="Intr",G2046,G2046*Definitions!$B$55)</f>
        <v>0</v>
      </c>
      <c r="Z2046" s="39"/>
      <c r="AA2046" s="39"/>
      <c r="AB2046" s="39"/>
      <c r="AC2046" s="38"/>
      <c r="AD2046" s="38"/>
      <c r="AE2046" s="38"/>
      <c r="AF2046" s="38"/>
      <c r="AG2046" s="40"/>
      <c r="AH2046" s="38"/>
    </row>
    <row r="2047" spans="1:34" x14ac:dyDescent="0.2">
      <c r="A2047" s="38"/>
      <c r="B2047" s="38"/>
      <c r="C2047" s="38"/>
      <c r="D2047" s="38"/>
      <c r="E2047" s="177"/>
      <c r="F2047" s="177"/>
      <c r="G2047" s="269"/>
      <c r="H2047" s="179"/>
      <c r="I2047" s="177"/>
      <c r="J2047" s="177"/>
      <c r="K2047" s="177"/>
      <c r="L2047" s="177"/>
      <c r="M2047" s="177"/>
      <c r="N2047" s="70"/>
      <c r="O2047" s="38"/>
      <c r="P2047" s="38"/>
      <c r="Q2047" s="760"/>
      <c r="R2047" s="590"/>
      <c r="S2047" s="38"/>
      <c r="T2047" s="38"/>
      <c r="U2047" s="38"/>
      <c r="V2047" s="37"/>
      <c r="W2047" s="39">
        <f>IF(AC2047="Intr",0,G2047*Definitions!$B$53)</f>
        <v>0</v>
      </c>
      <c r="X2047" s="39">
        <f>IF(AC2047="Intr",0,G2047*Definitions!$B$54)</f>
        <v>0</v>
      </c>
      <c r="Y2047" s="39">
        <f>IF(AC2047="Intr",G2047,G2047*Definitions!$B$55)</f>
        <v>0</v>
      </c>
      <c r="Z2047" s="39"/>
      <c r="AA2047" s="39"/>
      <c r="AB2047" s="39"/>
      <c r="AC2047" s="38"/>
      <c r="AD2047" s="38"/>
      <c r="AE2047" s="38"/>
      <c r="AF2047" s="38"/>
      <c r="AG2047" s="40"/>
      <c r="AH2047" s="38"/>
    </row>
    <row r="2048" spans="1:34" x14ac:dyDescent="0.2">
      <c r="A2048" s="38"/>
      <c r="B2048" s="38"/>
      <c r="C2048" s="38"/>
      <c r="D2048" s="38"/>
      <c r="E2048" s="177"/>
      <c r="F2048" s="177"/>
      <c r="G2048" s="269"/>
      <c r="H2048" s="179"/>
      <c r="I2048" s="177"/>
      <c r="J2048" s="177"/>
      <c r="K2048" s="177"/>
      <c r="L2048" s="177"/>
      <c r="M2048" s="177"/>
      <c r="N2048" s="70"/>
      <c r="O2048" s="38"/>
      <c r="P2048" s="38"/>
      <c r="Q2048" s="760"/>
      <c r="R2048" s="590"/>
      <c r="S2048" s="38"/>
      <c r="T2048" s="38"/>
      <c r="U2048" s="38"/>
      <c r="V2048" s="37"/>
      <c r="W2048" s="39">
        <f>IF(AC2048="Intr",0,G2048*Definitions!$B$53)</f>
        <v>0</v>
      </c>
      <c r="X2048" s="39">
        <f>IF(AC2048="Intr",0,G2048*Definitions!$B$54)</f>
        <v>0</v>
      </c>
      <c r="Y2048" s="39">
        <f>IF(AC2048="Intr",G2048,G2048*Definitions!$B$55)</f>
        <v>0</v>
      </c>
      <c r="Z2048" s="39"/>
      <c r="AA2048" s="39"/>
      <c r="AB2048" s="39"/>
      <c r="AC2048" s="38"/>
      <c r="AD2048" s="38"/>
      <c r="AE2048" s="38"/>
      <c r="AF2048" s="38"/>
      <c r="AG2048" s="40"/>
      <c r="AH2048" s="38"/>
    </row>
    <row r="2049" spans="1:34" x14ac:dyDescent="0.2">
      <c r="A2049" s="38"/>
      <c r="B2049" s="38"/>
      <c r="C2049" s="38"/>
      <c r="D2049" s="38"/>
      <c r="E2049" s="177"/>
      <c r="F2049" s="177"/>
      <c r="G2049" s="269"/>
      <c r="H2049" s="179"/>
      <c r="I2049" s="177"/>
      <c r="J2049" s="177"/>
      <c r="K2049" s="177"/>
      <c r="L2049" s="177"/>
      <c r="M2049" s="177"/>
      <c r="N2049" s="70"/>
      <c r="O2049" s="38"/>
      <c r="P2049" s="38"/>
      <c r="Q2049" s="760"/>
      <c r="R2049" s="590"/>
      <c r="S2049" s="38"/>
      <c r="T2049" s="38"/>
      <c r="U2049" s="38"/>
      <c r="V2049" s="37"/>
      <c r="W2049" s="39">
        <f>IF(AC2049="Intr",0,G2049*Definitions!$B$53)</f>
        <v>0</v>
      </c>
      <c r="X2049" s="39">
        <f>IF(AC2049="Intr",0,G2049*Definitions!$B$54)</f>
        <v>0</v>
      </c>
      <c r="Y2049" s="39">
        <f>IF(AC2049="Intr",G2049,G2049*Definitions!$B$55)</f>
        <v>0</v>
      </c>
      <c r="Z2049" s="39"/>
      <c r="AA2049" s="39"/>
      <c r="AB2049" s="39"/>
      <c r="AC2049" s="38"/>
      <c r="AD2049" s="38"/>
      <c r="AE2049" s="38"/>
      <c r="AF2049" s="38"/>
      <c r="AG2049" s="40"/>
      <c r="AH2049" s="38"/>
    </row>
    <row r="2050" spans="1:34" x14ac:dyDescent="0.2">
      <c r="A2050" s="38"/>
      <c r="B2050" s="38"/>
      <c r="C2050" s="38"/>
      <c r="D2050" s="38"/>
      <c r="E2050" s="177"/>
      <c r="F2050" s="177"/>
      <c r="G2050" s="269"/>
      <c r="H2050" s="179"/>
      <c r="I2050" s="177"/>
      <c r="J2050" s="177"/>
      <c r="K2050" s="177"/>
      <c r="L2050" s="177"/>
      <c r="M2050" s="177"/>
      <c r="N2050" s="70"/>
      <c r="O2050" s="38"/>
      <c r="P2050" s="38"/>
      <c r="Q2050" s="760"/>
      <c r="R2050" s="590"/>
      <c r="S2050" s="38"/>
      <c r="T2050" s="38"/>
      <c r="U2050" s="38"/>
      <c r="V2050" s="37"/>
      <c r="W2050" s="39">
        <f>IF(AC2050="Intr",0,G2050*Definitions!$B$53)</f>
        <v>0</v>
      </c>
      <c r="X2050" s="39">
        <f>IF(AC2050="Intr",0,G2050*Definitions!$B$54)</f>
        <v>0</v>
      </c>
      <c r="Y2050" s="39">
        <f>IF(AC2050="Intr",G2050,G2050*Definitions!$B$55)</f>
        <v>0</v>
      </c>
      <c r="Z2050" s="39"/>
      <c r="AA2050" s="39"/>
      <c r="AB2050" s="39"/>
      <c r="AC2050" s="38"/>
      <c r="AD2050" s="38"/>
      <c r="AE2050" s="38"/>
      <c r="AF2050" s="38"/>
      <c r="AG2050" s="40"/>
      <c r="AH2050" s="38"/>
    </row>
    <row r="2051" spans="1:34" x14ac:dyDescent="0.2">
      <c r="A2051" s="38"/>
      <c r="B2051" s="38"/>
      <c r="C2051" s="38"/>
      <c r="D2051" s="38"/>
      <c r="E2051" s="177"/>
      <c r="F2051" s="177"/>
      <c r="G2051" s="269"/>
      <c r="H2051" s="179"/>
      <c r="I2051" s="177"/>
      <c r="J2051" s="177"/>
      <c r="K2051" s="177"/>
      <c r="L2051" s="177"/>
      <c r="M2051" s="177"/>
      <c r="N2051" s="70"/>
      <c r="O2051" s="38"/>
      <c r="P2051" s="38"/>
      <c r="Q2051" s="760"/>
      <c r="R2051" s="590"/>
      <c r="S2051" s="38"/>
      <c r="T2051" s="38"/>
      <c r="U2051" s="38"/>
      <c r="V2051" s="37"/>
      <c r="W2051" s="39">
        <f>IF(AC2051="Intr",0,G2051*Definitions!$B$53)</f>
        <v>0</v>
      </c>
      <c r="X2051" s="39">
        <f>IF(AC2051="Intr",0,G2051*Definitions!$B$54)</f>
        <v>0</v>
      </c>
      <c r="Y2051" s="39">
        <f>IF(AC2051="Intr",G2051,G2051*Definitions!$B$55)</f>
        <v>0</v>
      </c>
      <c r="Z2051" s="39"/>
      <c r="AA2051" s="39"/>
      <c r="AB2051" s="39"/>
      <c r="AC2051" s="38"/>
      <c r="AD2051" s="38"/>
      <c r="AE2051" s="38"/>
      <c r="AF2051" s="38"/>
      <c r="AG2051" s="40"/>
      <c r="AH2051" s="38"/>
    </row>
    <row r="2052" spans="1:34" x14ac:dyDescent="0.2">
      <c r="A2052" s="38"/>
      <c r="B2052" s="38"/>
      <c r="C2052" s="38"/>
      <c r="D2052" s="38"/>
      <c r="E2052" s="177"/>
      <c r="F2052" s="177"/>
      <c r="G2052" s="269"/>
      <c r="H2052" s="179"/>
      <c r="I2052" s="177"/>
      <c r="J2052" s="177"/>
      <c r="K2052" s="177"/>
      <c r="L2052" s="177"/>
      <c r="M2052" s="177"/>
      <c r="N2052" s="70"/>
      <c r="O2052" s="38"/>
      <c r="P2052" s="38"/>
      <c r="Q2052" s="760"/>
      <c r="R2052" s="590"/>
      <c r="S2052" s="38"/>
      <c r="T2052" s="38"/>
      <c r="U2052" s="38"/>
      <c r="V2052" s="37"/>
      <c r="W2052" s="39">
        <f>IF(AC2052="Intr",0,G2052*Definitions!$B$53)</f>
        <v>0</v>
      </c>
      <c r="X2052" s="39">
        <f>IF(AC2052="Intr",0,G2052*Definitions!$B$54)</f>
        <v>0</v>
      </c>
      <c r="Y2052" s="39">
        <f>IF(AC2052="Intr",G2052,G2052*Definitions!$B$55)</f>
        <v>0</v>
      </c>
      <c r="Z2052" s="39"/>
      <c r="AA2052" s="39"/>
      <c r="AB2052" s="39"/>
      <c r="AC2052" s="38"/>
      <c r="AD2052" s="38"/>
      <c r="AE2052" s="38"/>
      <c r="AF2052" s="38"/>
      <c r="AG2052" s="40"/>
      <c r="AH2052" s="38"/>
    </row>
    <row r="2053" spans="1:34" x14ac:dyDescent="0.2">
      <c r="A2053" s="38"/>
      <c r="B2053" s="38"/>
      <c r="C2053" s="38"/>
      <c r="D2053" s="38"/>
      <c r="E2053" s="177"/>
      <c r="F2053" s="177"/>
      <c r="G2053" s="269"/>
      <c r="H2053" s="179"/>
      <c r="I2053" s="177"/>
      <c r="J2053" s="177"/>
      <c r="K2053" s="177"/>
      <c r="L2053" s="177"/>
      <c r="M2053" s="177"/>
      <c r="N2053" s="70"/>
      <c r="O2053" s="38"/>
      <c r="P2053" s="38"/>
      <c r="Q2053" s="760"/>
      <c r="R2053" s="590"/>
      <c r="S2053" s="38"/>
      <c r="T2053" s="38"/>
      <c r="U2053" s="38"/>
      <c r="V2053" s="37"/>
      <c r="W2053" s="39">
        <f>IF(AC2053="Intr",0,G2053*Definitions!$B$53)</f>
        <v>0</v>
      </c>
      <c r="X2053" s="39">
        <f>IF(AC2053="Intr",0,G2053*Definitions!$B$54)</f>
        <v>0</v>
      </c>
      <c r="Y2053" s="39">
        <f>IF(AC2053="Intr",G2053,G2053*Definitions!$B$55)</f>
        <v>0</v>
      </c>
      <c r="Z2053" s="39"/>
      <c r="AA2053" s="39"/>
      <c r="AB2053" s="39"/>
      <c r="AC2053" s="38"/>
      <c r="AD2053" s="38"/>
      <c r="AE2053" s="38"/>
      <c r="AF2053" s="38"/>
      <c r="AG2053" s="40"/>
      <c r="AH2053" s="38"/>
    </row>
    <row r="2054" spans="1:34" x14ac:dyDescent="0.2">
      <c r="A2054" s="38"/>
      <c r="B2054" s="38"/>
      <c r="C2054" s="38"/>
      <c r="D2054" s="38"/>
      <c r="E2054" s="177"/>
      <c r="F2054" s="177"/>
      <c r="G2054" s="269"/>
      <c r="H2054" s="179"/>
      <c r="I2054" s="177"/>
      <c r="J2054" s="177"/>
      <c r="K2054" s="177"/>
      <c r="L2054" s="177"/>
      <c r="M2054" s="177"/>
      <c r="N2054" s="70"/>
      <c r="O2054" s="38"/>
      <c r="P2054" s="38"/>
      <c r="Q2054" s="760"/>
      <c r="R2054" s="590"/>
      <c r="S2054" s="38"/>
      <c r="T2054" s="38"/>
      <c r="U2054" s="38"/>
      <c r="V2054" s="37"/>
      <c r="W2054" s="39">
        <f>IF(AC2054="Intr",0,G2054*Definitions!$B$53)</f>
        <v>0</v>
      </c>
      <c r="X2054" s="39">
        <f>IF(AC2054="Intr",0,G2054*Definitions!$B$54)</f>
        <v>0</v>
      </c>
      <c r="Y2054" s="39">
        <f>IF(AC2054="Intr",G2054,G2054*Definitions!$B$55)</f>
        <v>0</v>
      </c>
      <c r="Z2054" s="39"/>
      <c r="AA2054" s="39"/>
      <c r="AB2054" s="39"/>
      <c r="AC2054" s="38"/>
      <c r="AD2054" s="38"/>
      <c r="AE2054" s="38"/>
      <c r="AF2054" s="38"/>
      <c r="AG2054" s="40"/>
      <c r="AH2054" s="38"/>
    </row>
    <row r="2055" spans="1:34" x14ac:dyDescent="0.2">
      <c r="A2055" s="38"/>
      <c r="B2055" s="38"/>
      <c r="C2055" s="38"/>
      <c r="D2055" s="38"/>
      <c r="E2055" s="177"/>
      <c r="F2055" s="177"/>
      <c r="G2055" s="269"/>
      <c r="H2055" s="179"/>
      <c r="I2055" s="177"/>
      <c r="J2055" s="177"/>
      <c r="K2055" s="177"/>
      <c r="L2055" s="177"/>
      <c r="M2055" s="177"/>
      <c r="N2055" s="70"/>
      <c r="O2055" s="38"/>
      <c r="P2055" s="38"/>
      <c r="Q2055" s="760"/>
      <c r="R2055" s="590"/>
      <c r="S2055" s="38"/>
      <c r="T2055" s="38"/>
      <c r="U2055" s="38"/>
      <c r="V2055" s="37"/>
      <c r="W2055" s="39">
        <f>IF(AC2055="Intr",0,G2055*Definitions!$B$53)</f>
        <v>0</v>
      </c>
      <c r="X2055" s="39">
        <f>IF(AC2055="Intr",0,G2055*Definitions!$B$54)</f>
        <v>0</v>
      </c>
      <c r="Y2055" s="39">
        <f>IF(AC2055="Intr",G2055,G2055*Definitions!$B$55)</f>
        <v>0</v>
      </c>
      <c r="Z2055" s="39"/>
      <c r="AA2055" s="39"/>
      <c r="AB2055" s="39"/>
      <c r="AC2055" s="38"/>
      <c r="AD2055" s="38"/>
      <c r="AE2055" s="38"/>
      <c r="AF2055" s="38"/>
      <c r="AG2055" s="40"/>
      <c r="AH2055" s="38"/>
    </row>
    <row r="2056" spans="1:34" x14ac:dyDescent="0.2">
      <c r="A2056" s="38"/>
      <c r="B2056" s="38"/>
      <c r="C2056" s="38"/>
      <c r="D2056" s="38"/>
      <c r="E2056" s="177"/>
      <c r="F2056" s="177"/>
      <c r="G2056" s="269"/>
      <c r="H2056" s="179"/>
      <c r="I2056" s="177"/>
      <c r="J2056" s="177"/>
      <c r="K2056" s="177"/>
      <c r="L2056" s="177"/>
      <c r="M2056" s="177"/>
      <c r="N2056" s="70"/>
      <c r="O2056" s="38"/>
      <c r="P2056" s="38"/>
      <c r="Q2056" s="760"/>
      <c r="R2056" s="590"/>
      <c r="S2056" s="38"/>
      <c r="T2056" s="38"/>
      <c r="U2056" s="38"/>
      <c r="V2056" s="37"/>
      <c r="W2056" s="39">
        <f>IF(AC2056="Intr",0,G2056*Definitions!$B$53)</f>
        <v>0</v>
      </c>
      <c r="X2056" s="39">
        <f>IF(AC2056="Intr",0,G2056*Definitions!$B$54)</f>
        <v>0</v>
      </c>
      <c r="Y2056" s="39">
        <f>IF(AC2056="Intr",G2056,G2056*Definitions!$B$55)</f>
        <v>0</v>
      </c>
      <c r="Z2056" s="39"/>
      <c r="AA2056" s="39"/>
      <c r="AB2056" s="39"/>
      <c r="AC2056" s="38"/>
      <c r="AD2056" s="38"/>
      <c r="AE2056" s="38"/>
      <c r="AF2056" s="38"/>
      <c r="AG2056" s="40"/>
      <c r="AH2056" s="38"/>
    </row>
    <row r="2057" spans="1:34" x14ac:dyDescent="0.2">
      <c r="A2057" s="38"/>
      <c r="B2057" s="38"/>
      <c r="C2057" s="38"/>
      <c r="D2057" s="38"/>
      <c r="E2057" s="177"/>
      <c r="F2057" s="177"/>
      <c r="G2057" s="269"/>
      <c r="H2057" s="179"/>
      <c r="I2057" s="177"/>
      <c r="J2057" s="177"/>
      <c r="K2057" s="177"/>
      <c r="L2057" s="177"/>
      <c r="M2057" s="177"/>
      <c r="N2057" s="70"/>
      <c r="O2057" s="38"/>
      <c r="P2057" s="38"/>
      <c r="Q2057" s="760"/>
      <c r="R2057" s="590"/>
      <c r="S2057" s="38"/>
      <c r="T2057" s="38"/>
      <c r="U2057" s="38"/>
      <c r="V2057" s="37"/>
      <c r="W2057" s="39">
        <f>IF(AC2057="Intr",0,G2057*Definitions!$B$53)</f>
        <v>0</v>
      </c>
      <c r="X2057" s="39">
        <f>IF(AC2057="Intr",0,G2057*Definitions!$B$54)</f>
        <v>0</v>
      </c>
      <c r="Y2057" s="39">
        <f>IF(AC2057="Intr",G2057,G2057*Definitions!$B$55)</f>
        <v>0</v>
      </c>
      <c r="Z2057" s="39"/>
      <c r="AA2057" s="39"/>
      <c r="AB2057" s="39"/>
      <c r="AC2057" s="38"/>
      <c r="AD2057" s="38"/>
      <c r="AE2057" s="38"/>
      <c r="AF2057" s="38"/>
      <c r="AG2057" s="40"/>
      <c r="AH2057" s="38"/>
    </row>
    <row r="2058" spans="1:34" x14ac:dyDescent="0.2">
      <c r="A2058" s="38"/>
      <c r="B2058" s="38"/>
      <c r="C2058" s="38"/>
      <c r="D2058" s="38"/>
      <c r="E2058" s="177"/>
      <c r="F2058" s="177"/>
      <c r="G2058" s="269"/>
      <c r="H2058" s="179"/>
      <c r="I2058" s="177"/>
      <c r="J2058" s="177"/>
      <c r="K2058" s="177"/>
      <c r="L2058" s="177"/>
      <c r="M2058" s="177"/>
      <c r="N2058" s="70"/>
      <c r="O2058" s="38"/>
      <c r="P2058" s="38"/>
      <c r="Q2058" s="760"/>
      <c r="R2058" s="590"/>
      <c r="S2058" s="38"/>
      <c r="T2058" s="38"/>
      <c r="U2058" s="38"/>
      <c r="V2058" s="37"/>
      <c r="W2058" s="39">
        <f>IF(AC2058="Intr",0,G2058*Definitions!$B$53)</f>
        <v>0</v>
      </c>
      <c r="X2058" s="39">
        <f>IF(AC2058="Intr",0,G2058*Definitions!$B$54)</f>
        <v>0</v>
      </c>
      <c r="Y2058" s="39">
        <f>IF(AC2058="Intr",G2058,G2058*Definitions!$B$55)</f>
        <v>0</v>
      </c>
      <c r="Z2058" s="39"/>
      <c r="AA2058" s="39"/>
      <c r="AB2058" s="39"/>
      <c r="AC2058" s="38"/>
      <c r="AD2058" s="38"/>
      <c r="AE2058" s="38"/>
      <c r="AF2058" s="38"/>
      <c r="AG2058" s="40"/>
      <c r="AH2058" s="38"/>
    </row>
    <row r="2059" spans="1:34" x14ac:dyDescent="0.2">
      <c r="A2059" s="38"/>
      <c r="B2059" s="38"/>
      <c r="C2059" s="38"/>
      <c r="D2059" s="38"/>
      <c r="E2059" s="177"/>
      <c r="F2059" s="177"/>
      <c r="G2059" s="269"/>
      <c r="H2059" s="179"/>
      <c r="I2059" s="177"/>
      <c r="J2059" s="177"/>
      <c r="K2059" s="177"/>
      <c r="L2059" s="177"/>
      <c r="M2059" s="177"/>
      <c r="N2059" s="70"/>
      <c r="O2059" s="38"/>
      <c r="P2059" s="38"/>
      <c r="Q2059" s="760"/>
      <c r="R2059" s="590"/>
      <c r="S2059" s="38"/>
      <c r="T2059" s="38"/>
      <c r="U2059" s="38"/>
      <c r="V2059" s="37"/>
      <c r="W2059" s="39">
        <f>IF(AC2059="Intr",0,G2059*Definitions!$B$53)</f>
        <v>0</v>
      </c>
      <c r="X2059" s="39">
        <f>IF(AC2059="Intr",0,G2059*Definitions!$B$54)</f>
        <v>0</v>
      </c>
      <c r="Y2059" s="39">
        <f>IF(AC2059="Intr",G2059,G2059*Definitions!$B$55)</f>
        <v>0</v>
      </c>
      <c r="Z2059" s="39"/>
      <c r="AA2059" s="39"/>
      <c r="AB2059" s="39"/>
      <c r="AC2059" s="38"/>
      <c r="AD2059" s="38"/>
      <c r="AE2059" s="38"/>
      <c r="AF2059" s="38"/>
      <c r="AG2059" s="40"/>
      <c r="AH2059" s="38"/>
    </row>
    <row r="2060" spans="1:34" x14ac:dyDescent="0.2">
      <c r="A2060" s="38"/>
      <c r="B2060" s="38"/>
      <c r="C2060" s="38"/>
      <c r="D2060" s="38"/>
      <c r="E2060" s="177"/>
      <c r="F2060" s="177"/>
      <c r="G2060" s="269"/>
      <c r="H2060" s="179"/>
      <c r="I2060" s="177"/>
      <c r="J2060" s="177"/>
      <c r="K2060" s="177"/>
      <c r="L2060" s="177"/>
      <c r="M2060" s="177"/>
      <c r="N2060" s="70"/>
      <c r="O2060" s="38"/>
      <c r="P2060" s="38"/>
      <c r="Q2060" s="760"/>
      <c r="R2060" s="590"/>
      <c r="S2060" s="38"/>
      <c r="T2060" s="38"/>
      <c r="U2060" s="38"/>
      <c r="V2060" s="37"/>
      <c r="W2060" s="39">
        <f>IF(AC2060="Intr",0,G2060*Definitions!$B$53)</f>
        <v>0</v>
      </c>
      <c r="X2060" s="39">
        <f>IF(AC2060="Intr",0,G2060*Definitions!$B$54)</f>
        <v>0</v>
      </c>
      <c r="Y2060" s="39">
        <f>IF(AC2060="Intr",G2060,G2060*Definitions!$B$55)</f>
        <v>0</v>
      </c>
      <c r="Z2060" s="39"/>
      <c r="AA2060" s="39"/>
      <c r="AB2060" s="39"/>
      <c r="AC2060" s="38"/>
      <c r="AD2060" s="38"/>
      <c r="AE2060" s="38"/>
      <c r="AF2060" s="38"/>
      <c r="AG2060" s="40"/>
      <c r="AH2060" s="38"/>
    </row>
    <row r="2061" spans="1:34" x14ac:dyDescent="0.2">
      <c r="A2061" s="38"/>
      <c r="B2061" s="38"/>
      <c r="C2061" s="38"/>
      <c r="D2061" s="38"/>
      <c r="E2061" s="177"/>
      <c r="F2061" s="177"/>
      <c r="G2061" s="269"/>
      <c r="H2061" s="179"/>
      <c r="I2061" s="177"/>
      <c r="J2061" s="177"/>
      <c r="K2061" s="177"/>
      <c r="L2061" s="177"/>
      <c r="M2061" s="177"/>
      <c r="N2061" s="70"/>
      <c r="O2061" s="38"/>
      <c r="P2061" s="38"/>
      <c r="Q2061" s="760"/>
      <c r="R2061" s="590"/>
      <c r="S2061" s="38"/>
      <c r="T2061" s="38"/>
      <c r="U2061" s="38"/>
      <c r="V2061" s="37"/>
      <c r="W2061" s="39">
        <f>IF(AC2061="Intr",0,G2061*Definitions!$B$53)</f>
        <v>0</v>
      </c>
      <c r="X2061" s="39">
        <f>IF(AC2061="Intr",0,G2061*Definitions!$B$54)</f>
        <v>0</v>
      </c>
      <c r="Y2061" s="39">
        <f>IF(AC2061="Intr",G2061,G2061*Definitions!$B$55)</f>
        <v>0</v>
      </c>
      <c r="Z2061" s="39"/>
      <c r="AA2061" s="39"/>
      <c r="AB2061" s="39"/>
      <c r="AC2061" s="38"/>
      <c r="AD2061" s="38"/>
      <c r="AE2061" s="38"/>
      <c r="AF2061" s="38"/>
      <c r="AG2061" s="40"/>
      <c r="AH2061" s="38"/>
    </row>
    <row r="2062" spans="1:34" x14ac:dyDescent="0.2">
      <c r="A2062" s="38"/>
      <c r="B2062" s="38"/>
      <c r="C2062" s="38"/>
      <c r="D2062" s="38"/>
      <c r="E2062" s="177"/>
      <c r="F2062" s="177"/>
      <c r="G2062" s="269"/>
      <c r="H2062" s="179"/>
      <c r="I2062" s="177"/>
      <c r="J2062" s="177"/>
      <c r="K2062" s="177"/>
      <c r="L2062" s="177"/>
      <c r="M2062" s="177"/>
      <c r="N2062" s="70"/>
      <c r="O2062" s="38"/>
      <c r="P2062" s="38"/>
      <c r="Q2062" s="760"/>
      <c r="R2062" s="590"/>
      <c r="S2062" s="38"/>
      <c r="T2062" s="38"/>
      <c r="U2062" s="38"/>
      <c r="V2062" s="37"/>
      <c r="W2062" s="39">
        <f>IF(AC2062="Intr",0,G2062*Definitions!$B$53)</f>
        <v>0</v>
      </c>
      <c r="X2062" s="39">
        <f>IF(AC2062="Intr",0,G2062*Definitions!$B$54)</f>
        <v>0</v>
      </c>
      <c r="Y2062" s="39">
        <f>IF(AC2062="Intr",G2062,G2062*Definitions!$B$55)</f>
        <v>0</v>
      </c>
      <c r="Z2062" s="39"/>
      <c r="AA2062" s="39"/>
      <c r="AB2062" s="39"/>
      <c r="AC2062" s="38"/>
      <c r="AD2062" s="38"/>
      <c r="AE2062" s="38"/>
      <c r="AF2062" s="38"/>
      <c r="AG2062" s="40"/>
      <c r="AH2062" s="38"/>
    </row>
    <row r="2063" spans="1:34" x14ac:dyDescent="0.2">
      <c r="A2063" s="38"/>
      <c r="B2063" s="38"/>
      <c r="C2063" s="38"/>
      <c r="D2063" s="38"/>
      <c r="E2063" s="177"/>
      <c r="F2063" s="177"/>
      <c r="G2063" s="269"/>
      <c r="H2063" s="179"/>
      <c r="I2063" s="177"/>
      <c r="J2063" s="177"/>
      <c r="K2063" s="177"/>
      <c r="L2063" s="177"/>
      <c r="M2063" s="177"/>
      <c r="N2063" s="70"/>
      <c r="O2063" s="38"/>
      <c r="P2063" s="38"/>
      <c r="Q2063" s="760"/>
      <c r="R2063" s="590"/>
      <c r="S2063" s="38"/>
      <c r="T2063" s="38"/>
      <c r="U2063" s="38"/>
      <c r="V2063" s="37"/>
      <c r="W2063" s="39">
        <f>IF(AC2063="Intr",0,G2063*Definitions!$B$53)</f>
        <v>0</v>
      </c>
      <c r="X2063" s="39">
        <f>IF(AC2063="Intr",0,G2063*Definitions!$B$54)</f>
        <v>0</v>
      </c>
      <c r="Y2063" s="39">
        <f>IF(AC2063="Intr",G2063,G2063*Definitions!$B$55)</f>
        <v>0</v>
      </c>
      <c r="Z2063" s="39"/>
      <c r="AA2063" s="39"/>
      <c r="AB2063" s="39"/>
      <c r="AC2063" s="38"/>
      <c r="AD2063" s="38"/>
      <c r="AE2063" s="38"/>
      <c r="AF2063" s="38"/>
      <c r="AG2063" s="40"/>
      <c r="AH2063" s="38"/>
    </row>
    <row r="2064" spans="1:34" x14ac:dyDescent="0.2">
      <c r="A2064" s="38"/>
      <c r="B2064" s="38"/>
      <c r="C2064" s="38"/>
      <c r="D2064" s="38"/>
      <c r="E2064" s="177"/>
      <c r="F2064" s="177"/>
      <c r="G2064" s="269"/>
      <c r="H2064" s="179"/>
      <c r="I2064" s="177"/>
      <c r="J2064" s="177"/>
      <c r="K2064" s="177"/>
      <c r="L2064" s="177"/>
      <c r="M2064" s="177"/>
      <c r="N2064" s="70"/>
      <c r="O2064" s="38"/>
      <c r="P2064" s="38"/>
      <c r="Q2064" s="760"/>
      <c r="R2064" s="590"/>
      <c r="S2064" s="38"/>
      <c r="T2064" s="38"/>
      <c r="U2064" s="38"/>
      <c r="V2064" s="37"/>
      <c r="W2064" s="39">
        <f>IF(AC2064="Intr",0,G2064*Definitions!$B$53)</f>
        <v>0</v>
      </c>
      <c r="X2064" s="39">
        <f>IF(AC2064="Intr",0,G2064*Definitions!$B$54)</f>
        <v>0</v>
      </c>
      <c r="Y2064" s="39">
        <f>IF(AC2064="Intr",G2064,G2064*Definitions!$B$55)</f>
        <v>0</v>
      </c>
      <c r="Z2064" s="39"/>
      <c r="AA2064" s="39"/>
      <c r="AB2064" s="39"/>
      <c r="AC2064" s="38"/>
      <c r="AD2064" s="38"/>
      <c r="AE2064" s="38"/>
      <c r="AF2064" s="38"/>
      <c r="AG2064" s="40"/>
      <c r="AH2064" s="38"/>
    </row>
    <row r="2065" spans="1:34" x14ac:dyDescent="0.2">
      <c r="A2065" s="38"/>
      <c r="B2065" s="38"/>
      <c r="C2065" s="38"/>
      <c r="D2065" s="38"/>
      <c r="E2065" s="177"/>
      <c r="F2065" s="177"/>
      <c r="G2065" s="269"/>
      <c r="H2065" s="179"/>
      <c r="I2065" s="177"/>
      <c r="J2065" s="177"/>
      <c r="K2065" s="177"/>
      <c r="L2065" s="177"/>
      <c r="M2065" s="177"/>
      <c r="N2065" s="70"/>
      <c r="O2065" s="38"/>
      <c r="P2065" s="38"/>
      <c r="Q2065" s="760"/>
      <c r="R2065" s="590"/>
      <c r="S2065" s="38"/>
      <c r="T2065" s="38"/>
      <c r="U2065" s="38"/>
      <c r="V2065" s="37"/>
      <c r="W2065" s="39">
        <f>IF(AC2065="Intr",0,G2065*Definitions!$B$53)</f>
        <v>0</v>
      </c>
      <c r="X2065" s="39">
        <f>IF(AC2065="Intr",0,G2065*Definitions!$B$54)</f>
        <v>0</v>
      </c>
      <c r="Y2065" s="39">
        <f>IF(AC2065="Intr",G2065,G2065*Definitions!$B$55)</f>
        <v>0</v>
      </c>
      <c r="Z2065" s="39"/>
      <c r="AA2065" s="39"/>
      <c r="AB2065" s="39"/>
      <c r="AC2065" s="38"/>
      <c r="AD2065" s="38"/>
      <c r="AE2065" s="38"/>
      <c r="AF2065" s="38"/>
      <c r="AG2065" s="40"/>
      <c r="AH2065" s="38"/>
    </row>
    <row r="2066" spans="1:34" x14ac:dyDescent="0.2">
      <c r="A2066" s="38"/>
      <c r="B2066" s="38"/>
      <c r="C2066" s="38"/>
      <c r="D2066" s="38"/>
      <c r="E2066" s="177"/>
      <c r="F2066" s="177"/>
      <c r="G2066" s="269"/>
      <c r="H2066" s="179"/>
      <c r="I2066" s="177"/>
      <c r="J2066" s="177"/>
      <c r="K2066" s="177"/>
      <c r="L2066" s="177"/>
      <c r="M2066" s="177"/>
      <c r="N2066" s="70"/>
      <c r="O2066" s="38"/>
      <c r="P2066" s="38"/>
      <c r="Q2066" s="760"/>
      <c r="R2066" s="590"/>
      <c r="S2066" s="38"/>
      <c r="T2066" s="38"/>
      <c r="U2066" s="38"/>
      <c r="V2066" s="37"/>
      <c r="W2066" s="39">
        <f>IF(AC2066="Intr",0,G2066*Definitions!$B$53)</f>
        <v>0</v>
      </c>
      <c r="X2066" s="39">
        <f>IF(AC2066="Intr",0,G2066*Definitions!$B$54)</f>
        <v>0</v>
      </c>
      <c r="Y2066" s="39">
        <f>IF(AC2066="Intr",G2066,G2066*Definitions!$B$55)</f>
        <v>0</v>
      </c>
      <c r="Z2066" s="39"/>
      <c r="AA2066" s="39"/>
      <c r="AB2066" s="39"/>
      <c r="AC2066" s="38"/>
      <c r="AD2066" s="38"/>
      <c r="AE2066" s="38"/>
      <c r="AF2066" s="38"/>
      <c r="AG2066" s="40"/>
      <c r="AH2066" s="38"/>
    </row>
    <row r="2067" spans="1:34" x14ac:dyDescent="0.2">
      <c r="A2067" s="38"/>
      <c r="B2067" s="38"/>
      <c r="C2067" s="38"/>
      <c r="D2067" s="38"/>
      <c r="E2067" s="177"/>
      <c r="F2067" s="177"/>
      <c r="G2067" s="269"/>
      <c r="H2067" s="179"/>
      <c r="I2067" s="177"/>
      <c r="J2067" s="177"/>
      <c r="K2067" s="177"/>
      <c r="L2067" s="177"/>
      <c r="M2067" s="177"/>
      <c r="N2067" s="70"/>
      <c r="O2067" s="38"/>
      <c r="P2067" s="38"/>
      <c r="Q2067" s="760"/>
      <c r="R2067" s="590"/>
      <c r="S2067" s="38"/>
      <c r="T2067" s="38"/>
      <c r="U2067" s="38"/>
      <c r="V2067" s="37"/>
      <c r="W2067" s="39">
        <f>IF(AC2067="Intr",0,G2067*Definitions!$B$53)</f>
        <v>0</v>
      </c>
      <c r="X2067" s="39">
        <f>IF(AC2067="Intr",0,G2067*Definitions!$B$54)</f>
        <v>0</v>
      </c>
      <c r="Y2067" s="39">
        <f>IF(AC2067="Intr",G2067,G2067*Definitions!$B$55)</f>
        <v>0</v>
      </c>
      <c r="Z2067" s="39"/>
      <c r="AA2067" s="39"/>
      <c r="AB2067" s="39"/>
      <c r="AC2067" s="38"/>
      <c r="AD2067" s="38"/>
      <c r="AE2067" s="38"/>
      <c r="AF2067" s="38"/>
      <c r="AG2067" s="40"/>
      <c r="AH2067" s="38"/>
    </row>
    <row r="2068" spans="1:34" x14ac:dyDescent="0.2">
      <c r="A2068" s="38"/>
      <c r="B2068" s="38"/>
      <c r="C2068" s="38"/>
      <c r="D2068" s="38"/>
      <c r="E2068" s="177"/>
      <c r="F2068" s="177"/>
      <c r="G2068" s="269"/>
      <c r="H2068" s="179"/>
      <c r="I2068" s="177"/>
      <c r="J2068" s="177"/>
      <c r="K2068" s="177"/>
      <c r="L2068" s="177"/>
      <c r="M2068" s="177"/>
      <c r="N2068" s="70"/>
      <c r="O2068" s="38"/>
      <c r="P2068" s="38"/>
      <c r="Q2068" s="760"/>
      <c r="R2068" s="590"/>
      <c r="S2068" s="38"/>
      <c r="T2068" s="38"/>
      <c r="U2068" s="38"/>
      <c r="V2068" s="37"/>
      <c r="W2068" s="39">
        <f>IF(AC2068="Intr",0,G2068*Definitions!$B$53)</f>
        <v>0</v>
      </c>
      <c r="X2068" s="39">
        <f>IF(AC2068="Intr",0,G2068*Definitions!$B$54)</f>
        <v>0</v>
      </c>
      <c r="Y2068" s="39">
        <f>IF(AC2068="Intr",G2068,G2068*Definitions!$B$55)</f>
        <v>0</v>
      </c>
      <c r="Z2068" s="39"/>
      <c r="AA2068" s="39"/>
      <c r="AB2068" s="39"/>
      <c r="AC2068" s="38"/>
      <c r="AD2068" s="38"/>
      <c r="AE2068" s="38"/>
      <c r="AF2068" s="38"/>
      <c r="AG2068" s="40"/>
      <c r="AH2068" s="38"/>
    </row>
    <row r="2069" spans="1:34" x14ac:dyDescent="0.2">
      <c r="A2069" s="38"/>
      <c r="B2069" s="38"/>
      <c r="C2069" s="38"/>
      <c r="D2069" s="38"/>
      <c r="E2069" s="177"/>
      <c r="F2069" s="177"/>
      <c r="G2069" s="269"/>
      <c r="H2069" s="179"/>
      <c r="I2069" s="177"/>
      <c r="J2069" s="177"/>
      <c r="K2069" s="177"/>
      <c r="L2069" s="177"/>
      <c r="M2069" s="177"/>
      <c r="N2069" s="70"/>
      <c r="O2069" s="38"/>
      <c r="P2069" s="38"/>
      <c r="Q2069" s="760"/>
      <c r="R2069" s="590"/>
      <c r="S2069" s="38"/>
      <c r="T2069" s="38"/>
      <c r="U2069" s="38"/>
      <c r="V2069" s="37"/>
      <c r="W2069" s="39">
        <f>IF(AC2069="Intr",0,G2069*Definitions!$B$53)</f>
        <v>0</v>
      </c>
      <c r="X2069" s="39">
        <f>IF(AC2069="Intr",0,G2069*Definitions!$B$54)</f>
        <v>0</v>
      </c>
      <c r="Y2069" s="39">
        <f>IF(AC2069="Intr",G2069,G2069*Definitions!$B$55)</f>
        <v>0</v>
      </c>
      <c r="Z2069" s="39"/>
      <c r="AA2069" s="39"/>
      <c r="AB2069" s="39"/>
      <c r="AC2069" s="38"/>
      <c r="AD2069" s="38"/>
      <c r="AE2069" s="38"/>
      <c r="AF2069" s="38"/>
      <c r="AG2069" s="40"/>
      <c r="AH2069" s="38"/>
    </row>
    <row r="2070" spans="1:34" x14ac:dyDescent="0.2">
      <c r="A2070" s="38"/>
      <c r="B2070" s="38"/>
      <c r="C2070" s="38"/>
      <c r="D2070" s="38"/>
      <c r="E2070" s="177"/>
      <c r="F2070" s="177"/>
      <c r="G2070" s="269"/>
      <c r="H2070" s="179"/>
      <c r="I2070" s="177"/>
      <c r="J2070" s="177"/>
      <c r="K2070" s="177"/>
      <c r="L2070" s="177"/>
      <c r="M2070" s="177"/>
      <c r="N2070" s="70"/>
      <c r="O2070" s="38"/>
      <c r="P2070" s="38"/>
      <c r="Q2070" s="760"/>
      <c r="R2070" s="590"/>
      <c r="S2070" s="38"/>
      <c r="T2070" s="38"/>
      <c r="U2070" s="38"/>
      <c r="V2070" s="37"/>
      <c r="W2070" s="39">
        <f>IF(AC2070="Intr",0,G2070*Definitions!$B$53)</f>
        <v>0</v>
      </c>
      <c r="X2070" s="39">
        <f>IF(AC2070="Intr",0,G2070*Definitions!$B$54)</f>
        <v>0</v>
      </c>
      <c r="Y2070" s="39">
        <f>IF(AC2070="Intr",G2070,G2070*Definitions!$B$55)</f>
        <v>0</v>
      </c>
      <c r="Z2070" s="39"/>
      <c r="AA2070" s="39"/>
      <c r="AB2070" s="39"/>
      <c r="AC2070" s="38"/>
      <c r="AD2070" s="38"/>
      <c r="AE2070" s="38"/>
      <c r="AF2070" s="38"/>
      <c r="AG2070" s="40"/>
      <c r="AH2070" s="38"/>
    </row>
    <row r="2071" spans="1:34" x14ac:dyDescent="0.2">
      <c r="A2071" s="38"/>
      <c r="B2071" s="38"/>
      <c r="C2071" s="38"/>
      <c r="D2071" s="38"/>
      <c r="E2071" s="177"/>
      <c r="F2071" s="177"/>
      <c r="G2071" s="269"/>
      <c r="H2071" s="179"/>
      <c r="I2071" s="177"/>
      <c r="J2071" s="177"/>
      <c r="K2071" s="177"/>
      <c r="L2071" s="177"/>
      <c r="M2071" s="177"/>
      <c r="N2071" s="70"/>
      <c r="O2071" s="38"/>
      <c r="P2071" s="38"/>
      <c r="Q2071" s="760"/>
      <c r="R2071" s="590"/>
      <c r="S2071" s="38"/>
      <c r="T2071" s="38"/>
      <c r="U2071" s="38"/>
      <c r="V2071" s="37"/>
      <c r="W2071" s="39">
        <f>IF(AC2071="Intr",0,G2071*Definitions!$B$53)</f>
        <v>0</v>
      </c>
      <c r="X2071" s="39">
        <f>IF(AC2071="Intr",0,G2071*Definitions!$B$54)</f>
        <v>0</v>
      </c>
      <c r="Y2071" s="39">
        <f>IF(AC2071="Intr",G2071,G2071*Definitions!$B$55)</f>
        <v>0</v>
      </c>
      <c r="Z2071" s="39"/>
      <c r="AA2071" s="39"/>
      <c r="AB2071" s="39"/>
      <c r="AC2071" s="38"/>
      <c r="AD2071" s="38"/>
      <c r="AE2071" s="38"/>
      <c r="AF2071" s="38"/>
      <c r="AG2071" s="40"/>
      <c r="AH2071" s="38"/>
    </row>
    <row r="2072" spans="1:34" x14ac:dyDescent="0.2">
      <c r="A2072" s="38"/>
      <c r="B2072" s="38"/>
      <c r="C2072" s="38"/>
      <c r="D2072" s="38"/>
      <c r="E2072" s="177"/>
      <c r="F2072" s="177"/>
      <c r="G2072" s="269"/>
      <c r="H2072" s="179"/>
      <c r="I2072" s="177"/>
      <c r="J2072" s="177"/>
      <c r="K2072" s="177"/>
      <c r="L2072" s="177"/>
      <c r="M2072" s="177"/>
      <c r="N2072" s="70"/>
      <c r="O2072" s="38"/>
      <c r="P2072" s="38"/>
      <c r="Q2072" s="760"/>
      <c r="R2072" s="590"/>
      <c r="S2072" s="38"/>
      <c r="T2072" s="38"/>
      <c r="U2072" s="38"/>
      <c r="V2072" s="37"/>
      <c r="W2072" s="39">
        <f>IF(AC2072="Intr",0,G2072*Definitions!$B$53)</f>
        <v>0</v>
      </c>
      <c r="X2072" s="39">
        <f>IF(AC2072="Intr",0,G2072*Definitions!$B$54)</f>
        <v>0</v>
      </c>
      <c r="Y2072" s="39">
        <f>IF(AC2072="Intr",G2072,G2072*Definitions!$B$55)</f>
        <v>0</v>
      </c>
      <c r="Z2072" s="39"/>
      <c r="AA2072" s="39"/>
      <c r="AB2072" s="39"/>
      <c r="AC2072" s="38"/>
      <c r="AD2072" s="38"/>
      <c r="AE2072" s="38"/>
      <c r="AF2072" s="38"/>
      <c r="AG2072" s="40"/>
      <c r="AH2072" s="38"/>
    </row>
    <row r="2073" spans="1:34" x14ac:dyDescent="0.2">
      <c r="A2073" s="38"/>
      <c r="B2073" s="38"/>
      <c r="C2073" s="38"/>
      <c r="D2073" s="38"/>
      <c r="E2073" s="177"/>
      <c r="F2073" s="177"/>
      <c r="G2073" s="269"/>
      <c r="H2073" s="179"/>
      <c r="I2073" s="177"/>
      <c r="J2073" s="177"/>
      <c r="K2073" s="177"/>
      <c r="L2073" s="177"/>
      <c r="M2073" s="177"/>
      <c r="N2073" s="70"/>
      <c r="O2073" s="38"/>
      <c r="P2073" s="38"/>
      <c r="Q2073" s="760"/>
      <c r="R2073" s="590"/>
      <c r="S2073" s="38"/>
      <c r="T2073" s="38"/>
      <c r="U2073" s="38"/>
      <c r="V2073" s="37"/>
      <c r="W2073" s="39">
        <f>IF(AC2073="Intr",0,G2073*Definitions!$B$53)</f>
        <v>0</v>
      </c>
      <c r="X2073" s="39">
        <f>IF(AC2073="Intr",0,G2073*Definitions!$B$54)</f>
        <v>0</v>
      </c>
      <c r="Y2073" s="39">
        <f>IF(AC2073="Intr",G2073,G2073*Definitions!$B$55)</f>
        <v>0</v>
      </c>
      <c r="Z2073" s="39"/>
      <c r="AA2073" s="39"/>
      <c r="AB2073" s="39"/>
      <c r="AC2073" s="38"/>
      <c r="AD2073" s="38"/>
      <c r="AE2073" s="38"/>
      <c r="AF2073" s="38"/>
      <c r="AG2073" s="40"/>
      <c r="AH2073" s="38"/>
    </row>
    <row r="2074" spans="1:34" x14ac:dyDescent="0.2">
      <c r="A2074" s="38"/>
      <c r="B2074" s="38"/>
      <c r="C2074" s="38"/>
      <c r="D2074" s="38"/>
      <c r="E2074" s="177"/>
      <c r="F2074" s="177"/>
      <c r="G2074" s="269"/>
      <c r="H2074" s="179"/>
      <c r="I2074" s="177"/>
      <c r="J2074" s="177"/>
      <c r="K2074" s="177"/>
      <c r="L2074" s="177"/>
      <c r="M2074" s="177"/>
      <c r="N2074" s="70"/>
      <c r="O2074" s="38"/>
      <c r="P2074" s="38"/>
      <c r="Q2074" s="760"/>
      <c r="R2074" s="590"/>
      <c r="S2074" s="38"/>
      <c r="T2074" s="38"/>
      <c r="U2074" s="38"/>
      <c r="V2074" s="37"/>
      <c r="W2074" s="39">
        <f>IF(AC2074="Intr",0,G2074*Definitions!$B$53)</f>
        <v>0</v>
      </c>
      <c r="X2074" s="39">
        <f>IF(AC2074="Intr",0,G2074*Definitions!$B$54)</f>
        <v>0</v>
      </c>
      <c r="Y2074" s="39">
        <f>IF(AC2074="Intr",G2074,G2074*Definitions!$B$55)</f>
        <v>0</v>
      </c>
      <c r="Z2074" s="39"/>
      <c r="AA2074" s="39"/>
      <c r="AB2074" s="39"/>
      <c r="AC2074" s="38"/>
      <c r="AD2074" s="38"/>
      <c r="AE2074" s="38"/>
      <c r="AF2074" s="38"/>
      <c r="AG2074" s="40"/>
      <c r="AH2074" s="38"/>
    </row>
    <row r="2075" spans="1:34" x14ac:dyDescent="0.2">
      <c r="A2075" s="38"/>
      <c r="B2075" s="38"/>
      <c r="C2075" s="38"/>
      <c r="D2075" s="38"/>
      <c r="E2075" s="177"/>
      <c r="F2075" s="177"/>
      <c r="G2075" s="269"/>
      <c r="H2075" s="179"/>
      <c r="I2075" s="177"/>
      <c r="J2075" s="177"/>
      <c r="K2075" s="177"/>
      <c r="L2075" s="177"/>
      <c r="M2075" s="177"/>
      <c r="N2075" s="70"/>
      <c r="O2075" s="38"/>
      <c r="P2075" s="38"/>
      <c r="Q2075" s="760"/>
      <c r="R2075" s="590"/>
      <c r="S2075" s="38"/>
      <c r="T2075" s="38"/>
      <c r="U2075" s="38"/>
      <c r="V2075" s="37"/>
      <c r="W2075" s="39">
        <f>IF(AC2075="Intr",0,G2075*Definitions!$B$53)</f>
        <v>0</v>
      </c>
      <c r="X2075" s="39">
        <f>IF(AC2075="Intr",0,G2075*Definitions!$B$54)</f>
        <v>0</v>
      </c>
      <c r="Y2075" s="39">
        <f>IF(AC2075="Intr",G2075,G2075*Definitions!$B$55)</f>
        <v>0</v>
      </c>
      <c r="Z2075" s="39"/>
      <c r="AA2075" s="39"/>
      <c r="AB2075" s="39"/>
      <c r="AC2075" s="38"/>
      <c r="AD2075" s="38"/>
      <c r="AE2075" s="38"/>
      <c r="AF2075" s="38"/>
      <c r="AG2075" s="40"/>
      <c r="AH2075" s="38"/>
    </row>
    <row r="2076" spans="1:34" x14ac:dyDescent="0.2">
      <c r="A2076" s="38"/>
      <c r="B2076" s="38"/>
      <c r="C2076" s="38"/>
      <c r="D2076" s="38"/>
      <c r="E2076" s="177"/>
      <c r="F2076" s="177"/>
      <c r="G2076" s="269"/>
      <c r="H2076" s="179"/>
      <c r="I2076" s="177"/>
      <c r="J2076" s="177"/>
      <c r="K2076" s="177"/>
      <c r="L2076" s="177"/>
      <c r="M2076" s="177"/>
      <c r="N2076" s="70"/>
      <c r="O2076" s="38"/>
      <c r="P2076" s="38"/>
      <c r="Q2076" s="760"/>
      <c r="R2076" s="590"/>
      <c r="S2076" s="38"/>
      <c r="T2076" s="38"/>
      <c r="U2076" s="38"/>
      <c r="V2076" s="37"/>
      <c r="W2076" s="39">
        <f>IF(AC2076="Intr",0,G2076*Definitions!$B$53)</f>
        <v>0</v>
      </c>
      <c r="X2076" s="39">
        <f>IF(AC2076="Intr",0,G2076*Definitions!$B$54)</f>
        <v>0</v>
      </c>
      <c r="Y2076" s="39">
        <f>IF(AC2076="Intr",G2076,G2076*Definitions!$B$55)</f>
        <v>0</v>
      </c>
      <c r="Z2076" s="39"/>
      <c r="AA2076" s="39"/>
      <c r="AB2076" s="39"/>
      <c r="AC2076" s="38"/>
      <c r="AD2076" s="38"/>
      <c r="AE2076" s="38"/>
      <c r="AF2076" s="38"/>
      <c r="AG2076" s="40"/>
      <c r="AH2076" s="38"/>
    </row>
    <row r="2077" spans="1:34" x14ac:dyDescent="0.2">
      <c r="A2077" s="38"/>
      <c r="B2077" s="38"/>
      <c r="C2077" s="38"/>
      <c r="D2077" s="38"/>
      <c r="E2077" s="177"/>
      <c r="F2077" s="177"/>
      <c r="G2077" s="269"/>
      <c r="H2077" s="179"/>
      <c r="I2077" s="177"/>
      <c r="J2077" s="177"/>
      <c r="K2077" s="177"/>
      <c r="L2077" s="177"/>
      <c r="M2077" s="177"/>
      <c r="N2077" s="70"/>
      <c r="O2077" s="38"/>
      <c r="P2077" s="38"/>
      <c r="Q2077" s="760"/>
      <c r="R2077" s="590"/>
      <c r="S2077" s="38"/>
      <c r="T2077" s="38"/>
      <c r="U2077" s="38"/>
      <c r="V2077" s="37"/>
      <c r="W2077" s="39">
        <f>IF(AC2077="Intr",0,G2077*Definitions!$B$53)</f>
        <v>0</v>
      </c>
      <c r="X2077" s="39">
        <f>IF(AC2077="Intr",0,G2077*Definitions!$B$54)</f>
        <v>0</v>
      </c>
      <c r="Y2077" s="39">
        <f>IF(AC2077="Intr",G2077,G2077*Definitions!$B$55)</f>
        <v>0</v>
      </c>
      <c r="Z2077" s="39"/>
      <c r="AA2077" s="39"/>
      <c r="AB2077" s="39"/>
      <c r="AC2077" s="38"/>
      <c r="AD2077" s="38"/>
      <c r="AE2077" s="38"/>
      <c r="AF2077" s="38"/>
      <c r="AG2077" s="40"/>
      <c r="AH2077" s="38"/>
    </row>
    <row r="2078" spans="1:34" x14ac:dyDescent="0.2">
      <c r="A2078" s="38"/>
      <c r="B2078" s="38"/>
      <c r="C2078" s="38"/>
      <c r="D2078" s="38"/>
      <c r="E2078" s="177"/>
      <c r="F2078" s="177"/>
      <c r="G2078" s="269"/>
      <c r="H2078" s="179"/>
      <c r="I2078" s="177"/>
      <c r="J2078" s="177"/>
      <c r="K2078" s="177"/>
      <c r="L2078" s="177"/>
      <c r="M2078" s="177"/>
      <c r="N2078" s="70"/>
      <c r="O2078" s="38"/>
      <c r="P2078" s="38"/>
      <c r="Q2078" s="760"/>
      <c r="R2078" s="590"/>
      <c r="S2078" s="38"/>
      <c r="T2078" s="38"/>
      <c r="U2078" s="38"/>
      <c r="V2078" s="37"/>
      <c r="W2078" s="39">
        <f>IF(AC2078="Intr",0,G2078*Definitions!$B$53)</f>
        <v>0</v>
      </c>
      <c r="X2078" s="39">
        <f>IF(AC2078="Intr",0,G2078*Definitions!$B$54)</f>
        <v>0</v>
      </c>
      <c r="Y2078" s="39">
        <f>IF(AC2078="Intr",G2078,G2078*Definitions!$B$55)</f>
        <v>0</v>
      </c>
      <c r="Z2078" s="39"/>
      <c r="AA2078" s="39"/>
      <c r="AB2078" s="39"/>
      <c r="AC2078" s="38"/>
      <c r="AD2078" s="38"/>
      <c r="AE2078" s="38"/>
      <c r="AF2078" s="38"/>
      <c r="AG2078" s="40"/>
      <c r="AH2078" s="38"/>
    </row>
    <row r="2079" spans="1:34" x14ac:dyDescent="0.2">
      <c r="A2079" s="38"/>
      <c r="B2079" s="38"/>
      <c r="C2079" s="38"/>
      <c r="D2079" s="38"/>
      <c r="E2079" s="177"/>
      <c r="F2079" s="177"/>
      <c r="G2079" s="269"/>
      <c r="H2079" s="179"/>
      <c r="I2079" s="177"/>
      <c r="J2079" s="177"/>
      <c r="K2079" s="177"/>
      <c r="L2079" s="177"/>
      <c r="M2079" s="177"/>
      <c r="N2079" s="70"/>
      <c r="O2079" s="38"/>
      <c r="P2079" s="38"/>
      <c r="Q2079" s="760"/>
      <c r="R2079" s="590"/>
      <c r="S2079" s="38"/>
      <c r="T2079" s="38"/>
      <c r="U2079" s="38"/>
      <c r="V2079" s="37"/>
      <c r="W2079" s="39">
        <f>IF(AC2079="Intr",0,G2079*Definitions!$B$53)</f>
        <v>0</v>
      </c>
      <c r="X2079" s="39">
        <f>IF(AC2079="Intr",0,G2079*Definitions!$B$54)</f>
        <v>0</v>
      </c>
      <c r="Y2079" s="39">
        <f>IF(AC2079="Intr",G2079,G2079*Definitions!$B$55)</f>
        <v>0</v>
      </c>
      <c r="Z2079" s="39"/>
      <c r="AA2079" s="39"/>
      <c r="AB2079" s="39"/>
      <c r="AC2079" s="38"/>
      <c r="AD2079" s="38"/>
      <c r="AE2079" s="38"/>
      <c r="AF2079" s="38"/>
      <c r="AG2079" s="40"/>
      <c r="AH2079" s="38"/>
    </row>
    <row r="2080" spans="1:34" x14ac:dyDescent="0.2">
      <c r="A2080" s="38"/>
      <c r="B2080" s="38"/>
      <c r="C2080" s="38"/>
      <c r="D2080" s="38"/>
      <c r="E2080" s="177"/>
      <c r="F2080" s="177"/>
      <c r="G2080" s="269"/>
      <c r="H2080" s="179"/>
      <c r="I2080" s="177"/>
      <c r="J2080" s="177"/>
      <c r="K2080" s="177"/>
      <c r="L2080" s="177"/>
      <c r="M2080" s="177"/>
      <c r="N2080" s="70"/>
      <c r="O2080" s="38"/>
      <c r="P2080" s="38"/>
      <c r="Q2080" s="760"/>
      <c r="R2080" s="590"/>
      <c r="S2080" s="38"/>
      <c r="T2080" s="38"/>
      <c r="U2080" s="38"/>
      <c r="V2080" s="37"/>
      <c r="W2080" s="39">
        <f>IF(AC2080="Intr",0,G2080*Definitions!$B$53)</f>
        <v>0</v>
      </c>
      <c r="X2080" s="39">
        <f>IF(AC2080="Intr",0,G2080*Definitions!$B$54)</f>
        <v>0</v>
      </c>
      <c r="Y2080" s="39">
        <f>IF(AC2080="Intr",G2080,G2080*Definitions!$B$55)</f>
        <v>0</v>
      </c>
      <c r="Z2080" s="39"/>
      <c r="AA2080" s="39"/>
      <c r="AB2080" s="39"/>
      <c r="AC2080" s="38"/>
      <c r="AD2080" s="38"/>
      <c r="AE2080" s="38"/>
      <c r="AF2080" s="38"/>
      <c r="AG2080" s="40"/>
      <c r="AH2080" s="38"/>
    </row>
    <row r="2081" spans="1:34" x14ac:dyDescent="0.2">
      <c r="A2081" s="38"/>
      <c r="B2081" s="38"/>
      <c r="C2081" s="38"/>
      <c r="D2081" s="38"/>
      <c r="E2081" s="177"/>
      <c r="F2081" s="177"/>
      <c r="G2081" s="269"/>
      <c r="H2081" s="179"/>
      <c r="I2081" s="177"/>
      <c r="J2081" s="177"/>
      <c r="K2081" s="177"/>
      <c r="L2081" s="177"/>
      <c r="M2081" s="177"/>
      <c r="N2081" s="70"/>
      <c r="O2081" s="38"/>
      <c r="P2081" s="38"/>
      <c r="Q2081" s="760"/>
      <c r="R2081" s="590"/>
      <c r="S2081" s="38"/>
      <c r="T2081" s="38"/>
      <c r="U2081" s="38"/>
      <c r="V2081" s="37"/>
      <c r="W2081" s="39">
        <f>IF(AC2081="Intr",0,G2081*Definitions!$B$53)</f>
        <v>0</v>
      </c>
      <c r="X2081" s="39">
        <f>IF(AC2081="Intr",0,G2081*Definitions!$B$54)</f>
        <v>0</v>
      </c>
      <c r="Y2081" s="39">
        <f>IF(AC2081="Intr",G2081,G2081*Definitions!$B$55)</f>
        <v>0</v>
      </c>
      <c r="Z2081" s="39"/>
      <c r="AA2081" s="39"/>
      <c r="AB2081" s="39"/>
      <c r="AC2081" s="38"/>
      <c r="AD2081" s="38"/>
      <c r="AE2081" s="38"/>
      <c r="AF2081" s="38"/>
      <c r="AG2081" s="40"/>
      <c r="AH2081" s="38"/>
    </row>
    <row r="2082" spans="1:34" x14ac:dyDescent="0.2">
      <c r="A2082" s="38"/>
      <c r="B2082" s="38"/>
      <c r="C2082" s="38"/>
      <c r="D2082" s="38"/>
      <c r="E2082" s="177"/>
      <c r="F2082" s="177"/>
      <c r="G2082" s="269"/>
      <c r="H2082" s="179"/>
      <c r="I2082" s="177"/>
      <c r="J2082" s="177"/>
      <c r="K2082" s="177"/>
      <c r="L2082" s="177"/>
      <c r="M2082" s="177"/>
      <c r="N2082" s="70"/>
      <c r="O2082" s="38"/>
      <c r="P2082" s="38"/>
      <c r="Q2082" s="760"/>
      <c r="R2082" s="590"/>
      <c r="S2082" s="38"/>
      <c r="T2082" s="38"/>
      <c r="U2082" s="38"/>
      <c r="V2082" s="37"/>
      <c r="W2082" s="39">
        <f>IF(AC2082="Intr",0,G2082*Definitions!$B$53)</f>
        <v>0</v>
      </c>
      <c r="X2082" s="39">
        <f>IF(AC2082="Intr",0,G2082*Definitions!$B$54)</f>
        <v>0</v>
      </c>
      <c r="Y2082" s="39">
        <f>IF(AC2082="Intr",G2082,G2082*Definitions!$B$55)</f>
        <v>0</v>
      </c>
      <c r="Z2082" s="39"/>
      <c r="AA2082" s="39"/>
      <c r="AB2082" s="39"/>
      <c r="AC2082" s="38"/>
      <c r="AD2082" s="38"/>
      <c r="AE2082" s="38"/>
      <c r="AF2082" s="38"/>
      <c r="AG2082" s="40"/>
      <c r="AH2082" s="38"/>
    </row>
    <row r="2083" spans="1:34" x14ac:dyDescent="0.2">
      <c r="A2083" s="38"/>
      <c r="B2083" s="38"/>
      <c r="C2083" s="38"/>
      <c r="D2083" s="38"/>
      <c r="E2083" s="177"/>
      <c r="F2083" s="177"/>
      <c r="G2083" s="269"/>
      <c r="H2083" s="179"/>
      <c r="I2083" s="177"/>
      <c r="J2083" s="177"/>
      <c r="K2083" s="177"/>
      <c r="L2083" s="177"/>
      <c r="M2083" s="177"/>
      <c r="N2083" s="70"/>
      <c r="O2083" s="38"/>
      <c r="P2083" s="38"/>
      <c r="Q2083" s="760"/>
      <c r="R2083" s="590"/>
      <c r="S2083" s="38"/>
      <c r="T2083" s="38"/>
      <c r="U2083" s="38"/>
      <c r="V2083" s="37"/>
      <c r="W2083" s="39">
        <f>IF(AC2083="Intr",0,G2083*Definitions!$B$53)</f>
        <v>0</v>
      </c>
      <c r="X2083" s="39">
        <f>IF(AC2083="Intr",0,G2083*Definitions!$B$54)</f>
        <v>0</v>
      </c>
      <c r="Y2083" s="39">
        <f>IF(AC2083="Intr",G2083,G2083*Definitions!$B$55)</f>
        <v>0</v>
      </c>
      <c r="Z2083" s="39"/>
      <c r="AA2083" s="39"/>
      <c r="AB2083" s="39"/>
      <c r="AC2083" s="38"/>
      <c r="AD2083" s="38"/>
      <c r="AE2083" s="38"/>
      <c r="AF2083" s="38"/>
      <c r="AG2083" s="40"/>
      <c r="AH2083" s="38"/>
    </row>
    <row r="2084" spans="1:34" x14ac:dyDescent="0.2">
      <c r="A2084" s="38"/>
      <c r="B2084" s="38"/>
      <c r="C2084" s="38"/>
      <c r="D2084" s="38"/>
      <c r="E2084" s="177"/>
      <c r="F2084" s="177"/>
      <c r="G2084" s="269"/>
      <c r="H2084" s="179"/>
      <c r="I2084" s="177"/>
      <c r="J2084" s="177"/>
      <c r="K2084" s="177"/>
      <c r="L2084" s="177"/>
      <c r="M2084" s="177"/>
      <c r="N2084" s="70"/>
      <c r="O2084" s="38"/>
      <c r="P2084" s="38"/>
      <c r="Q2084" s="760"/>
      <c r="R2084" s="590"/>
      <c r="S2084" s="38"/>
      <c r="T2084" s="38"/>
      <c r="U2084" s="38"/>
      <c r="V2084" s="37"/>
      <c r="W2084" s="39">
        <f>IF(AC2084="Intr",0,G2084*Definitions!$B$53)</f>
        <v>0</v>
      </c>
      <c r="X2084" s="39">
        <f>IF(AC2084="Intr",0,G2084*Definitions!$B$54)</f>
        <v>0</v>
      </c>
      <c r="Y2084" s="39">
        <f>IF(AC2084="Intr",G2084,G2084*Definitions!$B$55)</f>
        <v>0</v>
      </c>
      <c r="Z2084" s="39"/>
      <c r="AA2084" s="39"/>
      <c r="AB2084" s="39"/>
      <c r="AC2084" s="38"/>
      <c r="AD2084" s="38"/>
      <c r="AE2084" s="38"/>
      <c r="AF2084" s="38"/>
      <c r="AG2084" s="40"/>
      <c r="AH2084" s="38"/>
    </row>
    <row r="2085" spans="1:34" x14ac:dyDescent="0.2">
      <c r="A2085" s="38"/>
      <c r="B2085" s="38"/>
      <c r="C2085" s="38"/>
      <c r="D2085" s="38"/>
      <c r="E2085" s="177"/>
      <c r="F2085" s="177"/>
      <c r="G2085" s="269"/>
      <c r="H2085" s="179"/>
      <c r="I2085" s="177"/>
      <c r="J2085" s="177"/>
      <c r="K2085" s="177"/>
      <c r="L2085" s="177"/>
      <c r="M2085" s="177"/>
      <c r="N2085" s="70"/>
      <c r="O2085" s="38"/>
      <c r="P2085" s="38"/>
      <c r="Q2085" s="760"/>
      <c r="R2085" s="590"/>
      <c r="S2085" s="38"/>
      <c r="T2085" s="38"/>
      <c r="U2085" s="38"/>
      <c r="V2085" s="37"/>
      <c r="W2085" s="39">
        <f>IF(AC2085="Intr",0,G2085*Definitions!$B$53)</f>
        <v>0</v>
      </c>
      <c r="X2085" s="39">
        <f>IF(AC2085="Intr",0,G2085*Definitions!$B$54)</f>
        <v>0</v>
      </c>
      <c r="Y2085" s="39">
        <f>IF(AC2085="Intr",G2085,G2085*Definitions!$B$55)</f>
        <v>0</v>
      </c>
      <c r="Z2085" s="39"/>
      <c r="AA2085" s="39"/>
      <c r="AB2085" s="39"/>
      <c r="AC2085" s="38"/>
      <c r="AD2085" s="38"/>
      <c r="AE2085" s="38"/>
      <c r="AF2085" s="38"/>
      <c r="AG2085" s="40"/>
      <c r="AH2085" s="38"/>
    </row>
    <row r="2086" spans="1:34" x14ac:dyDescent="0.2">
      <c r="A2086" s="38"/>
      <c r="B2086" s="38"/>
      <c r="C2086" s="38"/>
      <c r="D2086" s="38"/>
      <c r="E2086" s="177"/>
      <c r="F2086" s="177"/>
      <c r="G2086" s="269"/>
      <c r="H2086" s="179"/>
      <c r="I2086" s="177"/>
      <c r="J2086" s="177"/>
      <c r="K2086" s="177"/>
      <c r="L2086" s="177"/>
      <c r="M2086" s="177"/>
      <c r="N2086" s="70"/>
      <c r="O2086" s="38"/>
      <c r="P2086" s="38"/>
      <c r="Q2086" s="760"/>
      <c r="R2086" s="590"/>
      <c r="S2086" s="38"/>
      <c r="T2086" s="38"/>
      <c r="U2086" s="38"/>
      <c r="V2086" s="37"/>
      <c r="W2086" s="39">
        <f>IF(AC2086="Intr",0,G2086*Definitions!$B$53)</f>
        <v>0</v>
      </c>
      <c r="X2086" s="39">
        <f>IF(AC2086="Intr",0,G2086*Definitions!$B$54)</f>
        <v>0</v>
      </c>
      <c r="Y2086" s="39">
        <f>IF(AC2086="Intr",G2086,G2086*Definitions!$B$55)</f>
        <v>0</v>
      </c>
      <c r="Z2086" s="39"/>
      <c r="AA2086" s="39"/>
      <c r="AB2086" s="39"/>
      <c r="AC2086" s="38"/>
      <c r="AD2086" s="38"/>
      <c r="AE2086" s="38"/>
      <c r="AF2086" s="38"/>
      <c r="AG2086" s="40"/>
      <c r="AH2086" s="38"/>
    </row>
    <row r="2087" spans="1:34" x14ac:dyDescent="0.2">
      <c r="A2087" s="38"/>
      <c r="B2087" s="38"/>
      <c r="C2087" s="38"/>
      <c r="D2087" s="38"/>
      <c r="E2087" s="177"/>
      <c r="F2087" s="177"/>
      <c r="G2087" s="269"/>
      <c r="H2087" s="179"/>
      <c r="I2087" s="177"/>
      <c r="J2087" s="177"/>
      <c r="K2087" s="177"/>
      <c r="L2087" s="177"/>
      <c r="M2087" s="177"/>
      <c r="N2087" s="70"/>
      <c r="O2087" s="38"/>
      <c r="P2087" s="38"/>
      <c r="Q2087" s="760"/>
      <c r="R2087" s="590"/>
      <c r="S2087" s="38"/>
      <c r="T2087" s="38"/>
      <c r="U2087" s="38"/>
      <c r="V2087" s="37"/>
      <c r="W2087" s="39">
        <f>IF(AC2087="Intr",0,G2087*Definitions!$B$53)</f>
        <v>0</v>
      </c>
      <c r="X2087" s="39">
        <f>IF(AC2087="Intr",0,G2087*Definitions!$B$54)</f>
        <v>0</v>
      </c>
      <c r="Y2087" s="39">
        <f>IF(AC2087="Intr",G2087,G2087*Definitions!$B$55)</f>
        <v>0</v>
      </c>
      <c r="Z2087" s="39"/>
      <c r="AA2087" s="39"/>
      <c r="AB2087" s="39"/>
      <c r="AC2087" s="38"/>
      <c r="AD2087" s="38"/>
      <c r="AE2087" s="38"/>
      <c r="AF2087" s="38"/>
      <c r="AG2087" s="40"/>
      <c r="AH2087" s="38"/>
    </row>
    <row r="2088" spans="1:34" x14ac:dyDescent="0.2">
      <c r="A2088" s="38"/>
      <c r="B2088" s="38"/>
      <c r="C2088" s="38"/>
      <c r="D2088" s="38"/>
      <c r="E2088" s="177"/>
      <c r="F2088" s="177"/>
      <c r="G2088" s="269"/>
      <c r="H2088" s="179"/>
      <c r="I2088" s="177"/>
      <c r="J2088" s="177"/>
      <c r="K2088" s="177"/>
      <c r="L2088" s="177"/>
      <c r="M2088" s="177"/>
      <c r="N2088" s="70"/>
      <c r="O2088" s="38"/>
      <c r="P2088" s="38"/>
      <c r="Q2088" s="760"/>
      <c r="R2088" s="590"/>
      <c r="S2088" s="38"/>
      <c r="T2088" s="38"/>
      <c r="U2088" s="38"/>
      <c r="V2088" s="37"/>
      <c r="W2088" s="39">
        <f>IF(AC2088="Intr",0,G2088*Definitions!$B$53)</f>
        <v>0</v>
      </c>
      <c r="X2088" s="39">
        <f>IF(AC2088="Intr",0,G2088*Definitions!$B$54)</f>
        <v>0</v>
      </c>
      <c r="Y2088" s="39">
        <f>IF(AC2088="Intr",G2088,G2088*Definitions!$B$55)</f>
        <v>0</v>
      </c>
      <c r="Z2088" s="39"/>
      <c r="AA2088" s="39"/>
      <c r="AB2088" s="39"/>
      <c r="AC2088" s="38"/>
      <c r="AD2088" s="38"/>
      <c r="AE2088" s="38"/>
      <c r="AF2088" s="38"/>
      <c r="AG2088" s="40"/>
      <c r="AH2088" s="38"/>
    </row>
    <row r="2089" spans="1:34" x14ac:dyDescent="0.2">
      <c r="A2089" s="38"/>
      <c r="B2089" s="38"/>
      <c r="C2089" s="38"/>
      <c r="D2089" s="38"/>
      <c r="E2089" s="177"/>
      <c r="F2089" s="177"/>
      <c r="G2089" s="269"/>
      <c r="H2089" s="179"/>
      <c r="I2089" s="177"/>
      <c r="J2089" s="177"/>
      <c r="K2089" s="177"/>
      <c r="L2089" s="177"/>
      <c r="M2089" s="177"/>
      <c r="N2089" s="70"/>
      <c r="O2089" s="38"/>
      <c r="P2089" s="38"/>
      <c r="Q2089" s="760"/>
      <c r="R2089" s="590"/>
      <c r="S2089" s="38"/>
      <c r="T2089" s="38"/>
      <c r="U2089" s="38"/>
      <c r="V2089" s="37"/>
      <c r="W2089" s="39">
        <f>IF(AC2089="Intr",0,G2089*Definitions!$B$53)</f>
        <v>0</v>
      </c>
      <c r="X2089" s="39">
        <f>IF(AC2089="Intr",0,G2089*Definitions!$B$54)</f>
        <v>0</v>
      </c>
      <c r="Y2089" s="39">
        <f>IF(AC2089="Intr",G2089,G2089*Definitions!$B$55)</f>
        <v>0</v>
      </c>
      <c r="Z2089" s="39"/>
      <c r="AA2089" s="39"/>
      <c r="AB2089" s="39"/>
      <c r="AC2089" s="38"/>
      <c r="AD2089" s="38"/>
      <c r="AE2089" s="38"/>
      <c r="AF2089" s="38"/>
      <c r="AG2089" s="40"/>
      <c r="AH2089" s="38"/>
    </row>
    <row r="2090" spans="1:34" x14ac:dyDescent="0.2">
      <c r="A2090" s="38"/>
      <c r="B2090" s="38"/>
      <c r="C2090" s="38"/>
      <c r="D2090" s="38"/>
      <c r="E2090" s="177"/>
      <c r="F2090" s="177"/>
      <c r="G2090" s="269"/>
      <c r="H2090" s="179"/>
      <c r="I2090" s="177"/>
      <c r="J2090" s="177"/>
      <c r="K2090" s="177"/>
      <c r="L2090" s="177"/>
      <c r="M2090" s="177"/>
      <c r="N2090" s="70"/>
      <c r="O2090" s="38"/>
      <c r="P2090" s="38"/>
      <c r="Q2090" s="760"/>
      <c r="R2090" s="590"/>
      <c r="S2090" s="38"/>
      <c r="T2090" s="38"/>
      <c r="U2090" s="38"/>
      <c r="V2090" s="37"/>
      <c r="W2090" s="39">
        <f>IF(AC2090="Intr",0,G2090*Definitions!$B$53)</f>
        <v>0</v>
      </c>
      <c r="X2090" s="39">
        <f>IF(AC2090="Intr",0,G2090*Definitions!$B$54)</f>
        <v>0</v>
      </c>
      <c r="Y2090" s="39">
        <f>IF(AC2090="Intr",G2090,G2090*Definitions!$B$55)</f>
        <v>0</v>
      </c>
      <c r="Z2090" s="39"/>
      <c r="AA2090" s="39"/>
      <c r="AB2090" s="39"/>
      <c r="AC2090" s="38"/>
      <c r="AD2090" s="38"/>
      <c r="AE2090" s="38"/>
      <c r="AF2090" s="38"/>
      <c r="AG2090" s="40"/>
      <c r="AH2090" s="38"/>
    </row>
    <row r="2091" spans="1:34" x14ac:dyDescent="0.2">
      <c r="A2091" s="38"/>
      <c r="B2091" s="38"/>
      <c r="C2091" s="38"/>
      <c r="D2091" s="38"/>
      <c r="E2091" s="177"/>
      <c r="F2091" s="177"/>
      <c r="G2091" s="269"/>
      <c r="H2091" s="179"/>
      <c r="I2091" s="177"/>
      <c r="J2091" s="177"/>
      <c r="K2091" s="177"/>
      <c r="L2091" s="177"/>
      <c r="M2091" s="177"/>
      <c r="N2091" s="70"/>
      <c r="O2091" s="38"/>
      <c r="P2091" s="38"/>
      <c r="Q2091" s="760"/>
      <c r="R2091" s="590"/>
      <c r="S2091" s="38"/>
      <c r="T2091" s="38"/>
      <c r="U2091" s="38"/>
      <c r="V2091" s="37"/>
      <c r="W2091" s="39">
        <f>IF(AC2091="Intr",0,G2091*Definitions!$B$53)</f>
        <v>0</v>
      </c>
      <c r="X2091" s="39">
        <f>IF(AC2091="Intr",0,G2091*Definitions!$B$54)</f>
        <v>0</v>
      </c>
      <c r="Y2091" s="39">
        <f>IF(AC2091="Intr",G2091,G2091*Definitions!$B$55)</f>
        <v>0</v>
      </c>
      <c r="Z2091" s="39"/>
      <c r="AA2091" s="39"/>
      <c r="AB2091" s="39"/>
      <c r="AC2091" s="38"/>
      <c r="AD2091" s="38"/>
      <c r="AE2091" s="38"/>
      <c r="AF2091" s="38"/>
      <c r="AG2091" s="40"/>
      <c r="AH2091" s="38"/>
    </row>
    <row r="2092" spans="1:34" x14ac:dyDescent="0.2">
      <c r="A2092" s="38"/>
      <c r="B2092" s="38"/>
      <c r="C2092" s="38"/>
      <c r="D2092" s="38"/>
      <c r="E2092" s="177"/>
      <c r="F2092" s="177"/>
      <c r="G2092" s="269"/>
      <c r="H2092" s="179"/>
      <c r="I2092" s="177"/>
      <c r="J2092" s="177"/>
      <c r="K2092" s="177"/>
      <c r="L2092" s="177"/>
      <c r="M2092" s="177"/>
      <c r="N2092" s="70"/>
      <c r="O2092" s="38"/>
      <c r="P2092" s="38"/>
      <c r="Q2092" s="760"/>
      <c r="R2092" s="590"/>
      <c r="S2092" s="38"/>
      <c r="T2092" s="38"/>
      <c r="U2092" s="38"/>
      <c r="V2092" s="37"/>
      <c r="W2092" s="39">
        <f>IF(AC2092="Intr",0,G2092*Definitions!$B$53)</f>
        <v>0</v>
      </c>
      <c r="X2092" s="39">
        <f>IF(AC2092="Intr",0,G2092*Definitions!$B$54)</f>
        <v>0</v>
      </c>
      <c r="Y2092" s="39">
        <f>IF(AC2092="Intr",G2092,G2092*Definitions!$B$55)</f>
        <v>0</v>
      </c>
      <c r="Z2092" s="39"/>
      <c r="AA2092" s="39"/>
      <c r="AB2092" s="39"/>
      <c r="AC2092" s="38"/>
      <c r="AD2092" s="38"/>
      <c r="AE2092" s="38"/>
      <c r="AF2092" s="38"/>
      <c r="AG2092" s="40"/>
      <c r="AH2092" s="38"/>
    </row>
    <row r="2093" spans="1:34" x14ac:dyDescent="0.2">
      <c r="A2093" s="38"/>
      <c r="B2093" s="38"/>
      <c r="C2093" s="38"/>
      <c r="D2093" s="38"/>
      <c r="E2093" s="177"/>
      <c r="F2093" s="177"/>
      <c r="G2093" s="269"/>
      <c r="H2093" s="179"/>
      <c r="I2093" s="177"/>
      <c r="J2093" s="177"/>
      <c r="K2093" s="177"/>
      <c r="L2093" s="177"/>
      <c r="M2093" s="177"/>
      <c r="N2093" s="70"/>
      <c r="O2093" s="38"/>
      <c r="P2093" s="38"/>
      <c r="Q2093" s="760"/>
      <c r="R2093" s="590"/>
      <c r="S2093" s="38"/>
      <c r="T2093" s="38"/>
      <c r="U2093" s="38"/>
      <c r="V2093" s="37"/>
      <c r="W2093" s="39">
        <f>IF(AC2093="Intr",0,G2093*Definitions!$B$53)</f>
        <v>0</v>
      </c>
      <c r="X2093" s="39">
        <f>IF(AC2093="Intr",0,G2093*Definitions!$B$54)</f>
        <v>0</v>
      </c>
      <c r="Y2093" s="39">
        <f>IF(AC2093="Intr",G2093,G2093*Definitions!$B$55)</f>
        <v>0</v>
      </c>
      <c r="Z2093" s="39"/>
      <c r="AA2093" s="39"/>
      <c r="AB2093" s="39"/>
      <c r="AC2093" s="38"/>
      <c r="AD2093" s="38"/>
      <c r="AE2093" s="38"/>
      <c r="AF2093" s="38"/>
      <c r="AG2093" s="40"/>
      <c r="AH2093" s="38"/>
    </row>
    <row r="2094" spans="1:34" x14ac:dyDescent="0.2">
      <c r="A2094" s="38"/>
      <c r="B2094" s="38"/>
      <c r="C2094" s="38"/>
      <c r="D2094" s="38"/>
      <c r="E2094" s="177"/>
      <c r="F2094" s="177"/>
      <c r="G2094" s="269"/>
      <c r="H2094" s="179"/>
      <c r="I2094" s="177"/>
      <c r="J2094" s="177"/>
      <c r="K2094" s="177"/>
      <c r="L2094" s="177"/>
      <c r="M2094" s="177"/>
      <c r="N2094" s="70"/>
      <c r="O2094" s="38"/>
      <c r="P2094" s="38"/>
      <c r="Q2094" s="760"/>
      <c r="R2094" s="590"/>
      <c r="S2094" s="38"/>
      <c r="T2094" s="38"/>
      <c r="U2094" s="38"/>
      <c r="V2094" s="37"/>
      <c r="W2094" s="39">
        <f>IF(AC2094="Intr",0,G2094*Definitions!$B$53)</f>
        <v>0</v>
      </c>
      <c r="X2094" s="39">
        <f>IF(AC2094="Intr",0,G2094*Definitions!$B$54)</f>
        <v>0</v>
      </c>
      <c r="Y2094" s="39">
        <f>IF(AC2094="Intr",G2094,G2094*Definitions!$B$55)</f>
        <v>0</v>
      </c>
      <c r="Z2094" s="39"/>
      <c r="AA2094" s="39"/>
      <c r="AB2094" s="39"/>
      <c r="AC2094" s="38"/>
      <c r="AD2094" s="38"/>
      <c r="AE2094" s="38"/>
      <c r="AF2094" s="38"/>
      <c r="AG2094" s="40"/>
      <c r="AH2094" s="38"/>
    </row>
    <row r="2095" spans="1:34" x14ac:dyDescent="0.2">
      <c r="A2095" s="38"/>
      <c r="B2095" s="38"/>
      <c r="C2095" s="38"/>
      <c r="D2095" s="38"/>
      <c r="E2095" s="177"/>
      <c r="F2095" s="177"/>
      <c r="G2095" s="269"/>
      <c r="H2095" s="179"/>
      <c r="I2095" s="177"/>
      <c r="J2095" s="177"/>
      <c r="K2095" s="177"/>
      <c r="L2095" s="177"/>
      <c r="M2095" s="177"/>
      <c r="N2095" s="70"/>
      <c r="O2095" s="38"/>
      <c r="P2095" s="38"/>
      <c r="Q2095" s="760"/>
      <c r="R2095" s="590"/>
      <c r="S2095" s="38"/>
      <c r="T2095" s="38"/>
      <c r="U2095" s="38"/>
      <c r="V2095" s="37"/>
      <c r="W2095" s="39">
        <f>IF(AC2095="Intr",0,G2095*Definitions!$B$53)</f>
        <v>0</v>
      </c>
      <c r="X2095" s="39">
        <f>IF(AC2095="Intr",0,G2095*Definitions!$B$54)</f>
        <v>0</v>
      </c>
      <c r="Y2095" s="39">
        <f>IF(AC2095="Intr",G2095,G2095*Definitions!$B$55)</f>
        <v>0</v>
      </c>
      <c r="Z2095" s="39"/>
      <c r="AA2095" s="39"/>
      <c r="AB2095" s="39"/>
      <c r="AC2095" s="38"/>
      <c r="AD2095" s="38"/>
      <c r="AE2095" s="38"/>
      <c r="AF2095" s="38"/>
      <c r="AG2095" s="40"/>
      <c r="AH2095" s="38"/>
    </row>
    <row r="2096" spans="1:34" x14ac:dyDescent="0.2">
      <c r="A2096" s="38"/>
      <c r="B2096" s="38"/>
      <c r="C2096" s="38"/>
      <c r="D2096" s="38"/>
      <c r="E2096" s="177"/>
      <c r="F2096" s="177"/>
      <c r="G2096" s="269"/>
      <c r="H2096" s="179"/>
      <c r="I2096" s="177"/>
      <c r="J2096" s="177"/>
      <c r="K2096" s="177"/>
      <c r="L2096" s="177"/>
      <c r="M2096" s="177"/>
      <c r="N2096" s="70"/>
      <c r="O2096" s="38"/>
      <c r="P2096" s="38"/>
      <c r="Q2096" s="760"/>
      <c r="R2096" s="590"/>
      <c r="S2096" s="38"/>
      <c r="T2096" s="38"/>
      <c r="U2096" s="38"/>
      <c r="V2096" s="37"/>
      <c r="W2096" s="39">
        <f>IF(AC2096="Intr",0,G2096*Definitions!$B$53)</f>
        <v>0</v>
      </c>
      <c r="X2096" s="39">
        <f>IF(AC2096="Intr",0,G2096*Definitions!$B$54)</f>
        <v>0</v>
      </c>
      <c r="Y2096" s="39">
        <f>IF(AC2096="Intr",G2096,G2096*Definitions!$B$55)</f>
        <v>0</v>
      </c>
      <c r="Z2096" s="39"/>
      <c r="AA2096" s="39"/>
      <c r="AB2096" s="39"/>
      <c r="AC2096" s="38"/>
      <c r="AD2096" s="38"/>
      <c r="AE2096" s="38"/>
      <c r="AF2096" s="38"/>
      <c r="AG2096" s="40"/>
      <c r="AH2096" s="38"/>
    </row>
    <row r="2097" spans="1:34" x14ac:dyDescent="0.2">
      <c r="A2097" s="38"/>
      <c r="B2097" s="38"/>
      <c r="C2097" s="38"/>
      <c r="D2097" s="38"/>
      <c r="E2097" s="177"/>
      <c r="F2097" s="177"/>
      <c r="G2097" s="269"/>
      <c r="H2097" s="179"/>
      <c r="I2097" s="177"/>
      <c r="J2097" s="177"/>
      <c r="K2097" s="177"/>
      <c r="L2097" s="177"/>
      <c r="M2097" s="177"/>
      <c r="N2097" s="70"/>
      <c r="O2097" s="38"/>
      <c r="P2097" s="38"/>
      <c r="Q2097" s="760"/>
      <c r="R2097" s="590"/>
      <c r="S2097" s="38"/>
      <c r="T2097" s="38"/>
      <c r="U2097" s="38"/>
      <c r="V2097" s="37"/>
      <c r="W2097" s="39">
        <f>IF(AC2097="Intr",0,G2097*Definitions!$B$53)</f>
        <v>0</v>
      </c>
      <c r="X2097" s="39">
        <f>IF(AC2097="Intr",0,G2097*Definitions!$B$54)</f>
        <v>0</v>
      </c>
      <c r="Y2097" s="39">
        <f>IF(AC2097="Intr",G2097,G2097*Definitions!$B$55)</f>
        <v>0</v>
      </c>
      <c r="Z2097" s="39"/>
      <c r="AA2097" s="39"/>
      <c r="AB2097" s="39"/>
      <c r="AC2097" s="38"/>
      <c r="AD2097" s="38"/>
      <c r="AE2097" s="38"/>
      <c r="AF2097" s="38"/>
      <c r="AG2097" s="40"/>
      <c r="AH2097" s="38"/>
    </row>
    <row r="2098" spans="1:34" x14ac:dyDescent="0.2">
      <c r="A2098" s="38"/>
      <c r="B2098" s="38"/>
      <c r="C2098" s="38"/>
      <c r="D2098" s="38"/>
      <c r="E2098" s="177"/>
      <c r="F2098" s="177"/>
      <c r="G2098" s="269"/>
      <c r="H2098" s="179"/>
      <c r="I2098" s="177"/>
      <c r="J2098" s="177"/>
      <c r="K2098" s="177"/>
      <c r="L2098" s="177"/>
      <c r="M2098" s="177"/>
      <c r="N2098" s="70"/>
      <c r="O2098" s="38"/>
      <c r="P2098" s="38"/>
      <c r="Q2098" s="760"/>
      <c r="R2098" s="590"/>
      <c r="S2098" s="38"/>
      <c r="T2098" s="38"/>
      <c r="U2098" s="38"/>
      <c r="V2098" s="37"/>
      <c r="W2098" s="39">
        <f>IF(AC2098="Intr",0,G2098*Definitions!$B$53)</f>
        <v>0</v>
      </c>
      <c r="X2098" s="39">
        <f>IF(AC2098="Intr",0,G2098*Definitions!$B$54)</f>
        <v>0</v>
      </c>
      <c r="Y2098" s="39">
        <f>IF(AC2098="Intr",G2098,G2098*Definitions!$B$55)</f>
        <v>0</v>
      </c>
      <c r="Z2098" s="39"/>
      <c r="AA2098" s="39"/>
      <c r="AB2098" s="39"/>
      <c r="AC2098" s="38"/>
      <c r="AD2098" s="38"/>
      <c r="AE2098" s="38"/>
      <c r="AF2098" s="38"/>
      <c r="AG2098" s="40"/>
      <c r="AH2098" s="38"/>
    </row>
    <row r="2099" spans="1:34" x14ac:dyDescent="0.2">
      <c r="A2099" s="38"/>
      <c r="B2099" s="38"/>
      <c r="C2099" s="38"/>
      <c r="D2099" s="38"/>
      <c r="E2099" s="177"/>
      <c r="F2099" s="177"/>
      <c r="G2099" s="269"/>
      <c r="H2099" s="179"/>
      <c r="I2099" s="177"/>
      <c r="J2099" s="177"/>
      <c r="K2099" s="177"/>
      <c r="L2099" s="177"/>
      <c r="M2099" s="177"/>
      <c r="N2099" s="70"/>
      <c r="O2099" s="38"/>
      <c r="P2099" s="38"/>
      <c r="Q2099" s="760"/>
      <c r="R2099" s="590"/>
      <c r="S2099" s="38"/>
      <c r="T2099" s="38"/>
      <c r="U2099" s="38"/>
      <c r="V2099" s="37"/>
      <c r="W2099" s="39">
        <f>IF(AC2099="Intr",0,G2099*Definitions!$B$53)</f>
        <v>0</v>
      </c>
      <c r="X2099" s="39">
        <f>IF(AC2099="Intr",0,G2099*Definitions!$B$54)</f>
        <v>0</v>
      </c>
      <c r="Y2099" s="39">
        <f>IF(AC2099="Intr",G2099,G2099*Definitions!$B$55)</f>
        <v>0</v>
      </c>
      <c r="Z2099" s="39"/>
      <c r="AA2099" s="39"/>
      <c r="AB2099" s="39"/>
      <c r="AC2099" s="38"/>
      <c r="AD2099" s="38"/>
      <c r="AE2099" s="38"/>
      <c r="AF2099" s="38"/>
      <c r="AG2099" s="40"/>
      <c r="AH2099" s="38"/>
    </row>
    <row r="2100" spans="1:34" x14ac:dyDescent="0.2">
      <c r="A2100" s="38"/>
      <c r="B2100" s="38"/>
      <c r="C2100" s="38"/>
      <c r="D2100" s="38"/>
      <c r="E2100" s="177"/>
      <c r="F2100" s="177"/>
      <c r="G2100" s="269"/>
      <c r="H2100" s="179"/>
      <c r="I2100" s="177"/>
      <c r="J2100" s="177"/>
      <c r="K2100" s="177"/>
      <c r="L2100" s="177"/>
      <c r="M2100" s="177"/>
      <c r="N2100" s="70"/>
      <c r="O2100" s="38"/>
      <c r="P2100" s="38"/>
      <c r="Q2100" s="760"/>
      <c r="R2100" s="590"/>
      <c r="S2100" s="38"/>
      <c r="T2100" s="38"/>
      <c r="U2100" s="38"/>
      <c r="V2100" s="37"/>
      <c r="W2100" s="39">
        <f>IF(AC2100="Intr",0,G2100*Definitions!$B$53)</f>
        <v>0</v>
      </c>
      <c r="X2100" s="39">
        <f>IF(AC2100="Intr",0,G2100*Definitions!$B$54)</f>
        <v>0</v>
      </c>
      <c r="Y2100" s="39">
        <f>IF(AC2100="Intr",G2100,G2100*Definitions!$B$55)</f>
        <v>0</v>
      </c>
      <c r="Z2100" s="39"/>
      <c r="AA2100" s="39"/>
      <c r="AB2100" s="39"/>
      <c r="AC2100" s="38"/>
      <c r="AD2100" s="38"/>
      <c r="AE2100" s="38"/>
      <c r="AF2100" s="38"/>
      <c r="AG2100" s="40"/>
      <c r="AH2100" s="38"/>
    </row>
    <row r="2101" spans="1:34" x14ac:dyDescent="0.2">
      <c r="A2101" s="38"/>
      <c r="B2101" s="38"/>
      <c r="C2101" s="38"/>
      <c r="D2101" s="38"/>
      <c r="E2101" s="177"/>
      <c r="F2101" s="177"/>
      <c r="G2101" s="269"/>
      <c r="H2101" s="179"/>
      <c r="I2101" s="177"/>
      <c r="J2101" s="177"/>
      <c r="K2101" s="177"/>
      <c r="L2101" s="177"/>
      <c r="M2101" s="177"/>
      <c r="N2101" s="70"/>
      <c r="O2101" s="38"/>
      <c r="P2101" s="38"/>
      <c r="Q2101" s="760"/>
      <c r="R2101" s="590"/>
      <c r="S2101" s="38"/>
      <c r="T2101" s="38"/>
      <c r="U2101" s="38"/>
      <c r="V2101" s="37"/>
      <c r="W2101" s="39">
        <f>IF(AC2101="Intr",0,G2101*Definitions!$B$53)</f>
        <v>0</v>
      </c>
      <c r="X2101" s="39">
        <f>IF(AC2101="Intr",0,G2101*Definitions!$B$54)</f>
        <v>0</v>
      </c>
      <c r="Y2101" s="39">
        <f>IF(AC2101="Intr",G2101,G2101*Definitions!$B$55)</f>
        <v>0</v>
      </c>
      <c r="Z2101" s="39"/>
      <c r="AA2101" s="39"/>
      <c r="AB2101" s="39"/>
      <c r="AC2101" s="38"/>
      <c r="AD2101" s="38"/>
      <c r="AE2101" s="38"/>
      <c r="AF2101" s="38"/>
      <c r="AG2101" s="40"/>
      <c r="AH2101" s="38"/>
    </row>
    <row r="2102" spans="1:34" x14ac:dyDescent="0.2">
      <c r="A2102" s="38"/>
      <c r="B2102" s="38"/>
      <c r="C2102" s="38"/>
      <c r="D2102" s="38"/>
      <c r="E2102" s="177"/>
      <c r="F2102" s="177"/>
      <c r="G2102" s="269"/>
      <c r="H2102" s="179"/>
      <c r="I2102" s="177"/>
      <c r="J2102" s="177"/>
      <c r="K2102" s="177"/>
      <c r="L2102" s="177"/>
      <c r="M2102" s="177"/>
      <c r="N2102" s="70"/>
      <c r="O2102" s="38"/>
      <c r="P2102" s="38"/>
      <c r="Q2102" s="760"/>
      <c r="R2102" s="590"/>
      <c r="S2102" s="38"/>
      <c r="T2102" s="38"/>
      <c r="U2102" s="38"/>
      <c r="V2102" s="37"/>
      <c r="W2102" s="39">
        <f>IF(AC2102="Intr",0,G2102*Definitions!$B$53)</f>
        <v>0</v>
      </c>
      <c r="X2102" s="39">
        <f>IF(AC2102="Intr",0,G2102*Definitions!$B$54)</f>
        <v>0</v>
      </c>
      <c r="Y2102" s="39">
        <f>IF(AC2102="Intr",G2102,G2102*Definitions!$B$55)</f>
        <v>0</v>
      </c>
      <c r="Z2102" s="39"/>
      <c r="AA2102" s="39"/>
      <c r="AB2102" s="39"/>
      <c r="AC2102" s="38"/>
      <c r="AD2102" s="38"/>
      <c r="AE2102" s="38"/>
      <c r="AF2102" s="38"/>
      <c r="AG2102" s="40"/>
      <c r="AH2102" s="38"/>
    </row>
    <row r="2103" spans="1:34" x14ac:dyDescent="0.2">
      <c r="A2103" s="38"/>
      <c r="B2103" s="38"/>
      <c r="C2103" s="38"/>
      <c r="D2103" s="38"/>
      <c r="E2103" s="177"/>
      <c r="F2103" s="177"/>
      <c r="G2103" s="269"/>
      <c r="H2103" s="179"/>
      <c r="I2103" s="177"/>
      <c r="J2103" s="177"/>
      <c r="K2103" s="177"/>
      <c r="L2103" s="177"/>
      <c r="M2103" s="177"/>
      <c r="N2103" s="70"/>
      <c r="O2103" s="38"/>
      <c r="P2103" s="38"/>
      <c r="Q2103" s="760"/>
      <c r="R2103" s="590"/>
      <c r="S2103" s="38"/>
      <c r="T2103" s="38"/>
      <c r="U2103" s="38"/>
      <c r="V2103" s="37"/>
      <c r="W2103" s="39">
        <f>IF(AC2103="Intr",0,G2103*Definitions!$B$53)</f>
        <v>0</v>
      </c>
      <c r="X2103" s="39">
        <f>IF(AC2103="Intr",0,G2103*Definitions!$B$54)</f>
        <v>0</v>
      </c>
      <c r="Y2103" s="39">
        <f>IF(AC2103="Intr",G2103,G2103*Definitions!$B$55)</f>
        <v>0</v>
      </c>
      <c r="Z2103" s="39"/>
      <c r="AA2103" s="39"/>
      <c r="AB2103" s="39"/>
      <c r="AC2103" s="38"/>
      <c r="AD2103" s="38"/>
      <c r="AE2103" s="38"/>
      <c r="AF2103" s="38"/>
      <c r="AG2103" s="40"/>
      <c r="AH2103" s="38"/>
    </row>
    <row r="2104" spans="1:34" x14ac:dyDescent="0.2">
      <c r="A2104" s="38"/>
      <c r="B2104" s="38"/>
      <c r="C2104" s="38"/>
      <c r="D2104" s="38"/>
      <c r="E2104" s="177"/>
      <c r="F2104" s="177"/>
      <c r="G2104" s="269"/>
      <c r="H2104" s="179"/>
      <c r="I2104" s="177"/>
      <c r="J2104" s="177"/>
      <c r="K2104" s="177"/>
      <c r="L2104" s="177"/>
      <c r="M2104" s="177"/>
      <c r="N2104" s="70"/>
      <c r="O2104" s="38"/>
      <c r="P2104" s="38"/>
      <c r="Q2104" s="760"/>
      <c r="R2104" s="590"/>
      <c r="S2104" s="38"/>
      <c r="T2104" s="38"/>
      <c r="U2104" s="38"/>
      <c r="V2104" s="37"/>
      <c r="W2104" s="39">
        <f>IF(AC2104="Intr",0,G2104*Definitions!$B$53)</f>
        <v>0</v>
      </c>
      <c r="X2104" s="39">
        <f>IF(AC2104="Intr",0,G2104*Definitions!$B$54)</f>
        <v>0</v>
      </c>
      <c r="Y2104" s="39">
        <f>IF(AC2104="Intr",G2104,G2104*Definitions!$B$55)</f>
        <v>0</v>
      </c>
      <c r="Z2104" s="39"/>
      <c r="AA2104" s="39"/>
      <c r="AB2104" s="39"/>
      <c r="AC2104" s="38"/>
      <c r="AD2104" s="38"/>
      <c r="AE2104" s="38"/>
      <c r="AF2104" s="38"/>
      <c r="AG2104" s="40"/>
      <c r="AH2104" s="38"/>
    </row>
    <row r="2105" spans="1:34" x14ac:dyDescent="0.2">
      <c r="A2105" s="38"/>
      <c r="B2105" s="38"/>
      <c r="C2105" s="38"/>
      <c r="D2105" s="38"/>
      <c r="E2105" s="177"/>
      <c r="F2105" s="177"/>
      <c r="G2105" s="269"/>
      <c r="H2105" s="179"/>
      <c r="I2105" s="177"/>
      <c r="J2105" s="177"/>
      <c r="K2105" s="177"/>
      <c r="L2105" s="177"/>
      <c r="M2105" s="177"/>
      <c r="N2105" s="70"/>
      <c r="O2105" s="38"/>
      <c r="P2105" s="38"/>
      <c r="Q2105" s="760"/>
      <c r="R2105" s="590"/>
      <c r="S2105" s="38"/>
      <c r="T2105" s="38"/>
      <c r="U2105" s="38"/>
      <c r="V2105" s="37"/>
      <c r="W2105" s="39">
        <f>IF(AC2105="Intr",0,G2105*Definitions!$B$53)</f>
        <v>0</v>
      </c>
      <c r="X2105" s="39">
        <f>IF(AC2105="Intr",0,G2105*Definitions!$B$54)</f>
        <v>0</v>
      </c>
      <c r="Y2105" s="39">
        <f>IF(AC2105="Intr",G2105,G2105*Definitions!$B$55)</f>
        <v>0</v>
      </c>
      <c r="Z2105" s="39"/>
      <c r="AA2105" s="39"/>
      <c r="AB2105" s="39"/>
      <c r="AC2105" s="38"/>
      <c r="AD2105" s="38"/>
      <c r="AE2105" s="38"/>
      <c r="AF2105" s="38"/>
      <c r="AG2105" s="40"/>
      <c r="AH2105" s="38"/>
    </row>
    <row r="2106" spans="1:34" x14ac:dyDescent="0.2">
      <c r="A2106" s="38"/>
      <c r="B2106" s="38"/>
      <c r="C2106" s="38"/>
      <c r="D2106" s="38"/>
      <c r="E2106" s="177"/>
      <c r="F2106" s="177"/>
      <c r="G2106" s="269"/>
      <c r="H2106" s="179"/>
      <c r="I2106" s="177"/>
      <c r="J2106" s="177"/>
      <c r="K2106" s="177"/>
      <c r="L2106" s="177"/>
      <c r="M2106" s="177"/>
      <c r="N2106" s="70"/>
      <c r="O2106" s="38"/>
      <c r="P2106" s="38"/>
      <c r="Q2106" s="760"/>
      <c r="R2106" s="590"/>
      <c r="S2106" s="38"/>
      <c r="T2106" s="38"/>
      <c r="U2106" s="38"/>
      <c r="V2106" s="37"/>
      <c r="W2106" s="39">
        <f>IF(AC2106="Intr",0,G2106*Definitions!$B$53)</f>
        <v>0</v>
      </c>
      <c r="X2106" s="39">
        <f>IF(AC2106="Intr",0,G2106*Definitions!$B$54)</f>
        <v>0</v>
      </c>
      <c r="Y2106" s="39">
        <f>IF(AC2106="Intr",G2106,G2106*Definitions!$B$55)</f>
        <v>0</v>
      </c>
      <c r="Z2106" s="39"/>
      <c r="AA2106" s="39"/>
      <c r="AB2106" s="39"/>
      <c r="AC2106" s="38"/>
      <c r="AD2106" s="38"/>
      <c r="AE2106" s="38"/>
      <c r="AF2106" s="38"/>
      <c r="AG2106" s="40"/>
      <c r="AH2106" s="38"/>
    </row>
    <row r="2107" spans="1:34" x14ac:dyDescent="0.2">
      <c r="A2107" s="38"/>
      <c r="B2107" s="38"/>
      <c r="C2107" s="38"/>
      <c r="D2107" s="38"/>
      <c r="E2107" s="177"/>
      <c r="F2107" s="177"/>
      <c r="G2107" s="269"/>
      <c r="H2107" s="179"/>
      <c r="I2107" s="177"/>
      <c r="J2107" s="177"/>
      <c r="K2107" s="177"/>
      <c r="L2107" s="177"/>
      <c r="M2107" s="177"/>
      <c r="N2107" s="70"/>
      <c r="O2107" s="38"/>
      <c r="P2107" s="38"/>
      <c r="Q2107" s="760"/>
      <c r="R2107" s="590"/>
      <c r="S2107" s="38"/>
      <c r="T2107" s="38"/>
      <c r="U2107" s="38"/>
      <c r="V2107" s="37"/>
      <c r="W2107" s="39">
        <f>IF(AC2107="Intr",0,G2107*Definitions!$B$53)</f>
        <v>0</v>
      </c>
      <c r="X2107" s="39">
        <f>IF(AC2107="Intr",0,G2107*Definitions!$B$54)</f>
        <v>0</v>
      </c>
      <c r="Y2107" s="39">
        <f>IF(AC2107="Intr",G2107,G2107*Definitions!$B$55)</f>
        <v>0</v>
      </c>
      <c r="Z2107" s="39"/>
      <c r="AA2107" s="39"/>
      <c r="AB2107" s="39"/>
      <c r="AC2107" s="38"/>
      <c r="AD2107" s="38"/>
      <c r="AE2107" s="38"/>
      <c r="AF2107" s="38"/>
      <c r="AG2107" s="40"/>
      <c r="AH2107" s="38"/>
    </row>
    <row r="2108" spans="1:34" x14ac:dyDescent="0.2">
      <c r="A2108" s="38"/>
      <c r="B2108" s="38"/>
      <c r="C2108" s="38"/>
      <c r="D2108" s="38"/>
      <c r="E2108" s="177"/>
      <c r="F2108" s="177"/>
      <c r="G2108" s="269"/>
      <c r="H2108" s="179"/>
      <c r="I2108" s="177"/>
      <c r="J2108" s="177"/>
      <c r="K2108" s="177"/>
      <c r="L2108" s="177"/>
      <c r="M2108" s="177"/>
      <c r="N2108" s="70"/>
      <c r="O2108" s="38"/>
      <c r="P2108" s="38"/>
      <c r="Q2108" s="760"/>
      <c r="R2108" s="590"/>
      <c r="S2108" s="38"/>
      <c r="T2108" s="38"/>
      <c r="U2108" s="38"/>
      <c r="V2108" s="37"/>
      <c r="W2108" s="39">
        <f>IF(AC2108="Intr",0,G2108*Definitions!$B$53)</f>
        <v>0</v>
      </c>
      <c r="X2108" s="39">
        <f>IF(AC2108="Intr",0,G2108*Definitions!$B$54)</f>
        <v>0</v>
      </c>
      <c r="Y2108" s="39">
        <f>IF(AC2108="Intr",G2108,G2108*Definitions!$B$55)</f>
        <v>0</v>
      </c>
      <c r="Z2108" s="39"/>
      <c r="AA2108" s="39"/>
      <c r="AB2108" s="39"/>
      <c r="AC2108" s="38"/>
      <c r="AD2108" s="38"/>
      <c r="AE2108" s="38"/>
      <c r="AF2108" s="38"/>
      <c r="AG2108" s="40"/>
      <c r="AH2108" s="38"/>
    </row>
    <row r="2109" spans="1:34" x14ac:dyDescent="0.2">
      <c r="A2109" s="38"/>
      <c r="B2109" s="38"/>
      <c r="C2109" s="38"/>
      <c r="D2109" s="38"/>
      <c r="E2109" s="177"/>
      <c r="F2109" s="177"/>
      <c r="G2109" s="269"/>
      <c r="H2109" s="179"/>
      <c r="I2109" s="177"/>
      <c r="J2109" s="177"/>
      <c r="K2109" s="177"/>
      <c r="L2109" s="177"/>
      <c r="M2109" s="177"/>
      <c r="N2109" s="70"/>
      <c r="O2109" s="38"/>
      <c r="P2109" s="38"/>
      <c r="Q2109" s="760"/>
      <c r="R2109" s="590"/>
      <c r="S2109" s="38"/>
      <c r="T2109" s="38"/>
      <c r="U2109" s="38"/>
      <c r="V2109" s="37"/>
      <c r="W2109" s="39">
        <f>IF(AC2109="Intr",0,G2109*Definitions!$B$53)</f>
        <v>0</v>
      </c>
      <c r="X2109" s="39">
        <f>IF(AC2109="Intr",0,G2109*Definitions!$B$54)</f>
        <v>0</v>
      </c>
      <c r="Y2109" s="39">
        <f>IF(AC2109="Intr",G2109,G2109*Definitions!$B$55)</f>
        <v>0</v>
      </c>
      <c r="Z2109" s="39"/>
      <c r="AA2109" s="39"/>
      <c r="AB2109" s="39"/>
      <c r="AC2109" s="38"/>
      <c r="AD2109" s="38"/>
      <c r="AE2109" s="38"/>
      <c r="AF2109" s="38"/>
      <c r="AG2109" s="40"/>
      <c r="AH2109" s="38"/>
    </row>
    <row r="2110" spans="1:34" x14ac:dyDescent="0.2">
      <c r="A2110" s="38"/>
      <c r="B2110" s="38"/>
      <c r="C2110" s="38"/>
      <c r="D2110" s="38"/>
      <c r="E2110" s="177"/>
      <c r="F2110" s="177"/>
      <c r="G2110" s="269"/>
      <c r="H2110" s="179"/>
      <c r="I2110" s="177"/>
      <c r="J2110" s="177"/>
      <c r="K2110" s="177"/>
      <c r="L2110" s="177"/>
      <c r="M2110" s="177"/>
      <c r="N2110" s="70"/>
      <c r="O2110" s="38"/>
      <c r="P2110" s="38"/>
      <c r="Q2110" s="760"/>
      <c r="R2110" s="590"/>
      <c r="S2110" s="38"/>
      <c r="T2110" s="38"/>
      <c r="U2110" s="38"/>
      <c r="V2110" s="37"/>
      <c r="W2110" s="39">
        <f>IF(AC2110="Intr",0,G2110*Definitions!$B$53)</f>
        <v>0</v>
      </c>
      <c r="X2110" s="39">
        <f>IF(AC2110="Intr",0,G2110*Definitions!$B$54)</f>
        <v>0</v>
      </c>
      <c r="Y2110" s="39">
        <f>IF(AC2110="Intr",G2110,G2110*Definitions!$B$55)</f>
        <v>0</v>
      </c>
      <c r="Z2110" s="39"/>
      <c r="AA2110" s="39"/>
      <c r="AB2110" s="39"/>
      <c r="AC2110" s="38"/>
      <c r="AD2110" s="38"/>
      <c r="AE2110" s="38"/>
      <c r="AF2110" s="38"/>
      <c r="AG2110" s="40"/>
      <c r="AH2110" s="38"/>
    </row>
    <row r="2111" spans="1:34" x14ac:dyDescent="0.2">
      <c r="A2111" s="38"/>
      <c r="B2111" s="38"/>
      <c r="C2111" s="38"/>
      <c r="D2111" s="38"/>
      <c r="E2111" s="177"/>
      <c r="F2111" s="177"/>
      <c r="G2111" s="269"/>
      <c r="H2111" s="179"/>
      <c r="I2111" s="177"/>
      <c r="J2111" s="177"/>
      <c r="K2111" s="177"/>
      <c r="L2111" s="177"/>
      <c r="M2111" s="177"/>
      <c r="N2111" s="70"/>
      <c r="O2111" s="38"/>
      <c r="P2111" s="38"/>
      <c r="Q2111" s="760"/>
      <c r="R2111" s="590"/>
      <c r="S2111" s="38"/>
      <c r="T2111" s="38"/>
      <c r="U2111" s="38"/>
      <c r="V2111" s="37"/>
      <c r="W2111" s="39">
        <f>IF(AC2111="Intr",0,G2111*Definitions!$B$53)</f>
        <v>0</v>
      </c>
      <c r="X2111" s="39">
        <f>IF(AC2111="Intr",0,G2111*Definitions!$B$54)</f>
        <v>0</v>
      </c>
      <c r="Y2111" s="39">
        <f>IF(AC2111="Intr",G2111,G2111*Definitions!$B$55)</f>
        <v>0</v>
      </c>
      <c r="Z2111" s="39"/>
      <c r="AA2111" s="39"/>
      <c r="AB2111" s="39"/>
      <c r="AC2111" s="38"/>
      <c r="AD2111" s="38"/>
      <c r="AE2111" s="38"/>
      <c r="AF2111" s="38"/>
      <c r="AG2111" s="40"/>
      <c r="AH2111" s="38"/>
    </row>
    <row r="2112" spans="1:34" x14ac:dyDescent="0.2">
      <c r="A2112" s="38"/>
      <c r="B2112" s="38"/>
      <c r="C2112" s="38"/>
      <c r="D2112" s="38"/>
      <c r="E2112" s="177"/>
      <c r="F2112" s="177"/>
      <c r="G2112" s="269"/>
      <c r="H2112" s="179"/>
      <c r="I2112" s="177"/>
      <c r="J2112" s="177"/>
      <c r="K2112" s="177"/>
      <c r="L2112" s="177"/>
      <c r="M2112" s="177"/>
      <c r="N2112" s="70"/>
      <c r="O2112" s="38"/>
      <c r="P2112" s="38"/>
      <c r="Q2112" s="760"/>
      <c r="R2112" s="590"/>
      <c r="S2112" s="38"/>
      <c r="T2112" s="38"/>
      <c r="U2112" s="38"/>
      <c r="V2112" s="37"/>
      <c r="W2112" s="39">
        <f>IF(AC2112="Intr",0,G2112*Definitions!$B$53)</f>
        <v>0</v>
      </c>
      <c r="X2112" s="39">
        <f>IF(AC2112="Intr",0,G2112*Definitions!$B$54)</f>
        <v>0</v>
      </c>
      <c r="Y2112" s="39">
        <f>IF(AC2112="Intr",G2112,G2112*Definitions!$B$55)</f>
        <v>0</v>
      </c>
      <c r="Z2112" s="39"/>
      <c r="AA2112" s="39"/>
      <c r="AB2112" s="39"/>
      <c r="AC2112" s="38"/>
      <c r="AD2112" s="38"/>
      <c r="AE2112" s="38"/>
      <c r="AF2112" s="38"/>
      <c r="AG2112" s="40"/>
      <c r="AH2112" s="38"/>
    </row>
    <row r="2113" spans="1:34" x14ac:dyDescent="0.2">
      <c r="A2113" s="38"/>
      <c r="B2113" s="38"/>
      <c r="C2113" s="38"/>
      <c r="D2113" s="38"/>
      <c r="E2113" s="177"/>
      <c r="F2113" s="177"/>
      <c r="G2113" s="269"/>
      <c r="H2113" s="179"/>
      <c r="I2113" s="177"/>
      <c r="J2113" s="177"/>
      <c r="K2113" s="177"/>
      <c r="L2113" s="177"/>
      <c r="M2113" s="177"/>
      <c r="N2113" s="70"/>
      <c r="O2113" s="38"/>
      <c r="P2113" s="38"/>
      <c r="Q2113" s="760"/>
      <c r="R2113" s="590"/>
      <c r="S2113" s="38"/>
      <c r="T2113" s="38"/>
      <c r="U2113" s="38"/>
      <c r="V2113" s="37"/>
      <c r="W2113" s="39">
        <f>IF(AC2113="Intr",0,G2113*Definitions!$B$53)</f>
        <v>0</v>
      </c>
      <c r="X2113" s="39">
        <f>IF(AC2113="Intr",0,G2113*Definitions!$B$54)</f>
        <v>0</v>
      </c>
      <c r="Y2113" s="39">
        <f>IF(AC2113="Intr",G2113,G2113*Definitions!$B$55)</f>
        <v>0</v>
      </c>
      <c r="Z2113" s="39"/>
      <c r="AA2113" s="39"/>
      <c r="AB2113" s="39"/>
      <c r="AC2113" s="38"/>
      <c r="AD2113" s="38"/>
      <c r="AE2113" s="38"/>
      <c r="AF2113" s="38"/>
      <c r="AG2113" s="40"/>
      <c r="AH2113" s="38"/>
    </row>
    <row r="2114" spans="1:34" x14ac:dyDescent="0.2">
      <c r="A2114" s="38"/>
      <c r="B2114" s="38"/>
      <c r="C2114" s="38"/>
      <c r="D2114" s="38"/>
      <c r="E2114" s="177"/>
      <c r="F2114" s="177"/>
      <c r="G2114" s="269"/>
      <c r="H2114" s="179"/>
      <c r="I2114" s="177"/>
      <c r="J2114" s="177"/>
      <c r="K2114" s="177"/>
      <c r="L2114" s="177"/>
      <c r="M2114" s="177"/>
      <c r="N2114" s="70"/>
      <c r="O2114" s="38"/>
      <c r="P2114" s="38"/>
      <c r="Q2114" s="760"/>
      <c r="R2114" s="590"/>
      <c r="S2114" s="38"/>
      <c r="T2114" s="38"/>
      <c r="U2114" s="38"/>
      <c r="V2114" s="37"/>
      <c r="W2114" s="39">
        <f>IF(AC2114="Intr",0,G2114*Definitions!$B$53)</f>
        <v>0</v>
      </c>
      <c r="X2114" s="39">
        <f>IF(AC2114="Intr",0,G2114*Definitions!$B$54)</f>
        <v>0</v>
      </c>
      <c r="Y2114" s="39">
        <f>IF(AC2114="Intr",G2114,G2114*Definitions!$B$55)</f>
        <v>0</v>
      </c>
      <c r="Z2114" s="39"/>
      <c r="AA2114" s="39"/>
      <c r="AB2114" s="39"/>
      <c r="AC2114" s="38"/>
      <c r="AD2114" s="38"/>
      <c r="AE2114" s="38"/>
      <c r="AF2114" s="38"/>
      <c r="AG2114" s="40"/>
      <c r="AH2114" s="38"/>
    </row>
    <row r="2115" spans="1:34" x14ac:dyDescent="0.2">
      <c r="D2115" s="38"/>
      <c r="E2115" s="177"/>
      <c r="F2115" s="177"/>
      <c r="G2115" s="269"/>
      <c r="H2115" s="179"/>
      <c r="I2115" s="177"/>
      <c r="J2115" s="177"/>
      <c r="K2115" s="177"/>
      <c r="L2115" s="177"/>
      <c r="M2115" s="177"/>
      <c r="N2115" s="70"/>
      <c r="O2115" s="38"/>
      <c r="P2115" s="38"/>
      <c r="Q2115" s="760"/>
      <c r="R2115" s="590"/>
      <c r="S2115" s="38"/>
      <c r="T2115" s="38"/>
      <c r="U2115" s="38"/>
      <c r="V2115" s="37"/>
      <c r="W2115" s="39">
        <f>IF(AC2115="Intr",0,G2115*Definitions!$B$53)</f>
        <v>0</v>
      </c>
      <c r="X2115" s="39">
        <f>IF(AC2115="Intr",0,G2115*Definitions!$B$54)</f>
        <v>0</v>
      </c>
      <c r="Y2115" s="39">
        <f>IF(AC2115="Intr",G2115,G2115*Definitions!$B$55)</f>
        <v>0</v>
      </c>
      <c r="Z2115" s="39"/>
      <c r="AA2115" s="39"/>
      <c r="AB2115" s="39"/>
      <c r="AC2115" s="38"/>
      <c r="AD2115" s="38"/>
      <c r="AE2115" s="38"/>
      <c r="AF2115" s="38"/>
      <c r="AG2115" s="40"/>
      <c r="AH2115" s="38"/>
    </row>
  </sheetData>
  <sortState xmlns:xlrd2="http://schemas.microsoft.com/office/spreadsheetml/2017/richdata2" ref="A2:AH2115">
    <sortCondition ref="A1:A2115"/>
  </sortState>
  <dataConsolidate/>
  <phoneticPr fontId="3" type="noConversion"/>
  <pageMargins left="0.7" right="0.7" top="0.75" bottom="0.75" header="0.3" footer="0.3"/>
  <pageSetup paperSize="17" scale="50" fitToHeight="0" orientation="landscape" r:id="rId1"/>
  <ignoredErrors>
    <ignoredError sqref="G1020 G1017 G1011 G1007 G1000 G1025" 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Definitions!$A$46:$A$50</xm:f>
          </x14:formula1>
          <xm:sqref>S675:S723 S350:S351 S360:S362 S436 S445:S446 S439:S441 S460 S451:S458 S396:S409 S233:S345 S737:S739 S752 S659:S672 S1:S28 S31:S37 S40:S41 S51:S55 S57:S59 S61:S67 S69:S71 S73:S79 S83:S84 S86 S88 S90:S92 S95 S374:S387 S111:S115 S118 S122:S128 S131:S136 S141:S150 S98:S109 S184:S194 S196:S198 S201:S202 S204:S231 S462:S504 S507:S543 S545:S657 S760:S787 S153:S181 S802:S991 S994:S1048576</xm:sqref>
        </x14:dataValidation>
        <x14:dataValidation type="list" allowBlank="1" showInputMessage="1" showErrorMessage="1" xr:uid="{00000000-0002-0000-0000-000001000000}">
          <x14:formula1>
            <xm:f>Definitions!$A$33:$A$38</xm:f>
          </x14:formula1>
          <xm:sqref>J675:J723 J411:J415 J367:J380 J424:J460 J382:J409 J233:J345 J737:J739 J752 J659:J672 J1:J28 J31:J37 J40:J41 J51:J55 J57:J59 J61:J66 J69:J71 J73:J79 J83:J84 J86 J88 J90:J92 J95 J98:J101 J106:J109 J111:J115 J118 J122:J128 J131:J136 J142:J150 J153:J174 J176:J181 J184:J194 J196:J198 J201:J202 J204:J231 J462:J504 J507:J543 J545:J657 J760:J787 J802:J991 J994:J1048576</xm:sqref>
        </x14:dataValidation>
        <x14:dataValidation type="list" allowBlank="1" showInputMessage="1" showErrorMessage="1" xr:uid="{00000000-0002-0000-0000-000004000000}">
          <x14:formula1>
            <xm:f>Definitions!$A$29:$A$30</xm:f>
          </x14:formula1>
          <xm:sqref>I675:I723 I367:I441 I233:I365 I525:I543 I737:I739 I752 I659:I672 I1:I28 I31:I37 I40:I41 I51:I55 I57:I59 I61:I66 I69:I71 I73:I79 I83:I84 I86 I88 I90:I92 I95 I98:I101 I106:I109 I111:I115 I118 I122:I128 I131:I136 I142:I150 I153:I174 I176:I181 I184:I194 I196:I198 I201:I202 I204:I231 I445:I504 I507:I512 I545:I657 I760:I787 I756 I802:I991 I994:I1048576</xm:sqref>
        </x14:dataValidation>
        <x14:dataValidation type="list" allowBlank="1" showInputMessage="1" showErrorMessage="1" xr:uid="{00000000-0002-0000-0000-000003000000}">
          <x14:formula1>
            <xm:f>Definitions!$A$41:$A$43</xm:f>
          </x14:formula1>
          <xm:sqref>T375:T376 T416:T423 U424:U445 U448 T459 U451:U458 U377:U415 U233:U374 U659:U672 U675:U723 U1:U28 U31:U37 U40:U41 U51:U55 U57:U59 U61:U66 U69:U71 U73:U79 U83:U84 U86 U88 U90:U92 U95 U98:U101 U106:U109 U111:U115 U118:U119 U122:U128 U131:U136 U142:U150 U153:U174 U176:U181 U184:U194 U196:U198 U201:U202 U204:U231 U460:U504 U507:U657 U728:U734 U737:U991 U994:U1048576</xm:sqref>
        </x14:dataValidation>
        <x14:dataValidation type="list" allowBlank="1" showInputMessage="1" showErrorMessage="1" xr:uid="{00000000-0002-0000-0000-000006000000}">
          <x14:formula1>
            <xm:f>Definitions!$A$2:$A$9</xm:f>
          </x14:formula1>
          <xm:sqref>V449:V450 AC451:AC458 AC233:AC448 AC737:AC752 AC659:AC672 AC675:AC723 AC2:AC28 AC31:AC37 AC40:AC41 AC51:AC55 AC57:AC59 AC61:AC66 AC69:AC71 AC73:AC79 AC83:AC84 AC86 AC88 AC90:AC92 AC95 AC98:AC101 AC106:AC109 AC111:AC115 AC118 AC122:AC128 AC131:AC136 AC142:AC150 AC153:AC174 AC176:AC181 AC184:AC194 AC196:AC198 AC201:AC202 AC204:AC231 AC460:AC504 AC507:AC657 AC760:AC787 AC728:AC734 AC802:AC991 AC994:AC1048576</xm:sqref>
        </x14:dataValidation>
        <x14:dataValidation type="list" allowBlank="1" showInputMessage="1" showErrorMessage="1" xr:uid="{00000000-0002-0000-0000-000005000000}">
          <x14:formula1>
            <xm:f>Definitions!$A$25:$A$26</xm:f>
          </x14:formula1>
          <xm:sqref>F460 F675:F723 F233:F458 F737:F739 F752 F659:F672 F1:F28 F31:F37 F40:F41 F51:F55 F57:F59 F61:F66 F69:F71 F73:F79 F83:F84 F86 F88 F90:F92 F95 F98:F101 F106:F109 F111:F115 F118 F122:F128 F131:F136 F142:F150 F153:F174 F176:F181 F184:F194 F196:F198 F201:F202 F204:F231 F462:F504 F507:F543 F545:F657 F760:F787 F802:F991 F994:F1048576</xm:sqref>
        </x14:dataValidation>
        <x14:dataValidation type="list" allowBlank="1" showInputMessage="1" showErrorMessage="1" xr:uid="{00000000-0002-0000-0000-000002000000}">
          <x14:formula1>
            <xm:f>Definitions!$A$12:$A$22</xm:f>
          </x14:formula1>
          <xm:sqref>D737:D752 D659:D672 D675:D723 D1:D28 D31:D37 D40:D41 D51:D55 D57:D59 D61:D66 D69:D71 D73:D79 D83:D84 D86 D88 D90:D92 D95 D98:D101 D106:D109 D111:D115 D118 D122:D128 D131:D136 D142:D150 D153:D174 D176:D181 D184:D194 D196:D198 D201:D202 D204:D231 D233:D504 D507:D657 D760:D787 D728:D734 D802:D991 D994:D1048576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</sheetPr>
  <dimension ref="A1:B55"/>
  <sheetViews>
    <sheetView workbookViewId="0">
      <selection activeCell="B18" sqref="B18"/>
    </sheetView>
  </sheetViews>
  <sheetFormatPr defaultRowHeight="15" x14ac:dyDescent="0.25"/>
  <cols>
    <col min="1" max="1" width="27.85546875" customWidth="1"/>
  </cols>
  <sheetData>
    <row r="1" spans="1:2" x14ac:dyDescent="0.25">
      <c r="A1" s="1" t="s">
        <v>13</v>
      </c>
      <c r="B1" s="1" t="s">
        <v>30</v>
      </c>
    </row>
    <row r="2" spans="1:2" x14ac:dyDescent="0.25">
      <c r="A2" t="s">
        <v>70</v>
      </c>
      <c r="B2" t="s">
        <v>21</v>
      </c>
    </row>
    <row r="3" spans="1:2" x14ac:dyDescent="0.25">
      <c r="A3" t="s">
        <v>20</v>
      </c>
      <c r="B3" t="s">
        <v>22</v>
      </c>
    </row>
    <row r="4" spans="1:2" x14ac:dyDescent="0.25">
      <c r="A4" t="s">
        <v>23</v>
      </c>
      <c r="B4" t="s">
        <v>52</v>
      </c>
    </row>
    <row r="5" spans="1:2" x14ac:dyDescent="0.25">
      <c r="A5" t="s">
        <v>24</v>
      </c>
      <c r="B5" t="s">
        <v>27</v>
      </c>
    </row>
    <row r="6" spans="1:2" x14ac:dyDescent="0.25">
      <c r="A6" t="s">
        <v>25</v>
      </c>
      <c r="B6" t="s">
        <v>26</v>
      </c>
    </row>
    <row r="7" spans="1:2" x14ac:dyDescent="0.25">
      <c r="A7" t="s">
        <v>28</v>
      </c>
      <c r="B7" t="s">
        <v>29</v>
      </c>
    </row>
    <row r="8" spans="1:2" x14ac:dyDescent="0.25">
      <c r="A8" t="s">
        <v>70</v>
      </c>
      <c r="B8" t="s">
        <v>71</v>
      </c>
    </row>
    <row r="9" spans="1:2" x14ac:dyDescent="0.25">
      <c r="A9" t="s">
        <v>64</v>
      </c>
      <c r="B9" t="s">
        <v>65</v>
      </c>
    </row>
    <row r="11" spans="1:2" x14ac:dyDescent="0.25">
      <c r="A11" s="1" t="s">
        <v>31</v>
      </c>
    </row>
    <row r="12" spans="1:2" x14ac:dyDescent="0.25">
      <c r="A12" t="s">
        <v>1</v>
      </c>
    </row>
    <row r="13" spans="1:2" x14ac:dyDescent="0.25">
      <c r="A13" t="s">
        <v>2</v>
      </c>
    </row>
    <row r="14" spans="1:2" x14ac:dyDescent="0.25">
      <c r="A14" t="s">
        <v>3</v>
      </c>
    </row>
    <row r="15" spans="1:2" x14ac:dyDescent="0.25">
      <c r="A15" t="s">
        <v>4</v>
      </c>
    </row>
    <row r="16" spans="1:2" x14ac:dyDescent="0.25">
      <c r="A16" t="s">
        <v>5</v>
      </c>
    </row>
    <row r="17" spans="1:1" x14ac:dyDescent="0.25">
      <c r="A17" t="s">
        <v>6</v>
      </c>
    </row>
    <row r="18" spans="1:1" x14ac:dyDescent="0.25">
      <c r="A18" t="s">
        <v>7</v>
      </c>
    </row>
    <row r="19" spans="1:1" x14ac:dyDescent="0.25">
      <c r="A19" t="s">
        <v>8</v>
      </c>
    </row>
    <row r="20" spans="1:1" x14ac:dyDescent="0.25">
      <c r="A20" t="s">
        <v>9</v>
      </c>
    </row>
    <row r="21" spans="1:1" x14ac:dyDescent="0.25">
      <c r="A21" t="s">
        <v>10</v>
      </c>
    </row>
    <row r="22" spans="1:1" x14ac:dyDescent="0.25">
      <c r="A22" t="s">
        <v>11</v>
      </c>
    </row>
    <row r="24" spans="1:1" x14ac:dyDescent="0.25">
      <c r="A24" s="1" t="s">
        <v>34</v>
      </c>
    </row>
    <row r="25" spans="1:1" x14ac:dyDescent="0.25">
      <c r="A25" t="s">
        <v>32</v>
      </c>
    </row>
    <row r="26" spans="1:1" x14ac:dyDescent="0.25">
      <c r="A26" t="s">
        <v>33</v>
      </c>
    </row>
    <row r="28" spans="1:1" x14ac:dyDescent="0.25">
      <c r="A28" s="1" t="s">
        <v>79</v>
      </c>
    </row>
    <row r="29" spans="1:1" x14ac:dyDescent="0.25">
      <c r="A29" t="s">
        <v>80</v>
      </c>
    </row>
    <row r="30" spans="1:1" x14ac:dyDescent="0.25">
      <c r="A30" t="s">
        <v>81</v>
      </c>
    </row>
    <row r="32" spans="1:1" x14ac:dyDescent="0.25">
      <c r="A32" s="1" t="s">
        <v>35</v>
      </c>
    </row>
    <row r="33" spans="1:2" x14ac:dyDescent="0.25">
      <c r="A33" t="s">
        <v>36</v>
      </c>
      <c r="B33" t="s">
        <v>42</v>
      </c>
    </row>
    <row r="34" spans="1:2" x14ac:dyDescent="0.25">
      <c r="A34" t="s">
        <v>37</v>
      </c>
      <c r="B34" t="s">
        <v>43</v>
      </c>
    </row>
    <row r="35" spans="1:2" x14ac:dyDescent="0.25">
      <c r="A35" t="s">
        <v>38</v>
      </c>
      <c r="B35" t="s">
        <v>44</v>
      </c>
    </row>
    <row r="36" spans="1:2" x14ac:dyDescent="0.25">
      <c r="A36" t="s">
        <v>39</v>
      </c>
      <c r="B36" t="s">
        <v>45</v>
      </c>
    </row>
    <row r="37" spans="1:2" x14ac:dyDescent="0.25">
      <c r="A37" t="s">
        <v>40</v>
      </c>
      <c r="B37" t="s">
        <v>46</v>
      </c>
    </row>
    <row r="38" spans="1:2" x14ac:dyDescent="0.25">
      <c r="A38" t="s">
        <v>41</v>
      </c>
      <c r="B38" t="s">
        <v>47</v>
      </c>
    </row>
    <row r="40" spans="1:2" x14ac:dyDescent="0.25">
      <c r="A40" s="1" t="s">
        <v>49</v>
      </c>
    </row>
    <row r="41" spans="1:2" x14ac:dyDescent="0.25">
      <c r="A41" t="s">
        <v>50</v>
      </c>
    </row>
    <row r="42" spans="1:2" x14ac:dyDescent="0.25">
      <c r="A42" t="s">
        <v>51</v>
      </c>
    </row>
    <row r="43" spans="1:2" x14ac:dyDescent="0.25">
      <c r="A43" t="s">
        <v>77</v>
      </c>
    </row>
    <row r="45" spans="1:2" x14ac:dyDescent="0.25">
      <c r="A45" s="1" t="s">
        <v>58</v>
      </c>
    </row>
    <row r="46" spans="1:2" x14ac:dyDescent="0.25">
      <c r="A46" t="s">
        <v>59</v>
      </c>
    </row>
    <row r="47" spans="1:2" x14ac:dyDescent="0.25">
      <c r="A47" t="s">
        <v>60</v>
      </c>
    </row>
    <row r="48" spans="1:2" x14ac:dyDescent="0.25">
      <c r="A48" t="s">
        <v>61</v>
      </c>
    </row>
    <row r="49" spans="1:2" x14ac:dyDescent="0.25">
      <c r="A49" t="s">
        <v>62</v>
      </c>
    </row>
    <row r="50" spans="1:2" x14ac:dyDescent="0.25">
      <c r="A50" t="s">
        <v>63</v>
      </c>
    </row>
    <row r="52" spans="1:2" x14ac:dyDescent="0.25">
      <c r="A52" s="1" t="s">
        <v>66</v>
      </c>
    </row>
    <row r="53" spans="1:2" x14ac:dyDescent="0.25">
      <c r="A53" t="s">
        <v>67</v>
      </c>
      <c r="B53" s="2">
        <v>0.15</v>
      </c>
    </row>
    <row r="54" spans="1:2" x14ac:dyDescent="0.25">
      <c r="A54" t="s">
        <v>68</v>
      </c>
      <c r="B54" s="2">
        <v>0.7</v>
      </c>
    </row>
    <row r="55" spans="1:2" x14ac:dyDescent="0.25">
      <c r="A55" t="s">
        <v>69</v>
      </c>
      <c r="B55" s="2">
        <v>0.15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2:KS109"/>
  <sheetViews>
    <sheetView workbookViewId="0">
      <pane xSplit="1" topLeftCell="B1" activePane="topRight" state="frozen"/>
      <selection pane="topRight" activeCell="O37" sqref="O37"/>
    </sheetView>
  </sheetViews>
  <sheetFormatPr defaultColWidth="16.85546875" defaultRowHeight="15" x14ac:dyDescent="0.25"/>
  <cols>
    <col min="1" max="1" width="20.42578125" style="22" bestFit="1" customWidth="1"/>
    <col min="2" max="2" width="16.28515625" bestFit="1" customWidth="1"/>
    <col min="3" max="3" width="15.140625" customWidth="1"/>
    <col min="4" max="5" width="11.5703125" bestFit="1" customWidth="1"/>
    <col min="6" max="8" width="12.5703125" bestFit="1" customWidth="1"/>
    <col min="9" max="10" width="11.5703125" bestFit="1" customWidth="1"/>
    <col min="11" max="11" width="12.5703125" bestFit="1" customWidth="1"/>
    <col min="12" max="12" width="14.5703125" customWidth="1"/>
    <col min="13" max="13" width="10.5703125" bestFit="1" customWidth="1"/>
    <col min="14" max="14" width="11.5703125" bestFit="1" customWidth="1"/>
    <col min="15" max="15" width="10.5703125" bestFit="1" customWidth="1"/>
    <col min="16" max="23" width="11.5703125" bestFit="1" customWidth="1"/>
    <col min="24" max="24" width="10.5703125" bestFit="1" customWidth="1"/>
    <col min="25" max="26" width="11.5703125" bestFit="1" customWidth="1"/>
    <col min="27" max="27" width="10.5703125" bestFit="1" customWidth="1"/>
    <col min="28" max="28" width="11.5703125" bestFit="1" customWidth="1"/>
    <col min="29" max="29" width="10.5703125" bestFit="1" customWidth="1"/>
    <col min="30" max="33" width="11.5703125" bestFit="1" customWidth="1"/>
    <col min="34" max="37" width="12.5703125" bestFit="1" customWidth="1"/>
    <col min="38" max="40" width="10.5703125" bestFit="1" customWidth="1"/>
    <col min="41" max="41" width="11.5703125" bestFit="1" customWidth="1"/>
    <col min="42" max="42" width="10.5703125" bestFit="1" customWidth="1"/>
    <col min="43" max="44" width="11.5703125" bestFit="1" customWidth="1"/>
    <col min="45" max="47" width="10.5703125" bestFit="1" customWidth="1"/>
    <col min="48" max="50" width="11.5703125" bestFit="1" customWidth="1"/>
    <col min="51" max="51" width="10.5703125" bestFit="1" customWidth="1"/>
    <col min="52" max="56" width="11.5703125" bestFit="1" customWidth="1"/>
    <col min="57" max="61" width="10.5703125" bestFit="1" customWidth="1"/>
    <col min="62" max="68" width="11.5703125" bestFit="1" customWidth="1"/>
    <col min="69" max="69" width="10.5703125" bestFit="1" customWidth="1"/>
    <col min="70" max="73" width="11.5703125" bestFit="1" customWidth="1"/>
    <col min="74" max="74" width="10.5703125" bestFit="1" customWidth="1"/>
    <col min="75" max="78" width="11.5703125" bestFit="1" customWidth="1"/>
    <col min="79" max="85" width="12.5703125" bestFit="1" customWidth="1"/>
    <col min="86" max="88" width="11.5703125" bestFit="1" customWidth="1"/>
    <col min="89" max="90" width="12.5703125" bestFit="1" customWidth="1"/>
    <col min="91" max="91" width="10.5703125" bestFit="1" customWidth="1"/>
    <col min="92" max="94" width="11.5703125" bestFit="1" customWidth="1"/>
    <col min="95" max="96" width="10.5703125" bestFit="1" customWidth="1"/>
    <col min="97" max="98" width="11.5703125" bestFit="1" customWidth="1"/>
    <col min="99" max="99" width="10.5703125" bestFit="1" customWidth="1"/>
    <col min="100" max="101" width="11.5703125" bestFit="1" customWidth="1"/>
    <col min="102" max="102" width="10.5703125" bestFit="1" customWidth="1"/>
    <col min="103" max="104" width="11.5703125" bestFit="1" customWidth="1"/>
    <col min="105" max="107" width="10.5703125" bestFit="1" customWidth="1"/>
    <col min="108" max="108" width="11.5703125" bestFit="1" customWidth="1"/>
    <col min="109" max="109" width="10.5703125" bestFit="1" customWidth="1"/>
    <col min="110" max="113" width="11.5703125" bestFit="1" customWidth="1"/>
    <col min="114" max="114" width="10.5703125" bestFit="1" customWidth="1"/>
    <col min="115" max="116" width="11.5703125" bestFit="1" customWidth="1"/>
    <col min="117" max="117" width="10.5703125" bestFit="1" customWidth="1"/>
    <col min="118" max="119" width="11.5703125" bestFit="1" customWidth="1"/>
    <col min="120" max="120" width="10.5703125" bestFit="1" customWidth="1"/>
    <col min="121" max="125" width="11.5703125" bestFit="1" customWidth="1"/>
    <col min="126" max="130" width="12.5703125" bestFit="1" customWidth="1"/>
    <col min="131" max="131" width="11.5703125" bestFit="1" customWidth="1"/>
    <col min="132" max="133" width="12.5703125" bestFit="1" customWidth="1"/>
    <col min="134" max="135" width="10.5703125" bestFit="1" customWidth="1"/>
    <col min="136" max="140" width="11.5703125" bestFit="1" customWidth="1"/>
    <col min="141" max="142" width="10.5703125" bestFit="1" customWidth="1"/>
    <col min="143" max="144" width="11.5703125" bestFit="1" customWidth="1"/>
    <col min="145" max="145" width="10.5703125" bestFit="1" customWidth="1"/>
    <col min="146" max="154" width="11.5703125" bestFit="1" customWidth="1"/>
    <col min="155" max="155" width="10.5703125" bestFit="1" customWidth="1"/>
    <col min="156" max="157" width="11.5703125" bestFit="1" customWidth="1"/>
    <col min="158" max="158" width="10.5703125" bestFit="1" customWidth="1"/>
    <col min="159" max="160" width="11.5703125" bestFit="1" customWidth="1"/>
    <col min="161" max="162" width="10.5703125" bestFit="1" customWidth="1"/>
    <col min="163" max="170" width="11.5703125" bestFit="1" customWidth="1"/>
    <col min="171" max="171" width="12.5703125" bestFit="1" customWidth="1"/>
    <col min="172" max="172" width="11.5703125" bestFit="1" customWidth="1"/>
    <col min="173" max="175" width="12.5703125" bestFit="1" customWidth="1"/>
    <col min="176" max="176" width="11.5703125" bestFit="1" customWidth="1"/>
    <col min="177" max="178" width="10.5703125" bestFit="1" customWidth="1"/>
    <col min="179" max="182" width="11.5703125" bestFit="1" customWidth="1"/>
    <col min="183" max="184" width="12.5703125" bestFit="1" customWidth="1"/>
    <col min="185" max="201" width="11.5703125" bestFit="1" customWidth="1"/>
    <col min="202" max="202" width="10.5703125" bestFit="1" customWidth="1"/>
    <col min="203" max="205" width="11.5703125" bestFit="1" customWidth="1"/>
    <col min="206" max="206" width="10.5703125" bestFit="1" customWidth="1"/>
    <col min="207" max="207" width="12.5703125" bestFit="1" customWidth="1"/>
    <col min="208" max="211" width="11.5703125" bestFit="1" customWidth="1"/>
    <col min="212" max="216" width="12.5703125" bestFit="1" customWidth="1"/>
    <col min="217" max="219" width="11.5703125" bestFit="1" customWidth="1"/>
    <col min="220" max="221" width="10.5703125" bestFit="1" customWidth="1"/>
    <col min="222" max="224" width="11.5703125" bestFit="1" customWidth="1"/>
    <col min="225" max="225" width="10.5703125" bestFit="1" customWidth="1"/>
    <col min="226" max="230" width="11.5703125" bestFit="1" customWidth="1"/>
    <col min="231" max="231" width="10.5703125" bestFit="1" customWidth="1"/>
    <col min="232" max="233" width="11.5703125" bestFit="1" customWidth="1"/>
    <col min="234" max="234" width="10.5703125" bestFit="1" customWidth="1"/>
    <col min="235" max="238" width="11.5703125" bestFit="1" customWidth="1"/>
    <col min="239" max="239" width="10.5703125" bestFit="1" customWidth="1"/>
    <col min="240" max="241" width="11.5703125" bestFit="1" customWidth="1"/>
    <col min="242" max="242" width="10.5703125" bestFit="1" customWidth="1"/>
    <col min="243" max="246" width="11.5703125" bestFit="1" customWidth="1"/>
    <col min="247" max="248" width="10.5703125" bestFit="1" customWidth="1"/>
    <col min="249" max="250" width="11.5703125" bestFit="1" customWidth="1"/>
    <col min="251" max="257" width="12.5703125" bestFit="1" customWidth="1"/>
    <col min="258" max="261" width="10.5703125" bestFit="1" customWidth="1"/>
    <col min="262" max="264" width="11.5703125" bestFit="1" customWidth="1"/>
    <col min="265" max="265" width="10.5703125" bestFit="1" customWidth="1"/>
    <col min="266" max="274" width="11.5703125" bestFit="1" customWidth="1"/>
    <col min="275" max="279" width="10.5703125" bestFit="1" customWidth="1"/>
    <col min="280" max="288" width="11.5703125" bestFit="1" customWidth="1"/>
    <col min="289" max="289" width="10.5703125" bestFit="1" customWidth="1"/>
    <col min="290" max="290" width="11.5703125" bestFit="1" customWidth="1"/>
    <col min="291" max="291" width="10.5703125" bestFit="1" customWidth="1"/>
    <col min="292" max="292" width="11.5703125" bestFit="1" customWidth="1"/>
    <col min="293" max="293" width="10.5703125" bestFit="1" customWidth="1"/>
    <col min="294" max="296" width="11.5703125" bestFit="1" customWidth="1"/>
    <col min="297" max="299" width="12.5703125" bestFit="1" customWidth="1"/>
    <col min="300" max="300" width="11.5703125" bestFit="1" customWidth="1"/>
    <col min="301" max="304" width="12.5703125" bestFit="1" customWidth="1"/>
    <col min="305" max="305" width="11.28515625" bestFit="1" customWidth="1"/>
  </cols>
  <sheetData>
    <row r="2" spans="1:305" hidden="1" x14ac:dyDescent="0.25"/>
    <row r="3" spans="1:305" hidden="1" x14ac:dyDescent="0.25">
      <c r="A3" s="23" t="s">
        <v>90</v>
      </c>
      <c r="B3" s="3" t="s">
        <v>76</v>
      </c>
    </row>
    <row r="4" spans="1:305" hidden="1" x14ac:dyDescent="0.25">
      <c r="B4" s="8">
        <v>43223</v>
      </c>
      <c r="C4" s="8">
        <v>43367</v>
      </c>
      <c r="D4" s="8">
        <v>43369</v>
      </c>
      <c r="E4" s="28">
        <v>43377</v>
      </c>
      <c r="F4" s="28">
        <v>43384</v>
      </c>
      <c r="G4" s="28">
        <v>43388</v>
      </c>
      <c r="H4" s="28">
        <v>43390</v>
      </c>
      <c r="I4" s="28">
        <v>43406</v>
      </c>
      <c r="J4" s="28">
        <v>43409</v>
      </c>
      <c r="K4" s="28">
        <v>43420</v>
      </c>
      <c r="L4" s="28">
        <v>43438</v>
      </c>
      <c r="M4" s="28">
        <v>43469</v>
      </c>
      <c r="N4" s="28">
        <v>43496</v>
      </c>
      <c r="O4" s="28">
        <v>43501</v>
      </c>
      <c r="P4" s="28">
        <v>43517</v>
      </c>
      <c r="Q4" s="28">
        <v>43536</v>
      </c>
      <c r="R4" s="28">
        <v>43539</v>
      </c>
      <c r="S4" s="28">
        <v>43543</v>
      </c>
      <c r="T4" s="28">
        <v>43549</v>
      </c>
      <c r="U4" s="28">
        <v>43565</v>
      </c>
      <c r="V4" s="28">
        <v>43570</v>
      </c>
      <c r="W4" s="28">
        <v>43580</v>
      </c>
      <c r="X4" s="28">
        <v>43591</v>
      </c>
      <c r="Y4" s="28">
        <v>43598</v>
      </c>
      <c r="Z4" s="28">
        <v>43606</v>
      </c>
      <c r="AA4" s="28">
        <v>43647</v>
      </c>
      <c r="AB4" s="28">
        <v>43699</v>
      </c>
      <c r="AC4" s="28">
        <v>43712</v>
      </c>
      <c r="AD4" s="28">
        <v>43724</v>
      </c>
      <c r="AE4" s="28">
        <v>43726</v>
      </c>
      <c r="AF4" s="28">
        <v>43734</v>
      </c>
      <c r="AG4" s="28">
        <v>43740</v>
      </c>
      <c r="AH4" s="28">
        <v>43753</v>
      </c>
      <c r="AI4" s="28">
        <v>43760</v>
      </c>
      <c r="AJ4" s="28">
        <v>43761</v>
      </c>
      <c r="AK4" s="28">
        <v>43812</v>
      </c>
      <c r="AL4" s="28">
        <v>43832</v>
      </c>
      <c r="AM4" s="28">
        <v>43836</v>
      </c>
      <c r="AN4" s="28">
        <v>43837</v>
      </c>
      <c r="AO4" s="28">
        <v>43860</v>
      </c>
      <c r="AP4" s="28">
        <v>43866</v>
      </c>
      <c r="AQ4" s="28">
        <v>43880</v>
      </c>
      <c r="AR4" s="28">
        <v>43888</v>
      </c>
      <c r="AS4" s="28">
        <v>43893</v>
      </c>
      <c r="AT4" s="28">
        <v>43894</v>
      </c>
      <c r="AU4" s="28">
        <v>43895</v>
      </c>
      <c r="AV4" s="28">
        <v>43908</v>
      </c>
      <c r="AW4" s="28">
        <v>43914</v>
      </c>
      <c r="AX4" s="28">
        <v>43915</v>
      </c>
      <c r="AY4" s="28">
        <v>43922</v>
      </c>
      <c r="AZ4" s="28">
        <v>43936</v>
      </c>
      <c r="BA4" s="28">
        <v>43938</v>
      </c>
      <c r="BB4" s="28">
        <v>43942</v>
      </c>
      <c r="BC4" s="28">
        <v>43943</v>
      </c>
      <c r="BD4" s="28">
        <v>43949</v>
      </c>
      <c r="BE4" s="28">
        <v>43955</v>
      </c>
      <c r="BF4" s="28">
        <v>43959</v>
      </c>
      <c r="BG4" s="28">
        <v>43956</v>
      </c>
      <c r="BH4" s="28">
        <v>43983</v>
      </c>
      <c r="BI4" s="28">
        <v>43991</v>
      </c>
      <c r="BJ4" s="28">
        <v>43999</v>
      </c>
      <c r="BK4" s="28">
        <v>44004</v>
      </c>
      <c r="BL4" s="28">
        <v>44006</v>
      </c>
      <c r="BM4" s="28">
        <v>44008</v>
      </c>
      <c r="BN4" s="28">
        <v>44028</v>
      </c>
      <c r="BO4" s="28">
        <v>44032</v>
      </c>
      <c r="BP4" s="28">
        <v>44033</v>
      </c>
      <c r="BQ4" s="28">
        <v>44047</v>
      </c>
      <c r="BR4" s="28">
        <v>44054</v>
      </c>
      <c r="BS4" s="28">
        <v>44062</v>
      </c>
      <c r="BT4" s="28">
        <v>44063</v>
      </c>
      <c r="BU4" s="28">
        <v>44074</v>
      </c>
      <c r="BV4" s="28">
        <v>44082</v>
      </c>
      <c r="BW4" s="28">
        <v>44089</v>
      </c>
      <c r="BX4" s="28">
        <v>44092</v>
      </c>
      <c r="BY4" s="28">
        <v>44091</v>
      </c>
      <c r="BZ4" s="28">
        <v>44104</v>
      </c>
      <c r="CA4" s="28">
        <v>44117</v>
      </c>
      <c r="CB4" s="28">
        <v>44118</v>
      </c>
      <c r="CC4" s="28">
        <v>44126</v>
      </c>
      <c r="CD4" s="28">
        <v>44145</v>
      </c>
      <c r="CE4" s="28">
        <v>44152</v>
      </c>
      <c r="CF4" s="28">
        <v>44159</v>
      </c>
      <c r="CG4" s="28">
        <v>44165</v>
      </c>
      <c r="CH4" s="28">
        <v>44167</v>
      </c>
      <c r="CI4" s="28">
        <v>44169</v>
      </c>
      <c r="CJ4" s="28">
        <v>44172</v>
      </c>
      <c r="CK4" s="28">
        <v>44186</v>
      </c>
      <c r="CL4" s="28">
        <v>44194</v>
      </c>
      <c r="CM4" s="28">
        <v>44200</v>
      </c>
      <c r="CN4" s="28">
        <v>44221</v>
      </c>
      <c r="CO4" s="28">
        <v>44222</v>
      </c>
      <c r="CP4" s="28">
        <v>44224</v>
      </c>
      <c r="CQ4" s="28">
        <v>44229</v>
      </c>
      <c r="CR4" s="28">
        <v>44235</v>
      </c>
      <c r="CS4" s="28">
        <v>44243</v>
      </c>
      <c r="CT4" s="28">
        <v>44249</v>
      </c>
      <c r="CU4" s="28">
        <v>44263</v>
      </c>
      <c r="CV4" s="28">
        <v>44277</v>
      </c>
      <c r="CW4" s="28">
        <v>44285</v>
      </c>
      <c r="CX4" s="28">
        <v>44291</v>
      </c>
      <c r="CY4" s="28">
        <v>44301</v>
      </c>
      <c r="CZ4" s="28">
        <v>44306</v>
      </c>
      <c r="DA4" s="28">
        <v>44319</v>
      </c>
      <c r="DB4" s="28">
        <v>44320</v>
      </c>
      <c r="DC4" s="28">
        <v>44321</v>
      </c>
      <c r="DD4" s="28">
        <v>44343</v>
      </c>
      <c r="DE4" s="28">
        <v>44350</v>
      </c>
      <c r="DF4" s="28">
        <v>44357</v>
      </c>
      <c r="DG4" s="28">
        <v>44363</v>
      </c>
      <c r="DH4" s="28">
        <v>44368</v>
      </c>
      <c r="DI4" s="28">
        <v>44376</v>
      </c>
      <c r="DJ4" s="28">
        <v>44378</v>
      </c>
      <c r="DK4" s="28">
        <v>44398</v>
      </c>
      <c r="DL4" s="28">
        <v>44404</v>
      </c>
      <c r="DM4" s="28">
        <v>44293</v>
      </c>
      <c r="DN4" s="28">
        <v>44418</v>
      </c>
      <c r="DO4" s="28">
        <v>44432</v>
      </c>
      <c r="DP4" s="28">
        <v>44446</v>
      </c>
      <c r="DQ4" s="28">
        <v>44454</v>
      </c>
      <c r="DR4" s="28">
        <v>44462</v>
      </c>
      <c r="DS4" s="28">
        <v>44466</v>
      </c>
      <c r="DT4" s="28">
        <v>44469</v>
      </c>
      <c r="DU4" s="28">
        <v>44475</v>
      </c>
      <c r="DV4" s="28">
        <v>44488</v>
      </c>
      <c r="DW4" s="28">
        <v>44491</v>
      </c>
      <c r="DX4" s="28">
        <v>44494</v>
      </c>
      <c r="DY4" s="28">
        <v>44517</v>
      </c>
      <c r="DZ4" s="28">
        <v>44530</v>
      </c>
      <c r="EA4" s="28">
        <v>44537</v>
      </c>
      <c r="EB4" s="28">
        <v>44545</v>
      </c>
      <c r="EC4" s="28">
        <v>44558</v>
      </c>
      <c r="ED4" s="28">
        <v>44565</v>
      </c>
      <c r="EE4" s="28">
        <v>44566</v>
      </c>
      <c r="EF4" s="28">
        <v>44573</v>
      </c>
      <c r="EG4" s="28">
        <v>44579</v>
      </c>
      <c r="EH4" s="28">
        <v>44585</v>
      </c>
      <c r="EI4" s="28">
        <v>44587</v>
      </c>
      <c r="EJ4" s="28">
        <v>44586</v>
      </c>
      <c r="EK4" s="28">
        <v>44600</v>
      </c>
      <c r="EL4" s="28">
        <v>44601</v>
      </c>
      <c r="EM4" s="28">
        <v>44602</v>
      </c>
      <c r="EN4" s="28">
        <v>44617</v>
      </c>
      <c r="EO4" s="28">
        <v>44629</v>
      </c>
      <c r="EP4" s="28">
        <v>44636</v>
      </c>
      <c r="EQ4" s="28">
        <v>44637</v>
      </c>
      <c r="ER4" s="28">
        <v>44644</v>
      </c>
      <c r="ES4" s="28">
        <v>44649</v>
      </c>
      <c r="ET4" s="28">
        <v>44651</v>
      </c>
      <c r="EU4" s="28">
        <v>44663</v>
      </c>
      <c r="EV4" s="28">
        <v>44678</v>
      </c>
      <c r="EW4" s="28">
        <v>44697</v>
      </c>
      <c r="EX4" s="28">
        <v>44699</v>
      </c>
      <c r="EY4" s="28">
        <v>44718</v>
      </c>
      <c r="EZ4" s="28">
        <v>44725</v>
      </c>
      <c r="FA4" s="28">
        <v>44735</v>
      </c>
      <c r="FB4" s="28">
        <v>44743</v>
      </c>
      <c r="FC4" s="28">
        <v>44763</v>
      </c>
      <c r="FD4" s="28">
        <v>44767</v>
      </c>
      <c r="FE4" s="28">
        <v>44777</v>
      </c>
      <c r="FF4" s="28">
        <v>44782</v>
      </c>
      <c r="FG4" s="28">
        <v>44795</v>
      </c>
      <c r="FH4" s="28">
        <v>44804</v>
      </c>
      <c r="FI4" s="28">
        <v>44824</v>
      </c>
      <c r="FJ4" s="28">
        <v>44826</v>
      </c>
      <c r="FK4" s="28">
        <v>44830</v>
      </c>
      <c r="FL4" s="28">
        <v>44831</v>
      </c>
      <c r="FM4" s="28">
        <v>44840</v>
      </c>
      <c r="FN4" s="28">
        <v>44874</v>
      </c>
      <c r="FO4" s="28">
        <v>44886</v>
      </c>
      <c r="FP4" s="28">
        <v>44901</v>
      </c>
      <c r="FQ4" s="28">
        <v>44910</v>
      </c>
      <c r="FR4" s="28">
        <v>44914</v>
      </c>
      <c r="FS4" s="28">
        <v>44925</v>
      </c>
      <c r="FT4" s="28">
        <v>44956</v>
      </c>
      <c r="FU4" s="28">
        <v>44959</v>
      </c>
      <c r="FV4" s="28">
        <v>44964</v>
      </c>
      <c r="FW4" s="28">
        <v>44973</v>
      </c>
      <c r="FX4" s="28">
        <v>44977</v>
      </c>
      <c r="FY4" s="28">
        <v>44791</v>
      </c>
      <c r="FZ4" s="28">
        <v>44984</v>
      </c>
      <c r="GA4" s="28">
        <v>44860</v>
      </c>
      <c r="GB4" s="28">
        <v>44922</v>
      </c>
      <c r="GC4" s="28">
        <v>44998</v>
      </c>
      <c r="GD4" s="28">
        <v>44999</v>
      </c>
      <c r="GE4" s="28">
        <v>45008</v>
      </c>
      <c r="GF4" s="28">
        <v>45012</v>
      </c>
      <c r="GG4" s="28">
        <v>45034</v>
      </c>
      <c r="GH4" s="28">
        <v>45040</v>
      </c>
      <c r="GI4" s="28">
        <v>45041</v>
      </c>
      <c r="GJ4" s="28">
        <v>45042</v>
      </c>
      <c r="GK4" s="28">
        <v>45043</v>
      </c>
      <c r="GL4" s="28">
        <v>45061</v>
      </c>
      <c r="GM4" s="28">
        <v>45069</v>
      </c>
      <c r="GN4" s="28">
        <v>45090</v>
      </c>
      <c r="GO4" s="28">
        <v>45091</v>
      </c>
      <c r="GP4" s="28">
        <v>45092</v>
      </c>
      <c r="GQ4" s="28">
        <v>45104</v>
      </c>
      <c r="GR4" s="28">
        <v>45124</v>
      </c>
      <c r="GS4" s="28">
        <v>45132</v>
      </c>
      <c r="GT4" s="28">
        <v>45146</v>
      </c>
      <c r="GU4" s="28">
        <v>45153</v>
      </c>
      <c r="GV4" s="28">
        <v>45159</v>
      </c>
      <c r="GW4" s="28">
        <v>45163</v>
      </c>
      <c r="GX4" s="28">
        <v>45175</v>
      </c>
      <c r="GY4" s="28">
        <v>45224</v>
      </c>
      <c r="GZ4" s="28">
        <v>45231</v>
      </c>
      <c r="HA4" s="28">
        <v>45237</v>
      </c>
      <c r="HB4" s="28">
        <v>45238</v>
      </c>
      <c r="HC4" s="28">
        <v>45239</v>
      </c>
      <c r="HD4" s="28">
        <v>45243</v>
      </c>
      <c r="HE4" s="28">
        <v>45260</v>
      </c>
      <c r="HF4" s="28">
        <v>45275</v>
      </c>
      <c r="HG4" s="28">
        <v>45281</v>
      </c>
      <c r="HH4" s="28">
        <v>45282</v>
      </c>
      <c r="HI4" s="28">
        <v>45303</v>
      </c>
      <c r="HJ4" s="28">
        <v>45322</v>
      </c>
      <c r="HK4" s="28">
        <v>45264</v>
      </c>
      <c r="HL4" s="28">
        <v>45327</v>
      </c>
      <c r="HM4" s="28">
        <v>45329</v>
      </c>
      <c r="HN4" s="28">
        <v>45338</v>
      </c>
      <c r="HO4" s="28">
        <v>45342</v>
      </c>
      <c r="HP4" s="28">
        <v>45345</v>
      </c>
      <c r="HQ4" s="28">
        <v>45358</v>
      </c>
      <c r="HR4" s="28">
        <v>45363</v>
      </c>
      <c r="HS4" s="28">
        <v>45371</v>
      </c>
      <c r="HT4" s="28">
        <v>45372</v>
      </c>
      <c r="HU4" s="28">
        <v>45376</v>
      </c>
      <c r="HV4" s="28">
        <v>45377</v>
      </c>
      <c r="HW4" s="28">
        <v>44810</v>
      </c>
      <c r="HX4" s="28">
        <v>45394</v>
      </c>
      <c r="HY4" s="28">
        <v>45412</v>
      </c>
      <c r="HZ4" s="28">
        <v>45420</v>
      </c>
      <c r="IA4" s="28">
        <v>45433</v>
      </c>
      <c r="IB4" s="28">
        <v>45434</v>
      </c>
      <c r="IC4" s="28">
        <v>45440</v>
      </c>
      <c r="ID4" s="28">
        <v>45441</v>
      </c>
      <c r="IE4" s="28">
        <v>45448</v>
      </c>
      <c r="IF4" s="28">
        <v>45467</v>
      </c>
      <c r="IG4" s="28">
        <v>45490</v>
      </c>
      <c r="IH4" s="28">
        <v>45511</v>
      </c>
      <c r="II4" s="28">
        <v>45517</v>
      </c>
      <c r="IJ4" s="28">
        <v>45518</v>
      </c>
      <c r="IK4" s="28">
        <v>45527</v>
      </c>
      <c r="IL4" s="28">
        <v>45365</v>
      </c>
      <c r="IM4" s="28">
        <v>45538</v>
      </c>
      <c r="IN4" s="28">
        <v>45539</v>
      </c>
      <c r="IO4" s="28">
        <v>45553</v>
      </c>
      <c r="IP4" s="28">
        <v>45561</v>
      </c>
      <c r="IQ4" s="28">
        <v>45575</v>
      </c>
      <c r="IR4" s="28">
        <v>45596</v>
      </c>
      <c r="IS4" s="28">
        <v>45611</v>
      </c>
      <c r="IT4" s="28">
        <v>45610</v>
      </c>
      <c r="IU4" s="28">
        <v>45615</v>
      </c>
      <c r="IV4" s="28">
        <v>45618</v>
      </c>
      <c r="IW4" s="28">
        <v>45644</v>
      </c>
      <c r="IX4" s="28">
        <v>45659</v>
      </c>
      <c r="IY4" s="28">
        <v>45660</v>
      </c>
      <c r="IZ4" s="28">
        <v>45665</v>
      </c>
      <c r="JA4" s="28">
        <v>45666</v>
      </c>
      <c r="JB4" s="28">
        <v>45672</v>
      </c>
      <c r="JC4" s="28">
        <v>45685</v>
      </c>
      <c r="JD4" s="28">
        <v>45687</v>
      </c>
      <c r="JE4" s="28">
        <v>45694</v>
      </c>
      <c r="JF4" s="28">
        <v>45699</v>
      </c>
      <c r="JG4" s="28">
        <v>45709</v>
      </c>
      <c r="JH4" s="28">
        <v>45712</v>
      </c>
      <c r="JI4" s="28">
        <v>45728</v>
      </c>
      <c r="JJ4" s="28">
        <v>45730</v>
      </c>
      <c r="JK4" s="28">
        <v>45734</v>
      </c>
      <c r="JL4" s="28">
        <v>45743</v>
      </c>
      <c r="JM4" s="28">
        <v>45744</v>
      </c>
      <c r="JN4" s="28">
        <v>45747</v>
      </c>
      <c r="JO4" s="28">
        <v>45756</v>
      </c>
      <c r="JP4" s="28">
        <v>45778</v>
      </c>
      <c r="JQ4" s="28">
        <v>45779</v>
      </c>
      <c r="JR4" s="28">
        <v>45782</v>
      </c>
      <c r="JS4" s="28">
        <v>45784</v>
      </c>
      <c r="JT4" s="28">
        <v>45790</v>
      </c>
      <c r="JU4" s="28">
        <v>45791</v>
      </c>
      <c r="JV4" s="28">
        <v>45798</v>
      </c>
      <c r="JW4" s="28">
        <v>45804</v>
      </c>
      <c r="JX4" s="28">
        <v>45818</v>
      </c>
      <c r="JY4" s="28">
        <v>45825</v>
      </c>
      <c r="JZ4" s="28">
        <v>45826</v>
      </c>
      <c r="KA4" s="28">
        <v>45833</v>
      </c>
      <c r="KB4" s="28">
        <v>45838</v>
      </c>
      <c r="KC4" s="28">
        <v>45845</v>
      </c>
      <c r="KD4" s="28">
        <v>45852</v>
      </c>
      <c r="KE4" s="28">
        <v>45870</v>
      </c>
      <c r="KF4" s="28">
        <v>45896</v>
      </c>
      <c r="KG4" s="28">
        <v>45902</v>
      </c>
      <c r="KH4" s="28">
        <v>45918</v>
      </c>
      <c r="KI4" s="28">
        <v>45924</v>
      </c>
      <c r="KJ4" s="28">
        <v>45937</v>
      </c>
      <c r="KK4" s="28">
        <v>45945</v>
      </c>
      <c r="KL4" s="28">
        <v>45951</v>
      </c>
      <c r="KM4" s="28">
        <v>45957</v>
      </c>
      <c r="KN4" s="28">
        <v>45965</v>
      </c>
      <c r="KO4" s="28">
        <v>45979</v>
      </c>
      <c r="KP4" s="28">
        <v>46008</v>
      </c>
      <c r="KQ4" s="28">
        <v>46020</v>
      </c>
      <c r="KR4" s="28">
        <v>46022</v>
      </c>
      <c r="KS4" s="7" t="s">
        <v>75</v>
      </c>
    </row>
    <row r="5" spans="1:305" hidden="1" x14ac:dyDescent="0.25">
      <c r="A5" s="23" t="s">
        <v>74</v>
      </c>
      <c r="E5" t="s">
        <v>32</v>
      </c>
      <c r="F5" t="s">
        <v>32</v>
      </c>
      <c r="G5" t="s">
        <v>32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32</v>
      </c>
      <c r="W5" t="s">
        <v>32</v>
      </c>
      <c r="X5" t="s">
        <v>32</v>
      </c>
      <c r="Y5" t="s">
        <v>32</v>
      </c>
      <c r="Z5" t="s">
        <v>32</v>
      </c>
      <c r="AA5" t="s">
        <v>32</v>
      </c>
      <c r="AB5" t="s">
        <v>32</v>
      </c>
      <c r="AC5" t="s">
        <v>32</v>
      </c>
      <c r="AD5" t="s">
        <v>32</v>
      </c>
      <c r="AE5" t="s">
        <v>32</v>
      </c>
      <c r="AF5" t="s">
        <v>32</v>
      </c>
      <c r="AG5" t="s">
        <v>32</v>
      </c>
      <c r="AH5" t="s">
        <v>32</v>
      </c>
      <c r="AI5" t="s">
        <v>32</v>
      </c>
      <c r="AJ5" t="s">
        <v>32</v>
      </c>
      <c r="AK5" t="s">
        <v>32</v>
      </c>
      <c r="AL5" t="s">
        <v>32</v>
      </c>
      <c r="AM5" t="s">
        <v>32</v>
      </c>
      <c r="AN5" t="s">
        <v>32</v>
      </c>
      <c r="AO5" t="s">
        <v>32</v>
      </c>
      <c r="AP5" t="s">
        <v>32</v>
      </c>
      <c r="AQ5" t="s">
        <v>32</v>
      </c>
      <c r="AR5" t="s">
        <v>32</v>
      </c>
      <c r="AS5" t="s">
        <v>32</v>
      </c>
      <c r="AT5" t="s">
        <v>32</v>
      </c>
      <c r="AU5" t="s">
        <v>32</v>
      </c>
      <c r="AV5" t="s">
        <v>32</v>
      </c>
      <c r="AW5" t="s">
        <v>32</v>
      </c>
      <c r="AX5" t="s">
        <v>32</v>
      </c>
      <c r="AY5" t="s">
        <v>32</v>
      </c>
      <c r="AZ5" t="s">
        <v>32</v>
      </c>
      <c r="BA5" t="s">
        <v>32</v>
      </c>
      <c r="BB5" t="s">
        <v>32</v>
      </c>
      <c r="BC5" t="s">
        <v>32</v>
      </c>
      <c r="BD5" t="s">
        <v>32</v>
      </c>
      <c r="BE5" t="s">
        <v>32</v>
      </c>
      <c r="BF5" t="s">
        <v>32</v>
      </c>
      <c r="BG5" t="s">
        <v>32</v>
      </c>
      <c r="BH5" t="s">
        <v>32</v>
      </c>
      <c r="BI5" t="s">
        <v>32</v>
      </c>
      <c r="BJ5" t="s">
        <v>32</v>
      </c>
      <c r="BK5" t="s">
        <v>32</v>
      </c>
      <c r="BL5" t="s">
        <v>32</v>
      </c>
      <c r="BM5" t="s">
        <v>32</v>
      </c>
      <c r="BN5" t="s">
        <v>32</v>
      </c>
      <c r="BO5" t="s">
        <v>32</v>
      </c>
      <c r="BP5" t="s">
        <v>32</v>
      </c>
      <c r="BQ5" t="s">
        <v>32</v>
      </c>
      <c r="BR5" t="s">
        <v>32</v>
      </c>
      <c r="BS5" t="s">
        <v>32</v>
      </c>
      <c r="BT5" t="s">
        <v>32</v>
      </c>
      <c r="BU5" t="s">
        <v>32</v>
      </c>
      <c r="BV5" t="s">
        <v>32</v>
      </c>
      <c r="BW5" t="s">
        <v>32</v>
      </c>
      <c r="BX5" t="s">
        <v>32</v>
      </c>
      <c r="BY5" t="s">
        <v>32</v>
      </c>
      <c r="BZ5" t="s">
        <v>32</v>
      </c>
      <c r="CA5" t="s">
        <v>32</v>
      </c>
      <c r="CB5" t="s">
        <v>32</v>
      </c>
      <c r="CC5" t="s">
        <v>32</v>
      </c>
      <c r="CD5" t="s">
        <v>32</v>
      </c>
      <c r="CE5" t="s">
        <v>32</v>
      </c>
      <c r="CF5" t="s">
        <v>32</v>
      </c>
      <c r="CG5" t="s">
        <v>32</v>
      </c>
      <c r="CH5" t="s">
        <v>32</v>
      </c>
      <c r="CI5" t="s">
        <v>32</v>
      </c>
      <c r="CJ5" t="s">
        <v>32</v>
      </c>
      <c r="CK5" t="s">
        <v>32</v>
      </c>
      <c r="CL5" t="s">
        <v>32</v>
      </c>
      <c r="CM5" t="s">
        <v>32</v>
      </c>
      <c r="CN5" t="s">
        <v>32</v>
      </c>
      <c r="CO5" t="s">
        <v>32</v>
      </c>
      <c r="CP5" t="s">
        <v>32</v>
      </c>
      <c r="CQ5" t="s">
        <v>32</v>
      </c>
      <c r="CR5" t="s">
        <v>32</v>
      </c>
      <c r="CS5" t="s">
        <v>32</v>
      </c>
      <c r="CT5" t="s">
        <v>32</v>
      </c>
      <c r="CU5" t="s">
        <v>32</v>
      </c>
      <c r="CV5" t="s">
        <v>32</v>
      </c>
      <c r="CW5" t="s">
        <v>32</v>
      </c>
      <c r="CX5" t="s">
        <v>32</v>
      </c>
      <c r="CY5" t="s">
        <v>32</v>
      </c>
      <c r="CZ5" t="s">
        <v>32</v>
      </c>
      <c r="DA5" t="s">
        <v>32</v>
      </c>
      <c r="DB5" t="s">
        <v>32</v>
      </c>
      <c r="DC5" t="s">
        <v>32</v>
      </c>
      <c r="DD5" t="s">
        <v>32</v>
      </c>
      <c r="DE5" t="s">
        <v>32</v>
      </c>
      <c r="DF5" t="s">
        <v>32</v>
      </c>
      <c r="DG5" t="s">
        <v>32</v>
      </c>
      <c r="DH5" t="s">
        <v>32</v>
      </c>
      <c r="DI5" t="s">
        <v>32</v>
      </c>
      <c r="DJ5" t="s">
        <v>32</v>
      </c>
      <c r="DK5" t="s">
        <v>32</v>
      </c>
      <c r="DL5" t="s">
        <v>32</v>
      </c>
      <c r="DM5" t="s">
        <v>32</v>
      </c>
      <c r="DN5" t="s">
        <v>32</v>
      </c>
      <c r="DO5" t="s">
        <v>32</v>
      </c>
      <c r="DP5" t="s">
        <v>32</v>
      </c>
      <c r="DQ5" t="s">
        <v>32</v>
      </c>
      <c r="DR5" t="s">
        <v>32</v>
      </c>
      <c r="DS5" t="s">
        <v>32</v>
      </c>
      <c r="DT5" t="s">
        <v>32</v>
      </c>
      <c r="DU5" t="s">
        <v>32</v>
      </c>
      <c r="DV5" t="s">
        <v>32</v>
      </c>
      <c r="DW5" t="s">
        <v>32</v>
      </c>
      <c r="DX5" t="s">
        <v>32</v>
      </c>
      <c r="DY5" t="s">
        <v>32</v>
      </c>
      <c r="DZ5" t="s">
        <v>32</v>
      </c>
      <c r="EA5" t="s">
        <v>32</v>
      </c>
      <c r="EB5" t="s">
        <v>32</v>
      </c>
      <c r="EC5" t="s">
        <v>32</v>
      </c>
      <c r="ED5" t="s">
        <v>32</v>
      </c>
      <c r="EE5" t="s">
        <v>32</v>
      </c>
      <c r="EF5" t="s">
        <v>32</v>
      </c>
      <c r="EG5" t="s">
        <v>32</v>
      </c>
      <c r="EH5" t="s">
        <v>32</v>
      </c>
      <c r="EI5" t="s">
        <v>32</v>
      </c>
      <c r="EJ5" t="s">
        <v>32</v>
      </c>
      <c r="EK5" t="s">
        <v>32</v>
      </c>
      <c r="EL5" t="s">
        <v>32</v>
      </c>
      <c r="EM5" t="s">
        <v>32</v>
      </c>
      <c r="EN5" t="s">
        <v>32</v>
      </c>
      <c r="EO5" t="s">
        <v>32</v>
      </c>
      <c r="EP5" t="s">
        <v>32</v>
      </c>
      <c r="EQ5" t="s">
        <v>32</v>
      </c>
      <c r="ER5" t="s">
        <v>32</v>
      </c>
      <c r="ES5" t="s">
        <v>32</v>
      </c>
      <c r="ET5" t="s">
        <v>32</v>
      </c>
      <c r="EU5" t="s">
        <v>32</v>
      </c>
      <c r="EV5" t="s">
        <v>32</v>
      </c>
      <c r="EW5" t="s">
        <v>32</v>
      </c>
      <c r="EX5" t="s">
        <v>32</v>
      </c>
      <c r="EY5" t="s">
        <v>32</v>
      </c>
      <c r="EZ5" t="s">
        <v>32</v>
      </c>
      <c r="FA5" t="s">
        <v>32</v>
      </c>
      <c r="FB5" t="s">
        <v>32</v>
      </c>
      <c r="FC5" t="s">
        <v>32</v>
      </c>
      <c r="FD5" t="s">
        <v>32</v>
      </c>
      <c r="FE5" t="s">
        <v>32</v>
      </c>
      <c r="FF5" t="s">
        <v>32</v>
      </c>
      <c r="FG5" t="s">
        <v>32</v>
      </c>
      <c r="FH5" t="s">
        <v>32</v>
      </c>
      <c r="FI5" t="s">
        <v>32</v>
      </c>
      <c r="FJ5" t="s">
        <v>32</v>
      </c>
      <c r="FK5" t="s">
        <v>32</v>
      </c>
      <c r="FL5" t="s">
        <v>32</v>
      </c>
      <c r="FM5" t="s">
        <v>32</v>
      </c>
      <c r="FN5" t="s">
        <v>32</v>
      </c>
      <c r="FO5" t="s">
        <v>32</v>
      </c>
      <c r="FP5" t="s">
        <v>32</v>
      </c>
      <c r="FQ5" t="s">
        <v>32</v>
      </c>
      <c r="FR5" t="s">
        <v>32</v>
      </c>
      <c r="FS5" t="s">
        <v>32</v>
      </c>
      <c r="FT5" t="s">
        <v>32</v>
      </c>
      <c r="FU5" t="s">
        <v>32</v>
      </c>
      <c r="FV5" t="s">
        <v>32</v>
      </c>
      <c r="FW5" t="s">
        <v>32</v>
      </c>
      <c r="FX5" t="s">
        <v>32</v>
      </c>
      <c r="FY5" t="s">
        <v>32</v>
      </c>
      <c r="FZ5" t="s">
        <v>32</v>
      </c>
      <c r="GA5" t="s">
        <v>32</v>
      </c>
      <c r="GB5" t="s">
        <v>32</v>
      </c>
      <c r="GC5" t="s">
        <v>32</v>
      </c>
      <c r="GD5" t="s">
        <v>32</v>
      </c>
      <c r="GE5" t="s">
        <v>32</v>
      </c>
      <c r="GF5" t="s">
        <v>32</v>
      </c>
      <c r="GG5" t="s">
        <v>32</v>
      </c>
      <c r="GH5" t="s">
        <v>32</v>
      </c>
      <c r="GI5" t="s">
        <v>32</v>
      </c>
      <c r="GJ5" t="s">
        <v>32</v>
      </c>
      <c r="GK5" t="s">
        <v>32</v>
      </c>
      <c r="GL5" t="s">
        <v>32</v>
      </c>
      <c r="GM5" t="s">
        <v>32</v>
      </c>
      <c r="GN5" t="s">
        <v>32</v>
      </c>
      <c r="GO5" t="s">
        <v>32</v>
      </c>
      <c r="GP5" t="s">
        <v>32</v>
      </c>
      <c r="GQ5" t="s">
        <v>32</v>
      </c>
      <c r="GR5" t="s">
        <v>32</v>
      </c>
      <c r="GS5" t="s">
        <v>32</v>
      </c>
      <c r="GT5" t="s">
        <v>32</v>
      </c>
      <c r="GU5" t="s">
        <v>32</v>
      </c>
      <c r="GV5" t="s">
        <v>32</v>
      </c>
      <c r="GW5" t="s">
        <v>32</v>
      </c>
      <c r="GX5" t="s">
        <v>32</v>
      </c>
      <c r="GY5" t="s">
        <v>32</v>
      </c>
      <c r="GZ5" t="s">
        <v>32</v>
      </c>
      <c r="HA5" t="s">
        <v>32</v>
      </c>
      <c r="HB5" t="s">
        <v>32</v>
      </c>
      <c r="HC5" t="s">
        <v>32</v>
      </c>
      <c r="HD5" t="s">
        <v>32</v>
      </c>
      <c r="HE5" t="s">
        <v>32</v>
      </c>
      <c r="HF5" t="s">
        <v>32</v>
      </c>
      <c r="HG5" t="s">
        <v>32</v>
      </c>
      <c r="HH5" t="s">
        <v>32</v>
      </c>
      <c r="HI5" t="s">
        <v>32</v>
      </c>
      <c r="HJ5" t="s">
        <v>32</v>
      </c>
      <c r="HK5" t="s">
        <v>32</v>
      </c>
      <c r="HL5" t="s">
        <v>32</v>
      </c>
      <c r="HM5" t="s">
        <v>32</v>
      </c>
      <c r="HN5" t="s">
        <v>32</v>
      </c>
      <c r="HO5" t="s">
        <v>32</v>
      </c>
      <c r="HP5" t="s">
        <v>32</v>
      </c>
      <c r="HQ5" t="s">
        <v>32</v>
      </c>
      <c r="HR5" t="s">
        <v>32</v>
      </c>
      <c r="HS5" t="s">
        <v>32</v>
      </c>
      <c r="HT5" t="s">
        <v>32</v>
      </c>
      <c r="HU5" t="s">
        <v>32</v>
      </c>
      <c r="HV5" t="s">
        <v>32</v>
      </c>
      <c r="HW5" t="s">
        <v>32</v>
      </c>
      <c r="HX5" t="s">
        <v>32</v>
      </c>
      <c r="HY5" t="s">
        <v>32</v>
      </c>
      <c r="HZ5" t="s">
        <v>32</v>
      </c>
      <c r="IA5" t="s">
        <v>32</v>
      </c>
      <c r="IB5" t="s">
        <v>32</v>
      </c>
      <c r="IC5" t="s">
        <v>32</v>
      </c>
      <c r="ID5" t="s">
        <v>32</v>
      </c>
      <c r="IE5" t="s">
        <v>32</v>
      </c>
      <c r="IF5" t="s">
        <v>32</v>
      </c>
      <c r="IG5" t="s">
        <v>32</v>
      </c>
      <c r="IH5" t="s">
        <v>32</v>
      </c>
      <c r="II5" t="s">
        <v>32</v>
      </c>
      <c r="IJ5" t="s">
        <v>32</v>
      </c>
      <c r="IK5" t="s">
        <v>32</v>
      </c>
      <c r="IL5" t="s">
        <v>32</v>
      </c>
      <c r="IM5" t="s">
        <v>32</v>
      </c>
      <c r="IN5" t="s">
        <v>32</v>
      </c>
      <c r="IO5" t="s">
        <v>32</v>
      </c>
      <c r="IP5" t="s">
        <v>32</v>
      </c>
      <c r="IQ5" t="s">
        <v>32</v>
      </c>
      <c r="IR5" t="s">
        <v>32</v>
      </c>
      <c r="IS5" t="s">
        <v>32</v>
      </c>
      <c r="IT5" t="s">
        <v>32</v>
      </c>
      <c r="IU5" t="s">
        <v>32</v>
      </c>
      <c r="IV5" t="s">
        <v>32</v>
      </c>
      <c r="IW5" t="s">
        <v>32</v>
      </c>
      <c r="IX5" t="s">
        <v>32</v>
      </c>
      <c r="IY5" t="s">
        <v>32</v>
      </c>
      <c r="IZ5" t="s">
        <v>32</v>
      </c>
      <c r="JA5" t="s">
        <v>32</v>
      </c>
      <c r="JB5" t="s">
        <v>32</v>
      </c>
      <c r="JC5" t="s">
        <v>32</v>
      </c>
      <c r="JD5" t="s">
        <v>32</v>
      </c>
      <c r="JE5" t="s">
        <v>32</v>
      </c>
      <c r="JF5" t="s">
        <v>32</v>
      </c>
      <c r="JG5" t="s">
        <v>32</v>
      </c>
      <c r="JH5" t="s">
        <v>32</v>
      </c>
      <c r="JI5" t="s">
        <v>32</v>
      </c>
      <c r="JJ5" t="s">
        <v>32</v>
      </c>
      <c r="JK5" t="s">
        <v>32</v>
      </c>
      <c r="JL5" t="s">
        <v>32</v>
      </c>
      <c r="JM5" t="s">
        <v>32</v>
      </c>
      <c r="JN5" t="s">
        <v>32</v>
      </c>
      <c r="JO5" t="s">
        <v>32</v>
      </c>
      <c r="JP5" t="s">
        <v>32</v>
      </c>
      <c r="JQ5" t="s">
        <v>32</v>
      </c>
      <c r="JR5" t="s">
        <v>32</v>
      </c>
      <c r="JS5" t="s">
        <v>32</v>
      </c>
      <c r="JT5" t="s">
        <v>32</v>
      </c>
      <c r="JU5" t="s">
        <v>32</v>
      </c>
      <c r="JV5" t="s">
        <v>32</v>
      </c>
      <c r="JW5" t="s">
        <v>32</v>
      </c>
      <c r="JX5" t="s">
        <v>32</v>
      </c>
      <c r="JY5" t="s">
        <v>32</v>
      </c>
      <c r="JZ5" t="s">
        <v>32</v>
      </c>
      <c r="KA5" t="s">
        <v>32</v>
      </c>
      <c r="KB5" t="s">
        <v>32</v>
      </c>
      <c r="KC5" t="s">
        <v>32</v>
      </c>
      <c r="KD5" t="s">
        <v>32</v>
      </c>
      <c r="KE5" t="s">
        <v>32</v>
      </c>
      <c r="KF5" t="s">
        <v>32</v>
      </c>
      <c r="KG5" t="s">
        <v>32</v>
      </c>
      <c r="KH5" t="s">
        <v>32</v>
      </c>
      <c r="KI5" t="s">
        <v>32</v>
      </c>
      <c r="KJ5" t="s">
        <v>32</v>
      </c>
      <c r="KK5" t="s">
        <v>32</v>
      </c>
      <c r="KL5" t="s">
        <v>32</v>
      </c>
      <c r="KM5" t="s">
        <v>32</v>
      </c>
      <c r="KN5" t="s">
        <v>32</v>
      </c>
      <c r="KO5" t="s">
        <v>32</v>
      </c>
      <c r="KP5" t="s">
        <v>32</v>
      </c>
      <c r="KQ5" t="s">
        <v>32</v>
      </c>
      <c r="KR5" t="s">
        <v>32</v>
      </c>
      <c r="KS5" s="7"/>
    </row>
    <row r="6" spans="1:305" hidden="1" x14ac:dyDescent="0.25">
      <c r="A6" s="24" t="s">
        <v>1</v>
      </c>
      <c r="B6" s="6">
        <v>90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>
        <v>-2.88</v>
      </c>
      <c r="U6" s="6"/>
      <c r="V6" s="6">
        <v>-0.19600000000000001</v>
      </c>
      <c r="W6" s="6"/>
      <c r="X6" s="6"/>
      <c r="Y6" s="6"/>
      <c r="Z6" s="6">
        <v>-2</v>
      </c>
      <c r="AA6" s="6"/>
      <c r="AB6" s="6"/>
      <c r="AC6" s="6"/>
      <c r="AD6" s="6"/>
      <c r="AE6" s="6"/>
      <c r="AF6" s="6"/>
      <c r="AG6" s="6"/>
      <c r="AH6" s="6">
        <v>-0.55200000000000005</v>
      </c>
      <c r="AI6" s="6">
        <v>-1.51</v>
      </c>
      <c r="AJ6" s="6"/>
      <c r="AK6" s="6"/>
      <c r="AL6" s="6"/>
      <c r="AM6" s="6"/>
      <c r="AN6" s="6"/>
      <c r="AO6" s="6">
        <v>-0.43</v>
      </c>
      <c r="AP6" s="6"/>
      <c r="AQ6" s="6">
        <v>-0.74099999999999999</v>
      </c>
      <c r="AR6" s="6"/>
      <c r="AS6" s="6"/>
      <c r="AT6" s="6">
        <v>-2.16</v>
      </c>
      <c r="AU6" s="6"/>
      <c r="AV6" s="6"/>
      <c r="AW6" s="6"/>
      <c r="AX6" s="6"/>
      <c r="AY6" s="6">
        <v>-0.91200000000000003</v>
      </c>
      <c r="AZ6" s="6"/>
      <c r="BA6" s="6"/>
      <c r="BB6" s="6"/>
      <c r="BC6" s="6"/>
      <c r="BD6" s="6"/>
      <c r="BE6" s="6">
        <v>-0.53400000000000003</v>
      </c>
      <c r="BF6" s="6"/>
      <c r="BG6" s="6"/>
      <c r="BH6" s="6"/>
      <c r="BI6" s="6"/>
      <c r="BJ6" s="6">
        <v>-0.44999999999999996</v>
      </c>
      <c r="BK6" s="6">
        <v>-5.2630000000000003E-2</v>
      </c>
      <c r="BL6" s="6"/>
      <c r="BM6" s="6"/>
      <c r="BN6" s="6"/>
      <c r="BO6" s="6">
        <v>-1.41</v>
      </c>
      <c r="BP6" s="6"/>
      <c r="BQ6" s="6"/>
      <c r="BR6" s="6">
        <v>-0.628</v>
      </c>
      <c r="BS6" s="6">
        <v>-1.73</v>
      </c>
      <c r="BT6" s="6"/>
      <c r="BU6" s="6"/>
      <c r="BV6" s="6">
        <v>-0.88</v>
      </c>
      <c r="BW6" s="6"/>
      <c r="BX6" s="6"/>
      <c r="BY6" s="6"/>
      <c r="BZ6" s="6"/>
      <c r="CA6" s="6">
        <v>-0.72</v>
      </c>
      <c r="CB6" s="6"/>
      <c r="CC6" s="6"/>
      <c r="CD6" s="6"/>
      <c r="CE6" s="6"/>
      <c r="CF6" s="6"/>
      <c r="CG6" s="6">
        <v>-0.48</v>
      </c>
      <c r="CH6" s="6"/>
      <c r="CI6" s="6"/>
      <c r="CJ6" s="6"/>
      <c r="CK6" s="6"/>
      <c r="CL6" s="6"/>
      <c r="CM6" s="6"/>
      <c r="CN6" s="6"/>
      <c r="CO6" s="6"/>
      <c r="CP6" s="6"/>
      <c r="CQ6" s="6"/>
      <c r="CR6" s="6">
        <v>-0.83</v>
      </c>
      <c r="CS6" s="6"/>
      <c r="CT6" s="6"/>
      <c r="CU6" s="6"/>
      <c r="CV6" s="6"/>
      <c r="CW6" s="6"/>
      <c r="CX6" s="6">
        <v>-13.08</v>
      </c>
      <c r="CY6" s="6"/>
      <c r="CZ6" s="6"/>
      <c r="DA6" s="6">
        <v>-1.2</v>
      </c>
      <c r="DB6" s="6">
        <v>-0.77400000000000002</v>
      </c>
      <c r="DC6" s="6"/>
      <c r="DD6" s="6"/>
      <c r="DE6" s="6">
        <v>-0.05</v>
      </c>
      <c r="DF6" s="6"/>
      <c r="DG6" s="6">
        <v>-0.04</v>
      </c>
      <c r="DH6" s="6"/>
      <c r="DI6" s="6"/>
      <c r="DJ6" s="6"/>
      <c r="DK6" s="6"/>
      <c r="DL6" s="6"/>
      <c r="DM6" s="6"/>
      <c r="DN6" s="6">
        <v>-1.83</v>
      </c>
      <c r="DO6" s="6"/>
      <c r="DP6" s="6"/>
      <c r="DQ6" s="6">
        <v>-0.7</v>
      </c>
      <c r="DR6" s="6"/>
      <c r="DS6" s="6"/>
      <c r="DT6" s="6"/>
      <c r="DU6" s="6"/>
      <c r="DV6" s="6"/>
      <c r="DW6" s="6"/>
      <c r="DX6" s="6">
        <v>-0.27600000000000002</v>
      </c>
      <c r="DY6" s="6">
        <v>-0.11</v>
      </c>
      <c r="DZ6" s="6"/>
      <c r="EA6" s="6">
        <v>-1.129</v>
      </c>
      <c r="EB6" s="6"/>
      <c r="EC6" s="6">
        <v>-1.45</v>
      </c>
      <c r="ED6" s="6"/>
      <c r="EE6" s="6"/>
      <c r="EF6" s="6"/>
      <c r="EG6" s="6"/>
      <c r="EH6" s="6"/>
      <c r="EI6" s="6"/>
      <c r="EJ6" s="6"/>
      <c r="EK6" s="6">
        <v>-3.0000000000000001E-3</v>
      </c>
      <c r="EL6" s="6">
        <v>-0.24</v>
      </c>
      <c r="EM6" s="6"/>
      <c r="EN6" s="6">
        <v>-6.1</v>
      </c>
      <c r="EO6" s="6"/>
      <c r="EP6" s="6"/>
      <c r="EQ6" s="6"/>
      <c r="ER6" s="6">
        <v>-0.27</v>
      </c>
      <c r="ES6" s="6"/>
      <c r="ET6" s="6"/>
      <c r="EU6" s="6"/>
      <c r="EV6" s="6"/>
      <c r="EW6" s="6">
        <v>-0.05</v>
      </c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>
        <v>-1.39</v>
      </c>
      <c r="FO6" s="6"/>
      <c r="FP6" s="6"/>
      <c r="FQ6" s="6"/>
      <c r="FR6" s="6"/>
      <c r="FS6" s="6">
        <v>-0.62</v>
      </c>
      <c r="FT6" s="6">
        <v>-0.15</v>
      </c>
      <c r="FU6" s="6"/>
      <c r="FV6" s="6">
        <v>-2</v>
      </c>
      <c r="FW6" s="6"/>
      <c r="FX6" s="6"/>
      <c r="FY6" s="6"/>
      <c r="FZ6" s="6"/>
      <c r="GA6" s="6">
        <v>-0.40649999999999997</v>
      </c>
      <c r="GB6" s="6"/>
      <c r="GC6" s="6"/>
      <c r="GD6" s="6"/>
      <c r="GE6" s="6">
        <v>-0.93799999999999994</v>
      </c>
      <c r="GF6" s="6"/>
      <c r="GG6" s="6">
        <v>-3.1799999999999997</v>
      </c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>
        <v>-1.22</v>
      </c>
      <c r="HA6" s="6"/>
      <c r="HB6" s="6">
        <v>-0.39800000000000002</v>
      </c>
      <c r="HC6" s="6">
        <v>-0.45938000000000001</v>
      </c>
      <c r="HD6" s="6">
        <v>-2.8410000000000002</v>
      </c>
      <c r="HE6" s="6"/>
      <c r="HF6" s="6">
        <v>-0.16600000000000001</v>
      </c>
      <c r="HG6" s="6"/>
      <c r="HH6" s="6"/>
      <c r="HI6" s="6">
        <v>-2.0299999999999998</v>
      </c>
      <c r="HJ6" s="6"/>
      <c r="HK6" s="6"/>
      <c r="HL6" s="6"/>
      <c r="HM6" s="6"/>
      <c r="HN6" s="6"/>
      <c r="HO6" s="6"/>
      <c r="HP6" s="6"/>
      <c r="HQ6" s="6"/>
      <c r="HR6" s="6">
        <v>-0.27960000000000002</v>
      </c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>
        <v>-1.7000000000000002</v>
      </c>
      <c r="IH6" s="6"/>
      <c r="II6" s="6"/>
      <c r="IJ6" s="6">
        <v>-0.51749999999999996</v>
      </c>
      <c r="IK6" s="6"/>
      <c r="IL6" s="6"/>
      <c r="IM6" s="6"/>
      <c r="IN6" s="6"/>
      <c r="IO6" s="6"/>
      <c r="IP6" s="6"/>
      <c r="IQ6" s="6">
        <v>-0.94</v>
      </c>
      <c r="IR6" s="6">
        <v>-0.23</v>
      </c>
      <c r="IS6" s="6"/>
      <c r="IT6" s="6"/>
      <c r="IU6" s="6"/>
      <c r="IV6" s="6"/>
      <c r="IW6" s="6">
        <v>-2</v>
      </c>
      <c r="IX6" s="6"/>
      <c r="IY6" s="6"/>
      <c r="IZ6" s="6"/>
      <c r="JA6" s="6"/>
      <c r="JB6" s="6"/>
      <c r="JC6" s="6"/>
      <c r="JD6" s="6"/>
      <c r="JE6" s="6"/>
      <c r="JF6" s="6"/>
      <c r="JG6" s="6">
        <v>-0.77</v>
      </c>
      <c r="JH6" s="6">
        <v>-2.4699999999999998</v>
      </c>
      <c r="JI6" s="6">
        <v>-1.1000000000000001</v>
      </c>
      <c r="JJ6" s="6">
        <v>-1.73384</v>
      </c>
      <c r="JK6" s="6"/>
      <c r="JL6" s="6"/>
      <c r="JM6" s="6"/>
      <c r="JN6" s="6"/>
      <c r="JO6" s="6">
        <v>-0.10199999999999999</v>
      </c>
      <c r="JP6" s="6">
        <v>-0.76</v>
      </c>
      <c r="JQ6" s="6">
        <v>-0.66200000000000003</v>
      </c>
      <c r="JR6" s="6"/>
      <c r="JS6" s="6"/>
      <c r="JT6" s="6"/>
      <c r="JU6" s="6"/>
      <c r="JV6" s="6"/>
      <c r="JW6" s="6"/>
      <c r="JX6" s="6">
        <v>-1.17</v>
      </c>
      <c r="JY6" s="6"/>
      <c r="JZ6" s="6"/>
      <c r="KA6" s="6">
        <v>-5.04</v>
      </c>
      <c r="KB6" s="6"/>
      <c r="KC6" s="6"/>
      <c r="KD6" s="6">
        <v>-5.94</v>
      </c>
      <c r="KE6" s="6"/>
      <c r="KF6" s="6"/>
      <c r="KG6" s="6">
        <v>-0.99</v>
      </c>
      <c r="KH6" s="6"/>
      <c r="KI6" s="6"/>
      <c r="KJ6" s="6"/>
      <c r="KK6" s="6">
        <v>-0.46499999999999997</v>
      </c>
      <c r="KL6" s="6"/>
      <c r="KM6" s="6"/>
      <c r="KN6" s="6"/>
      <c r="KO6" s="6"/>
      <c r="KP6" s="6"/>
      <c r="KQ6" s="6"/>
      <c r="KR6" s="6"/>
      <c r="KS6" s="6">
        <v>0.93354999999997113</v>
      </c>
    </row>
    <row r="7" spans="1:305" hidden="1" x14ac:dyDescent="0.25">
      <c r="A7" s="24" t="s">
        <v>2</v>
      </c>
      <c r="B7" s="6">
        <v>90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>
        <v>-0.78</v>
      </c>
      <c r="P7" s="6"/>
      <c r="Q7" s="6"/>
      <c r="R7" s="6"/>
      <c r="S7" s="6"/>
      <c r="T7" s="6"/>
      <c r="U7" s="6"/>
      <c r="V7" s="6"/>
      <c r="W7" s="6"/>
      <c r="X7" s="6"/>
      <c r="Y7" s="6">
        <v>-3</v>
      </c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>
        <v>-0.88600000000000001</v>
      </c>
      <c r="BA7" s="6"/>
      <c r="BB7" s="6"/>
      <c r="BC7" s="6"/>
      <c r="BD7" s="6">
        <v>-0.12</v>
      </c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>
        <v>-0.16</v>
      </c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>
        <v>-0.35560000000000003</v>
      </c>
      <c r="DQ7" s="6"/>
      <c r="DR7" s="6"/>
      <c r="DS7" s="6">
        <v>-0.36199999999999999</v>
      </c>
      <c r="DT7" s="6"/>
      <c r="DU7" s="6">
        <v>-0.99</v>
      </c>
      <c r="DV7" s="6"/>
      <c r="DW7" s="6"/>
      <c r="DX7" s="6"/>
      <c r="DY7" s="6"/>
      <c r="DZ7" s="6"/>
      <c r="EA7" s="6"/>
      <c r="EB7" s="6"/>
      <c r="EC7" s="6"/>
      <c r="ED7" s="6"/>
      <c r="EE7" s="6"/>
      <c r="EF7" s="6">
        <v>-0.46</v>
      </c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>
        <v>-1.7999999999999999E-2</v>
      </c>
      <c r="EX7" s="6"/>
      <c r="EY7" s="6">
        <v>-0.48599999999999999</v>
      </c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>
        <v>-2.2000000000000002</v>
      </c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>
        <v>-1.74</v>
      </c>
      <c r="GK7" s="6"/>
      <c r="GL7" s="6">
        <v>-0.39</v>
      </c>
      <c r="GM7" s="6"/>
      <c r="GN7" s="6"/>
      <c r="GO7" s="6">
        <v>-0.121</v>
      </c>
      <c r="GP7" s="6"/>
      <c r="GQ7" s="6">
        <v>-2.9000000000000001E-2</v>
      </c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>
        <v>1.7999999999999999E-2</v>
      </c>
      <c r="HK7" s="6">
        <v>-0.312</v>
      </c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>
        <v>-4.3999999999999997E-2</v>
      </c>
      <c r="IF7" s="6"/>
      <c r="IG7" s="6"/>
      <c r="IH7" s="6">
        <v>-0.41</v>
      </c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>
        <v>77.154400000000038</v>
      </c>
    </row>
    <row r="8" spans="1:305" hidden="1" x14ac:dyDescent="0.25">
      <c r="A8" s="24" t="s">
        <v>9</v>
      </c>
      <c r="B8" s="6">
        <v>90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>
        <v>-0.23</v>
      </c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>
        <v>-0.30199999999999999</v>
      </c>
      <c r="BR8" s="6"/>
      <c r="BS8" s="6"/>
      <c r="BT8" s="6"/>
      <c r="BU8" s="6"/>
      <c r="BV8" s="6"/>
      <c r="BW8" s="6"/>
      <c r="BX8" s="6"/>
      <c r="BY8" s="6"/>
      <c r="BZ8" s="6">
        <v>-1.1659999999999999</v>
      </c>
      <c r="CA8" s="6"/>
      <c r="CB8" s="6"/>
      <c r="CC8" s="6"/>
      <c r="CD8" s="6"/>
      <c r="CE8" s="6"/>
      <c r="CF8" s="6"/>
      <c r="CG8" s="6"/>
      <c r="CH8" s="6">
        <v>-9.7000000000000003E-2</v>
      </c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>
        <v>-0.25</v>
      </c>
      <c r="DY8" s="6">
        <v>-0.18</v>
      </c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>
        <v>-0.124</v>
      </c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>
        <v>-6.5000000000000002E-2</v>
      </c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>
        <v>-0.46</v>
      </c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>
        <v>-0.13</v>
      </c>
      <c r="KJ8" s="6"/>
      <c r="KK8" s="6"/>
      <c r="KL8" s="6">
        <v>-1.03</v>
      </c>
      <c r="KM8" s="6"/>
      <c r="KN8" s="6"/>
      <c r="KO8" s="6"/>
      <c r="KP8" s="6"/>
      <c r="KQ8" s="6"/>
      <c r="KR8" s="6"/>
      <c r="KS8" s="6">
        <v>85.966000000000008</v>
      </c>
    </row>
    <row r="9" spans="1:305" hidden="1" x14ac:dyDescent="0.25">
      <c r="A9" s="24" t="s">
        <v>4</v>
      </c>
      <c r="B9" s="6">
        <v>90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>
        <v>-3.1999999999999997</v>
      </c>
      <c r="AM9" s="6"/>
      <c r="AN9" s="6">
        <v>-7.01</v>
      </c>
      <c r="AO9" s="6"/>
      <c r="AP9" s="6">
        <v>-1.1085</v>
      </c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>
        <v>-0.28000000000000003</v>
      </c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>
        <v>-0.248</v>
      </c>
      <c r="CN9" s="6"/>
      <c r="CO9" s="6"/>
      <c r="CP9" s="6"/>
      <c r="CQ9" s="6"/>
      <c r="CR9" s="6"/>
      <c r="CS9" s="6"/>
      <c r="CT9" s="6"/>
      <c r="CU9" s="6"/>
      <c r="CV9" s="6"/>
      <c r="CW9" s="6">
        <v>-2.1</v>
      </c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>
        <v>-0.96</v>
      </c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>
        <v>-3</v>
      </c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>
        <v>-6.9420000000000002</v>
      </c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>
        <v>-0.216</v>
      </c>
      <c r="GO9" s="6">
        <v>-2.5</v>
      </c>
      <c r="GP9" s="6"/>
      <c r="GQ9" s="6"/>
      <c r="GR9" s="6"/>
      <c r="GS9" s="6"/>
      <c r="GT9" s="6"/>
      <c r="GU9" s="6"/>
      <c r="GV9" s="6"/>
      <c r="GW9" s="6">
        <v>-0.60000000000000009</v>
      </c>
      <c r="GX9" s="6"/>
      <c r="GY9" s="6"/>
      <c r="GZ9" s="6"/>
      <c r="HA9" s="6"/>
      <c r="HB9" s="6"/>
      <c r="HC9" s="6"/>
      <c r="HD9" s="6"/>
      <c r="HE9" s="6">
        <v>-1.44</v>
      </c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>
        <v>-3.51</v>
      </c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>
        <v>-1.4</v>
      </c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>
        <v>-8.0000000000000002E-3</v>
      </c>
      <c r="JQ9" s="6"/>
      <c r="JR9" s="6"/>
      <c r="JS9" s="6"/>
      <c r="JT9" s="6">
        <v>-1.2</v>
      </c>
      <c r="JU9" s="6">
        <v>-0.43</v>
      </c>
      <c r="JV9" s="6"/>
      <c r="JW9" s="6"/>
      <c r="JX9" s="6"/>
      <c r="JY9" s="6"/>
      <c r="JZ9" s="6">
        <v>-0.53</v>
      </c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>
        <v>-1.58</v>
      </c>
      <c r="KN9" s="6"/>
      <c r="KO9" s="6"/>
      <c r="KP9" s="6">
        <v>-0.71</v>
      </c>
      <c r="KQ9" s="6"/>
      <c r="KR9" s="6"/>
      <c r="KS9" s="6">
        <v>51.027500000000003</v>
      </c>
    </row>
    <row r="10" spans="1:305" hidden="1" x14ac:dyDescent="0.25">
      <c r="A10" s="24" t="s">
        <v>6</v>
      </c>
      <c r="B10" s="6">
        <v>90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>
        <v>-1.8</v>
      </c>
      <c r="W10" s="6">
        <v>-0.88</v>
      </c>
      <c r="X10" s="6"/>
      <c r="Y10" s="6"/>
      <c r="Z10" s="6"/>
      <c r="AA10" s="6"/>
      <c r="AB10" s="6"/>
      <c r="AC10" s="6"/>
      <c r="AD10" s="6"/>
      <c r="AE10" s="6">
        <v>-1.3599999999999999</v>
      </c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>
        <v>-0.18</v>
      </c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>
        <v>-0.2122</v>
      </c>
      <c r="BY10" s="6">
        <v>-7.0000000000000001E-3</v>
      </c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>
        <v>-0.25</v>
      </c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>
        <v>-0.218</v>
      </c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>
        <v>-0.755</v>
      </c>
      <c r="EI10" s="6"/>
      <c r="EJ10" s="6"/>
      <c r="EK10" s="6">
        <v>-6.8000000000000005E-2</v>
      </c>
      <c r="EL10" s="6"/>
      <c r="EM10" s="6"/>
      <c r="EN10" s="6"/>
      <c r="EO10" s="6"/>
      <c r="EP10" s="6"/>
      <c r="EQ10" s="6"/>
      <c r="ER10" s="6"/>
      <c r="ES10" s="6"/>
      <c r="ET10" s="6">
        <v>-0.25</v>
      </c>
      <c r="EU10" s="6"/>
      <c r="EV10" s="6"/>
      <c r="EW10" s="6"/>
      <c r="EX10" s="6"/>
      <c r="EY10" s="6"/>
      <c r="EZ10" s="6">
        <v>-0.04</v>
      </c>
      <c r="FA10" s="6"/>
      <c r="FB10" s="6"/>
      <c r="FC10" s="6"/>
      <c r="FD10" s="6">
        <v>-0.12</v>
      </c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>
        <v>-0.53</v>
      </c>
      <c r="FQ10" s="6"/>
      <c r="FR10" s="6"/>
      <c r="FS10" s="6"/>
      <c r="FT10" s="6"/>
      <c r="FU10" s="6"/>
      <c r="FV10" s="6"/>
      <c r="FW10" s="6"/>
      <c r="FX10" s="6"/>
      <c r="FY10" s="6"/>
      <c r="FZ10" s="6">
        <v>-0.20300000000000001</v>
      </c>
      <c r="GA10" s="6"/>
      <c r="GB10" s="6">
        <v>-0.42</v>
      </c>
      <c r="GC10" s="6"/>
      <c r="GD10" s="6"/>
      <c r="GE10" s="6"/>
      <c r="GF10" s="6"/>
      <c r="GG10" s="6"/>
      <c r="GH10" s="6"/>
      <c r="GI10" s="6"/>
      <c r="GJ10" s="6">
        <v>-0.6</v>
      </c>
      <c r="GK10" s="6"/>
      <c r="GL10" s="6"/>
      <c r="GM10" s="6"/>
      <c r="GN10" s="6"/>
      <c r="GO10" s="6">
        <v>-2.8000000000000001E-2</v>
      </c>
      <c r="GP10" s="6"/>
      <c r="GQ10" s="6"/>
      <c r="GR10" s="6">
        <v>-1.298</v>
      </c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>
        <v>-0.26</v>
      </c>
      <c r="HX10" s="6"/>
      <c r="HY10" s="6"/>
      <c r="HZ10" s="6"/>
      <c r="IA10" s="6">
        <v>-1.6</v>
      </c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>
        <v>-0.6</v>
      </c>
      <c r="JS10" s="6">
        <v>-0.3</v>
      </c>
      <c r="JT10" s="6"/>
      <c r="JU10" s="6"/>
      <c r="JV10" s="6"/>
      <c r="JW10" s="6"/>
      <c r="JX10" s="6"/>
      <c r="JY10" s="6">
        <v>-0.4</v>
      </c>
      <c r="JZ10" s="6"/>
      <c r="KA10" s="6"/>
      <c r="KB10" s="6">
        <v>-0.442</v>
      </c>
      <c r="KC10" s="6"/>
      <c r="KD10" s="6"/>
      <c r="KE10" s="6">
        <v>-0.25800000000000001</v>
      </c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>
        <v>-2.5000000000000001E-2</v>
      </c>
      <c r="KR10" s="6"/>
      <c r="KS10" s="6">
        <v>76.895799999999994</v>
      </c>
    </row>
    <row r="11" spans="1:305" ht="30" hidden="1" x14ac:dyDescent="0.25">
      <c r="A11" s="24" t="s">
        <v>11</v>
      </c>
      <c r="B11" s="6">
        <v>115</v>
      </c>
      <c r="C11" s="6"/>
      <c r="D11" s="6">
        <v>-4.2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>
        <v>-0.39</v>
      </c>
      <c r="Q11" s="6"/>
      <c r="R11" s="6">
        <v>-2.64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>
        <v>-0.02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>
        <v>-1.76</v>
      </c>
      <c r="AV11" s="6"/>
      <c r="AW11" s="6"/>
      <c r="AX11" s="6"/>
      <c r="AY11" s="6">
        <v>-0.45200000000000001</v>
      </c>
      <c r="AZ11" s="6"/>
      <c r="BA11" s="6">
        <v>-0.624</v>
      </c>
      <c r="BB11" s="6"/>
      <c r="BC11" s="6"/>
      <c r="BD11" s="6"/>
      <c r="BE11" s="6"/>
      <c r="BF11" s="6">
        <v>-0.94</v>
      </c>
      <c r="BG11" s="6"/>
      <c r="BH11" s="6">
        <v>-0.14799999999999999</v>
      </c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>
        <v>-1.3</v>
      </c>
      <c r="BV11" s="6"/>
      <c r="BW11" s="6"/>
      <c r="BX11" s="6">
        <v>-0.02</v>
      </c>
      <c r="BY11" s="6"/>
      <c r="BZ11" s="6"/>
      <c r="CA11" s="6"/>
      <c r="CB11" s="6"/>
      <c r="CC11" s="6">
        <v>-0.5</v>
      </c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>
        <v>-0.1875</v>
      </c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>
        <v>-0.16</v>
      </c>
      <c r="EB11" s="6"/>
      <c r="EC11" s="6"/>
      <c r="ED11" s="6"/>
      <c r="EE11" s="6">
        <v>-0.97</v>
      </c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>
        <v>-0.93</v>
      </c>
      <c r="EZ11" s="6"/>
      <c r="FA11" s="6"/>
      <c r="FB11" s="6"/>
      <c r="FC11" s="6"/>
      <c r="FD11" s="6"/>
      <c r="FE11" s="6"/>
      <c r="FF11" s="6"/>
      <c r="FG11" s="6">
        <v>-0.1</v>
      </c>
      <c r="FH11" s="6">
        <v>-0.45</v>
      </c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>
        <v>-0.38</v>
      </c>
      <c r="HA11" s="6"/>
      <c r="HB11" s="6">
        <v>-0.95</v>
      </c>
      <c r="HC11" s="6"/>
      <c r="HD11" s="6"/>
      <c r="HE11" s="6"/>
      <c r="HF11" s="6"/>
      <c r="HG11" s="6"/>
      <c r="HH11" s="6">
        <v>-0.16900000000000001</v>
      </c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>
        <v>-0.02</v>
      </c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>
        <v>-3.17</v>
      </c>
      <c r="JL11" s="6"/>
      <c r="JM11" s="6"/>
      <c r="JN11" s="6"/>
      <c r="JO11" s="6"/>
      <c r="JP11" s="6">
        <v>-1.45</v>
      </c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>
        <v>-0.5</v>
      </c>
      <c r="KD11" s="6"/>
      <c r="KE11" s="6"/>
      <c r="KF11" s="6"/>
      <c r="KG11" s="6"/>
      <c r="KH11" s="6">
        <v>-0.06</v>
      </c>
      <c r="KI11" s="6"/>
      <c r="KJ11" s="6">
        <v>-0.04</v>
      </c>
      <c r="KK11" s="6"/>
      <c r="KL11" s="6">
        <v>-0.11</v>
      </c>
      <c r="KM11" s="6"/>
      <c r="KN11" s="6"/>
      <c r="KO11" s="6"/>
      <c r="KP11" s="6"/>
      <c r="KQ11" s="6"/>
      <c r="KR11" s="6"/>
      <c r="KS11" s="6">
        <v>92.359500000000011</v>
      </c>
    </row>
    <row r="12" spans="1:305" hidden="1" x14ac:dyDescent="0.25">
      <c r="A12" s="24" t="s">
        <v>3</v>
      </c>
      <c r="B12" s="6">
        <v>90</v>
      </c>
      <c r="C12" s="6"/>
      <c r="D12" s="6"/>
      <c r="E12" s="6"/>
      <c r="F12" s="6"/>
      <c r="G12" s="6"/>
      <c r="H12" s="6">
        <v>-1.54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>
        <v>-1.1850000000000001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>
        <v>-0.42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>
        <v>-2.3260000000000001</v>
      </c>
      <c r="BV12" s="6">
        <v>-0.42</v>
      </c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>
        <v>-0.79</v>
      </c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>
        <v>-0.84</v>
      </c>
      <c r="DX12" s="6"/>
      <c r="DY12" s="6">
        <v>-8.016</v>
      </c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>
        <v>-0.28360000000000002</v>
      </c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>
        <v>-0.23</v>
      </c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>
        <v>-0.26</v>
      </c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>
        <v>-2.8000000000000001E-2</v>
      </c>
      <c r="GZ12" s="6"/>
      <c r="HA12" s="6"/>
      <c r="HB12" s="6"/>
      <c r="HC12" s="6"/>
      <c r="HD12" s="6"/>
      <c r="HE12" s="6"/>
      <c r="HF12" s="6">
        <v>-0.7</v>
      </c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>
        <v>-5.1289999999999996</v>
      </c>
      <c r="HR12" s="6"/>
      <c r="HS12" s="6">
        <v>-0.57999999999999996</v>
      </c>
      <c r="HT12" s="6"/>
      <c r="HU12" s="6"/>
      <c r="HV12" s="6">
        <v>-0.27</v>
      </c>
      <c r="HW12" s="6"/>
      <c r="HX12" s="6"/>
      <c r="HY12" s="6"/>
      <c r="HZ12" s="6"/>
      <c r="IA12" s="6"/>
      <c r="IB12" s="6"/>
      <c r="IC12" s="6"/>
      <c r="ID12" s="6">
        <v>-1.1499999999999999</v>
      </c>
      <c r="IE12" s="6"/>
      <c r="IF12" s="6"/>
      <c r="IG12" s="6"/>
      <c r="IH12" s="6"/>
      <c r="II12" s="6"/>
      <c r="IJ12" s="6"/>
      <c r="IK12" s="6"/>
      <c r="IL12" s="6">
        <v>-0.49399999999999999</v>
      </c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>
        <v>-0.33600000000000002</v>
      </c>
      <c r="KO12" s="6"/>
      <c r="KP12" s="6"/>
      <c r="KQ12" s="6"/>
      <c r="KR12" s="6"/>
      <c r="KS12" s="6">
        <v>65.002399999999952</v>
      </c>
    </row>
    <row r="13" spans="1:305" hidden="1" x14ac:dyDescent="0.25">
      <c r="A13" s="24" t="s">
        <v>10</v>
      </c>
      <c r="B13" s="6">
        <v>90</v>
      </c>
      <c r="C13" s="6">
        <v>-2</v>
      </c>
      <c r="D13" s="6"/>
      <c r="E13" s="6"/>
      <c r="F13" s="6"/>
      <c r="G13" s="6"/>
      <c r="H13" s="6"/>
      <c r="I13" s="6"/>
      <c r="J13" s="6"/>
      <c r="K13" s="6">
        <v>-0.73</v>
      </c>
      <c r="L13" s="6"/>
      <c r="M13" s="6"/>
      <c r="N13" s="6"/>
      <c r="O13" s="6"/>
      <c r="P13" s="6"/>
      <c r="Q13" s="6">
        <v>-6.5000000000000002E-2</v>
      </c>
      <c r="R13" s="6"/>
      <c r="S13" s="6"/>
      <c r="T13" s="6"/>
      <c r="U13" s="6"/>
      <c r="V13" s="6"/>
      <c r="W13" s="6"/>
      <c r="X13" s="6">
        <v>-2.1</v>
      </c>
      <c r="Y13" s="6">
        <v>-0.9</v>
      </c>
      <c r="Z13" s="6"/>
      <c r="AA13" s="6"/>
      <c r="AB13" s="6"/>
      <c r="AC13" s="6">
        <v>-0.49</v>
      </c>
      <c r="AD13" s="6"/>
      <c r="AE13" s="6"/>
      <c r="AF13" s="6"/>
      <c r="AG13" s="6"/>
      <c r="AH13" s="6"/>
      <c r="AI13" s="6"/>
      <c r="AJ13" s="6"/>
      <c r="AK13" s="6">
        <v>-11.209999999999999</v>
      </c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>
        <v>-1.08</v>
      </c>
      <c r="BJ13" s="6"/>
      <c r="BK13" s="6"/>
      <c r="BL13" s="6">
        <v>-0.81400000000000006</v>
      </c>
      <c r="BM13" s="6"/>
      <c r="BN13" s="6"/>
      <c r="BO13" s="6"/>
      <c r="BP13" s="6"/>
      <c r="BQ13" s="6"/>
      <c r="BR13" s="6"/>
      <c r="BS13" s="6"/>
      <c r="BT13" s="6"/>
      <c r="BU13" s="6">
        <v>-0.221</v>
      </c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>
        <v>-0.14000000000000001</v>
      </c>
      <c r="CO13" s="6"/>
      <c r="CP13" s="6"/>
      <c r="CQ13" s="6"/>
      <c r="CR13" s="6"/>
      <c r="CS13" s="6"/>
      <c r="CT13" s="6"/>
      <c r="CU13" s="6">
        <v>-2.4300000000000002</v>
      </c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>
        <v>-0.78</v>
      </c>
      <c r="DG13" s="6">
        <v>-0.99099999999999999</v>
      </c>
      <c r="DH13" s="6"/>
      <c r="DI13" s="6">
        <v>-0.6</v>
      </c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>
        <v>-0.90999999999999992</v>
      </c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>
        <v>-17.68</v>
      </c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>
        <v>-1.3</v>
      </c>
      <c r="FJ13" s="6">
        <v>-0.1</v>
      </c>
      <c r="FK13" s="6">
        <v>-1.1000000000000001</v>
      </c>
      <c r="FL13" s="6"/>
      <c r="FM13" s="6"/>
      <c r="FN13" s="6"/>
      <c r="FO13" s="6">
        <v>-0.54</v>
      </c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>
        <v>-0.38</v>
      </c>
      <c r="GE13" s="6"/>
      <c r="GF13" s="6"/>
      <c r="GG13" s="6">
        <v>-1.3</v>
      </c>
      <c r="GH13" s="6"/>
      <c r="GI13" s="6">
        <v>-0.72</v>
      </c>
      <c r="GJ13" s="6">
        <v>-6.8000000000000005E-2</v>
      </c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>
        <v>-0.4</v>
      </c>
      <c r="GV13" s="6">
        <v>-5.9</v>
      </c>
      <c r="GW13" s="6"/>
      <c r="GX13" s="6"/>
      <c r="GY13" s="6"/>
      <c r="GZ13" s="6"/>
      <c r="HA13" s="6"/>
      <c r="HB13" s="6"/>
      <c r="HC13" s="6"/>
      <c r="HD13" s="6"/>
      <c r="HE13" s="6">
        <v>-3.3</v>
      </c>
      <c r="HF13" s="6"/>
      <c r="HG13" s="6"/>
      <c r="HH13" s="6">
        <v>-1.3</v>
      </c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>
        <v>-7.3599999999999999E-2</v>
      </c>
      <c r="IT13" s="6"/>
      <c r="IU13" s="6"/>
      <c r="IV13" s="6"/>
      <c r="IW13" s="6"/>
      <c r="IX13" s="6"/>
      <c r="IY13" s="6"/>
      <c r="IZ13" s="6">
        <v>-1.3</v>
      </c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>
        <v>-1.3</v>
      </c>
      <c r="KS13" s="6">
        <v>27.777400000000021</v>
      </c>
    </row>
    <row r="14" spans="1:305" hidden="1" x14ac:dyDescent="0.25">
      <c r="A14" s="24" t="s">
        <v>5</v>
      </c>
      <c r="B14" s="6">
        <v>90</v>
      </c>
      <c r="C14" s="6"/>
      <c r="D14" s="6"/>
      <c r="E14" s="6"/>
      <c r="F14" s="6">
        <v>-0.43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>
        <v>-0.14099999999999999</v>
      </c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>
        <v>-0.14000000000000001</v>
      </c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>
        <v>-0.4</v>
      </c>
      <c r="BN14" s="6"/>
      <c r="BO14" s="6"/>
      <c r="BP14" s="6"/>
      <c r="BQ14" s="6"/>
      <c r="BR14" s="6"/>
      <c r="BS14" s="6"/>
      <c r="BT14" s="6"/>
      <c r="BU14" s="6"/>
      <c r="BV14" s="6"/>
      <c r="BW14" s="6">
        <v>-1.58</v>
      </c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>
        <v>-1.4450000000000001</v>
      </c>
      <c r="CP14" s="6">
        <v>-0.33400000000000002</v>
      </c>
      <c r="CQ14" s="6"/>
      <c r="CR14" s="6">
        <v>-7.4999999999999997E-2</v>
      </c>
      <c r="CS14" s="6"/>
      <c r="CT14" s="6">
        <v>-0.15</v>
      </c>
      <c r="CU14" s="6"/>
      <c r="CV14" s="6"/>
      <c r="CW14" s="6"/>
      <c r="CX14" s="6"/>
      <c r="CY14" s="6"/>
      <c r="CZ14" s="6"/>
      <c r="DA14" s="6"/>
      <c r="DB14" s="6"/>
      <c r="DC14" s="6"/>
      <c r="DD14" s="6">
        <v>-0.15960000000000002</v>
      </c>
      <c r="DE14" s="6"/>
      <c r="DF14" s="6"/>
      <c r="DG14" s="6"/>
      <c r="DH14" s="6">
        <v>-2.09</v>
      </c>
      <c r="DI14" s="6"/>
      <c r="DJ14" s="6"/>
      <c r="DK14" s="6"/>
      <c r="DL14" s="6"/>
      <c r="DM14" s="6"/>
      <c r="DN14" s="6"/>
      <c r="DO14" s="6"/>
      <c r="DP14" s="6"/>
      <c r="DQ14" s="6"/>
      <c r="DR14" s="6">
        <v>-7.4999999999999997E-3</v>
      </c>
      <c r="DS14" s="6"/>
      <c r="DT14" s="6"/>
      <c r="DU14" s="6"/>
      <c r="DV14" s="6"/>
      <c r="DW14" s="6"/>
      <c r="DX14" s="6"/>
      <c r="DY14" s="6"/>
      <c r="DZ14" s="6">
        <v>-1.8800000000000001</v>
      </c>
      <c r="EA14" s="6"/>
      <c r="EB14" s="6">
        <v>-0.35</v>
      </c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>
        <v>-3.98</v>
      </c>
      <c r="EQ14" s="6">
        <v>-0.94</v>
      </c>
      <c r="ER14" s="6"/>
      <c r="ES14" s="6"/>
      <c r="ET14" s="6">
        <v>-0.62</v>
      </c>
      <c r="EU14" s="6"/>
      <c r="EV14" s="6"/>
      <c r="EW14" s="6"/>
      <c r="EX14" s="6">
        <v>-0.4</v>
      </c>
      <c r="EY14" s="6"/>
      <c r="EZ14" s="6"/>
      <c r="FA14" s="6">
        <v>-0.78</v>
      </c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>
        <v>-0.32</v>
      </c>
      <c r="FO14" s="6"/>
      <c r="FP14" s="6"/>
      <c r="FQ14" s="6"/>
      <c r="FR14" s="6"/>
      <c r="FS14" s="6"/>
      <c r="FT14" s="6"/>
      <c r="FU14" s="6"/>
      <c r="FV14" s="6"/>
      <c r="FW14" s="6"/>
      <c r="FX14" s="6">
        <v>-3.55</v>
      </c>
      <c r="FY14" s="6"/>
      <c r="FZ14" s="6"/>
      <c r="GA14" s="6"/>
      <c r="GB14" s="6"/>
      <c r="GC14" s="6"/>
      <c r="GD14" s="6"/>
      <c r="GE14" s="6"/>
      <c r="GF14" s="6"/>
      <c r="GG14" s="6"/>
      <c r="GH14" s="6">
        <v>-0.7</v>
      </c>
      <c r="GI14" s="6"/>
      <c r="GJ14" s="6">
        <v>-0.99</v>
      </c>
      <c r="GK14" s="6"/>
      <c r="GL14" s="6"/>
      <c r="GM14" s="6"/>
      <c r="GN14" s="6"/>
      <c r="GO14" s="6"/>
      <c r="GP14" s="6"/>
      <c r="GQ14" s="6"/>
      <c r="GR14" s="6"/>
      <c r="GS14" s="6"/>
      <c r="GT14" s="6">
        <v>-0.4</v>
      </c>
      <c r="GU14" s="6"/>
      <c r="GV14" s="6"/>
      <c r="GW14" s="6"/>
      <c r="GX14" s="6"/>
      <c r="GY14" s="6"/>
      <c r="GZ14" s="6">
        <v>-0.1</v>
      </c>
      <c r="HA14" s="6"/>
      <c r="HB14" s="6"/>
      <c r="HC14" s="6"/>
      <c r="HD14" s="6"/>
      <c r="HE14" s="6"/>
      <c r="HF14" s="6">
        <v>-0.04</v>
      </c>
      <c r="HG14" s="6">
        <v>-1.268</v>
      </c>
      <c r="HH14" s="6"/>
      <c r="HI14" s="6">
        <v>-0.5</v>
      </c>
      <c r="HJ14" s="6"/>
      <c r="HK14" s="6"/>
      <c r="HL14" s="6"/>
      <c r="HM14" s="6">
        <v>-0.64</v>
      </c>
      <c r="HN14" s="6">
        <v>-1.5</v>
      </c>
      <c r="HO14" s="6"/>
      <c r="HP14" s="6"/>
      <c r="HQ14" s="6"/>
      <c r="HR14" s="6">
        <v>-0.43</v>
      </c>
      <c r="HS14" s="6"/>
      <c r="HT14" s="6"/>
      <c r="HU14" s="6"/>
      <c r="HV14" s="6"/>
      <c r="HW14" s="6"/>
      <c r="HX14" s="6">
        <v>-0.3</v>
      </c>
      <c r="HY14" s="6"/>
      <c r="HZ14" s="6"/>
      <c r="IA14" s="6"/>
      <c r="IB14" s="6"/>
      <c r="IC14" s="6"/>
      <c r="ID14" s="6">
        <v>-0.16999999999999998</v>
      </c>
      <c r="IE14" s="6"/>
      <c r="IF14" s="6"/>
      <c r="IG14" s="6"/>
      <c r="IH14" s="6"/>
      <c r="II14" s="6">
        <v>-0.65</v>
      </c>
      <c r="IJ14" s="6"/>
      <c r="IK14" s="6">
        <v>-0.5</v>
      </c>
      <c r="IL14" s="6"/>
      <c r="IM14" s="6"/>
      <c r="IN14" s="6">
        <v>-3.39</v>
      </c>
      <c r="IO14" s="6"/>
      <c r="IP14" s="6">
        <v>-0.5</v>
      </c>
      <c r="IQ14" s="6">
        <v>-2.4E-2</v>
      </c>
      <c r="IR14" s="6"/>
      <c r="IS14" s="6"/>
      <c r="IT14" s="6"/>
      <c r="IU14" s="6">
        <v>-0.16</v>
      </c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>
        <v>-1.6240000000000001</v>
      </c>
      <c r="JP14" s="6">
        <v>-0.71</v>
      </c>
      <c r="JQ14" s="6">
        <v>-0.10349999999999999</v>
      </c>
      <c r="JR14" s="6">
        <v>-2.242</v>
      </c>
      <c r="JS14" s="6"/>
      <c r="JT14" s="6">
        <v>-1.25</v>
      </c>
      <c r="JU14" s="6">
        <v>-1.72</v>
      </c>
      <c r="JV14" s="6">
        <v>-1.3</v>
      </c>
      <c r="JW14" s="6"/>
      <c r="JX14" s="6"/>
      <c r="JY14" s="6"/>
      <c r="JZ14" s="6"/>
      <c r="KA14" s="6"/>
      <c r="KB14" s="6"/>
      <c r="KC14" s="6"/>
      <c r="KD14" s="6"/>
      <c r="KE14" s="6"/>
      <c r="KF14" s="6">
        <v>-0.02</v>
      </c>
      <c r="KG14" s="6"/>
      <c r="KH14" s="6"/>
      <c r="KI14" s="6"/>
      <c r="KJ14" s="6"/>
      <c r="KK14" s="6">
        <v>-1.37</v>
      </c>
      <c r="KL14" s="6"/>
      <c r="KM14" s="6"/>
      <c r="KN14" s="6"/>
      <c r="KO14" s="6">
        <v>-3.07</v>
      </c>
      <c r="KP14" s="6"/>
      <c r="KQ14" s="6"/>
      <c r="KR14" s="6"/>
      <c r="KS14" s="6">
        <v>44.556399999999996</v>
      </c>
    </row>
    <row r="15" spans="1:305" hidden="1" x14ac:dyDescent="0.25">
      <c r="A15" s="24" t="s">
        <v>7</v>
      </c>
      <c r="B15" s="6">
        <v>162</v>
      </c>
      <c r="C15" s="6"/>
      <c r="D15" s="6"/>
      <c r="E15" s="6"/>
      <c r="F15" s="6"/>
      <c r="G15" s="6"/>
      <c r="H15" s="6"/>
      <c r="I15" s="6"/>
      <c r="J15" s="6">
        <v>-0.3</v>
      </c>
      <c r="K15" s="6"/>
      <c r="L15" s="6">
        <v>-0.32</v>
      </c>
      <c r="M15" s="6"/>
      <c r="N15" s="6">
        <v>-1.34</v>
      </c>
      <c r="O15" s="6"/>
      <c r="P15" s="6"/>
      <c r="Q15" s="6"/>
      <c r="R15" s="6"/>
      <c r="S15" s="6"/>
      <c r="T15" s="6">
        <v>-0.19</v>
      </c>
      <c r="U15" s="6">
        <v>-0.83</v>
      </c>
      <c r="V15" s="6"/>
      <c r="W15" s="6"/>
      <c r="X15" s="6"/>
      <c r="Y15" s="6">
        <v>-0.06</v>
      </c>
      <c r="Z15" s="6">
        <v>-0.47</v>
      </c>
      <c r="AA15" s="6">
        <v>-0.04</v>
      </c>
      <c r="AB15" s="6">
        <v>-0.89</v>
      </c>
      <c r="AC15" s="6"/>
      <c r="AD15" s="6"/>
      <c r="AE15" s="6"/>
      <c r="AF15" s="6">
        <v>-1.73</v>
      </c>
      <c r="AG15" s="6">
        <v>-1.1439999999999999</v>
      </c>
      <c r="AH15" s="6"/>
      <c r="AI15" s="6">
        <v>-1.774</v>
      </c>
      <c r="AJ15" s="6"/>
      <c r="AK15" s="6"/>
      <c r="AL15" s="6"/>
      <c r="AM15" s="6"/>
      <c r="AN15" s="6"/>
      <c r="AO15" s="6"/>
      <c r="AP15" s="6"/>
      <c r="AQ15" s="6">
        <v>-4.2560000000000002</v>
      </c>
      <c r="AR15" s="6"/>
      <c r="AS15" s="6"/>
      <c r="AT15" s="6"/>
      <c r="AU15" s="6"/>
      <c r="AV15" s="6">
        <v>-0.03</v>
      </c>
      <c r="AW15" s="6">
        <v>-0.31</v>
      </c>
      <c r="AX15" s="6"/>
      <c r="AY15" s="6"/>
      <c r="AZ15" s="6">
        <v>-1.05</v>
      </c>
      <c r="BA15" s="6"/>
      <c r="BB15" s="6"/>
      <c r="BC15" s="6">
        <v>-0.15</v>
      </c>
      <c r="BD15" s="6"/>
      <c r="BE15" s="6"/>
      <c r="BF15" s="6"/>
      <c r="BG15" s="6">
        <v>-1.35</v>
      </c>
      <c r="BH15" s="6"/>
      <c r="BI15" s="6">
        <v>-1.5</v>
      </c>
      <c r="BJ15" s="6"/>
      <c r="BK15" s="6"/>
      <c r="BL15" s="6"/>
      <c r="BM15" s="6"/>
      <c r="BN15" s="6"/>
      <c r="BO15" s="6"/>
      <c r="BP15" s="6">
        <v>-2.5</v>
      </c>
      <c r="BQ15" s="6">
        <v>-1.9300000000000002</v>
      </c>
      <c r="BR15" s="6">
        <v>-0.37</v>
      </c>
      <c r="BS15" s="6"/>
      <c r="BT15" s="6"/>
      <c r="BU15" s="6">
        <v>-7.2200000000000006</v>
      </c>
      <c r="BV15" s="6"/>
      <c r="BW15" s="6">
        <v>-0.43700000000000006</v>
      </c>
      <c r="BX15" s="6"/>
      <c r="BY15" s="6"/>
      <c r="BZ15" s="6"/>
      <c r="CA15" s="6">
        <v>-0.44300000000000006</v>
      </c>
      <c r="CB15" s="6">
        <v>-1.44</v>
      </c>
      <c r="CC15" s="6"/>
      <c r="CD15" s="6">
        <v>-0.33</v>
      </c>
      <c r="CE15" s="6">
        <v>-0.26</v>
      </c>
      <c r="CF15" s="6"/>
      <c r="CG15" s="6">
        <v>-0.98</v>
      </c>
      <c r="CH15" s="6"/>
      <c r="CI15" s="6">
        <v>-0.03</v>
      </c>
      <c r="CJ15" s="6">
        <v>-0.32</v>
      </c>
      <c r="CK15" s="6">
        <v>-0.23760000000000001</v>
      </c>
      <c r="CL15" s="6">
        <v>-3.7</v>
      </c>
      <c r="CM15" s="6"/>
      <c r="CN15" s="6"/>
      <c r="CO15" s="6"/>
      <c r="CP15" s="6"/>
      <c r="CQ15" s="6"/>
      <c r="CR15" s="6"/>
      <c r="CS15" s="6"/>
      <c r="CT15" s="6"/>
      <c r="CU15" s="6">
        <v>-3.8249999999999997</v>
      </c>
      <c r="CV15" s="6"/>
      <c r="CW15" s="6">
        <v>-5.3999999999999999E-2</v>
      </c>
      <c r="CX15" s="6"/>
      <c r="CY15" s="6">
        <v>-1</v>
      </c>
      <c r="CZ15" s="6">
        <v>-0.23</v>
      </c>
      <c r="DA15" s="6"/>
      <c r="DB15" s="6"/>
      <c r="DC15" s="6">
        <v>-1.37</v>
      </c>
      <c r="DD15" s="6"/>
      <c r="DE15" s="6"/>
      <c r="DF15" s="6">
        <v>-0.83000000000000007</v>
      </c>
      <c r="DG15" s="6"/>
      <c r="DH15" s="6"/>
      <c r="DI15" s="6">
        <v>-1.464</v>
      </c>
      <c r="DJ15" s="6">
        <v>-6.91</v>
      </c>
      <c r="DK15" s="6">
        <v>-1.1000000000000001</v>
      </c>
      <c r="DL15" s="6"/>
      <c r="DM15" s="6"/>
      <c r="DN15" s="6"/>
      <c r="DO15" s="6">
        <v>-7.4999999999999997E-2</v>
      </c>
      <c r="DP15" s="6"/>
      <c r="DQ15" s="6"/>
      <c r="DR15" s="6"/>
      <c r="DS15" s="6"/>
      <c r="DT15" s="6">
        <v>-0.34</v>
      </c>
      <c r="DU15" s="6"/>
      <c r="DV15" s="6">
        <v>-6.5920000000000005</v>
      </c>
      <c r="DW15" s="6"/>
      <c r="DX15" s="6"/>
      <c r="DY15" s="6"/>
      <c r="DZ15" s="6">
        <v>-0.43</v>
      </c>
      <c r="EA15" s="6">
        <v>-2.1749999999999998</v>
      </c>
      <c r="EB15" s="6">
        <v>-4</v>
      </c>
      <c r="EC15" s="6"/>
      <c r="ED15" s="6">
        <v>-3.18</v>
      </c>
      <c r="EE15" s="6"/>
      <c r="EF15" s="6"/>
      <c r="EG15" s="6">
        <v>-1.8</v>
      </c>
      <c r="EH15" s="6"/>
      <c r="EI15" s="6">
        <v>-2.14</v>
      </c>
      <c r="EJ15" s="6">
        <v>1.85</v>
      </c>
      <c r="EK15" s="6">
        <v>-1.56</v>
      </c>
      <c r="EL15" s="6">
        <v>-4.0000000000000001E-3</v>
      </c>
      <c r="EM15" s="6"/>
      <c r="EN15" s="6"/>
      <c r="EO15" s="6">
        <v>-0.8</v>
      </c>
      <c r="EP15" s="6"/>
      <c r="EQ15" s="6"/>
      <c r="ER15" s="6">
        <v>-6.97</v>
      </c>
      <c r="ES15" s="6">
        <v>-1.18</v>
      </c>
      <c r="ET15" s="6">
        <v>-1.03</v>
      </c>
      <c r="EU15" s="6">
        <v>-0.41</v>
      </c>
      <c r="EV15" s="6">
        <v>-3.31</v>
      </c>
      <c r="EW15" s="6"/>
      <c r="EX15" s="6"/>
      <c r="EY15" s="6">
        <v>-0.68</v>
      </c>
      <c r="EZ15" s="6"/>
      <c r="FA15" s="6"/>
      <c r="FB15" s="6"/>
      <c r="FC15" s="6"/>
      <c r="FD15" s="6"/>
      <c r="FE15" s="6"/>
      <c r="FF15" s="6">
        <v>-0.216</v>
      </c>
      <c r="FG15" s="6"/>
      <c r="FH15" s="6"/>
      <c r="FI15" s="6"/>
      <c r="FJ15" s="6">
        <v>-5.8870000000000005</v>
      </c>
      <c r="FK15" s="6"/>
      <c r="FL15" s="6">
        <v>-0.15</v>
      </c>
      <c r="FM15" s="6">
        <v>-0.499</v>
      </c>
      <c r="FN15" s="6"/>
      <c r="FO15" s="6">
        <v>-0.2</v>
      </c>
      <c r="FP15" s="6"/>
      <c r="FQ15" s="6"/>
      <c r="FR15" s="6">
        <v>-2.3290000000000002</v>
      </c>
      <c r="FS15" s="6">
        <v>-2.464</v>
      </c>
      <c r="FT15" s="6"/>
      <c r="FU15" s="6">
        <v>-0.02</v>
      </c>
      <c r="FV15" s="6"/>
      <c r="FW15" s="6">
        <v>-0.16350000000000001</v>
      </c>
      <c r="FX15" s="6">
        <v>-0.153</v>
      </c>
      <c r="FY15" s="6">
        <v>-6.0999999999999999E-2</v>
      </c>
      <c r="FZ15" s="6">
        <v>-0.20399999999999999</v>
      </c>
      <c r="GA15" s="6"/>
      <c r="GB15" s="6"/>
      <c r="GC15" s="6"/>
      <c r="GD15" s="6"/>
      <c r="GE15" s="6"/>
      <c r="GF15" s="6">
        <v>-0.94</v>
      </c>
      <c r="GG15" s="6">
        <v>-3.8207999999999998</v>
      </c>
      <c r="GH15" s="6"/>
      <c r="GI15" s="6"/>
      <c r="GJ15" s="6">
        <v>-0.66549999999999998</v>
      </c>
      <c r="GK15" s="6"/>
      <c r="GL15" s="6"/>
      <c r="GM15" s="6">
        <v>-3.36</v>
      </c>
      <c r="GN15" s="6">
        <v>-1.575</v>
      </c>
      <c r="GO15" s="6"/>
      <c r="GP15" s="6"/>
      <c r="GQ15" s="6"/>
      <c r="GR15" s="6"/>
      <c r="GS15" s="6">
        <v>-2.15</v>
      </c>
      <c r="GT15" s="6"/>
      <c r="GU15" s="6">
        <v>-0.6</v>
      </c>
      <c r="GV15" s="6"/>
      <c r="GW15" s="6"/>
      <c r="GX15" s="6"/>
      <c r="GY15" s="6"/>
      <c r="GZ15" s="6"/>
      <c r="HA15" s="6">
        <v>-0.59099999999999997</v>
      </c>
      <c r="HB15" s="6">
        <v>-1.1707999999999998</v>
      </c>
      <c r="HC15" s="6"/>
      <c r="HD15" s="6"/>
      <c r="HE15" s="6"/>
      <c r="HF15" s="6"/>
      <c r="HG15" s="6"/>
      <c r="HH15" s="6">
        <v>-0.02</v>
      </c>
      <c r="HI15" s="6">
        <v>-1.7250000000000001</v>
      </c>
      <c r="HJ15" s="6"/>
      <c r="HK15" s="6">
        <v>-0.74</v>
      </c>
      <c r="HL15" s="6">
        <v>-2.0300000000000002</v>
      </c>
      <c r="HM15" s="6"/>
      <c r="HN15" s="6"/>
      <c r="HO15" s="6">
        <v>-8.4250000000000007</v>
      </c>
      <c r="HP15" s="6">
        <v>-3.9350000000000001</v>
      </c>
      <c r="HQ15" s="6"/>
      <c r="HR15" s="6"/>
      <c r="HS15" s="6"/>
      <c r="HT15" s="6"/>
      <c r="HU15" s="6"/>
      <c r="HV15" s="6"/>
      <c r="HW15" s="6"/>
      <c r="HX15" s="6"/>
      <c r="HY15" s="6">
        <v>-1.1499999999999999</v>
      </c>
      <c r="HZ15" s="6">
        <v>-0.64</v>
      </c>
      <c r="IA15" s="6"/>
      <c r="IB15" s="6"/>
      <c r="IC15" s="6">
        <v>-3.55</v>
      </c>
      <c r="ID15" s="6"/>
      <c r="IE15" s="6"/>
      <c r="IF15" s="6">
        <v>-0.73</v>
      </c>
      <c r="IG15" s="6"/>
      <c r="IH15" s="6"/>
      <c r="II15" s="6">
        <v>-7.875</v>
      </c>
      <c r="IJ15" s="6"/>
      <c r="IK15" s="6">
        <v>-5.47</v>
      </c>
      <c r="IL15" s="6"/>
      <c r="IM15" s="6">
        <v>-6.2</v>
      </c>
      <c r="IN15" s="6">
        <v>-0.96399999999999997</v>
      </c>
      <c r="IO15" s="6">
        <v>-1.53</v>
      </c>
      <c r="IP15" s="6"/>
      <c r="IQ15" s="6">
        <v>-3.8</v>
      </c>
      <c r="IR15" s="6">
        <v>-7.8E-2</v>
      </c>
      <c r="IS15" s="6"/>
      <c r="IT15" s="6"/>
      <c r="IU15" s="6"/>
      <c r="IV15" s="6">
        <v>-0.45</v>
      </c>
      <c r="IW15" s="6"/>
      <c r="IX15" s="6"/>
      <c r="IY15" s="6">
        <v>-3.0300000000000002</v>
      </c>
      <c r="IZ15" s="6"/>
      <c r="JA15" s="6">
        <v>-0.22</v>
      </c>
      <c r="JB15" s="6">
        <v>-0.86</v>
      </c>
      <c r="JC15" s="6"/>
      <c r="JD15" s="6">
        <v>-0.63500000000000001</v>
      </c>
      <c r="JE15" s="6"/>
      <c r="JF15" s="6">
        <v>-0.3</v>
      </c>
      <c r="JG15" s="6">
        <v>-0.1</v>
      </c>
      <c r="JH15" s="6"/>
      <c r="JI15" s="6"/>
      <c r="JJ15" s="6"/>
      <c r="JK15" s="6"/>
      <c r="JL15" s="6">
        <v>-1.63</v>
      </c>
      <c r="JM15" s="6"/>
      <c r="JN15" s="6">
        <v>-3.4299999999999997</v>
      </c>
      <c r="JO15" s="6"/>
      <c r="JP15" s="6"/>
      <c r="JQ15" s="6"/>
      <c r="JR15" s="6"/>
      <c r="JS15" s="6">
        <v>-0.81199999999999994</v>
      </c>
      <c r="JT15" s="6"/>
      <c r="JU15" s="6"/>
      <c r="JV15" s="6"/>
      <c r="JW15" s="6">
        <v>-0.84</v>
      </c>
      <c r="JX15" s="6"/>
      <c r="JY15" s="6">
        <v>-0.59399999999999997</v>
      </c>
      <c r="JZ15" s="6">
        <v>-0.22</v>
      </c>
      <c r="KA15" s="6"/>
      <c r="KB15" s="6">
        <v>-3.1799999999999997</v>
      </c>
      <c r="KC15" s="6">
        <v>-1.5699999999999998</v>
      </c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>
        <v>-21.493200000000076</v>
      </c>
    </row>
    <row r="16" spans="1:305" ht="30" hidden="1" x14ac:dyDescent="0.25">
      <c r="A16" s="24" t="s">
        <v>8</v>
      </c>
      <c r="B16" s="6">
        <v>90</v>
      </c>
      <c r="C16" s="6"/>
      <c r="D16" s="6"/>
      <c r="E16" s="6">
        <v>-3.05</v>
      </c>
      <c r="F16" s="6"/>
      <c r="G16" s="6">
        <v>-0.8</v>
      </c>
      <c r="H16" s="6"/>
      <c r="I16" s="6">
        <v>-2.3220000000000001</v>
      </c>
      <c r="J16" s="6"/>
      <c r="K16" s="6"/>
      <c r="L16" s="6"/>
      <c r="M16" s="6">
        <v>-2.5199999999999996</v>
      </c>
      <c r="N16" s="6"/>
      <c r="O16" s="6"/>
      <c r="P16" s="6"/>
      <c r="Q16" s="6"/>
      <c r="R16" s="6"/>
      <c r="S16" s="6">
        <v>-0.89</v>
      </c>
      <c r="T16" s="6"/>
      <c r="U16" s="6"/>
      <c r="V16" s="6"/>
      <c r="W16" s="6"/>
      <c r="X16" s="6"/>
      <c r="Y16" s="6"/>
      <c r="Z16" s="6"/>
      <c r="AA16" s="6">
        <v>-3.04</v>
      </c>
      <c r="AB16" s="6"/>
      <c r="AC16" s="6"/>
      <c r="AD16" s="6"/>
      <c r="AE16" s="6"/>
      <c r="AF16" s="6"/>
      <c r="AG16" s="6"/>
      <c r="AH16" s="6"/>
      <c r="AI16" s="6"/>
      <c r="AJ16" s="6">
        <v>-2.38</v>
      </c>
      <c r="AK16" s="6"/>
      <c r="AL16" s="6"/>
      <c r="AM16" s="6">
        <v>-0.46</v>
      </c>
      <c r="AN16" s="6"/>
      <c r="AO16" s="6"/>
      <c r="AP16" s="6"/>
      <c r="AQ16" s="6"/>
      <c r="AR16" s="6"/>
      <c r="AS16" s="6">
        <v>-1.3399999999999999</v>
      </c>
      <c r="AT16" s="6"/>
      <c r="AU16" s="6"/>
      <c r="AV16" s="6"/>
      <c r="AW16" s="6"/>
      <c r="AX16" s="6">
        <v>-0.56800000000000006</v>
      </c>
      <c r="AY16" s="6"/>
      <c r="AZ16" s="6"/>
      <c r="BA16" s="6"/>
      <c r="BB16" s="6">
        <v>-1.35</v>
      </c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>
        <v>-1.1100000000000001</v>
      </c>
      <c r="BO16" s="6"/>
      <c r="BP16" s="6"/>
      <c r="BQ16" s="6">
        <v>-4.49</v>
      </c>
      <c r="BR16" s="6"/>
      <c r="BS16" s="6"/>
      <c r="BT16" s="6">
        <v>-7.1000000000000008E-2</v>
      </c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>
        <v>-0.12</v>
      </c>
      <c r="CF16" s="6">
        <v>-0.04</v>
      </c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>
        <v>-0.85</v>
      </c>
      <c r="CR16" s="6"/>
      <c r="CS16" s="6"/>
      <c r="CT16" s="6"/>
      <c r="CU16" s="6"/>
      <c r="CV16" s="6">
        <v>-3.8</v>
      </c>
      <c r="CW16" s="6"/>
      <c r="CX16" s="6"/>
      <c r="CY16" s="6"/>
      <c r="CZ16" s="6">
        <v>-0.48</v>
      </c>
      <c r="DA16" s="6"/>
      <c r="DB16" s="6"/>
      <c r="DC16" s="6"/>
      <c r="DD16" s="6">
        <v>-1.5</v>
      </c>
      <c r="DE16" s="6"/>
      <c r="DF16" s="6"/>
      <c r="DG16" s="6"/>
      <c r="DH16" s="6"/>
      <c r="DI16" s="6"/>
      <c r="DJ16" s="6"/>
      <c r="DK16" s="6"/>
      <c r="DL16" s="6">
        <v>-0.47</v>
      </c>
      <c r="DM16" s="6">
        <v>-0.12</v>
      </c>
      <c r="DN16" s="6"/>
      <c r="DO16" s="6"/>
      <c r="DP16" s="6"/>
      <c r="DQ16" s="6"/>
      <c r="DR16" s="6"/>
      <c r="DS16" s="6">
        <v>-0.92269999999999996</v>
      </c>
      <c r="DT16" s="6"/>
      <c r="DU16" s="6">
        <v>-2.6379999999999999</v>
      </c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>
        <v>-3.0000000000000001E-3</v>
      </c>
      <c r="EH16" s="6"/>
      <c r="EI16" s="6"/>
      <c r="EJ16" s="6"/>
      <c r="EK16" s="6"/>
      <c r="EL16" s="6"/>
      <c r="EM16" s="6"/>
      <c r="EN16" s="6">
        <v>-0.1</v>
      </c>
      <c r="EO16" s="6">
        <v>-0.6</v>
      </c>
      <c r="EP16" s="6"/>
      <c r="EQ16" s="6"/>
      <c r="ER16" s="6"/>
      <c r="ES16" s="6"/>
      <c r="ET16" s="6"/>
      <c r="EU16" s="6"/>
      <c r="EV16" s="6"/>
      <c r="EW16" s="6"/>
      <c r="EX16" s="6">
        <v>-21.895999999999997</v>
      </c>
      <c r="EY16" s="6">
        <v>-0.34</v>
      </c>
      <c r="EZ16" s="6"/>
      <c r="FA16" s="6">
        <v>-0.375</v>
      </c>
      <c r="FB16" s="6"/>
      <c r="FC16" s="6">
        <v>-0.41899999999999998</v>
      </c>
      <c r="FD16" s="6"/>
      <c r="FE16" s="6">
        <v>-1.274</v>
      </c>
      <c r="FF16" s="6"/>
      <c r="FG16" s="6"/>
      <c r="FH16" s="6"/>
      <c r="FI16" s="6"/>
      <c r="FJ16" s="6"/>
      <c r="FK16" s="6"/>
      <c r="FL16" s="6"/>
      <c r="FM16" s="6"/>
      <c r="FN16" s="6">
        <v>-1.5649999999999999</v>
      </c>
      <c r="FO16" s="6"/>
      <c r="FP16" s="6"/>
      <c r="FQ16" s="6"/>
      <c r="FR16" s="6"/>
      <c r="FS16" s="6"/>
      <c r="FT16" s="6"/>
      <c r="FU16" s="6"/>
      <c r="FV16" s="6"/>
      <c r="FW16" s="6"/>
      <c r="FX16" s="6">
        <v>-0.72</v>
      </c>
      <c r="FY16" s="6"/>
      <c r="FZ16" s="6">
        <v>-0.22500000000000001</v>
      </c>
      <c r="GA16" s="6"/>
      <c r="GB16" s="6"/>
      <c r="GC16" s="6">
        <v>-0.16200000000000001</v>
      </c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>
        <v>-3</v>
      </c>
      <c r="GQ16" s="6"/>
      <c r="GR16" s="6"/>
      <c r="GS16" s="6"/>
      <c r="GT16" s="6"/>
      <c r="GU16" s="6"/>
      <c r="GV16" s="6"/>
      <c r="GW16" s="6"/>
      <c r="GX16" s="6">
        <v>-1.48</v>
      </c>
      <c r="GY16" s="6">
        <v>-0.16400000000000001</v>
      </c>
      <c r="GZ16" s="6"/>
      <c r="HA16" s="6"/>
      <c r="HB16" s="6">
        <v>-0.14699999999999999</v>
      </c>
      <c r="HC16" s="6"/>
      <c r="HD16" s="6"/>
      <c r="HE16" s="6">
        <v>-0.248</v>
      </c>
      <c r="HF16" s="6"/>
      <c r="HG16" s="6"/>
      <c r="HH16" s="6"/>
      <c r="HI16" s="6"/>
      <c r="HJ16" s="6"/>
      <c r="HK16" s="6"/>
      <c r="HL16" s="6"/>
      <c r="HM16" s="6"/>
      <c r="HN16" s="6"/>
      <c r="HO16" s="6">
        <v>-1.2</v>
      </c>
      <c r="HP16" s="6"/>
      <c r="HQ16" s="6"/>
      <c r="HR16" s="6"/>
      <c r="HS16" s="6"/>
      <c r="HT16" s="6">
        <v>-1.425</v>
      </c>
      <c r="HU16" s="6"/>
      <c r="HV16" s="6"/>
      <c r="HW16" s="6"/>
      <c r="HX16" s="6"/>
      <c r="HY16" s="6"/>
      <c r="HZ16" s="6"/>
      <c r="IA16" s="6">
        <v>-1.4999999999999999E-2</v>
      </c>
      <c r="IB16" s="6"/>
      <c r="IC16" s="6"/>
      <c r="ID16" s="6"/>
      <c r="IE16" s="6"/>
      <c r="IF16" s="6">
        <v>-0.67</v>
      </c>
      <c r="IG16" s="6"/>
      <c r="IH16" s="6">
        <v>-9.5499999999999989</v>
      </c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>
        <v>-0.20030000000000001</v>
      </c>
      <c r="IT16" s="6">
        <v>-3.0999999999999996</v>
      </c>
      <c r="IU16" s="6"/>
      <c r="IV16" s="6"/>
      <c r="IW16" s="6"/>
      <c r="IX16" s="6"/>
      <c r="IY16" s="6"/>
      <c r="IZ16" s="6"/>
      <c r="JA16" s="6"/>
      <c r="JB16" s="6"/>
      <c r="JC16" s="6">
        <v>-0.64400000000000002</v>
      </c>
      <c r="JD16" s="6"/>
      <c r="JE16" s="6">
        <v>-0.23</v>
      </c>
      <c r="JF16" s="6"/>
      <c r="JG16" s="6"/>
      <c r="JH16" s="6"/>
      <c r="JI16" s="6"/>
      <c r="JJ16" s="6"/>
      <c r="JK16" s="6"/>
      <c r="JL16" s="6"/>
      <c r="JM16" s="6">
        <v>-3.319</v>
      </c>
      <c r="JN16" s="6"/>
      <c r="JO16" s="6"/>
      <c r="JP16" s="6">
        <v>-1.45</v>
      </c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>
        <v>0.14700000000002178</v>
      </c>
    </row>
    <row r="17" spans="1:305" hidden="1" x14ac:dyDescent="0.25">
      <c r="A17" s="26" t="s">
        <v>75</v>
      </c>
      <c r="B17" s="929">
        <v>1087</v>
      </c>
      <c r="C17" s="929">
        <v>-2</v>
      </c>
      <c r="D17" s="929">
        <v>-4.2</v>
      </c>
      <c r="E17" s="929">
        <v>-3.05</v>
      </c>
      <c r="F17" s="929">
        <v>-0.43</v>
      </c>
      <c r="G17" s="929">
        <v>-0.8</v>
      </c>
      <c r="H17" s="929">
        <v>-1.54</v>
      </c>
      <c r="I17" s="929">
        <v>-2.3220000000000001</v>
      </c>
      <c r="J17" s="929">
        <v>-0.3</v>
      </c>
      <c r="K17" s="929">
        <v>-0.73</v>
      </c>
      <c r="L17" s="929">
        <v>-0.32</v>
      </c>
      <c r="M17" s="929">
        <v>-2.5199999999999996</v>
      </c>
      <c r="N17" s="929">
        <v>-1.34</v>
      </c>
      <c r="O17" s="929">
        <v>-0.78</v>
      </c>
      <c r="P17" s="929">
        <v>-0.39</v>
      </c>
      <c r="Q17" s="929">
        <v>-6.5000000000000002E-2</v>
      </c>
      <c r="R17" s="929">
        <v>-2.64</v>
      </c>
      <c r="S17" s="929">
        <v>-0.89</v>
      </c>
      <c r="T17" s="929">
        <v>-3.07</v>
      </c>
      <c r="U17" s="929">
        <v>-0.83</v>
      </c>
      <c r="V17" s="929">
        <v>-1.996</v>
      </c>
      <c r="W17" s="929">
        <v>-0.88</v>
      </c>
      <c r="X17" s="929">
        <v>-2.1</v>
      </c>
      <c r="Y17" s="929">
        <v>-3.96</v>
      </c>
      <c r="Z17" s="929">
        <v>-2.4699999999999998</v>
      </c>
      <c r="AA17" s="929">
        <v>-3.08</v>
      </c>
      <c r="AB17" s="929">
        <v>-1.0309999999999999</v>
      </c>
      <c r="AC17" s="929">
        <v>-0.49</v>
      </c>
      <c r="AD17" s="929">
        <v>-1.1850000000000001</v>
      </c>
      <c r="AE17" s="929">
        <v>-1.38</v>
      </c>
      <c r="AF17" s="929">
        <v>-1.73</v>
      </c>
      <c r="AG17" s="929">
        <v>-1.1439999999999999</v>
      </c>
      <c r="AH17" s="929">
        <v>-0.55200000000000005</v>
      </c>
      <c r="AI17" s="929">
        <v>-3.2839999999999998</v>
      </c>
      <c r="AJ17" s="929">
        <v>-2.38</v>
      </c>
      <c r="AK17" s="929">
        <v>-11.209999999999999</v>
      </c>
      <c r="AL17" s="929">
        <v>-3.1999999999999997</v>
      </c>
      <c r="AM17" s="929">
        <v>-0.46</v>
      </c>
      <c r="AN17" s="929">
        <v>-7.01</v>
      </c>
      <c r="AO17" s="929">
        <v>-0.43</v>
      </c>
      <c r="AP17" s="929">
        <v>-1.1085</v>
      </c>
      <c r="AQ17" s="929">
        <v>-4.9969999999999999</v>
      </c>
      <c r="AR17" s="929">
        <v>-0.18</v>
      </c>
      <c r="AS17" s="929">
        <v>-1.3399999999999999</v>
      </c>
      <c r="AT17" s="929">
        <v>-2.16</v>
      </c>
      <c r="AU17" s="929">
        <v>-1.76</v>
      </c>
      <c r="AV17" s="929">
        <v>-0.44999999999999996</v>
      </c>
      <c r="AW17" s="929">
        <v>-0.31</v>
      </c>
      <c r="AX17" s="929">
        <v>-0.56800000000000006</v>
      </c>
      <c r="AY17" s="929">
        <v>-1.5940000000000001</v>
      </c>
      <c r="AZ17" s="929">
        <v>-2.0760000000000001</v>
      </c>
      <c r="BA17" s="929">
        <v>-0.624</v>
      </c>
      <c r="BB17" s="929">
        <v>-1.35</v>
      </c>
      <c r="BC17" s="929">
        <v>-0.15</v>
      </c>
      <c r="BD17" s="929">
        <v>-0.12</v>
      </c>
      <c r="BE17" s="929">
        <v>-0.53400000000000003</v>
      </c>
      <c r="BF17" s="929">
        <v>-0.94</v>
      </c>
      <c r="BG17" s="929">
        <v>-1.35</v>
      </c>
      <c r="BH17" s="929">
        <v>-0.14799999999999999</v>
      </c>
      <c r="BI17" s="929">
        <v>-2.58</v>
      </c>
      <c r="BJ17" s="929">
        <v>-0.44999999999999996</v>
      </c>
      <c r="BK17" s="929">
        <v>-5.2630000000000003E-2</v>
      </c>
      <c r="BL17" s="929">
        <v>-0.81400000000000006</v>
      </c>
      <c r="BM17" s="929">
        <v>-0.68</v>
      </c>
      <c r="BN17" s="929">
        <v>-1.1100000000000001</v>
      </c>
      <c r="BO17" s="929">
        <v>-1.41</v>
      </c>
      <c r="BP17" s="929">
        <v>-2.5</v>
      </c>
      <c r="BQ17" s="929">
        <v>-6.7220000000000004</v>
      </c>
      <c r="BR17" s="929">
        <v>-0.998</v>
      </c>
      <c r="BS17" s="929">
        <v>-1.73</v>
      </c>
      <c r="BT17" s="929">
        <v>-7.1000000000000008E-2</v>
      </c>
      <c r="BU17" s="929">
        <v>-11.067</v>
      </c>
      <c r="BV17" s="929">
        <v>-1.3</v>
      </c>
      <c r="BW17" s="929">
        <v>-2.0170000000000003</v>
      </c>
      <c r="BX17" s="929">
        <v>-0.23219999999999999</v>
      </c>
      <c r="BY17" s="929">
        <v>-7.0000000000000001E-3</v>
      </c>
      <c r="BZ17" s="929">
        <v>-1.1659999999999999</v>
      </c>
      <c r="CA17" s="929">
        <v>-1.163</v>
      </c>
      <c r="CB17" s="929">
        <v>-1.44</v>
      </c>
      <c r="CC17" s="929">
        <v>-0.5</v>
      </c>
      <c r="CD17" s="929">
        <v>-0.33</v>
      </c>
      <c r="CE17" s="929">
        <v>-0.38</v>
      </c>
      <c r="CF17" s="929">
        <v>-0.04</v>
      </c>
      <c r="CG17" s="929">
        <v>-1.46</v>
      </c>
      <c r="CH17" s="929">
        <v>-9.7000000000000003E-2</v>
      </c>
      <c r="CI17" s="929">
        <v>-0.03</v>
      </c>
      <c r="CJ17" s="929">
        <v>-0.32</v>
      </c>
      <c r="CK17" s="929">
        <v>-0.23760000000000001</v>
      </c>
      <c r="CL17" s="929">
        <v>-3.7</v>
      </c>
      <c r="CM17" s="929">
        <v>-0.498</v>
      </c>
      <c r="CN17" s="929">
        <v>-0.14000000000000001</v>
      </c>
      <c r="CO17" s="929">
        <v>-1.4450000000000001</v>
      </c>
      <c r="CP17" s="929">
        <v>-0.33400000000000002</v>
      </c>
      <c r="CQ17" s="929">
        <v>-0.85</v>
      </c>
      <c r="CR17" s="929">
        <v>-0.90499999999999992</v>
      </c>
      <c r="CS17" s="929">
        <v>-0.16</v>
      </c>
      <c r="CT17" s="929">
        <v>-0.15</v>
      </c>
      <c r="CU17" s="929">
        <v>-7.0449999999999999</v>
      </c>
      <c r="CV17" s="929">
        <v>-3.8</v>
      </c>
      <c r="CW17" s="929">
        <v>-2.1539999999999999</v>
      </c>
      <c r="CX17" s="929">
        <v>-13.298</v>
      </c>
      <c r="CY17" s="929">
        <v>-1</v>
      </c>
      <c r="CZ17" s="929">
        <v>-0.71</v>
      </c>
      <c r="DA17" s="929">
        <v>-1.2</v>
      </c>
      <c r="DB17" s="929">
        <v>-0.77400000000000002</v>
      </c>
      <c r="DC17" s="929">
        <v>-1.37</v>
      </c>
      <c r="DD17" s="929">
        <v>-1.6596</v>
      </c>
      <c r="DE17" s="929">
        <v>-0.05</v>
      </c>
      <c r="DF17" s="929">
        <v>-1.61</v>
      </c>
      <c r="DG17" s="929">
        <v>-1.0309999999999999</v>
      </c>
      <c r="DH17" s="929">
        <v>-2.09</v>
      </c>
      <c r="DI17" s="929">
        <v>-2.0640000000000001</v>
      </c>
      <c r="DJ17" s="929">
        <v>-7.0975000000000001</v>
      </c>
      <c r="DK17" s="929">
        <v>-1.1000000000000001</v>
      </c>
      <c r="DL17" s="929">
        <v>-0.47</v>
      </c>
      <c r="DM17" s="929">
        <v>-0.12</v>
      </c>
      <c r="DN17" s="929">
        <v>-1.83</v>
      </c>
      <c r="DO17" s="929">
        <v>-1.0349999999999999</v>
      </c>
      <c r="DP17" s="929">
        <v>-0.35560000000000003</v>
      </c>
      <c r="DQ17" s="929">
        <v>-0.7</v>
      </c>
      <c r="DR17" s="929">
        <v>-7.4999999999999997E-3</v>
      </c>
      <c r="DS17" s="929">
        <v>-1.2847</v>
      </c>
      <c r="DT17" s="929">
        <v>-1.25</v>
      </c>
      <c r="DU17" s="929">
        <v>-3.6280000000000001</v>
      </c>
      <c r="DV17" s="929">
        <v>-6.5920000000000005</v>
      </c>
      <c r="DW17" s="929">
        <v>-0.84</v>
      </c>
      <c r="DX17" s="929">
        <v>-0.52600000000000002</v>
      </c>
      <c r="DY17" s="929">
        <v>-8.3059999999999992</v>
      </c>
      <c r="DZ17" s="929">
        <v>-2.31</v>
      </c>
      <c r="EA17" s="929">
        <v>-3.4639999999999995</v>
      </c>
      <c r="EB17" s="929">
        <v>-4.3499999999999996</v>
      </c>
      <c r="EC17" s="929">
        <v>-1.45</v>
      </c>
      <c r="ED17" s="929">
        <v>-3.18</v>
      </c>
      <c r="EE17" s="929">
        <v>-0.97</v>
      </c>
      <c r="EF17" s="929">
        <v>-0.46</v>
      </c>
      <c r="EG17" s="929">
        <v>-1.8029999999999999</v>
      </c>
      <c r="EH17" s="929">
        <v>-0.755</v>
      </c>
      <c r="EI17" s="929">
        <v>-2.14</v>
      </c>
      <c r="EJ17" s="929">
        <v>1.85</v>
      </c>
      <c r="EK17" s="929">
        <v>-1.631</v>
      </c>
      <c r="EL17" s="929">
        <v>-0.24399999999999999</v>
      </c>
      <c r="EM17" s="929">
        <v>-0.124</v>
      </c>
      <c r="EN17" s="929">
        <v>-6.1999999999999993</v>
      </c>
      <c r="EO17" s="929">
        <v>-1.4</v>
      </c>
      <c r="EP17" s="929">
        <v>-4.2636000000000003</v>
      </c>
      <c r="EQ17" s="929">
        <v>-0.94</v>
      </c>
      <c r="ER17" s="929">
        <v>-7.24</v>
      </c>
      <c r="ES17" s="929">
        <v>-1.18</v>
      </c>
      <c r="ET17" s="929">
        <v>-1.9</v>
      </c>
      <c r="EU17" s="929">
        <v>-0.41</v>
      </c>
      <c r="EV17" s="929">
        <v>-3.31</v>
      </c>
      <c r="EW17" s="929">
        <v>-17.748000000000001</v>
      </c>
      <c r="EX17" s="929">
        <v>-22.295999999999996</v>
      </c>
      <c r="EY17" s="929">
        <v>-2.4359999999999999</v>
      </c>
      <c r="EZ17" s="929">
        <v>-0.04</v>
      </c>
      <c r="FA17" s="929">
        <v>-1.155</v>
      </c>
      <c r="FB17" s="929">
        <v>-3</v>
      </c>
      <c r="FC17" s="929">
        <v>-0.41899999999999998</v>
      </c>
      <c r="FD17" s="929">
        <v>-0.12</v>
      </c>
      <c r="FE17" s="929">
        <v>-1.274</v>
      </c>
      <c r="FF17" s="929">
        <v>-0.44600000000000001</v>
      </c>
      <c r="FG17" s="929">
        <v>-0.1</v>
      </c>
      <c r="FH17" s="929">
        <v>-0.45</v>
      </c>
      <c r="FI17" s="929">
        <v>-1.3</v>
      </c>
      <c r="FJ17" s="929">
        <v>-5.9870000000000001</v>
      </c>
      <c r="FK17" s="929">
        <v>-1.1000000000000001</v>
      </c>
      <c r="FL17" s="929">
        <v>-0.15</v>
      </c>
      <c r="FM17" s="929">
        <v>-2.6990000000000003</v>
      </c>
      <c r="FN17" s="929">
        <v>-3.2749999999999999</v>
      </c>
      <c r="FO17" s="929">
        <v>-0.74</v>
      </c>
      <c r="FP17" s="929">
        <v>-0.53</v>
      </c>
      <c r="FQ17" s="929">
        <v>-6.9420000000000002</v>
      </c>
      <c r="FR17" s="929">
        <v>-2.3290000000000002</v>
      </c>
      <c r="FS17" s="929">
        <v>-3.0840000000000001</v>
      </c>
      <c r="FT17" s="929">
        <v>-0.15</v>
      </c>
      <c r="FU17" s="929">
        <v>-0.02</v>
      </c>
      <c r="FV17" s="929">
        <v>-2</v>
      </c>
      <c r="FW17" s="929">
        <v>-0.16350000000000001</v>
      </c>
      <c r="FX17" s="929">
        <v>-4.423</v>
      </c>
      <c r="FY17" s="929">
        <v>-6.0999999999999999E-2</v>
      </c>
      <c r="FZ17" s="929">
        <v>-0.63200000000000001</v>
      </c>
      <c r="GA17" s="929">
        <v>-0.40649999999999997</v>
      </c>
      <c r="GB17" s="929">
        <v>-0.42</v>
      </c>
      <c r="GC17" s="929">
        <v>-0.16200000000000001</v>
      </c>
      <c r="GD17" s="929">
        <v>-0.38</v>
      </c>
      <c r="GE17" s="929">
        <v>-0.93799999999999994</v>
      </c>
      <c r="GF17" s="929">
        <v>-0.94</v>
      </c>
      <c r="GG17" s="929">
        <v>-8.3007999999999988</v>
      </c>
      <c r="GH17" s="929">
        <v>-0.7</v>
      </c>
      <c r="GI17" s="929">
        <v>-0.72</v>
      </c>
      <c r="GJ17" s="929">
        <v>-4.0634999999999994</v>
      </c>
      <c r="GK17" s="929">
        <v>-0.26</v>
      </c>
      <c r="GL17" s="929">
        <v>-0.39</v>
      </c>
      <c r="GM17" s="929">
        <v>-3.36</v>
      </c>
      <c r="GN17" s="929">
        <v>-1.7909999999999999</v>
      </c>
      <c r="GO17" s="929">
        <v>-2.649</v>
      </c>
      <c r="GP17" s="929">
        <v>-3</v>
      </c>
      <c r="GQ17" s="929">
        <v>-2.9000000000000001E-2</v>
      </c>
      <c r="GR17" s="929">
        <v>-1.298</v>
      </c>
      <c r="GS17" s="929">
        <v>-2.15</v>
      </c>
      <c r="GT17" s="929">
        <v>-0.4</v>
      </c>
      <c r="GU17" s="929">
        <v>-1</v>
      </c>
      <c r="GV17" s="929">
        <v>-5.9</v>
      </c>
      <c r="GW17" s="929">
        <v>-0.60000000000000009</v>
      </c>
      <c r="GX17" s="929">
        <v>-1.48</v>
      </c>
      <c r="GY17" s="929">
        <v>-0.192</v>
      </c>
      <c r="GZ17" s="929">
        <v>-1.7000000000000002</v>
      </c>
      <c r="HA17" s="929">
        <v>-0.59099999999999997</v>
      </c>
      <c r="HB17" s="929">
        <v>-2.7307999999999999</v>
      </c>
      <c r="HC17" s="929">
        <v>-0.45938000000000001</v>
      </c>
      <c r="HD17" s="929">
        <v>-2.8410000000000002</v>
      </c>
      <c r="HE17" s="929">
        <v>-4.9880000000000004</v>
      </c>
      <c r="HF17" s="929">
        <v>-0.90600000000000003</v>
      </c>
      <c r="HG17" s="929">
        <v>-1.268</v>
      </c>
      <c r="HH17" s="929">
        <v>-1.4890000000000001</v>
      </c>
      <c r="HI17" s="929">
        <v>-4.2549999999999999</v>
      </c>
      <c r="HJ17" s="929">
        <v>1.7999999999999999E-2</v>
      </c>
      <c r="HK17" s="929">
        <v>-1.052</v>
      </c>
      <c r="HL17" s="929">
        <v>-2.0300000000000002</v>
      </c>
      <c r="HM17" s="929">
        <v>-0.64</v>
      </c>
      <c r="HN17" s="929">
        <v>-1.5</v>
      </c>
      <c r="HO17" s="929">
        <v>-9.625</v>
      </c>
      <c r="HP17" s="929">
        <v>-3.9350000000000001</v>
      </c>
      <c r="HQ17" s="929">
        <v>-5.1289999999999996</v>
      </c>
      <c r="HR17" s="929">
        <v>-0.70960000000000001</v>
      </c>
      <c r="HS17" s="929">
        <v>-0.57999999999999996</v>
      </c>
      <c r="HT17" s="929">
        <v>-1.425</v>
      </c>
      <c r="HU17" s="929">
        <v>-0.02</v>
      </c>
      <c r="HV17" s="929">
        <v>-0.27</v>
      </c>
      <c r="HW17" s="929">
        <v>-0.26</v>
      </c>
      <c r="HX17" s="929">
        <v>-0.3</v>
      </c>
      <c r="HY17" s="929">
        <v>-1.1499999999999999</v>
      </c>
      <c r="HZ17" s="929">
        <v>-0.64</v>
      </c>
      <c r="IA17" s="929">
        <v>-1.615</v>
      </c>
      <c r="IB17" s="929">
        <v>-3.51</v>
      </c>
      <c r="IC17" s="929">
        <v>-3.55</v>
      </c>
      <c r="ID17" s="929">
        <v>-1.3199999999999998</v>
      </c>
      <c r="IE17" s="929">
        <v>-4.3999999999999997E-2</v>
      </c>
      <c r="IF17" s="929">
        <v>-1.4</v>
      </c>
      <c r="IG17" s="929">
        <v>-1.7000000000000002</v>
      </c>
      <c r="IH17" s="929">
        <v>-9.9599999999999991</v>
      </c>
      <c r="II17" s="929">
        <v>-8.5250000000000004</v>
      </c>
      <c r="IJ17" s="929">
        <v>-0.51749999999999996</v>
      </c>
      <c r="IK17" s="929">
        <v>-5.97</v>
      </c>
      <c r="IL17" s="929">
        <v>-0.49399999999999999</v>
      </c>
      <c r="IM17" s="929">
        <v>-6.2</v>
      </c>
      <c r="IN17" s="929">
        <v>-4.3540000000000001</v>
      </c>
      <c r="IO17" s="929">
        <v>-1.53</v>
      </c>
      <c r="IP17" s="929">
        <v>-0.5</v>
      </c>
      <c r="IQ17" s="929">
        <v>-4.7639999999999993</v>
      </c>
      <c r="IR17" s="929">
        <v>-0.308</v>
      </c>
      <c r="IS17" s="929">
        <v>-0.27390000000000003</v>
      </c>
      <c r="IT17" s="929">
        <v>-3.0999999999999996</v>
      </c>
      <c r="IU17" s="929">
        <v>-0.16</v>
      </c>
      <c r="IV17" s="929">
        <v>-0.45</v>
      </c>
      <c r="IW17" s="929">
        <v>-2</v>
      </c>
      <c r="IX17" s="929">
        <v>-1.4</v>
      </c>
      <c r="IY17" s="929">
        <v>-3.0300000000000002</v>
      </c>
      <c r="IZ17" s="929">
        <v>-1.3</v>
      </c>
      <c r="JA17" s="929">
        <v>-0.22</v>
      </c>
      <c r="JB17" s="929">
        <v>-0.86</v>
      </c>
      <c r="JC17" s="929">
        <v>-0.64400000000000002</v>
      </c>
      <c r="JD17" s="929">
        <v>-0.63500000000000001</v>
      </c>
      <c r="JE17" s="929">
        <v>-0.23</v>
      </c>
      <c r="JF17" s="929">
        <v>-0.3</v>
      </c>
      <c r="JG17" s="929">
        <v>-0.87</v>
      </c>
      <c r="JH17" s="929">
        <v>-2.4699999999999998</v>
      </c>
      <c r="JI17" s="929">
        <v>-1.1000000000000001</v>
      </c>
      <c r="JJ17" s="929">
        <v>-1.73384</v>
      </c>
      <c r="JK17" s="929">
        <v>-3.17</v>
      </c>
      <c r="JL17" s="929">
        <v>-1.63</v>
      </c>
      <c r="JM17" s="929">
        <v>-3.319</v>
      </c>
      <c r="JN17" s="929">
        <v>-3.4299999999999997</v>
      </c>
      <c r="JO17" s="929">
        <v>-1.7260000000000002</v>
      </c>
      <c r="JP17" s="929">
        <v>-4.3780000000000001</v>
      </c>
      <c r="JQ17" s="929">
        <v>-0.76550000000000007</v>
      </c>
      <c r="JR17" s="929">
        <v>-2.8420000000000001</v>
      </c>
      <c r="JS17" s="929">
        <v>-1.1119999999999999</v>
      </c>
      <c r="JT17" s="929">
        <v>-2.4500000000000002</v>
      </c>
      <c r="JU17" s="929">
        <v>-2.61</v>
      </c>
      <c r="JV17" s="929">
        <v>-1.3</v>
      </c>
      <c r="JW17" s="929">
        <v>-0.84</v>
      </c>
      <c r="JX17" s="929">
        <v>-1.17</v>
      </c>
      <c r="JY17" s="929">
        <v>-0.99399999999999999</v>
      </c>
      <c r="JZ17" s="929">
        <v>-0.75</v>
      </c>
      <c r="KA17" s="929">
        <v>-5.04</v>
      </c>
      <c r="KB17" s="929">
        <v>-3.6219999999999999</v>
      </c>
      <c r="KC17" s="929">
        <v>-2.0699999999999998</v>
      </c>
      <c r="KD17" s="929">
        <v>-5.94</v>
      </c>
      <c r="KE17" s="929">
        <v>-0.25800000000000001</v>
      </c>
      <c r="KF17" s="929">
        <v>-0.02</v>
      </c>
      <c r="KG17" s="929">
        <v>-0.99</v>
      </c>
      <c r="KH17" s="929">
        <v>-0.06</v>
      </c>
      <c r="KI17" s="929">
        <v>-0.13</v>
      </c>
      <c r="KJ17" s="929">
        <v>-0.04</v>
      </c>
      <c r="KK17" s="929">
        <v>-1.835</v>
      </c>
      <c r="KL17" s="929">
        <v>-1.1400000000000001</v>
      </c>
      <c r="KM17" s="929">
        <v>-1.58</v>
      </c>
      <c r="KN17" s="929">
        <v>-0.33600000000000002</v>
      </c>
      <c r="KO17" s="929">
        <v>-3.07</v>
      </c>
      <c r="KP17" s="929">
        <v>-0.71</v>
      </c>
      <c r="KQ17" s="929">
        <v>-2.5000000000000001E-2</v>
      </c>
      <c r="KR17" s="929">
        <v>-1.3</v>
      </c>
      <c r="KS17" s="929">
        <v>500.32675</v>
      </c>
    </row>
    <row r="18" spans="1:305" hidden="1" x14ac:dyDescent="0.25">
      <c r="A18"/>
    </row>
    <row r="19" spans="1:305" hidden="1" x14ac:dyDescent="0.25"/>
    <row r="20" spans="1:305" hidden="1" x14ac:dyDescent="0.25">
      <c r="A20" s="23" t="s">
        <v>90</v>
      </c>
      <c r="B20" s="3" t="s">
        <v>76</v>
      </c>
    </row>
    <row r="21" spans="1:305" hidden="1" x14ac:dyDescent="0.25">
      <c r="B21" t="s">
        <v>33</v>
      </c>
      <c r="J21" t="s">
        <v>742</v>
      </c>
      <c r="K21" t="s">
        <v>32</v>
      </c>
      <c r="S21" t="s">
        <v>743</v>
      </c>
      <c r="T21" t="s">
        <v>75</v>
      </c>
    </row>
    <row r="22" spans="1:305" hidden="1" x14ac:dyDescent="0.25">
      <c r="A22" s="23" t="s">
        <v>74</v>
      </c>
      <c r="B22">
        <v>2018</v>
      </c>
      <c r="C22">
        <v>2019</v>
      </c>
      <c r="D22">
        <v>2020</v>
      </c>
      <c r="E22">
        <v>2021</v>
      </c>
      <c r="F22">
        <v>2022</v>
      </c>
      <c r="G22">
        <v>2023</v>
      </c>
      <c r="H22">
        <v>2024</v>
      </c>
      <c r="I22">
        <v>2025</v>
      </c>
      <c r="K22">
        <v>2018</v>
      </c>
      <c r="L22">
        <v>2019</v>
      </c>
      <c r="M22">
        <v>2020</v>
      </c>
      <c r="N22">
        <v>2021</v>
      </c>
      <c r="O22">
        <v>2022</v>
      </c>
      <c r="P22">
        <v>2023</v>
      </c>
      <c r="Q22">
        <v>2024</v>
      </c>
      <c r="R22">
        <v>2025</v>
      </c>
    </row>
    <row r="23" spans="1:305" hidden="1" x14ac:dyDescent="0.25">
      <c r="A23" s="25" t="s">
        <v>1</v>
      </c>
      <c r="B23">
        <v>45000</v>
      </c>
      <c r="D23">
        <v>-8</v>
      </c>
      <c r="E23">
        <v>-470</v>
      </c>
      <c r="F23">
        <v>-511</v>
      </c>
      <c r="G23">
        <v>-140.80000000000001</v>
      </c>
      <c r="H23">
        <v>-409</v>
      </c>
      <c r="I23">
        <v>-1060</v>
      </c>
      <c r="J23" s="10">
        <v>42401.2</v>
      </c>
      <c r="K23">
        <v>90</v>
      </c>
      <c r="L23">
        <v>-7.1380000000000008</v>
      </c>
      <c r="M23">
        <v>-11.127630000000002</v>
      </c>
      <c r="N23">
        <v>-21.469000000000001</v>
      </c>
      <c r="O23">
        <v>-9.0794999999999995</v>
      </c>
      <c r="P23">
        <v>-11.352379999999998</v>
      </c>
      <c r="Q23">
        <v>-7.6970999999999998</v>
      </c>
      <c r="R23">
        <v>-21.202839999999998</v>
      </c>
      <c r="S23" s="10">
        <v>0.93355000000000032</v>
      </c>
      <c r="T23" s="10">
        <v>42402.133550000006</v>
      </c>
    </row>
    <row r="24" spans="1:305" hidden="1" x14ac:dyDescent="0.25">
      <c r="A24" s="25" t="s">
        <v>2</v>
      </c>
      <c r="B24">
        <v>45000</v>
      </c>
      <c r="C24">
        <v>-385</v>
      </c>
      <c r="D24">
        <v>-97</v>
      </c>
      <c r="E24">
        <v>-549</v>
      </c>
      <c r="F24">
        <v>-226.5</v>
      </c>
      <c r="G24">
        <v>-456.6</v>
      </c>
      <c r="H24">
        <v>-633.4</v>
      </c>
      <c r="J24" s="10">
        <v>42652.5</v>
      </c>
      <c r="K24">
        <v>90</v>
      </c>
      <c r="L24">
        <v>-3.7800000000000002</v>
      </c>
      <c r="M24">
        <v>-1.006</v>
      </c>
      <c r="N24">
        <v>-1.8675999999999999</v>
      </c>
      <c r="O24">
        <v>-3.1640000000000001</v>
      </c>
      <c r="P24">
        <v>-2.5919999999999996</v>
      </c>
      <c r="Q24">
        <v>-0.436</v>
      </c>
      <c r="S24" s="10">
        <v>77.154399999999995</v>
      </c>
      <c r="T24" s="10">
        <v>42729.654400000007</v>
      </c>
    </row>
    <row r="25" spans="1:305" hidden="1" x14ac:dyDescent="0.25">
      <c r="A25" s="25" t="s">
        <v>9</v>
      </c>
      <c r="B25">
        <v>45000</v>
      </c>
      <c r="C25">
        <v>-249</v>
      </c>
      <c r="D25">
        <v>-5826</v>
      </c>
      <c r="E25">
        <v>-1987.5</v>
      </c>
      <c r="G25">
        <v>-361</v>
      </c>
      <c r="H25">
        <v>-1505.9</v>
      </c>
      <c r="I25">
        <v>-790</v>
      </c>
      <c r="J25" s="10">
        <v>34280.6</v>
      </c>
      <c r="K25">
        <v>90</v>
      </c>
      <c r="M25">
        <v>-1.7949999999999999</v>
      </c>
      <c r="N25">
        <v>-0.43</v>
      </c>
      <c r="O25">
        <v>-0.124</v>
      </c>
      <c r="P25">
        <v>-6.5000000000000002E-2</v>
      </c>
      <c r="R25">
        <v>-1.62</v>
      </c>
      <c r="S25" s="10">
        <v>85.965999999999994</v>
      </c>
      <c r="T25" s="10">
        <v>34366.565999999992</v>
      </c>
    </row>
    <row r="26" spans="1:305" hidden="1" x14ac:dyDescent="0.25">
      <c r="A26" s="25" t="s">
        <v>4</v>
      </c>
      <c r="B26">
        <v>45000</v>
      </c>
      <c r="D26">
        <v>-740</v>
      </c>
      <c r="F26">
        <v>-37.549999999999997</v>
      </c>
      <c r="G26">
        <v>-359.5</v>
      </c>
      <c r="H26">
        <v>-80.5</v>
      </c>
      <c r="I26">
        <v>-1751.2</v>
      </c>
      <c r="J26" s="10">
        <v>42031.25</v>
      </c>
      <c r="K26">
        <v>90</v>
      </c>
      <c r="M26">
        <v>-11.5985</v>
      </c>
      <c r="N26">
        <v>-3.3079999999999998</v>
      </c>
      <c r="O26">
        <v>-9.9420000000000002</v>
      </c>
      <c r="P26">
        <v>-4.7560000000000002</v>
      </c>
      <c r="Q26">
        <v>-3.51</v>
      </c>
      <c r="R26">
        <v>-5.8579999999999997</v>
      </c>
      <c r="S26" s="10">
        <v>51.027500000000003</v>
      </c>
      <c r="T26" s="10">
        <v>42082.277499999997</v>
      </c>
    </row>
    <row r="27" spans="1:305" hidden="1" x14ac:dyDescent="0.25">
      <c r="A27" s="25" t="s">
        <v>6</v>
      </c>
      <c r="B27">
        <v>45000</v>
      </c>
      <c r="C27">
        <v>-771</v>
      </c>
      <c r="D27">
        <v>-438.3</v>
      </c>
      <c r="E27">
        <v>-360</v>
      </c>
      <c r="F27">
        <v>-360.5</v>
      </c>
      <c r="G27">
        <v>-1015</v>
      </c>
      <c r="H27">
        <v>-206</v>
      </c>
      <c r="I27">
        <v>-683</v>
      </c>
      <c r="J27" s="10">
        <v>41166.199999999997</v>
      </c>
      <c r="K27">
        <v>90</v>
      </c>
      <c r="L27">
        <v>-4.04</v>
      </c>
      <c r="M27">
        <v>-0.39920000000000005</v>
      </c>
      <c r="N27">
        <v>-0.46800000000000003</v>
      </c>
      <c r="O27">
        <v>-2.4430000000000001</v>
      </c>
      <c r="P27">
        <v>-2.129</v>
      </c>
      <c r="Q27">
        <v>-1.6</v>
      </c>
      <c r="R27">
        <v>-2.0249999999999999</v>
      </c>
      <c r="S27" s="10">
        <v>76.895799999999994</v>
      </c>
      <c r="T27" s="10">
        <v>41243.095799999996</v>
      </c>
    </row>
    <row r="28" spans="1:305" ht="30" hidden="1" x14ac:dyDescent="0.25">
      <c r="A28" s="25" t="s">
        <v>11</v>
      </c>
      <c r="B28">
        <v>50000</v>
      </c>
      <c r="C28">
        <v>-373</v>
      </c>
      <c r="D28">
        <v>-1607.6</v>
      </c>
      <c r="F28">
        <v>-1039</v>
      </c>
      <c r="G28">
        <v>-1722.5</v>
      </c>
      <c r="H28">
        <v>-449</v>
      </c>
      <c r="I28">
        <v>-2201.4</v>
      </c>
      <c r="J28" s="10">
        <v>42607.5</v>
      </c>
      <c r="K28">
        <v>110.8</v>
      </c>
      <c r="L28">
        <v>-3.0500000000000003</v>
      </c>
      <c r="M28">
        <v>-5.7440000000000007</v>
      </c>
      <c r="N28">
        <v>-0.34750000000000003</v>
      </c>
      <c r="O28">
        <v>-2.4500000000000002</v>
      </c>
      <c r="P28">
        <v>-1.4990000000000001</v>
      </c>
      <c r="Q28">
        <v>-0.02</v>
      </c>
      <c r="R28">
        <v>-5.33</v>
      </c>
      <c r="S28" s="10">
        <v>92.359500000000011</v>
      </c>
      <c r="T28" s="10">
        <v>42699.859499999999</v>
      </c>
    </row>
    <row r="29" spans="1:305" hidden="1" x14ac:dyDescent="0.25">
      <c r="A29" s="25" t="s">
        <v>3</v>
      </c>
      <c r="B29">
        <v>45000</v>
      </c>
      <c r="D29">
        <v>-941</v>
      </c>
      <c r="E29">
        <v>-176</v>
      </c>
      <c r="F29">
        <v>-91.27</v>
      </c>
      <c r="G29">
        <v>-362.5</v>
      </c>
      <c r="H29">
        <v>-375</v>
      </c>
      <c r="I29">
        <v>-154</v>
      </c>
      <c r="J29" s="10">
        <v>42900.23</v>
      </c>
      <c r="K29">
        <v>88.460000000000008</v>
      </c>
      <c r="L29">
        <v>-1.1850000000000001</v>
      </c>
      <c r="M29">
        <v>-3.1660000000000004</v>
      </c>
      <c r="N29">
        <v>-9.645999999999999</v>
      </c>
      <c r="O29">
        <v>-0.51360000000000006</v>
      </c>
      <c r="P29">
        <v>-0.98799999999999999</v>
      </c>
      <c r="Q29">
        <v>-7.6229999999999993</v>
      </c>
      <c r="R29">
        <v>-0.33600000000000002</v>
      </c>
      <c r="S29" s="10">
        <v>65.002400000000009</v>
      </c>
      <c r="T29" s="10">
        <v>42965.232400000008</v>
      </c>
    </row>
    <row r="30" spans="1:305" hidden="1" x14ac:dyDescent="0.25">
      <c r="A30" s="25" t="s">
        <v>10</v>
      </c>
      <c r="B30">
        <v>44591</v>
      </c>
      <c r="C30">
        <v>-2225</v>
      </c>
      <c r="D30">
        <v>-1222</v>
      </c>
      <c r="E30">
        <v>-4803.6000000000004</v>
      </c>
      <c r="F30">
        <v>-7080.4</v>
      </c>
      <c r="G30">
        <v>-1357</v>
      </c>
      <c r="H30">
        <v>-792.9</v>
      </c>
      <c r="I30">
        <v>-759</v>
      </c>
      <c r="J30" s="10">
        <v>26351.1</v>
      </c>
      <c r="K30">
        <v>87.27</v>
      </c>
      <c r="L30">
        <v>-14.764999999999999</v>
      </c>
      <c r="M30">
        <v>-2.1150000000000002</v>
      </c>
      <c r="N30">
        <v>-5.851</v>
      </c>
      <c r="O30">
        <v>-20.720000000000002</v>
      </c>
      <c r="P30">
        <v>-13.368</v>
      </c>
      <c r="Q30">
        <v>-7.3599999999999999E-2</v>
      </c>
      <c r="R30">
        <v>-2.6</v>
      </c>
      <c r="S30" s="10">
        <v>27.7774</v>
      </c>
      <c r="T30" s="10">
        <v>26378.877400000001</v>
      </c>
    </row>
    <row r="31" spans="1:305" hidden="1" x14ac:dyDescent="0.25">
      <c r="A31" s="25" t="s">
        <v>5</v>
      </c>
      <c r="B31">
        <v>45000</v>
      </c>
      <c r="C31">
        <v>-590</v>
      </c>
      <c r="D31">
        <v>-3038</v>
      </c>
      <c r="E31">
        <v>-414.4</v>
      </c>
      <c r="F31">
        <v>-365</v>
      </c>
      <c r="G31">
        <v>-1699.4</v>
      </c>
      <c r="H31">
        <v>-785.27</v>
      </c>
      <c r="I31">
        <v>-3393.36</v>
      </c>
      <c r="J31" s="10">
        <v>34714.57</v>
      </c>
      <c r="K31">
        <v>89.57</v>
      </c>
      <c r="L31">
        <v>-0.14099999999999999</v>
      </c>
      <c r="M31">
        <v>-2.12</v>
      </c>
      <c r="N31">
        <v>-6.4910999999999994</v>
      </c>
      <c r="O31">
        <v>-7.04</v>
      </c>
      <c r="P31">
        <v>-7.048</v>
      </c>
      <c r="Q31">
        <v>-8.7639999999999993</v>
      </c>
      <c r="R31">
        <v>-13.4095</v>
      </c>
      <c r="S31" s="10">
        <v>44.556399999999975</v>
      </c>
      <c r="T31" s="10">
        <v>34759.126399999986</v>
      </c>
    </row>
    <row r="32" spans="1:305" hidden="1" x14ac:dyDescent="0.25">
      <c r="A32" s="25" t="s">
        <v>7</v>
      </c>
      <c r="B32">
        <v>80250</v>
      </c>
      <c r="C32">
        <v>-903</v>
      </c>
      <c r="D32">
        <v>-23786.25</v>
      </c>
      <c r="E32">
        <v>-2154</v>
      </c>
      <c r="F32">
        <v>-17224.599999999999</v>
      </c>
      <c r="G32">
        <v>-2397.5</v>
      </c>
      <c r="H32">
        <v>-2363.5</v>
      </c>
      <c r="I32">
        <v>-8312.5</v>
      </c>
      <c r="J32" s="10">
        <v>23108.65</v>
      </c>
      <c r="K32">
        <v>161.38</v>
      </c>
      <c r="L32">
        <v>-8.4679999999999982</v>
      </c>
      <c r="M32">
        <v>-28.843600000000006</v>
      </c>
      <c r="N32">
        <v>-30.395</v>
      </c>
      <c r="O32">
        <v>-33.019999999999996</v>
      </c>
      <c r="P32">
        <v>-16.173599999999997</v>
      </c>
      <c r="Q32">
        <v>-48.552000000000014</v>
      </c>
      <c r="R32">
        <v>-17.420999999999996</v>
      </c>
      <c r="S32" s="10">
        <v>-21.493199999999998</v>
      </c>
      <c r="T32" s="10">
        <v>23087.156800000004</v>
      </c>
    </row>
    <row r="33" spans="1:20" ht="30" hidden="1" x14ac:dyDescent="0.25">
      <c r="A33" s="25" t="s">
        <v>8</v>
      </c>
      <c r="B33">
        <v>45000</v>
      </c>
      <c r="C33">
        <v>-1635</v>
      </c>
      <c r="D33">
        <v>-1239.5</v>
      </c>
      <c r="E33">
        <v>-3330.3</v>
      </c>
      <c r="F33">
        <v>-4502.08</v>
      </c>
      <c r="G33">
        <v>-1435</v>
      </c>
      <c r="H33">
        <v>-3803.5</v>
      </c>
      <c r="I33">
        <v>-3608</v>
      </c>
      <c r="J33" s="10">
        <v>25446.619999999995</v>
      </c>
      <c r="K33">
        <v>83.828000000000003</v>
      </c>
      <c r="L33">
        <v>-8.8299999999999983</v>
      </c>
      <c r="M33">
        <v>-9.5489999999999995</v>
      </c>
      <c r="N33">
        <v>-10.7807</v>
      </c>
      <c r="O33">
        <v>-26.572000000000003</v>
      </c>
      <c r="P33">
        <v>-6.1459999999999999</v>
      </c>
      <c r="Q33">
        <v>-16.160300000000003</v>
      </c>
      <c r="R33">
        <v>-5.6429999999999998</v>
      </c>
      <c r="S33" s="10">
        <v>0.14700000000001001</v>
      </c>
      <c r="T33" s="10">
        <v>25446.766999999996</v>
      </c>
    </row>
    <row r="34" spans="1:20" hidden="1" x14ac:dyDescent="0.25">
      <c r="A34" s="25" t="s">
        <v>75</v>
      </c>
      <c r="B34">
        <v>534841</v>
      </c>
      <c r="C34">
        <v>-7131</v>
      </c>
      <c r="D34">
        <v>-38943.65</v>
      </c>
      <c r="E34">
        <v>-14244.8</v>
      </c>
      <c r="F34">
        <v>-31437.9</v>
      </c>
      <c r="G34">
        <v>-11306.8</v>
      </c>
      <c r="H34">
        <v>-11403.97</v>
      </c>
      <c r="I34">
        <v>-22712.46</v>
      </c>
      <c r="J34" s="10">
        <v>397660.42</v>
      </c>
      <c r="K34">
        <v>1071.308</v>
      </c>
      <c r="L34">
        <v>-51.396999999999991</v>
      </c>
      <c r="M34">
        <v>-77.463930000000005</v>
      </c>
      <c r="N34">
        <v>-91.053899999999985</v>
      </c>
      <c r="O34">
        <v>-115.0681</v>
      </c>
      <c r="P34">
        <v>-66.116979999999998</v>
      </c>
      <c r="Q34">
        <v>-94.436000000000021</v>
      </c>
      <c r="R34">
        <v>-75.445340000000002</v>
      </c>
      <c r="S34" s="10">
        <v>500.32675</v>
      </c>
      <c r="T34" s="10">
        <v>398160.74674999999</v>
      </c>
    </row>
    <row r="35" spans="1:20" hidden="1" x14ac:dyDescent="0.25">
      <c r="A35"/>
    </row>
    <row r="37" spans="1:20" ht="83.25" customHeight="1" x14ac:dyDescent="0.25">
      <c r="A37" s="15" t="s">
        <v>1046</v>
      </c>
      <c r="B37" s="15" t="s">
        <v>745</v>
      </c>
      <c r="C37" s="14">
        <v>2018</v>
      </c>
      <c r="D37" s="14">
        <v>2019</v>
      </c>
      <c r="E37" s="14">
        <v>2020</v>
      </c>
      <c r="F37" s="14">
        <v>2021</v>
      </c>
      <c r="G37" s="14">
        <v>2022</v>
      </c>
      <c r="H37" s="14">
        <v>2023</v>
      </c>
      <c r="I37" s="14">
        <v>2024</v>
      </c>
      <c r="J37" s="14">
        <v>2025</v>
      </c>
      <c r="K37" s="15" t="s">
        <v>746</v>
      </c>
      <c r="L37" s="15" t="s">
        <v>1793</v>
      </c>
    </row>
    <row r="38" spans="1:20" x14ac:dyDescent="0.25">
      <c r="A38" s="24" t="s">
        <v>1</v>
      </c>
      <c r="B38" s="6">
        <v>90</v>
      </c>
      <c r="C38" s="6">
        <f>B38-GETPIVOTDATA("Credits",$A$20,"Calendar Year",2018,"Service Area","Calumet-Dunes","Credit Class","Wetland")</f>
        <v>0</v>
      </c>
      <c r="D38" s="11">
        <f>-GETPIVOTDATA("Credits",$A$20,"Calendar Year",2019,"Service Area","Calumet-Dunes","Credit Class","Wetland")</f>
        <v>7.1380000000000008</v>
      </c>
      <c r="E38" s="11">
        <f>-GETPIVOTDATA("Credits",$A$20,"Calendar Year",2020,"Service Area","Calumet-Dunes","Credit Class","Wetland")</f>
        <v>11.127630000000002</v>
      </c>
      <c r="F38" s="11">
        <f>-GETPIVOTDATA("Credits",$A$20,"Calendar Year",2021,"Service Area","Calumet-Dunes","Credit Class","Wetland")</f>
        <v>21.469000000000001</v>
      </c>
      <c r="G38" s="11">
        <f>-GETPIVOTDATA("Credits",$A$20,"Calendar Year",2022,"Service Area","Calumet-Dunes","Credit Class","Wetland")</f>
        <v>9.0794999999999995</v>
      </c>
      <c r="H38" s="11">
        <f>-GETPIVOTDATA("Credits",$A$20,"Calendar Year",2023,"Service Area","Calumet-Dunes","Credit Class","Wetland")</f>
        <v>11.352379999999998</v>
      </c>
      <c r="I38" s="11">
        <f>-GETPIVOTDATA("Credits",$A$20,"Calendar Year",2024,"Service Area","Calumet-Dunes","Credit Class","Wetland")</f>
        <v>7.6970999999999998</v>
      </c>
      <c r="J38" s="11">
        <f>-GETPIVOTDATA("Credits",$A$20,"Calendar Year",2025,"Service Area","Calumet-Dunes","Credit Class","Wetland")</f>
        <v>21.202839999999998</v>
      </c>
      <c r="K38" s="909">
        <f>(C38+D38+E38+F38+G38+H38+I38+J38)</f>
        <v>89.066450000000003</v>
      </c>
      <c r="L38" s="909">
        <f t="shared" ref="L38:L48" si="0">B38-(K38-E99)</f>
        <v>8.50354999999999</v>
      </c>
    </row>
    <row r="39" spans="1:20" x14ac:dyDescent="0.25">
      <c r="A39" s="24" t="s">
        <v>2</v>
      </c>
      <c r="B39" s="6">
        <v>90</v>
      </c>
      <c r="C39" s="6">
        <f>B39-GETPIVOTDATA("Credits",$A$20,"Calendar Year",2018,"Service Area","Kankakee","Credit Class","Wetland")</f>
        <v>0</v>
      </c>
      <c r="D39" s="11">
        <f>-GETPIVOTDATA("Credits",$A$20,"Calendar Year",2019,"Service Area","Kankakee","Credit Class","Wetland")</f>
        <v>3.7800000000000002</v>
      </c>
      <c r="E39" s="11">
        <f>-GETPIVOTDATA("Credits",$A$20,"Calendar Year",2020,"Service Area","Kankakee","Credit Class","Wetland")</f>
        <v>1.006</v>
      </c>
      <c r="F39" s="11">
        <f>-GETPIVOTDATA("Credits",$A$20,"Calendar Year",2021,"Service Area","Kankakee","Credit Class","Wetland")</f>
        <v>1.8675999999999999</v>
      </c>
      <c r="G39" s="11">
        <f>-GETPIVOTDATA("Credits",$A$20,"Calendar Year",2022,"Service Area","Kankakee","Credit Class","Wetland")</f>
        <v>3.1640000000000001</v>
      </c>
      <c r="H39" s="11">
        <f>-GETPIVOTDATA("Credits",$A$20,"Calendar Year",2023,"Service Area","Kankakee","Credit Class","Wetland")</f>
        <v>2.5919999999999996</v>
      </c>
      <c r="I39" s="11">
        <f>-GETPIVOTDATA("Credits",$A$20,"Calendar Year",2024,"Service Area","Kankakee","Credit Class","Wetland")</f>
        <v>0.436</v>
      </c>
      <c r="J39" s="11">
        <f>-GETPIVOTDATA("Credits",$A$20,"Calendar Year",2025,"Service Area","Kankakee","Credit Class","Wetland")</f>
        <v>0</v>
      </c>
      <c r="K39" s="909">
        <f t="shared" ref="K39:K48" si="1">(C39+D39+E39+F39+G39+H39+I39+J39)</f>
        <v>12.845600000000001</v>
      </c>
      <c r="L39" s="909">
        <f t="shared" si="0"/>
        <v>77.154399999999995</v>
      </c>
    </row>
    <row r="40" spans="1:20" x14ac:dyDescent="0.25">
      <c r="A40" s="24" t="s">
        <v>9</v>
      </c>
      <c r="B40" s="6">
        <v>90</v>
      </c>
      <c r="C40" s="6">
        <f t="shared" ref="C40:C41" si="2">B40-GETPIVOTDATA("Credits",$A$20,"Calendar Year",2018,"Service Area","Kankakee","Credit Class","Wetland")</f>
        <v>0</v>
      </c>
      <c r="D40" s="16">
        <f>-GETPIVOTDATA("Credits",$A$20,"Calendar Year",2019,"Service Area","Lower White","Credit Class","Wetland")</f>
        <v>0</v>
      </c>
      <c r="E40" s="11">
        <f>-GETPIVOTDATA("Credits",$A$20,"Calendar Year",2020,"Service Area","Lower White","Credit Class","Wetland")</f>
        <v>1.7949999999999999</v>
      </c>
      <c r="F40" s="11">
        <f>-GETPIVOTDATA("Credits",$A$20,"Calendar Year",2021,"Service Area","Lower White","Credit Class","Wetland")</f>
        <v>0.43</v>
      </c>
      <c r="G40" s="11">
        <f>-GETPIVOTDATA("Credits",$A$20,"Calendar Year",2022,"Service Area","Lower White","Credit Class","Wetland")</f>
        <v>0.124</v>
      </c>
      <c r="H40" s="11">
        <f>-GETPIVOTDATA("Credits",$A$20,"Calendar Year",2023,"Service Area","Lower White","Credit Class","Wetland")</f>
        <v>6.5000000000000002E-2</v>
      </c>
      <c r="I40" s="11">
        <f>-GETPIVOTDATA("Credits",$A$20,"Calendar Year",2024,"Service Area","Lower White","Credit Class","Wetland")</f>
        <v>0</v>
      </c>
      <c r="J40" s="11">
        <f>-GETPIVOTDATA("Credits",$A$20,"Calendar Year",2025,"Service Area","Lower White","Credit Class","Wetland")</f>
        <v>1.62</v>
      </c>
      <c r="K40" s="909">
        <f t="shared" si="1"/>
        <v>4.0340000000000007</v>
      </c>
      <c r="L40" s="909">
        <f t="shared" si="0"/>
        <v>85.965999999999994</v>
      </c>
    </row>
    <row r="41" spans="1:20" x14ac:dyDescent="0.25">
      <c r="A41" s="24" t="s">
        <v>4</v>
      </c>
      <c r="B41" s="6">
        <v>90</v>
      </c>
      <c r="C41" s="6">
        <f t="shared" si="2"/>
        <v>0</v>
      </c>
      <c r="D41" s="16">
        <f>-GETPIVOTDATA("Credits",$A$20,"Calendar Year",2019,"Service Area","Maumee","Credit Class","Wetland")</f>
        <v>0</v>
      </c>
      <c r="E41" s="11">
        <f>-GETPIVOTDATA("Credits",$A$20,"Calendar Year",2020,"Service Area","Maumee","Credit Class","Wetland")</f>
        <v>11.5985</v>
      </c>
      <c r="F41" s="11">
        <f>-GETPIVOTDATA("Credits",$A$20,"Calendar Year",2021,"Service Area","Maumee","Credit Class","Wetland")</f>
        <v>3.3079999999999998</v>
      </c>
      <c r="G41" s="11">
        <f>-GETPIVOTDATA("Credits",$A$20,"Calendar Year",2022,"Service Area","Maumee","Credit Class","Wetland")</f>
        <v>9.9420000000000002</v>
      </c>
      <c r="H41" s="11">
        <f>-GETPIVOTDATA("Credits",$A$20,"Calendar Year",2023,"Service Area","Maumee","Credit Class","Wetland")</f>
        <v>4.7560000000000002</v>
      </c>
      <c r="I41" s="11">
        <f>-GETPIVOTDATA("Credits",$A$20,"Calendar Year",2024,"Service Area","Maumee","Credit Class","Wetland")</f>
        <v>3.51</v>
      </c>
      <c r="J41" s="11">
        <f>-GETPIVOTDATA("Credits",$A$20,"Calendar Year",2025,"Service Area","Maumee","Credit Class","Wetland")</f>
        <v>5.8579999999999997</v>
      </c>
      <c r="K41" s="909">
        <f t="shared" si="1"/>
        <v>38.972499999999997</v>
      </c>
      <c r="L41" s="909">
        <f t="shared" si="0"/>
        <v>62.622500000000002</v>
      </c>
    </row>
    <row r="42" spans="1:20" x14ac:dyDescent="0.25">
      <c r="A42" s="24" t="s">
        <v>6</v>
      </c>
      <c r="B42" s="6">
        <v>90</v>
      </c>
      <c r="C42" s="6">
        <f>B42-GETPIVOTDATA("Credits",$A$20,"Calendar Year",2018,"Service Area","Middle Wabash","Credit Class","Wetland")</f>
        <v>0</v>
      </c>
      <c r="D42" s="11">
        <f>-GETPIVOTDATA("Credits",$A$20,"Calendar Year",2019,"Service Area","Middle Wabash","Credit Class","Wetland")</f>
        <v>4.04</v>
      </c>
      <c r="E42" s="11">
        <f>-GETPIVOTDATA("Credits",$A$20,"Calendar Year",2020,"Service Area","Middle Wabash","Credit Class","Wetland")</f>
        <v>0.39920000000000005</v>
      </c>
      <c r="F42" s="11">
        <f>-GETPIVOTDATA("Credits",$A$20,"Calendar Year",2021,"Service Area","Middle Wabash","Credit Class","Wetland")</f>
        <v>0.46800000000000003</v>
      </c>
      <c r="G42" s="11">
        <f>-GETPIVOTDATA("Credits",$A$20,"Calendar Year",2022,"Service Area","Middle Wabash","Credit Class","Wetland")</f>
        <v>2.4430000000000001</v>
      </c>
      <c r="H42" s="11">
        <f>-GETPIVOTDATA("Credits",$A$20,"Calendar Year",2023,"Service Area","Middle Wabash","Credit Class","Wetland")</f>
        <v>2.129</v>
      </c>
      <c r="I42" s="11">
        <f>-GETPIVOTDATA("Credits",$A$20,"Calendar Year",2024,"Service Area","Middle Wabash","Credit Class","Wetland")</f>
        <v>1.6</v>
      </c>
      <c r="J42" s="11">
        <f>-GETPIVOTDATA("Credits",$A$20,"Calendar Year",2025,"Service Area","Middle Wabash","Credit Class","Wetland")</f>
        <v>2.0249999999999999</v>
      </c>
      <c r="K42" s="909">
        <f t="shared" si="1"/>
        <v>13.104200000000001</v>
      </c>
      <c r="L42" s="909">
        <f t="shared" si="0"/>
        <v>76.895799999999994</v>
      </c>
    </row>
    <row r="43" spans="1:20" ht="30" x14ac:dyDescent="0.25">
      <c r="A43" s="24" t="s">
        <v>11</v>
      </c>
      <c r="B43" s="6">
        <v>115</v>
      </c>
      <c r="C43" s="6">
        <f>B43-GETPIVOTDATA("Credits",$A$20,"Calendar Year",2018,"Service Area","Ohio-Wabash Lowlands","Credit Class","Wetland")</f>
        <v>4.2000000000000028</v>
      </c>
      <c r="D43" s="11">
        <f>-GETPIVOTDATA("Credits",$A$20,"Calendar Year",2019,"Service Area","Ohio-Wabash Lowlands","Credit Class","Wetland")</f>
        <v>3.0500000000000003</v>
      </c>
      <c r="E43" s="11">
        <f>-GETPIVOTDATA("Credits",$A$20,"Calendar Year",2020,"Service Area","Ohio-Wabash Lowlands","Credit Class","Wetland")</f>
        <v>5.7440000000000007</v>
      </c>
      <c r="F43" s="11">
        <f>-GETPIVOTDATA("Credits",$A$20,"Calendar Year",2021,"Service Area","Ohio-Wabash Lowlands","Credit Class","Wetland")</f>
        <v>0.34750000000000003</v>
      </c>
      <c r="G43" s="11">
        <f>-GETPIVOTDATA("Credits",$A$20,"Calendar Year",2022,"Service Area","Ohio-Wabash Lowlands","Credit Class","Wetland")</f>
        <v>2.4500000000000002</v>
      </c>
      <c r="H43" s="11">
        <f>-GETPIVOTDATA("Credits",$A$20,"Calendar Year",2023,"Service Area","Ohio-Wabash Lowlands","Credit Class","Wetland")</f>
        <v>1.4990000000000001</v>
      </c>
      <c r="I43" s="11">
        <f>-GETPIVOTDATA("Credits",$A$20,"Calendar Year",2024,"Service Area","Ohio-Wabash Lowlands","Credit Class","Wetland")</f>
        <v>0.02</v>
      </c>
      <c r="J43" s="11">
        <f>-GETPIVOTDATA("Credits",$A$20,"Calendar Year",2025,"Service Area","Ohio-Wabash Lowlands","Credit Class","Wetland")</f>
        <v>5.33</v>
      </c>
      <c r="K43" s="909">
        <f t="shared" si="1"/>
        <v>22.640500000000003</v>
      </c>
      <c r="L43" s="909">
        <f t="shared" si="0"/>
        <v>92.359499999999997</v>
      </c>
    </row>
    <row r="44" spans="1:20" x14ac:dyDescent="0.25">
      <c r="A44" s="24" t="s">
        <v>3</v>
      </c>
      <c r="B44" s="6">
        <v>90</v>
      </c>
      <c r="C44" s="6">
        <f>B44-GETPIVOTDATA("Credits",$A$20,"Calendar Year",2018,"Service Area","St. Joseph River","Credit Class","Wetland")</f>
        <v>1.539999999999992</v>
      </c>
      <c r="D44" s="11">
        <f>-GETPIVOTDATA("Credits",$A$20,"Calendar Year",2019,"Service Area","St. Joseph River","Credit Class","Wetland")</f>
        <v>1.1850000000000001</v>
      </c>
      <c r="E44" s="11">
        <f>-GETPIVOTDATA("Credits",$A$20,"Calendar Year",2020,"Service Area","St. Joseph River","Credit Class","Wetland")</f>
        <v>3.1660000000000004</v>
      </c>
      <c r="F44" s="11">
        <f>-GETPIVOTDATA("Credits",$A$20,"Calendar Year",2021,"Service Area","St. Joseph River","Credit Class","Wetland")</f>
        <v>9.645999999999999</v>
      </c>
      <c r="G44" s="11">
        <f>-GETPIVOTDATA("Credits",$A$20,"Calendar Year",2022,"Service Area","St. Joseph River","Credit Class","Wetland")</f>
        <v>0.51360000000000006</v>
      </c>
      <c r="H44" s="11">
        <f>-GETPIVOTDATA("Credits",$A$20,"Calendar Year",2023,"Service Area","St. Joseph River","Credit Class","Wetland")</f>
        <v>0.98799999999999999</v>
      </c>
      <c r="I44" s="11">
        <f>-GETPIVOTDATA("Credits",$A$20,"Calendar Year",2024,"Service Area","St. Joseph River","Credit Class","Wetland")</f>
        <v>7.6229999999999993</v>
      </c>
      <c r="J44" s="11">
        <f>-GETPIVOTDATA("Credits",$A$20,"Calendar Year",2025,"Service Area","St. Joseph River","Credit Class","Wetland")</f>
        <v>0.33600000000000002</v>
      </c>
      <c r="K44" s="909">
        <f t="shared" si="1"/>
        <v>24.997599999999991</v>
      </c>
      <c r="L44" s="909">
        <f t="shared" si="0"/>
        <v>65.002400000000009</v>
      </c>
    </row>
    <row r="45" spans="1:20" x14ac:dyDescent="0.25">
      <c r="A45" s="24" t="s">
        <v>10</v>
      </c>
      <c r="B45" s="6">
        <v>90</v>
      </c>
      <c r="C45" s="6">
        <f>B45-GETPIVOTDATA("Credits",$A$20,"Calendar Year",2018,"Service Area","Upper Ohio","Credit Class","Wetland")</f>
        <v>2.730000000000004</v>
      </c>
      <c r="D45" s="11">
        <f>-GETPIVOTDATA("Credits",$A$20,"Calendar Year",2019,"Service Area","Upper Ohio","Credit Class","Wetland")</f>
        <v>14.764999999999999</v>
      </c>
      <c r="E45" s="11">
        <f>-GETPIVOTDATA("Credits",$A$20,"Calendar Year",2020,"Service Area","Upper Ohio","Credit Class","Wetland")</f>
        <v>2.1150000000000002</v>
      </c>
      <c r="F45" s="11">
        <f>-GETPIVOTDATA("Credits",$A$20,"Calendar Year",2021,"Service Area","Upper Ohio","Credit Class","Wetland")</f>
        <v>5.851</v>
      </c>
      <c r="G45" s="11">
        <f>-GETPIVOTDATA("Credits",$A$20,"Calendar Year",2022,"Service Area","Upper Ohio","Credit Class","Wetland")</f>
        <v>20.720000000000002</v>
      </c>
      <c r="H45" s="11">
        <f>-GETPIVOTDATA("Credits",$A$20,"Calendar Year",2023,"Service Area","Upper Ohio","Credit Class","Wetland")</f>
        <v>13.368</v>
      </c>
      <c r="I45" s="11">
        <f>-GETPIVOTDATA("Credits",$A$20,"Calendar Year",2024,"Service Area","Upper Ohio","Credit Class","Wetland")</f>
        <v>7.3599999999999999E-2</v>
      </c>
      <c r="J45" s="11">
        <f>-GETPIVOTDATA("Credits",$A$20,"Calendar Year",2025,"Service Area","Upper Ohio","Credit Class","Wetland")</f>
        <v>2.6</v>
      </c>
      <c r="K45" s="909">
        <f t="shared" si="1"/>
        <v>62.222600000000014</v>
      </c>
      <c r="L45" s="909">
        <f t="shared" si="0"/>
        <v>47.387399999999985</v>
      </c>
    </row>
    <row r="46" spans="1:20" x14ac:dyDescent="0.25">
      <c r="A46" s="24" t="s">
        <v>5</v>
      </c>
      <c r="B46" s="6">
        <v>90</v>
      </c>
      <c r="C46" s="6">
        <f>B46-GETPIVOTDATA("Credits",$A$20,"Calendar Year",2018,"Service Area","Upper Wabash","Credit Class","Wetland")</f>
        <v>0.43000000000000682</v>
      </c>
      <c r="D46" s="11">
        <f>-GETPIVOTDATA("Credits",$A$20,"Calendar Year",2019,"Service Area","Upper Wabash","Credit Class","Wetland")</f>
        <v>0.14099999999999999</v>
      </c>
      <c r="E46" s="11">
        <f>-GETPIVOTDATA("Credits",$A$20,"Calendar Year",2020,"Service Area","Upper Wabash","Credit Class","Wetland")</f>
        <v>2.12</v>
      </c>
      <c r="F46" s="11">
        <f>-GETPIVOTDATA("Credits",$A$20,"Calendar Year",2021,"Service Area","Upper Wabash","Credit Class","Wetland")</f>
        <v>6.4910999999999994</v>
      </c>
      <c r="G46" s="11">
        <f>-GETPIVOTDATA("Credits",$A$20,"Calendar Year",2022,"Service Area","Upper Wabash","Credit Class","Wetland")</f>
        <v>7.04</v>
      </c>
      <c r="H46" s="11">
        <f>-GETPIVOTDATA("Credits",$A$20,"Calendar Year",2023,"Service Area","Upper Wabash","Credit Class","Wetland")</f>
        <v>7.048</v>
      </c>
      <c r="I46" s="11">
        <f>-GETPIVOTDATA("Credits",$A$20,"Calendar Year",2024,"Service Area","Upper Wabash","Credit Class","Wetland")</f>
        <v>8.7639999999999993</v>
      </c>
      <c r="J46" s="11">
        <f>-GETPIVOTDATA("Credits",$A$20,"Calendar Year",2025,"Service Area","Upper Wabash","Credit Class","Wetland")</f>
        <v>13.4095</v>
      </c>
      <c r="K46" s="909">
        <f t="shared" si="1"/>
        <v>45.443600000000011</v>
      </c>
      <c r="L46" s="909">
        <f t="shared" si="0"/>
        <v>44.556399999999989</v>
      </c>
    </row>
    <row r="47" spans="1:20" x14ac:dyDescent="0.25">
      <c r="A47" s="24" t="s">
        <v>7</v>
      </c>
      <c r="B47" s="6">
        <v>162</v>
      </c>
      <c r="C47" s="6">
        <f>B47-GETPIVOTDATA("Credits",$A$20,"Calendar Year",2018,"Service Area","Upper White","Credit Class","Wetland")</f>
        <v>0.62000000000000455</v>
      </c>
      <c r="D47" s="11">
        <f>-GETPIVOTDATA("Credits",$A$20,"Calendar Year",2019,"Service Area","Upper White","Credit Class","Wetland")</f>
        <v>8.4679999999999982</v>
      </c>
      <c r="E47" s="11">
        <f>-GETPIVOTDATA("Credits",$A$20,"Calendar Year",2020,"Service Area","Upper White","Credit Class","Wetland")</f>
        <v>28.843600000000006</v>
      </c>
      <c r="F47" s="11">
        <f>-GETPIVOTDATA("Credits",$A$20,"Calendar Year",2021,"Service Area","Upper White","Credit Class","Wetland")</f>
        <v>30.395</v>
      </c>
      <c r="G47" s="11">
        <f>-GETPIVOTDATA("Credits",$A$20,"Calendar Year",2022,"Service Area","Upper White","Credit Class","Wetland")</f>
        <v>33.019999999999996</v>
      </c>
      <c r="H47" s="11">
        <f>-GETPIVOTDATA("Credits",$A$20,"Calendar Year",2023,"Service Area","Upper White","Credit Class","Wetland")</f>
        <v>16.173599999999997</v>
      </c>
      <c r="I47" s="11">
        <f>-GETPIVOTDATA("Credits",$A$20,"Calendar Year",2024,"Service Area","Upper White","Credit Class","Wetland")</f>
        <v>48.552000000000014</v>
      </c>
      <c r="J47" s="11">
        <f>-GETPIVOTDATA("Credits",$A$20,"Calendar Year",2025,"Service Area","Upper White","Credit Class","Wetland")</f>
        <v>17.420999999999996</v>
      </c>
      <c r="K47" s="909">
        <f t="shared" si="1"/>
        <v>183.4932</v>
      </c>
      <c r="L47" s="909">
        <f t="shared" si="0"/>
        <v>0.40680000000000405</v>
      </c>
    </row>
    <row r="48" spans="1:20" ht="15" customHeight="1" x14ac:dyDescent="0.25">
      <c r="A48" s="24" t="s">
        <v>8</v>
      </c>
      <c r="B48" s="6">
        <v>90</v>
      </c>
      <c r="C48" s="6">
        <f>B48-GETPIVOTDATA("Credits",$A$20,"Calendar Year",2018,"Service Area","Whitewater-East Fork White","Credit Class","Wetland")</f>
        <v>6.171999999999997</v>
      </c>
      <c r="D48" s="11">
        <f>-GETPIVOTDATA("Credits",$A$20,"Calendar Year",2019,"Service Area","Whitewater-East Fork White","Credit Class","Wetland")</f>
        <v>8.8299999999999983</v>
      </c>
      <c r="E48" s="11">
        <f>-GETPIVOTDATA("Credits",$A$20,"Calendar Year",2020,"Service Area","Whitewater-East Fork White","Credit Class","Wetland")</f>
        <v>9.5489999999999995</v>
      </c>
      <c r="F48" s="11">
        <f>-GETPIVOTDATA("Credits",$A$20,"Calendar Year",2021,"Service Area","Whitewater-East Fork White","Credit Class","Wetland")</f>
        <v>10.7807</v>
      </c>
      <c r="G48" s="11">
        <f>-GETPIVOTDATA("Credits",$A$20,"Calendar Year",2022,"Service Area","Whitewater-East Fork White","Credit Class","Wetland")</f>
        <v>26.572000000000003</v>
      </c>
      <c r="H48" s="11">
        <f>-GETPIVOTDATA("Credits",$A$20,"Calendar Year",2023,"Service Area","Whitewater-East Fork White","Credit Class","Wetland")</f>
        <v>6.1459999999999999</v>
      </c>
      <c r="I48" s="11">
        <f>-GETPIVOTDATA("Credits",$A$20,"Calendar Year",2024,"Service Area","Whitewater-East Fork White","Credit Class","Wetland")</f>
        <v>16.160300000000003</v>
      </c>
      <c r="J48" s="11">
        <f>-GETPIVOTDATA("Credits",$A$20,"Calendar Year",2025,"Service Area","Whitewater-East Fork White","Credit Class","Wetland")</f>
        <v>5.6429999999999998</v>
      </c>
      <c r="K48" s="909">
        <f t="shared" si="1"/>
        <v>89.853000000000009</v>
      </c>
      <c r="L48" s="909">
        <f t="shared" si="0"/>
        <v>0.14699999999999136</v>
      </c>
    </row>
    <row r="50" spans="1:11" x14ac:dyDescent="0.25">
      <c r="A50" s="23" t="s">
        <v>34</v>
      </c>
      <c r="B50" t="s">
        <v>1051</v>
      </c>
      <c r="C50" s="18">
        <f>SUM(C38:C48)</f>
        <v>15.692000000000007</v>
      </c>
      <c r="D50" s="18">
        <f t="shared" ref="D50:G50" si="3">SUM(D38:D48)</f>
        <v>51.396999999999991</v>
      </c>
      <c r="E50" s="18">
        <f t="shared" si="3"/>
        <v>77.463930000000005</v>
      </c>
      <c r="F50" s="18">
        <f t="shared" si="3"/>
        <v>91.053899999999985</v>
      </c>
      <c r="G50" s="18">
        <f t="shared" si="3"/>
        <v>115.0681</v>
      </c>
      <c r="H50" s="18">
        <f t="shared" ref="H50:J50" si="4">SUM(H38:H48)</f>
        <v>66.116979999999998</v>
      </c>
      <c r="I50" s="18">
        <f t="shared" si="4"/>
        <v>94.436000000000021</v>
      </c>
      <c r="J50" s="18">
        <f t="shared" si="4"/>
        <v>75.445340000000002</v>
      </c>
      <c r="K50" s="18">
        <f>SUM(K38:K48)</f>
        <v>586.67325000000005</v>
      </c>
    </row>
    <row r="52" spans="1:11" x14ac:dyDescent="0.25">
      <c r="A52" s="23" t="s">
        <v>90</v>
      </c>
      <c r="B52" s="3" t="s">
        <v>76</v>
      </c>
    </row>
    <row r="53" spans="1:11" x14ac:dyDescent="0.25">
      <c r="A53" s="23" t="s">
        <v>74</v>
      </c>
      <c r="B53" t="s">
        <v>36</v>
      </c>
      <c r="C53" t="s">
        <v>38</v>
      </c>
      <c r="D53" t="s">
        <v>37</v>
      </c>
      <c r="E53" t="s">
        <v>75</v>
      </c>
    </row>
    <row r="54" spans="1:11" x14ac:dyDescent="0.25">
      <c r="A54" s="24" t="s">
        <v>1</v>
      </c>
      <c r="B54" s="20">
        <v>-55.344510000000007</v>
      </c>
      <c r="C54" s="20">
        <v>-28.407940000000004</v>
      </c>
      <c r="D54" s="20">
        <v>-5.3140000000000001</v>
      </c>
      <c r="E54" s="20">
        <v>-89.066450000000003</v>
      </c>
    </row>
    <row r="55" spans="1:11" x14ac:dyDescent="0.25">
      <c r="A55" s="24" t="s">
        <v>2</v>
      </c>
      <c r="B55" s="20">
        <v>-4.1479999999999997</v>
      </c>
      <c r="C55" s="20">
        <v>-7.5752000000000006</v>
      </c>
      <c r="D55" s="20">
        <v>-1.1223999999999998</v>
      </c>
      <c r="E55" s="20">
        <v>-12.845600000000001</v>
      </c>
    </row>
    <row r="56" spans="1:11" x14ac:dyDescent="0.25">
      <c r="A56" s="24" t="s">
        <v>9</v>
      </c>
      <c r="B56" s="20">
        <v>-1.9590000000000001</v>
      </c>
      <c r="C56" s="20">
        <v>-2</v>
      </c>
      <c r="D56" s="20">
        <v>-7.4999999999999997E-2</v>
      </c>
      <c r="E56" s="20">
        <v>-4.0339999999999998</v>
      </c>
    </row>
    <row r="57" spans="1:11" x14ac:dyDescent="0.25">
      <c r="A57" s="24" t="s">
        <v>4</v>
      </c>
      <c r="B57" s="20">
        <v>-1.3580000000000001</v>
      </c>
      <c r="C57" s="20">
        <v>-35.354500000000002</v>
      </c>
      <c r="D57" s="20">
        <v>-2.2599999999999998</v>
      </c>
      <c r="E57" s="20">
        <v>-38.972499999999997</v>
      </c>
    </row>
    <row r="58" spans="1:11" x14ac:dyDescent="0.25">
      <c r="A58" s="24" t="s">
        <v>6</v>
      </c>
      <c r="B58" s="20">
        <v>-5.7801999999999998</v>
      </c>
      <c r="C58" s="20">
        <v>-7.0810000000000013</v>
      </c>
      <c r="D58" s="20">
        <v>-0.24299999999999999</v>
      </c>
      <c r="E58" s="20">
        <v>-13.104200000000001</v>
      </c>
    </row>
    <row r="59" spans="1:11" ht="30" x14ac:dyDescent="0.25">
      <c r="A59" s="24" t="s">
        <v>11</v>
      </c>
      <c r="B59" s="20">
        <v>-11.731999999999998</v>
      </c>
      <c r="C59" s="20">
        <v>-10.8995</v>
      </c>
      <c r="D59" s="20">
        <v>-8.9999999999999993E-3</v>
      </c>
      <c r="E59" s="20">
        <v>-22.640499999999996</v>
      </c>
    </row>
    <row r="60" spans="1:11" x14ac:dyDescent="0.25">
      <c r="A60" s="24" t="s">
        <v>3</v>
      </c>
      <c r="B60" s="20">
        <v>-16.472999999999999</v>
      </c>
      <c r="C60" s="20">
        <v>-8.0740000000000016</v>
      </c>
      <c r="D60" s="20">
        <v>-0.4506</v>
      </c>
      <c r="E60" s="20">
        <v>-24.997600000000002</v>
      </c>
    </row>
    <row r="61" spans="1:11" x14ac:dyDescent="0.25">
      <c r="A61" s="24" t="s">
        <v>10</v>
      </c>
      <c r="B61" s="20">
        <v>-25.573999999999995</v>
      </c>
      <c r="C61" s="20">
        <v>-34.335599999999999</v>
      </c>
      <c r="D61" s="20">
        <v>-2.3130000000000002</v>
      </c>
      <c r="E61" s="20">
        <v>-62.2226</v>
      </c>
    </row>
    <row r="62" spans="1:11" x14ac:dyDescent="0.25">
      <c r="A62" s="24" t="s">
        <v>5</v>
      </c>
      <c r="B62" s="20">
        <v>-17.669699999999999</v>
      </c>
      <c r="C62" s="20">
        <v>-22.5305</v>
      </c>
      <c r="D62" s="20">
        <v>-5.2433999999999994</v>
      </c>
      <c r="E62" s="20">
        <v>-45.443599999999996</v>
      </c>
    </row>
    <row r="63" spans="1:11" x14ac:dyDescent="0.25">
      <c r="A63" s="24" t="s">
        <v>7</v>
      </c>
      <c r="B63" s="20">
        <v>-44.817100000000011</v>
      </c>
      <c r="C63" s="20">
        <v>-130.12910000000002</v>
      </c>
      <c r="D63" s="20">
        <v>-8.5470000000000006</v>
      </c>
      <c r="E63" s="20">
        <v>-183.49320000000003</v>
      </c>
    </row>
    <row r="64" spans="1:11" ht="30" x14ac:dyDescent="0.25">
      <c r="A64" s="24" t="s">
        <v>8</v>
      </c>
      <c r="B64" s="20">
        <v>-57.688600000000008</v>
      </c>
      <c r="C64" s="20">
        <v>-26.9617</v>
      </c>
      <c r="D64" s="20">
        <v>-5.2027000000000001</v>
      </c>
      <c r="E64" s="20">
        <v>-89.853000000000009</v>
      </c>
    </row>
    <row r="65" spans="1:5" x14ac:dyDescent="0.25">
      <c r="A65" s="27" t="s">
        <v>75</v>
      </c>
      <c r="B65" s="21">
        <v>-242.54411000000002</v>
      </c>
      <c r="C65" s="21">
        <v>-313.34904</v>
      </c>
      <c r="D65" s="21">
        <v>-30.780100000000001</v>
      </c>
      <c r="E65" s="21">
        <v>-586.67325000000005</v>
      </c>
    </row>
    <row r="68" spans="1:5" x14ac:dyDescent="0.25">
      <c r="A68" s="23" t="s">
        <v>74</v>
      </c>
      <c r="B68" t="s">
        <v>90</v>
      </c>
      <c r="C68" t="s">
        <v>97</v>
      </c>
    </row>
    <row r="69" spans="1:5" x14ac:dyDescent="0.25">
      <c r="A69" s="25" t="s">
        <v>80</v>
      </c>
      <c r="B69">
        <v>-368.04440999999997</v>
      </c>
      <c r="C69" s="9">
        <v>31754298.859999999</v>
      </c>
    </row>
    <row r="70" spans="1:5" x14ac:dyDescent="0.25">
      <c r="A70" s="25" t="s">
        <v>32</v>
      </c>
      <c r="B70">
        <v>-368.04440999999997</v>
      </c>
      <c r="C70" s="9">
        <v>31754298.859999999</v>
      </c>
    </row>
    <row r="71" spans="1:5" x14ac:dyDescent="0.25">
      <c r="A71" s="25" t="s">
        <v>1</v>
      </c>
      <c r="B71">
        <v>-66.335110000000014</v>
      </c>
      <c r="C71" s="9">
        <v>6301836.8600000003</v>
      </c>
    </row>
    <row r="72" spans="1:5" x14ac:dyDescent="0.25">
      <c r="A72" s="25" t="s">
        <v>2</v>
      </c>
      <c r="B72">
        <v>-8.6916000000000011</v>
      </c>
      <c r="C72" s="9">
        <v>885702</v>
      </c>
    </row>
    <row r="73" spans="1:5" x14ac:dyDescent="0.25">
      <c r="A73" s="25" t="s">
        <v>9</v>
      </c>
      <c r="B73">
        <v>-3.6830000000000003</v>
      </c>
      <c r="C73" s="9">
        <v>294640</v>
      </c>
    </row>
    <row r="74" spans="1:5" x14ac:dyDescent="0.25">
      <c r="A74" s="25" t="s">
        <v>4</v>
      </c>
      <c r="B74">
        <v>-22.600500000000004</v>
      </c>
      <c r="C74" s="9">
        <v>1808040</v>
      </c>
    </row>
    <row r="75" spans="1:5" x14ac:dyDescent="0.25">
      <c r="A75" s="25" t="s">
        <v>6</v>
      </c>
      <c r="B75">
        <v>-11.349199999999998</v>
      </c>
      <c r="C75" s="9">
        <v>907936</v>
      </c>
    </row>
    <row r="76" spans="1:5" ht="30" x14ac:dyDescent="0.25">
      <c r="A76" s="25" t="s">
        <v>11</v>
      </c>
      <c r="B76">
        <v>-19.322499999999994</v>
      </c>
      <c r="C76" s="9">
        <v>1545800</v>
      </c>
    </row>
    <row r="77" spans="1:5" x14ac:dyDescent="0.25">
      <c r="A77" s="25" t="s">
        <v>3</v>
      </c>
      <c r="B77">
        <v>-19.868599999999997</v>
      </c>
      <c r="C77" s="9">
        <v>2384232</v>
      </c>
    </row>
    <row r="78" spans="1:5" x14ac:dyDescent="0.25">
      <c r="A78" s="25" t="s">
        <v>10</v>
      </c>
      <c r="B78">
        <v>-61.135599999999997</v>
      </c>
      <c r="C78" s="9">
        <v>4890848</v>
      </c>
    </row>
    <row r="79" spans="1:5" x14ac:dyDescent="0.25">
      <c r="A79" s="25" t="s">
        <v>5</v>
      </c>
      <c r="B79">
        <v>-32.586600000000011</v>
      </c>
      <c r="C79" s="9">
        <v>2605328</v>
      </c>
    </row>
    <row r="80" spans="1:5" x14ac:dyDescent="0.25">
      <c r="A80" s="25" t="s">
        <v>7</v>
      </c>
      <c r="B80">
        <v>-66.651199999999989</v>
      </c>
      <c r="C80" s="9">
        <v>5664296</v>
      </c>
    </row>
    <row r="81" spans="1:3" ht="30" x14ac:dyDescent="0.25">
      <c r="A81" s="25" t="s">
        <v>8</v>
      </c>
      <c r="B81">
        <v>-55.82050000000001</v>
      </c>
      <c r="C81" s="9">
        <v>4465640</v>
      </c>
    </row>
    <row r="82" spans="1:3" x14ac:dyDescent="0.25">
      <c r="A82" s="25" t="s">
        <v>81</v>
      </c>
      <c r="B82">
        <v>-218.62884</v>
      </c>
      <c r="C82" s="9">
        <v>18069747.509999998</v>
      </c>
    </row>
    <row r="83" spans="1:3" x14ac:dyDescent="0.25">
      <c r="A83" s="25" t="s">
        <v>32</v>
      </c>
      <c r="B83">
        <v>-218.62884</v>
      </c>
      <c r="C83" s="9">
        <v>18069747.509999998</v>
      </c>
    </row>
    <row r="84" spans="1:3" x14ac:dyDescent="0.25">
      <c r="A84" s="25" t="s">
        <v>1</v>
      </c>
      <c r="B84">
        <v>-22.731339999999999</v>
      </c>
      <c r="C84" s="9">
        <v>2159477.5099999998</v>
      </c>
    </row>
    <row r="85" spans="1:3" x14ac:dyDescent="0.25">
      <c r="A85" s="25" t="s">
        <v>2</v>
      </c>
      <c r="B85">
        <v>-4.1539999999999999</v>
      </c>
      <c r="C85" s="9">
        <v>394630</v>
      </c>
    </row>
    <row r="86" spans="1:3" x14ac:dyDescent="0.25">
      <c r="A86" s="25" t="s">
        <v>9</v>
      </c>
      <c r="B86">
        <v>-0.35099999999999998</v>
      </c>
      <c r="C86" s="9">
        <v>28080</v>
      </c>
    </row>
    <row r="87" spans="1:3" x14ac:dyDescent="0.25">
      <c r="A87" s="25" t="s">
        <v>4</v>
      </c>
      <c r="B87">
        <v>-16.372</v>
      </c>
      <c r="C87" s="9">
        <v>1309760</v>
      </c>
    </row>
    <row r="88" spans="1:3" x14ac:dyDescent="0.25">
      <c r="A88" s="25" t="s">
        <v>6</v>
      </c>
      <c r="B88">
        <v>-1.7550000000000001</v>
      </c>
      <c r="C88" s="9">
        <v>140400</v>
      </c>
    </row>
    <row r="89" spans="1:3" ht="30" x14ac:dyDescent="0.25">
      <c r="A89" s="25" t="s">
        <v>11</v>
      </c>
      <c r="B89">
        <v>-3.3180000000000001</v>
      </c>
      <c r="C89" s="9">
        <v>265440</v>
      </c>
    </row>
    <row r="90" spans="1:3" x14ac:dyDescent="0.25">
      <c r="A90" s="115" t="s">
        <v>3</v>
      </c>
      <c r="B90">
        <v>-5.1289999999999996</v>
      </c>
      <c r="C90" s="9">
        <v>615480</v>
      </c>
    </row>
    <row r="91" spans="1:3" x14ac:dyDescent="0.25">
      <c r="A91" s="25" t="s">
        <v>10</v>
      </c>
      <c r="B91">
        <v>-1.0870000000000002</v>
      </c>
      <c r="C91" s="9">
        <v>86960</v>
      </c>
    </row>
    <row r="92" spans="1:3" x14ac:dyDescent="0.25">
      <c r="A92" s="25" t="s">
        <v>5</v>
      </c>
      <c r="B92">
        <v>-12.857000000000001</v>
      </c>
      <c r="C92" s="9">
        <v>1028560</v>
      </c>
    </row>
    <row r="93" spans="1:3" x14ac:dyDescent="0.25">
      <c r="A93" s="25" t="s">
        <v>7</v>
      </c>
      <c r="B93">
        <v>-116.84199999999998</v>
      </c>
      <c r="C93" s="9">
        <v>9325880</v>
      </c>
    </row>
    <row r="94" spans="1:3" ht="30" x14ac:dyDescent="0.25">
      <c r="A94" s="25" t="s">
        <v>8</v>
      </c>
      <c r="B94">
        <v>-34.032499999999999</v>
      </c>
      <c r="C94" s="9">
        <v>2715080</v>
      </c>
    </row>
    <row r="95" spans="1:3" x14ac:dyDescent="0.25">
      <c r="A95" s="25" t="s">
        <v>75</v>
      </c>
      <c r="B95">
        <v>-586.67325000000005</v>
      </c>
      <c r="C95" s="9">
        <v>49824046.369999997</v>
      </c>
    </row>
    <row r="96" spans="1:3" x14ac:dyDescent="0.25">
      <c r="A96"/>
    </row>
    <row r="97" spans="1:5" ht="15.75" thickBot="1" x14ac:dyDescent="0.3">
      <c r="A97"/>
    </row>
    <row r="98" spans="1:5" ht="30.75" thickBot="1" x14ac:dyDescent="0.3">
      <c r="A98" s="899" t="s">
        <v>1791</v>
      </c>
      <c r="B98" s="900">
        <v>2023</v>
      </c>
      <c r="C98" s="900">
        <v>2024</v>
      </c>
      <c r="D98" s="900">
        <v>2025</v>
      </c>
      <c r="E98" s="928" t="s">
        <v>1792</v>
      </c>
    </row>
    <row r="99" spans="1:5" x14ac:dyDescent="0.25">
      <c r="A99" s="890" t="s">
        <v>1</v>
      </c>
      <c r="B99" s="902"/>
      <c r="C99" s="902">
        <v>7.57</v>
      </c>
      <c r="D99" s="903"/>
      <c r="E99" s="904">
        <f>SUM(B99:C99)</f>
        <v>7.57</v>
      </c>
    </row>
    <row r="100" spans="1:5" x14ac:dyDescent="0.25">
      <c r="A100" s="886" t="s">
        <v>2</v>
      </c>
      <c r="B100" s="905"/>
      <c r="C100" s="905"/>
      <c r="D100" s="903"/>
      <c r="E100" s="904">
        <f t="shared" ref="E100:E109" si="5">SUM(B100:C100)</f>
        <v>0</v>
      </c>
    </row>
    <row r="101" spans="1:5" x14ac:dyDescent="0.25">
      <c r="A101" s="886" t="s">
        <v>9</v>
      </c>
      <c r="B101" s="905"/>
      <c r="C101" s="905"/>
      <c r="D101" s="903"/>
      <c r="E101" s="904">
        <f t="shared" si="5"/>
        <v>0</v>
      </c>
    </row>
    <row r="102" spans="1:5" x14ac:dyDescent="0.25">
      <c r="A102" s="886" t="s">
        <v>4</v>
      </c>
      <c r="B102" s="905">
        <v>10.115</v>
      </c>
      <c r="C102" s="905">
        <v>1.48</v>
      </c>
      <c r="D102" s="903"/>
      <c r="E102" s="904">
        <f t="shared" si="5"/>
        <v>11.595000000000001</v>
      </c>
    </row>
    <row r="103" spans="1:5" x14ac:dyDescent="0.25">
      <c r="A103" s="886" t="s">
        <v>6</v>
      </c>
      <c r="B103" s="905"/>
      <c r="C103" s="905"/>
      <c r="D103" s="903"/>
      <c r="E103" s="904">
        <f t="shared" si="5"/>
        <v>0</v>
      </c>
    </row>
    <row r="104" spans="1:5" ht="27.75" customHeight="1" x14ac:dyDescent="0.25">
      <c r="A104" s="886" t="s">
        <v>11</v>
      </c>
      <c r="B104" s="905"/>
      <c r="C104" s="905"/>
      <c r="D104" s="903"/>
      <c r="E104" s="904">
        <f t="shared" si="5"/>
        <v>0</v>
      </c>
    </row>
    <row r="105" spans="1:5" x14ac:dyDescent="0.25">
      <c r="A105" s="886" t="s">
        <v>3</v>
      </c>
      <c r="B105" s="905"/>
      <c r="C105" s="905"/>
      <c r="D105" s="903"/>
      <c r="E105" s="904">
        <f t="shared" si="5"/>
        <v>0</v>
      </c>
    </row>
    <row r="106" spans="1:5" x14ac:dyDescent="0.25">
      <c r="A106" s="886" t="s">
        <v>10</v>
      </c>
      <c r="B106" s="905"/>
      <c r="C106" s="905">
        <v>19.61</v>
      </c>
      <c r="D106" s="903"/>
      <c r="E106" s="904">
        <f t="shared" si="5"/>
        <v>19.61</v>
      </c>
    </row>
    <row r="107" spans="1:5" x14ac:dyDescent="0.25">
      <c r="A107" s="886" t="s">
        <v>5</v>
      </c>
      <c r="B107" s="905"/>
      <c r="C107" s="905"/>
      <c r="D107" s="903"/>
      <c r="E107" s="904">
        <f t="shared" si="5"/>
        <v>0</v>
      </c>
    </row>
    <row r="108" spans="1:5" x14ac:dyDescent="0.25">
      <c r="A108" s="886" t="s">
        <v>7</v>
      </c>
      <c r="B108" s="905">
        <v>13.75</v>
      </c>
      <c r="C108" s="905">
        <v>2.0499999999999998</v>
      </c>
      <c r="D108" s="903">
        <v>6.1</v>
      </c>
      <c r="E108" s="904">
        <f>SUM(B108:D108)</f>
        <v>21.9</v>
      </c>
    </row>
    <row r="109" spans="1:5" ht="32.25" customHeight="1" thickBot="1" x14ac:dyDescent="0.3">
      <c r="A109" s="887" t="s">
        <v>8</v>
      </c>
      <c r="B109" s="906"/>
      <c r="C109" s="906"/>
      <c r="D109" s="906"/>
      <c r="E109" s="907">
        <f t="shared" si="5"/>
        <v>0</v>
      </c>
    </row>
  </sheetData>
  <pageMargins left="0.7" right="0.7" top="0.75" bottom="0.75" header="0.3" footer="0.3"/>
  <pageSetup orientation="landscape" r:id="rId5"/>
  <ignoredErrors>
    <ignoredError sqref="E108" formula="1"/>
  </ignoredError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</sheetPr>
  <dimension ref="A2:GK68"/>
  <sheetViews>
    <sheetView topLeftCell="A25" workbookViewId="0">
      <pane xSplit="1" topLeftCell="B1" activePane="topRight" state="frozen"/>
      <selection pane="topRight" activeCell="Q66" sqref="Q66"/>
    </sheetView>
  </sheetViews>
  <sheetFormatPr defaultColWidth="15.85546875" defaultRowHeight="15" x14ac:dyDescent="0.25"/>
  <cols>
    <col min="1" max="1" width="26.5703125" bestFit="1" customWidth="1"/>
    <col min="2" max="2" width="16.28515625" bestFit="1" customWidth="1"/>
    <col min="3" max="3" width="11.5703125" bestFit="1" customWidth="1"/>
    <col min="4" max="4" width="12.5703125" bestFit="1" customWidth="1"/>
    <col min="5" max="8" width="11.5703125" bestFit="1" customWidth="1"/>
    <col min="9" max="9" width="10.5703125" bestFit="1" customWidth="1"/>
    <col min="10" max="11" width="11.5703125" bestFit="1" customWidth="1"/>
    <col min="12" max="12" width="14.140625" customWidth="1"/>
    <col min="13" max="13" width="10.5703125" bestFit="1" customWidth="1"/>
    <col min="14" max="14" width="12.5703125" bestFit="1" customWidth="1"/>
    <col min="15" max="17" width="10.5703125" bestFit="1" customWidth="1"/>
    <col min="18" max="18" width="11.5703125" bestFit="1" customWidth="1"/>
    <col min="19" max="19" width="10.5703125" bestFit="1" customWidth="1"/>
    <col min="20" max="20" width="11.5703125" bestFit="1" customWidth="1"/>
    <col min="21" max="21" width="10.5703125" bestFit="1" customWidth="1"/>
    <col min="22" max="24" width="11.5703125" bestFit="1" customWidth="1"/>
    <col min="25" max="25" width="10.5703125" bestFit="1" customWidth="1"/>
    <col min="26" max="29" width="11.5703125" bestFit="1" customWidth="1"/>
    <col min="30" max="30" width="10.5703125" bestFit="1" customWidth="1"/>
    <col min="31" max="31" width="11.5703125" bestFit="1" customWidth="1"/>
    <col min="32" max="32" width="10.5703125" bestFit="1" customWidth="1"/>
    <col min="33" max="34" width="11.5703125" bestFit="1" customWidth="1"/>
    <col min="35" max="35" width="10.5703125" bestFit="1" customWidth="1"/>
    <col min="36" max="40" width="11.5703125" bestFit="1" customWidth="1"/>
    <col min="41" max="47" width="12.5703125" bestFit="1" customWidth="1"/>
    <col min="48" max="50" width="11.5703125" bestFit="1" customWidth="1"/>
    <col min="51" max="51" width="10.5703125" bestFit="1" customWidth="1"/>
    <col min="52" max="54" width="11.5703125" bestFit="1" customWidth="1"/>
    <col min="55" max="56" width="10.5703125" bestFit="1" customWidth="1"/>
    <col min="57" max="59" width="11.5703125" bestFit="1" customWidth="1"/>
    <col min="60" max="60" width="10.5703125" bestFit="1" customWidth="1"/>
    <col min="61" max="62" width="11.5703125" bestFit="1" customWidth="1"/>
    <col min="63" max="65" width="10.5703125" bestFit="1" customWidth="1"/>
    <col min="66" max="67" width="11.5703125" bestFit="1" customWidth="1"/>
    <col min="68" max="71" width="12.5703125" bestFit="1" customWidth="1"/>
    <col min="72" max="72" width="11.5703125" bestFit="1" customWidth="1"/>
    <col min="73" max="74" width="12.5703125" bestFit="1" customWidth="1"/>
    <col min="75" max="75" width="10.5703125" bestFit="1" customWidth="1"/>
    <col min="76" max="77" width="11.5703125" bestFit="1" customWidth="1"/>
    <col min="78" max="79" width="10.5703125" bestFit="1" customWidth="1"/>
    <col min="80" max="80" width="11.5703125" bestFit="1" customWidth="1"/>
    <col min="81" max="81" width="10.5703125" bestFit="1" customWidth="1"/>
    <col min="82" max="84" width="11.5703125" bestFit="1" customWidth="1"/>
    <col min="85" max="85" width="10.5703125" bestFit="1" customWidth="1"/>
    <col min="86" max="89" width="11.5703125" bestFit="1" customWidth="1"/>
    <col min="90" max="91" width="10.5703125" bestFit="1" customWidth="1"/>
    <col min="92" max="100" width="11.5703125" bestFit="1" customWidth="1"/>
    <col min="101" max="101" width="12.5703125" bestFit="1" customWidth="1"/>
    <col min="102" max="102" width="11.5703125" bestFit="1" customWidth="1"/>
    <col min="103" max="104" width="12.5703125" bestFit="1" customWidth="1"/>
    <col min="105" max="105" width="11.5703125" bestFit="1" customWidth="1"/>
    <col min="106" max="106" width="10.5703125" bestFit="1" customWidth="1"/>
    <col min="107" max="117" width="11.5703125" bestFit="1" customWidth="1"/>
    <col min="118" max="119" width="12.5703125" bestFit="1" customWidth="1"/>
    <col min="120" max="122" width="11.5703125" bestFit="1" customWidth="1"/>
    <col min="123" max="125" width="12.5703125" bestFit="1" customWidth="1"/>
    <col min="126" max="128" width="11.5703125" bestFit="1" customWidth="1"/>
    <col min="129" max="129" width="10.5703125" bestFit="1" customWidth="1"/>
    <col min="130" max="130" width="11.5703125" bestFit="1" customWidth="1"/>
    <col min="131" max="131" width="10.5703125" bestFit="1" customWidth="1"/>
    <col min="132" max="136" width="11.5703125" bestFit="1" customWidth="1"/>
    <col min="137" max="137" width="10.5703125" bestFit="1" customWidth="1"/>
    <col min="138" max="138" width="11.5703125" bestFit="1" customWidth="1"/>
    <col min="139" max="139" width="10.5703125" bestFit="1" customWidth="1"/>
    <col min="140" max="141" width="11.5703125" bestFit="1" customWidth="1"/>
    <col min="142" max="143" width="10.5703125" bestFit="1" customWidth="1"/>
    <col min="144" max="146" width="11.5703125" bestFit="1" customWidth="1"/>
    <col min="147" max="147" width="10.5703125" bestFit="1" customWidth="1"/>
    <col min="148" max="149" width="11.5703125" bestFit="1" customWidth="1"/>
    <col min="150" max="151" width="12.5703125" bestFit="1" customWidth="1"/>
    <col min="152" max="152" width="11.5703125" bestFit="1" customWidth="1"/>
    <col min="153" max="153" width="12.5703125" bestFit="1" customWidth="1"/>
    <col min="154" max="154" width="11.5703125" bestFit="1" customWidth="1"/>
    <col min="155" max="157" width="10.5703125" bestFit="1" customWidth="1"/>
    <col min="158" max="161" width="11.5703125" bestFit="1" customWidth="1"/>
    <col min="162" max="162" width="10.5703125" bestFit="1" customWidth="1"/>
    <col min="163" max="168" width="11.5703125" bestFit="1" customWidth="1"/>
    <col min="169" max="173" width="10.5703125" bestFit="1" customWidth="1"/>
    <col min="174" max="175" width="11.5703125" bestFit="1" customWidth="1"/>
    <col min="176" max="176" width="10.5703125" bestFit="1" customWidth="1"/>
    <col min="177" max="178" width="11.5703125" bestFit="1" customWidth="1"/>
    <col min="179" max="179" width="10.5703125" bestFit="1" customWidth="1"/>
    <col min="180" max="181" width="11.5703125" bestFit="1" customWidth="1"/>
    <col min="182" max="182" width="10.5703125" bestFit="1" customWidth="1"/>
    <col min="183" max="187" width="11.5703125" bestFit="1" customWidth="1"/>
    <col min="188" max="189" width="12.5703125" bestFit="1" customWidth="1"/>
    <col min="190" max="190" width="11.5703125" bestFit="1" customWidth="1"/>
    <col min="191" max="192" width="12.5703125" bestFit="1" customWidth="1"/>
    <col min="193" max="193" width="11.28515625" bestFit="1" customWidth="1"/>
  </cols>
  <sheetData>
    <row r="2" spans="1:193" hidden="1" x14ac:dyDescent="0.25"/>
    <row r="3" spans="1:193" hidden="1" x14ac:dyDescent="0.25">
      <c r="A3" s="3" t="s">
        <v>90</v>
      </c>
      <c r="B3" s="3" t="s">
        <v>76</v>
      </c>
    </row>
    <row r="4" spans="1:193" hidden="1" x14ac:dyDescent="0.25">
      <c r="B4" s="28">
        <v>43223</v>
      </c>
      <c r="C4" s="28">
        <v>43367</v>
      </c>
      <c r="D4" s="28">
        <v>43395</v>
      </c>
      <c r="E4" s="28">
        <v>43438</v>
      </c>
      <c r="F4" s="28">
        <v>43480</v>
      </c>
      <c r="G4" s="28">
        <v>43517</v>
      </c>
      <c r="H4" s="28">
        <v>43543</v>
      </c>
      <c r="I4" s="28">
        <v>43591</v>
      </c>
      <c r="J4" s="28">
        <v>43598</v>
      </c>
      <c r="K4" s="28">
        <v>43643</v>
      </c>
      <c r="L4" s="28">
        <v>43699</v>
      </c>
      <c r="M4" s="28">
        <v>43712</v>
      </c>
      <c r="N4" s="28">
        <v>43761</v>
      </c>
      <c r="O4" s="28">
        <v>43833</v>
      </c>
      <c r="P4" s="28">
        <v>43836</v>
      </c>
      <c r="Q4" s="28">
        <v>43838</v>
      </c>
      <c r="R4" s="28">
        <v>43844</v>
      </c>
      <c r="S4" s="28">
        <v>43866</v>
      </c>
      <c r="T4" s="28">
        <v>43880</v>
      </c>
      <c r="U4" s="28">
        <v>43893</v>
      </c>
      <c r="V4" s="28">
        <v>43914</v>
      </c>
      <c r="W4" s="28">
        <v>43915</v>
      </c>
      <c r="X4" s="28">
        <v>43921</v>
      </c>
      <c r="Y4" s="28">
        <v>43922</v>
      </c>
      <c r="Z4" s="28">
        <v>43936</v>
      </c>
      <c r="AA4" s="28">
        <v>43943</v>
      </c>
      <c r="AB4" s="28">
        <v>43949</v>
      </c>
      <c r="AC4" s="28">
        <v>43951</v>
      </c>
      <c r="AD4" s="28">
        <v>43956</v>
      </c>
      <c r="AE4" s="28">
        <v>44008</v>
      </c>
      <c r="AF4" s="28">
        <v>44021</v>
      </c>
      <c r="AG4" s="28">
        <v>44028</v>
      </c>
      <c r="AH4" s="28">
        <v>44034</v>
      </c>
      <c r="AI4" s="28">
        <v>44047</v>
      </c>
      <c r="AJ4" s="28">
        <v>44063</v>
      </c>
      <c r="AK4" s="28">
        <v>44071</v>
      </c>
      <c r="AL4" s="28">
        <v>44089</v>
      </c>
      <c r="AM4" s="28">
        <v>44092</v>
      </c>
      <c r="AN4" s="28">
        <v>44104</v>
      </c>
      <c r="AO4" s="28">
        <v>44117</v>
      </c>
      <c r="AP4" s="28">
        <v>44118</v>
      </c>
      <c r="AQ4" s="28">
        <v>44119</v>
      </c>
      <c r="AR4" s="28">
        <v>44148</v>
      </c>
      <c r="AS4" s="28">
        <v>44152</v>
      </c>
      <c r="AT4" s="28">
        <v>44159</v>
      </c>
      <c r="AU4" s="28">
        <v>44165</v>
      </c>
      <c r="AV4" s="28">
        <v>44210</v>
      </c>
      <c r="AW4" s="28">
        <v>44221</v>
      </c>
      <c r="AX4" s="28">
        <v>44224</v>
      </c>
      <c r="AY4" s="28">
        <v>44263</v>
      </c>
      <c r="AZ4" s="28">
        <v>44270</v>
      </c>
      <c r="BA4" s="28">
        <v>44272</v>
      </c>
      <c r="BB4" s="28">
        <v>44285</v>
      </c>
      <c r="BC4" s="28">
        <v>44291</v>
      </c>
      <c r="BD4" s="28">
        <v>44320</v>
      </c>
      <c r="BE4" s="28">
        <v>44343</v>
      </c>
      <c r="BF4" s="28">
        <v>44363</v>
      </c>
      <c r="BG4" s="28">
        <v>44376</v>
      </c>
      <c r="BH4" s="28">
        <v>44385</v>
      </c>
      <c r="BI4" s="28">
        <v>44396</v>
      </c>
      <c r="BJ4" s="28">
        <v>44398</v>
      </c>
      <c r="BK4" s="28">
        <v>44293</v>
      </c>
      <c r="BL4" s="28">
        <v>44415</v>
      </c>
      <c r="BM4" s="28">
        <v>44446</v>
      </c>
      <c r="BN4" s="28">
        <v>44466</v>
      </c>
      <c r="BO4" s="28">
        <v>44475</v>
      </c>
      <c r="BP4" s="28">
        <v>44487</v>
      </c>
      <c r="BQ4" s="28">
        <v>44494</v>
      </c>
      <c r="BR4" s="28">
        <v>44517</v>
      </c>
      <c r="BS4" s="28">
        <v>44530</v>
      </c>
      <c r="BT4" s="28">
        <v>44537</v>
      </c>
      <c r="BU4" s="28">
        <v>44545</v>
      </c>
      <c r="BV4" s="28">
        <v>44558</v>
      </c>
      <c r="BW4" s="28">
        <v>44565</v>
      </c>
      <c r="BX4" s="28">
        <v>44585</v>
      </c>
      <c r="BY4" s="28">
        <v>44587</v>
      </c>
      <c r="BZ4" s="28">
        <v>44600</v>
      </c>
      <c r="CA4" s="28">
        <v>44601</v>
      </c>
      <c r="CB4" s="28">
        <v>44617</v>
      </c>
      <c r="CC4" s="28">
        <v>44629</v>
      </c>
      <c r="CD4" s="28">
        <v>44636</v>
      </c>
      <c r="CE4" s="28">
        <v>44649</v>
      </c>
      <c r="CF4" s="28">
        <v>44651</v>
      </c>
      <c r="CG4" s="28">
        <v>44657</v>
      </c>
      <c r="CH4" s="28">
        <v>44697</v>
      </c>
      <c r="CI4" s="28">
        <v>44699</v>
      </c>
      <c r="CJ4" s="28">
        <v>44725</v>
      </c>
      <c r="CK4" s="28">
        <v>44767</v>
      </c>
      <c r="CL4" s="28">
        <v>44777</v>
      </c>
      <c r="CM4" s="28">
        <v>44782</v>
      </c>
      <c r="CN4" s="28">
        <v>44790</v>
      </c>
      <c r="CO4" s="28">
        <v>44795</v>
      </c>
      <c r="CP4" s="28">
        <v>44799</v>
      </c>
      <c r="CQ4" s="28">
        <v>44804</v>
      </c>
      <c r="CR4" s="28">
        <v>44819</v>
      </c>
      <c r="CS4" s="28">
        <v>44824</v>
      </c>
      <c r="CT4" s="28">
        <v>44826</v>
      </c>
      <c r="CU4" s="28">
        <v>44830</v>
      </c>
      <c r="CV4" s="28">
        <v>44874</v>
      </c>
      <c r="CW4" s="28">
        <v>44886</v>
      </c>
      <c r="CX4" s="28">
        <v>44901</v>
      </c>
      <c r="CY4" s="28">
        <v>44914</v>
      </c>
      <c r="CZ4" s="28">
        <v>44925</v>
      </c>
      <c r="DA4" s="28">
        <v>44949</v>
      </c>
      <c r="DB4" s="28">
        <v>44966</v>
      </c>
      <c r="DC4" s="28">
        <v>44977</v>
      </c>
      <c r="DD4" s="28">
        <v>44984</v>
      </c>
      <c r="DE4" s="28">
        <v>44998</v>
      </c>
      <c r="DF4" s="28">
        <v>45012</v>
      </c>
      <c r="DG4" s="28">
        <v>45034</v>
      </c>
      <c r="DH4" s="28">
        <v>45042</v>
      </c>
      <c r="DI4" s="28">
        <v>45069</v>
      </c>
      <c r="DJ4" s="28">
        <v>45091</v>
      </c>
      <c r="DK4" s="28">
        <v>45093</v>
      </c>
      <c r="DL4" s="28">
        <v>45163</v>
      </c>
      <c r="DM4" s="28">
        <v>45166</v>
      </c>
      <c r="DN4" s="28">
        <v>45223</v>
      </c>
      <c r="DO4" s="28">
        <v>45224</v>
      </c>
      <c r="DP4" s="28">
        <v>45231</v>
      </c>
      <c r="DQ4" s="28">
        <v>45238</v>
      </c>
      <c r="DR4" s="28">
        <v>45239</v>
      </c>
      <c r="DS4" s="28">
        <v>45260</v>
      </c>
      <c r="DT4" s="28">
        <v>45275</v>
      </c>
      <c r="DU4" s="28">
        <v>45282</v>
      </c>
      <c r="DV4" s="28">
        <v>45317</v>
      </c>
      <c r="DW4" s="28">
        <v>45322</v>
      </c>
      <c r="DX4" s="28">
        <v>45264</v>
      </c>
      <c r="DY4" s="28">
        <v>45329</v>
      </c>
      <c r="DZ4" s="28">
        <v>45342</v>
      </c>
      <c r="EA4" s="28">
        <v>45358</v>
      </c>
      <c r="EB4" s="28">
        <v>45362</v>
      </c>
      <c r="EC4" s="28">
        <v>45363</v>
      </c>
      <c r="ED4" s="28">
        <v>45369</v>
      </c>
      <c r="EE4" s="28">
        <v>45376</v>
      </c>
      <c r="EF4" s="28">
        <v>45377</v>
      </c>
      <c r="EG4" s="28">
        <v>45387</v>
      </c>
      <c r="EH4" s="28">
        <v>45394</v>
      </c>
      <c r="EI4" s="28">
        <v>45420</v>
      </c>
      <c r="EJ4" s="28">
        <v>45433</v>
      </c>
      <c r="EK4" s="28">
        <v>45441</v>
      </c>
      <c r="EL4" s="28">
        <v>45448</v>
      </c>
      <c r="EM4" s="28">
        <v>45511</v>
      </c>
      <c r="EN4" s="28">
        <v>45517</v>
      </c>
      <c r="EO4" s="28">
        <v>45527</v>
      </c>
      <c r="EP4" s="28">
        <v>45365</v>
      </c>
      <c r="EQ4" s="28">
        <v>45539</v>
      </c>
      <c r="ER4" s="28">
        <v>45547</v>
      </c>
      <c r="ES4" s="28">
        <v>45569</v>
      </c>
      <c r="ET4" s="28">
        <v>45575</v>
      </c>
      <c r="EU4" s="28">
        <v>45596</v>
      </c>
      <c r="EV4" s="28">
        <v>45603</v>
      </c>
      <c r="EW4" s="28">
        <v>45611</v>
      </c>
      <c r="EX4" s="28">
        <v>45635</v>
      </c>
      <c r="EY4" s="28">
        <v>45659</v>
      </c>
      <c r="EZ4" s="28">
        <v>45660</v>
      </c>
      <c r="FA4" s="28">
        <v>45665</v>
      </c>
      <c r="FB4" s="28">
        <v>45671</v>
      </c>
      <c r="FC4" s="28">
        <v>45672</v>
      </c>
      <c r="FD4" s="28">
        <v>45685</v>
      </c>
      <c r="FE4" s="28">
        <v>45687</v>
      </c>
      <c r="FF4" s="28">
        <v>45694</v>
      </c>
      <c r="FG4" s="28">
        <v>45709</v>
      </c>
      <c r="FH4" s="28">
        <v>45712</v>
      </c>
      <c r="FI4" s="28">
        <v>45716</v>
      </c>
      <c r="FJ4" s="28">
        <v>45743</v>
      </c>
      <c r="FK4" s="28">
        <v>45744</v>
      </c>
      <c r="FL4" s="28">
        <v>45747</v>
      </c>
      <c r="FM4" s="28">
        <v>45755</v>
      </c>
      <c r="FN4" s="28">
        <v>45778</v>
      </c>
      <c r="FO4" s="28">
        <v>45779</v>
      </c>
      <c r="FP4" s="28">
        <v>45782</v>
      </c>
      <c r="FQ4" s="28">
        <v>45784</v>
      </c>
      <c r="FR4" s="28">
        <v>45790</v>
      </c>
      <c r="FS4" s="28">
        <v>45791</v>
      </c>
      <c r="FT4" s="28">
        <v>45812</v>
      </c>
      <c r="FU4" s="28">
        <v>45818</v>
      </c>
      <c r="FV4" s="28">
        <v>45826</v>
      </c>
      <c r="FW4" s="28">
        <v>45845</v>
      </c>
      <c r="FX4" s="28">
        <v>45852</v>
      </c>
      <c r="FY4" s="28">
        <v>45863</v>
      </c>
      <c r="FZ4" s="28">
        <v>45870</v>
      </c>
      <c r="GA4" s="28">
        <v>45895</v>
      </c>
      <c r="GB4" s="28">
        <v>45896</v>
      </c>
      <c r="GC4" s="28">
        <v>45898</v>
      </c>
      <c r="GD4" s="28">
        <v>45918</v>
      </c>
      <c r="GE4" s="28">
        <v>45937</v>
      </c>
      <c r="GF4" s="28">
        <v>45945</v>
      </c>
      <c r="GG4" s="28">
        <v>45951</v>
      </c>
      <c r="GH4" s="28">
        <v>45965</v>
      </c>
      <c r="GI4" s="28">
        <v>46020</v>
      </c>
      <c r="GJ4" s="28">
        <v>46022</v>
      </c>
      <c r="GK4" t="s">
        <v>75</v>
      </c>
    </row>
    <row r="5" spans="1:193" hidden="1" x14ac:dyDescent="0.25">
      <c r="A5" s="3" t="s">
        <v>74</v>
      </c>
      <c r="D5" t="s">
        <v>33</v>
      </c>
      <c r="E5" t="s">
        <v>33</v>
      </c>
      <c r="F5" t="s">
        <v>33</v>
      </c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  <c r="Z5" t="s">
        <v>33</v>
      </c>
      <c r="AA5" t="s">
        <v>33</v>
      </c>
      <c r="AB5" t="s">
        <v>33</v>
      </c>
      <c r="AC5" t="s">
        <v>33</v>
      </c>
      <c r="AD5" t="s">
        <v>33</v>
      </c>
      <c r="AE5" t="s">
        <v>33</v>
      </c>
      <c r="AF5" t="s">
        <v>33</v>
      </c>
      <c r="AG5" t="s">
        <v>33</v>
      </c>
      <c r="AH5" t="s">
        <v>33</v>
      </c>
      <c r="AI5" t="s">
        <v>33</v>
      </c>
      <c r="AJ5" t="s">
        <v>33</v>
      </c>
      <c r="AK5" t="s">
        <v>33</v>
      </c>
      <c r="AL5" t="s">
        <v>33</v>
      </c>
      <c r="AM5" t="s">
        <v>33</v>
      </c>
      <c r="AN5" t="s">
        <v>33</v>
      </c>
      <c r="AO5" t="s">
        <v>33</v>
      </c>
      <c r="AP5" t="s">
        <v>33</v>
      </c>
      <c r="AQ5" t="s">
        <v>33</v>
      </c>
      <c r="AR5" t="s">
        <v>33</v>
      </c>
      <c r="AS5" t="s">
        <v>33</v>
      </c>
      <c r="AT5" t="s">
        <v>33</v>
      </c>
      <c r="AU5" t="s">
        <v>33</v>
      </c>
      <c r="AV5" t="s">
        <v>33</v>
      </c>
      <c r="AW5" t="s">
        <v>33</v>
      </c>
      <c r="AX5" t="s">
        <v>33</v>
      </c>
      <c r="AY5" t="s">
        <v>33</v>
      </c>
      <c r="AZ5" t="s">
        <v>33</v>
      </c>
      <c r="BA5" t="s">
        <v>33</v>
      </c>
      <c r="BB5" t="s">
        <v>33</v>
      </c>
      <c r="BC5" t="s">
        <v>33</v>
      </c>
      <c r="BD5" t="s">
        <v>33</v>
      </c>
      <c r="BE5" t="s">
        <v>33</v>
      </c>
      <c r="BF5" t="s">
        <v>33</v>
      </c>
      <c r="BG5" t="s">
        <v>33</v>
      </c>
      <c r="BH5" t="s">
        <v>33</v>
      </c>
      <c r="BI5" t="s">
        <v>33</v>
      </c>
      <c r="BJ5" t="s">
        <v>33</v>
      </c>
      <c r="BK5" t="s">
        <v>33</v>
      </c>
      <c r="BL5" t="s">
        <v>33</v>
      </c>
      <c r="BM5" t="s">
        <v>33</v>
      </c>
      <c r="BN5" t="s">
        <v>33</v>
      </c>
      <c r="BO5" t="s">
        <v>33</v>
      </c>
      <c r="BP5" t="s">
        <v>33</v>
      </c>
      <c r="BQ5" t="s">
        <v>33</v>
      </c>
      <c r="BR5" t="s">
        <v>33</v>
      </c>
      <c r="BS5" t="s">
        <v>33</v>
      </c>
      <c r="BT5" t="s">
        <v>33</v>
      </c>
      <c r="BU5" t="s">
        <v>33</v>
      </c>
      <c r="BV5" t="s">
        <v>33</v>
      </c>
      <c r="BW5" t="s">
        <v>33</v>
      </c>
      <c r="BX5" t="s">
        <v>33</v>
      </c>
      <c r="BY5" t="s">
        <v>33</v>
      </c>
      <c r="BZ5" t="s">
        <v>33</v>
      </c>
      <c r="CA5" t="s">
        <v>33</v>
      </c>
      <c r="CB5" t="s">
        <v>33</v>
      </c>
      <c r="CC5" t="s">
        <v>33</v>
      </c>
      <c r="CD5" t="s">
        <v>33</v>
      </c>
      <c r="CE5" t="s">
        <v>33</v>
      </c>
      <c r="CF5" t="s">
        <v>33</v>
      </c>
      <c r="CG5" t="s">
        <v>33</v>
      </c>
      <c r="CH5" t="s">
        <v>33</v>
      </c>
      <c r="CI5" t="s">
        <v>33</v>
      </c>
      <c r="CJ5" t="s">
        <v>33</v>
      </c>
      <c r="CK5" t="s">
        <v>33</v>
      </c>
      <c r="CL5" t="s">
        <v>33</v>
      </c>
      <c r="CM5" t="s">
        <v>33</v>
      </c>
      <c r="CN5" t="s">
        <v>33</v>
      </c>
      <c r="CO5" t="s">
        <v>33</v>
      </c>
      <c r="CP5" t="s">
        <v>33</v>
      </c>
      <c r="CQ5" t="s">
        <v>33</v>
      </c>
      <c r="CR5" t="s">
        <v>33</v>
      </c>
      <c r="CS5" t="s">
        <v>33</v>
      </c>
      <c r="CT5" t="s">
        <v>33</v>
      </c>
      <c r="CU5" t="s">
        <v>33</v>
      </c>
      <c r="CV5" t="s">
        <v>33</v>
      </c>
      <c r="CW5" t="s">
        <v>33</v>
      </c>
      <c r="CX5" t="s">
        <v>33</v>
      </c>
      <c r="CY5" t="s">
        <v>33</v>
      </c>
      <c r="CZ5" t="s">
        <v>33</v>
      </c>
      <c r="DA5" t="s">
        <v>33</v>
      </c>
      <c r="DB5" t="s">
        <v>33</v>
      </c>
      <c r="DC5" t="s">
        <v>33</v>
      </c>
      <c r="DD5" t="s">
        <v>33</v>
      </c>
      <c r="DE5" t="s">
        <v>33</v>
      </c>
      <c r="DF5" t="s">
        <v>33</v>
      </c>
      <c r="DG5" t="s">
        <v>33</v>
      </c>
      <c r="DH5" t="s">
        <v>33</v>
      </c>
      <c r="DI5" t="s">
        <v>33</v>
      </c>
      <c r="DJ5" t="s">
        <v>33</v>
      </c>
      <c r="DK5" t="s">
        <v>33</v>
      </c>
      <c r="DL5" t="s">
        <v>33</v>
      </c>
      <c r="DM5" t="s">
        <v>33</v>
      </c>
      <c r="DN5" t="s">
        <v>33</v>
      </c>
      <c r="DO5" t="s">
        <v>33</v>
      </c>
      <c r="DP5" t="s">
        <v>33</v>
      </c>
      <c r="DQ5" t="s">
        <v>33</v>
      </c>
      <c r="DR5" t="s">
        <v>33</v>
      </c>
      <c r="DS5" t="s">
        <v>33</v>
      </c>
      <c r="DT5" t="s">
        <v>33</v>
      </c>
      <c r="DU5" t="s">
        <v>33</v>
      </c>
      <c r="DV5" t="s">
        <v>33</v>
      </c>
      <c r="DW5" t="s">
        <v>33</v>
      </c>
      <c r="DX5" t="s">
        <v>33</v>
      </c>
      <c r="DY5" t="s">
        <v>33</v>
      </c>
      <c r="DZ5" t="s">
        <v>33</v>
      </c>
      <c r="EA5" t="s">
        <v>33</v>
      </c>
      <c r="EB5" t="s">
        <v>33</v>
      </c>
      <c r="EC5" t="s">
        <v>33</v>
      </c>
      <c r="ED5" t="s">
        <v>33</v>
      </c>
      <c r="EE5" t="s">
        <v>33</v>
      </c>
      <c r="EF5" t="s">
        <v>33</v>
      </c>
      <c r="EG5" t="s">
        <v>33</v>
      </c>
      <c r="EH5" t="s">
        <v>33</v>
      </c>
      <c r="EI5" t="s">
        <v>33</v>
      </c>
      <c r="EJ5" t="s">
        <v>33</v>
      </c>
      <c r="EK5" t="s">
        <v>33</v>
      </c>
      <c r="EL5" t="s">
        <v>33</v>
      </c>
      <c r="EM5" t="s">
        <v>33</v>
      </c>
      <c r="EN5" t="s">
        <v>33</v>
      </c>
      <c r="EO5" t="s">
        <v>33</v>
      </c>
      <c r="EP5" t="s">
        <v>33</v>
      </c>
      <c r="EQ5" t="s">
        <v>33</v>
      </c>
      <c r="ER5" t="s">
        <v>33</v>
      </c>
      <c r="ES5" t="s">
        <v>33</v>
      </c>
      <c r="ET5" t="s">
        <v>33</v>
      </c>
      <c r="EU5" t="s">
        <v>33</v>
      </c>
      <c r="EV5" t="s">
        <v>33</v>
      </c>
      <c r="EW5" t="s">
        <v>33</v>
      </c>
      <c r="EX5" t="s">
        <v>33</v>
      </c>
      <c r="EY5" t="s">
        <v>33</v>
      </c>
      <c r="EZ5" t="s">
        <v>33</v>
      </c>
      <c r="FA5" t="s">
        <v>33</v>
      </c>
      <c r="FB5" t="s">
        <v>33</v>
      </c>
      <c r="FC5" t="s">
        <v>33</v>
      </c>
      <c r="FD5" t="s">
        <v>33</v>
      </c>
      <c r="FE5" t="s">
        <v>33</v>
      </c>
      <c r="FF5" t="s">
        <v>33</v>
      </c>
      <c r="FG5" t="s">
        <v>33</v>
      </c>
      <c r="FH5" t="s">
        <v>33</v>
      </c>
      <c r="FI5" t="s">
        <v>33</v>
      </c>
      <c r="FJ5" t="s">
        <v>33</v>
      </c>
      <c r="FK5" t="s">
        <v>33</v>
      </c>
      <c r="FL5" t="s">
        <v>33</v>
      </c>
      <c r="FM5" t="s">
        <v>33</v>
      </c>
      <c r="FN5" t="s">
        <v>33</v>
      </c>
      <c r="FO5" t="s">
        <v>33</v>
      </c>
      <c r="FP5" t="s">
        <v>33</v>
      </c>
      <c r="FQ5" t="s">
        <v>33</v>
      </c>
      <c r="FR5" t="s">
        <v>33</v>
      </c>
      <c r="FS5" t="s">
        <v>33</v>
      </c>
      <c r="FT5" t="s">
        <v>33</v>
      </c>
      <c r="FU5" t="s">
        <v>33</v>
      </c>
      <c r="FV5" t="s">
        <v>33</v>
      </c>
      <c r="FW5" t="s">
        <v>33</v>
      </c>
      <c r="FX5" t="s">
        <v>33</v>
      </c>
      <c r="FY5" t="s">
        <v>33</v>
      </c>
      <c r="FZ5" t="s">
        <v>33</v>
      </c>
      <c r="GA5" t="s">
        <v>33</v>
      </c>
      <c r="GB5" t="s">
        <v>33</v>
      </c>
      <c r="GC5" t="s">
        <v>33</v>
      </c>
      <c r="GD5" t="s">
        <v>33</v>
      </c>
      <c r="GE5" t="s">
        <v>33</v>
      </c>
      <c r="GF5" t="s">
        <v>33</v>
      </c>
      <c r="GG5" t="s">
        <v>33</v>
      </c>
      <c r="GH5" t="s">
        <v>33</v>
      </c>
      <c r="GI5" t="s">
        <v>33</v>
      </c>
      <c r="GJ5" t="s">
        <v>33</v>
      </c>
    </row>
    <row r="6" spans="1:193" hidden="1" x14ac:dyDescent="0.25">
      <c r="A6" s="5" t="s">
        <v>1</v>
      </c>
      <c r="B6" s="6">
        <v>45000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>
        <v>-8</v>
      </c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>
        <v>-112</v>
      </c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>
        <v>-232</v>
      </c>
      <c r="BU6" s="6"/>
      <c r="BV6" s="6">
        <v>-126</v>
      </c>
      <c r="BW6" s="6"/>
      <c r="BX6" s="6"/>
      <c r="BY6" s="6"/>
      <c r="BZ6" s="6"/>
      <c r="CA6" s="6">
        <v>-93</v>
      </c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>
        <v>-418</v>
      </c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>
        <v>-52.8</v>
      </c>
      <c r="DS6" s="6"/>
      <c r="DT6" s="6">
        <v>-88</v>
      </c>
      <c r="DU6" s="6"/>
      <c r="DV6" s="6"/>
      <c r="DW6" s="6"/>
      <c r="DX6" s="6"/>
      <c r="DY6" s="6"/>
      <c r="DZ6" s="6"/>
      <c r="EA6" s="6"/>
      <c r="EB6" s="6"/>
      <c r="EC6" s="6">
        <v>-39</v>
      </c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>
        <v>-102</v>
      </c>
      <c r="EU6" s="6"/>
      <c r="EV6" s="6"/>
      <c r="EW6" s="6"/>
      <c r="EX6" s="6">
        <v>-268</v>
      </c>
      <c r="EY6" s="6"/>
      <c r="EZ6" s="6"/>
      <c r="FA6" s="6"/>
      <c r="FB6" s="6"/>
      <c r="FC6" s="6"/>
      <c r="FD6" s="6"/>
      <c r="FE6" s="6">
        <v>-120.7</v>
      </c>
      <c r="FF6" s="6"/>
      <c r="FG6" s="6"/>
      <c r="FH6" s="6">
        <v>-43.4</v>
      </c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>
        <v>-8.4</v>
      </c>
      <c r="FV6" s="6"/>
      <c r="FW6" s="6"/>
      <c r="FX6" s="6">
        <v>-632</v>
      </c>
      <c r="FY6" s="6"/>
      <c r="FZ6" s="6"/>
      <c r="GA6" s="6"/>
      <c r="GB6" s="6"/>
      <c r="GC6" s="6"/>
      <c r="GD6" s="6"/>
      <c r="GE6" s="6">
        <v>-45.5</v>
      </c>
      <c r="GF6" s="6">
        <v>-210</v>
      </c>
      <c r="GG6" s="6"/>
      <c r="GH6" s="6"/>
      <c r="GI6" s="6"/>
      <c r="GJ6" s="6"/>
      <c r="GK6" s="6">
        <v>42401.2</v>
      </c>
    </row>
    <row r="7" spans="1:193" hidden="1" x14ac:dyDescent="0.25">
      <c r="A7" s="5" t="s">
        <v>2</v>
      </c>
      <c r="B7" s="6">
        <v>45000</v>
      </c>
      <c r="C7" s="6"/>
      <c r="D7" s="6"/>
      <c r="E7" s="6"/>
      <c r="F7" s="6"/>
      <c r="G7" s="6"/>
      <c r="H7" s="6"/>
      <c r="I7" s="6"/>
      <c r="J7" s="6">
        <v>-310</v>
      </c>
      <c r="K7" s="6"/>
      <c r="L7" s="6">
        <v>-75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>
        <v>-97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>
        <v>-334</v>
      </c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>
        <v>-215</v>
      </c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>
        <v>-63</v>
      </c>
      <c r="CB7" s="6"/>
      <c r="CC7" s="6"/>
      <c r="CD7" s="6"/>
      <c r="CE7" s="6"/>
      <c r="CF7" s="6"/>
      <c r="CG7" s="6"/>
      <c r="CH7" s="6">
        <v>-123</v>
      </c>
      <c r="CI7" s="6"/>
      <c r="CJ7" s="6"/>
      <c r="CK7" s="6"/>
      <c r="CL7" s="6"/>
      <c r="CM7" s="6"/>
      <c r="CN7" s="6"/>
      <c r="CO7" s="6"/>
      <c r="CP7" s="6">
        <v>-40.5</v>
      </c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>
        <v>123</v>
      </c>
      <c r="DX7" s="6">
        <v>-456.6</v>
      </c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>
        <v>-496</v>
      </c>
      <c r="EL7" s="6"/>
      <c r="EM7" s="6"/>
      <c r="EN7" s="6"/>
      <c r="EO7" s="6"/>
      <c r="EP7" s="6"/>
      <c r="EQ7" s="6"/>
      <c r="ER7" s="6">
        <v>-260.39999999999998</v>
      </c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>
        <v>42652.5</v>
      </c>
    </row>
    <row r="8" spans="1:193" hidden="1" x14ac:dyDescent="0.25">
      <c r="A8" s="5" t="s">
        <v>9</v>
      </c>
      <c r="B8" s="6">
        <v>45000</v>
      </c>
      <c r="C8" s="6"/>
      <c r="D8" s="6"/>
      <c r="E8" s="6"/>
      <c r="F8" s="6"/>
      <c r="G8" s="6"/>
      <c r="H8" s="6"/>
      <c r="I8" s="6"/>
      <c r="J8" s="6"/>
      <c r="K8" s="6">
        <v>-249</v>
      </c>
      <c r="L8" s="6"/>
      <c r="M8" s="6"/>
      <c r="N8" s="6"/>
      <c r="O8" s="6"/>
      <c r="P8" s="6"/>
      <c r="Q8" s="6">
        <v>-245</v>
      </c>
      <c r="R8" s="6"/>
      <c r="S8" s="6"/>
      <c r="T8" s="6"/>
      <c r="U8" s="6"/>
      <c r="V8" s="6">
        <v>-846</v>
      </c>
      <c r="W8" s="6"/>
      <c r="X8" s="6"/>
      <c r="Y8" s="6">
        <v>-3236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>
        <v>-1070</v>
      </c>
      <c r="AO8" s="6"/>
      <c r="AP8" s="6"/>
      <c r="AQ8" s="6"/>
      <c r="AR8" s="6">
        <v>-429</v>
      </c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>
        <v>-408</v>
      </c>
      <c r="BM8" s="6"/>
      <c r="BN8" s="6"/>
      <c r="BO8" s="6">
        <v>-539</v>
      </c>
      <c r="BP8" s="6">
        <v>-114</v>
      </c>
      <c r="BQ8" s="6">
        <v>-740</v>
      </c>
      <c r="BR8" s="6">
        <v>-186.5</v>
      </c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>
        <v>-361</v>
      </c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>
        <v>-724</v>
      </c>
      <c r="EM8" s="6"/>
      <c r="EN8" s="6"/>
      <c r="EO8" s="6"/>
      <c r="EP8" s="6"/>
      <c r="EQ8" s="6"/>
      <c r="ER8" s="6"/>
      <c r="ES8" s="6"/>
      <c r="ET8" s="6">
        <v>-781.9</v>
      </c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>
        <v>-330</v>
      </c>
      <c r="FL8" s="6"/>
      <c r="FM8" s="6"/>
      <c r="FN8" s="6"/>
      <c r="FO8" s="6"/>
      <c r="FP8" s="6"/>
      <c r="FQ8" s="6"/>
      <c r="FR8" s="6"/>
      <c r="FS8" s="6"/>
      <c r="FT8" s="6"/>
      <c r="FU8" s="6">
        <v>-378</v>
      </c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>
        <v>-82</v>
      </c>
      <c r="GH8" s="6"/>
      <c r="GI8" s="6"/>
      <c r="GJ8" s="6"/>
      <c r="GK8" s="6">
        <v>34280.6</v>
      </c>
    </row>
    <row r="9" spans="1:193" hidden="1" x14ac:dyDescent="0.25">
      <c r="A9" s="5" t="s">
        <v>4</v>
      </c>
      <c r="B9" s="6">
        <v>45000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>
        <v>-740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>
        <v>-37.549999999999997</v>
      </c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>
        <v>-123.5</v>
      </c>
      <c r="DK9" s="6"/>
      <c r="DL9" s="6">
        <v>-76</v>
      </c>
      <c r="DM9" s="6"/>
      <c r="DN9" s="6"/>
      <c r="DO9" s="6"/>
      <c r="DP9" s="6">
        <v>-52</v>
      </c>
      <c r="DQ9" s="6">
        <v>-108</v>
      </c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>
        <v>-80.5</v>
      </c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>
        <v>-1000</v>
      </c>
      <c r="EZ9" s="6"/>
      <c r="FA9" s="6"/>
      <c r="FB9" s="6"/>
      <c r="FC9" s="6"/>
      <c r="FD9" s="6"/>
      <c r="FE9" s="6"/>
      <c r="FF9" s="6"/>
      <c r="FG9" s="6"/>
      <c r="FH9" s="6"/>
      <c r="FI9" s="6">
        <v>-45</v>
      </c>
      <c r="FJ9" s="6"/>
      <c r="FK9" s="6"/>
      <c r="FL9" s="6"/>
      <c r="FM9" s="6"/>
      <c r="FN9" s="6"/>
      <c r="FO9" s="6"/>
      <c r="FP9" s="6"/>
      <c r="FQ9" s="6"/>
      <c r="FR9" s="6"/>
      <c r="FS9" s="6">
        <v>-42</v>
      </c>
      <c r="FT9" s="6"/>
      <c r="FU9" s="6">
        <v>-184.2</v>
      </c>
      <c r="FV9" s="6"/>
      <c r="FW9" s="6">
        <v>-201</v>
      </c>
      <c r="FX9" s="6"/>
      <c r="FY9" s="6"/>
      <c r="FZ9" s="6">
        <v>-231</v>
      </c>
      <c r="GA9" s="6">
        <v>-48</v>
      </c>
      <c r="GB9" s="6"/>
      <c r="GC9" s="6"/>
      <c r="GD9" s="6"/>
      <c r="GE9" s="6"/>
      <c r="GF9" s="6"/>
      <c r="GG9" s="6"/>
      <c r="GH9" s="6"/>
      <c r="GI9" s="6"/>
      <c r="GJ9" s="6"/>
      <c r="GK9" s="6">
        <v>42031.25</v>
      </c>
    </row>
    <row r="10" spans="1:193" hidden="1" x14ac:dyDescent="0.25">
      <c r="A10" s="5" t="s">
        <v>6</v>
      </c>
      <c r="B10" s="6">
        <v>45000</v>
      </c>
      <c r="C10" s="6"/>
      <c r="D10" s="6"/>
      <c r="E10" s="6"/>
      <c r="F10" s="6"/>
      <c r="G10" s="6"/>
      <c r="H10" s="6">
        <v>-100</v>
      </c>
      <c r="I10" s="6"/>
      <c r="J10" s="6">
        <v>-671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>
        <v>-82</v>
      </c>
      <c r="AJ10" s="6"/>
      <c r="AK10" s="6"/>
      <c r="AL10" s="6"/>
      <c r="AM10" s="6">
        <v>-356.3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>
        <v>-360</v>
      </c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>
        <v>-52</v>
      </c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>
        <v>-228</v>
      </c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>
        <v>-80.5</v>
      </c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>
        <v>-403</v>
      </c>
      <c r="DK10" s="6"/>
      <c r="DL10" s="6"/>
      <c r="DM10" s="6"/>
      <c r="DN10" s="6"/>
      <c r="DO10" s="6"/>
      <c r="DP10" s="6"/>
      <c r="DQ10" s="6">
        <v>-612</v>
      </c>
      <c r="DR10" s="6"/>
      <c r="DS10" s="6"/>
      <c r="DT10" s="6"/>
      <c r="DU10" s="6"/>
      <c r="DV10" s="6"/>
      <c r="DW10" s="6"/>
      <c r="DX10" s="6"/>
      <c r="DY10" s="6"/>
      <c r="DZ10" s="6"/>
      <c r="EA10" s="6">
        <v>-43</v>
      </c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>
        <v>-163</v>
      </c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>
        <v>-82</v>
      </c>
      <c r="FQ10" s="6"/>
      <c r="FR10" s="6"/>
      <c r="FS10" s="6"/>
      <c r="FT10" s="6">
        <v>-84</v>
      </c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>
        <v>-444</v>
      </c>
      <c r="GF10" s="6"/>
      <c r="GG10" s="6"/>
      <c r="GH10" s="6"/>
      <c r="GI10" s="6">
        <v>-73</v>
      </c>
      <c r="GJ10" s="6"/>
      <c r="GK10" s="6">
        <v>41166.199999999997</v>
      </c>
    </row>
    <row r="11" spans="1:193" hidden="1" x14ac:dyDescent="0.25">
      <c r="A11" s="5" t="s">
        <v>11</v>
      </c>
      <c r="B11" s="6">
        <v>50000</v>
      </c>
      <c r="C11" s="6"/>
      <c r="D11" s="6"/>
      <c r="E11" s="6"/>
      <c r="F11" s="6"/>
      <c r="G11" s="6">
        <v>-373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>
        <v>-342.6</v>
      </c>
      <c r="S11" s="6"/>
      <c r="T11" s="6"/>
      <c r="U11" s="6"/>
      <c r="V11" s="6"/>
      <c r="W11" s="6"/>
      <c r="X11" s="6"/>
      <c r="Y11" s="6">
        <v>-128</v>
      </c>
      <c r="Z11" s="6"/>
      <c r="AA11" s="6"/>
      <c r="AB11" s="6">
        <v>-493</v>
      </c>
      <c r="AC11" s="6"/>
      <c r="AD11" s="6"/>
      <c r="AE11" s="6"/>
      <c r="AF11" s="6"/>
      <c r="AG11" s="6"/>
      <c r="AH11" s="6"/>
      <c r="AI11" s="6"/>
      <c r="AJ11" s="6">
        <v>-297</v>
      </c>
      <c r="AK11" s="6"/>
      <c r="AL11" s="6"/>
      <c r="AM11" s="6">
        <v>-347</v>
      </c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>
        <v>-671</v>
      </c>
      <c r="CP11" s="6"/>
      <c r="CQ11" s="6">
        <v>-310</v>
      </c>
      <c r="CR11" s="6"/>
      <c r="CS11" s="6"/>
      <c r="CT11" s="6"/>
      <c r="CU11" s="6"/>
      <c r="CV11" s="6">
        <v>-58</v>
      </c>
      <c r="CW11" s="6"/>
      <c r="CX11" s="6"/>
      <c r="CY11" s="6"/>
      <c r="CZ11" s="6"/>
      <c r="DA11" s="6"/>
      <c r="DB11" s="6">
        <v>-199</v>
      </c>
      <c r="DC11" s="6"/>
      <c r="DD11" s="6">
        <v>-180</v>
      </c>
      <c r="DE11" s="6"/>
      <c r="DF11" s="6"/>
      <c r="DG11" s="6">
        <v>-494</v>
      </c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>
        <v>-849.5</v>
      </c>
      <c r="DV11" s="6"/>
      <c r="DW11" s="6"/>
      <c r="DX11" s="6"/>
      <c r="DY11" s="6"/>
      <c r="DZ11" s="6"/>
      <c r="EA11" s="6"/>
      <c r="EB11" s="6"/>
      <c r="EC11" s="6"/>
      <c r="ED11" s="6"/>
      <c r="EE11" s="6">
        <v>-123</v>
      </c>
      <c r="EF11" s="6"/>
      <c r="EG11" s="6"/>
      <c r="EH11" s="6">
        <v>-326</v>
      </c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>
        <v>-119</v>
      </c>
      <c r="FO11" s="6">
        <v>-643</v>
      </c>
      <c r="FP11" s="6"/>
      <c r="FQ11" s="6"/>
      <c r="FR11" s="6"/>
      <c r="FS11" s="6">
        <v>-214</v>
      </c>
      <c r="FT11" s="6"/>
      <c r="FU11" s="6"/>
      <c r="FV11" s="6">
        <v>-20</v>
      </c>
      <c r="FW11" s="6"/>
      <c r="FX11" s="6"/>
      <c r="FY11" s="6"/>
      <c r="FZ11" s="6"/>
      <c r="GA11" s="6"/>
      <c r="GB11" s="6"/>
      <c r="GC11" s="6"/>
      <c r="GD11" s="6">
        <v>-1179</v>
      </c>
      <c r="GE11" s="6">
        <v>-26.4</v>
      </c>
      <c r="GF11" s="6"/>
      <c r="GG11" s="6"/>
      <c r="GH11" s="6"/>
      <c r="GI11" s="6"/>
      <c r="GJ11" s="6"/>
      <c r="GK11" s="6">
        <v>42607.5</v>
      </c>
    </row>
    <row r="12" spans="1:193" hidden="1" x14ac:dyDescent="0.25">
      <c r="A12" s="5" t="s">
        <v>3</v>
      </c>
      <c r="B12" s="6">
        <v>45000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>
        <v>-850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>
        <v>-91</v>
      </c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>
        <v>-176</v>
      </c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>
        <v>-91.27</v>
      </c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>
        <v>-49.5</v>
      </c>
      <c r="DP12" s="6"/>
      <c r="DQ12" s="6"/>
      <c r="DR12" s="6"/>
      <c r="DS12" s="6"/>
      <c r="DT12" s="6">
        <v>-313</v>
      </c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>
        <v>-99</v>
      </c>
      <c r="EG12" s="6"/>
      <c r="EH12" s="6"/>
      <c r="EI12" s="6"/>
      <c r="EJ12" s="6"/>
      <c r="EK12" s="6">
        <v>-89</v>
      </c>
      <c r="EL12" s="6"/>
      <c r="EM12" s="6"/>
      <c r="EN12" s="6"/>
      <c r="EO12" s="6">
        <v>-80</v>
      </c>
      <c r="EP12" s="6">
        <v>-107</v>
      </c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>
        <v>-67</v>
      </c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>
        <v>-59</v>
      </c>
      <c r="GI12" s="6">
        <v>-28</v>
      </c>
      <c r="GJ12" s="6"/>
      <c r="GK12" s="6">
        <v>42900.23</v>
      </c>
    </row>
    <row r="13" spans="1:193" hidden="1" x14ac:dyDescent="0.25">
      <c r="A13" s="5" t="s">
        <v>10</v>
      </c>
      <c r="B13" s="6">
        <v>45000</v>
      </c>
      <c r="C13" s="6">
        <v>-409</v>
      </c>
      <c r="D13" s="6"/>
      <c r="E13" s="6"/>
      <c r="F13" s="6"/>
      <c r="G13" s="6"/>
      <c r="H13" s="6"/>
      <c r="I13" s="6">
        <v>-449</v>
      </c>
      <c r="J13" s="6">
        <v>-1726</v>
      </c>
      <c r="K13" s="6"/>
      <c r="L13" s="6"/>
      <c r="M13" s="6">
        <v>-50</v>
      </c>
      <c r="N13" s="6"/>
      <c r="O13" s="6"/>
      <c r="P13" s="6">
        <v>-1080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>
        <v>-110</v>
      </c>
      <c r="AL13" s="6"/>
      <c r="AM13" s="6"/>
      <c r="AN13" s="6"/>
      <c r="AO13" s="6"/>
      <c r="AP13" s="6"/>
      <c r="AQ13" s="6">
        <v>-32</v>
      </c>
      <c r="AR13" s="6"/>
      <c r="AS13" s="6"/>
      <c r="AT13" s="6"/>
      <c r="AU13" s="6"/>
      <c r="AV13" s="6"/>
      <c r="AW13" s="6">
        <v>-1664</v>
      </c>
      <c r="AX13" s="6">
        <v>-458</v>
      </c>
      <c r="AY13" s="6">
        <v>-132</v>
      </c>
      <c r="AZ13" s="6"/>
      <c r="BA13" s="6"/>
      <c r="BB13" s="6"/>
      <c r="BC13" s="6"/>
      <c r="BD13" s="6"/>
      <c r="BE13" s="6"/>
      <c r="BF13" s="6">
        <v>-155</v>
      </c>
      <c r="BG13" s="6">
        <v>-2254.6</v>
      </c>
      <c r="BH13" s="6"/>
      <c r="BI13" s="6"/>
      <c r="BJ13" s="6">
        <v>-140</v>
      </c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>
        <v>-402</v>
      </c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>
        <v>-3908</v>
      </c>
      <c r="CS13" s="6">
        <v>-576</v>
      </c>
      <c r="CT13" s="6">
        <v>-750</v>
      </c>
      <c r="CU13" s="6">
        <v>-74.400000000000006</v>
      </c>
      <c r="CV13" s="6"/>
      <c r="CW13" s="6"/>
      <c r="CX13" s="6"/>
      <c r="CY13" s="6"/>
      <c r="CZ13" s="6">
        <v>-1370</v>
      </c>
      <c r="DA13" s="6"/>
      <c r="DB13" s="6"/>
      <c r="DC13" s="6"/>
      <c r="DD13" s="6"/>
      <c r="DE13" s="6"/>
      <c r="DF13" s="6"/>
      <c r="DG13" s="6">
        <v>-288</v>
      </c>
      <c r="DH13" s="6">
        <v>-601</v>
      </c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>
        <v>-76</v>
      </c>
      <c r="DT13" s="6">
        <v>-104</v>
      </c>
      <c r="DU13" s="6">
        <v>-288</v>
      </c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>
        <v>-560</v>
      </c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>
        <v>-232.9</v>
      </c>
      <c r="EX13" s="6"/>
      <c r="EY13" s="6">
        <v>-65</v>
      </c>
      <c r="EZ13" s="6"/>
      <c r="FA13" s="6">
        <v>-288</v>
      </c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>
        <v>-40</v>
      </c>
      <c r="FU13" s="6"/>
      <c r="FV13" s="6"/>
      <c r="FW13" s="6"/>
      <c r="FX13" s="6"/>
      <c r="FY13" s="6"/>
      <c r="FZ13" s="6"/>
      <c r="GA13" s="6"/>
      <c r="GB13" s="6">
        <v>-78</v>
      </c>
      <c r="GC13" s="6"/>
      <c r="GD13" s="6"/>
      <c r="GE13" s="6"/>
      <c r="GF13" s="6"/>
      <c r="GG13" s="6"/>
      <c r="GH13" s="6"/>
      <c r="GI13" s="6"/>
      <c r="GJ13" s="6">
        <v>-288</v>
      </c>
      <c r="GK13" s="6">
        <v>26351.1</v>
      </c>
    </row>
    <row r="14" spans="1:193" hidden="1" x14ac:dyDescent="0.25">
      <c r="A14" s="5" t="s">
        <v>5</v>
      </c>
      <c r="B14" s="6">
        <v>45000</v>
      </c>
      <c r="C14" s="6"/>
      <c r="D14" s="6"/>
      <c r="E14" s="6"/>
      <c r="F14" s="6">
        <v>-590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>
        <v>-174</v>
      </c>
      <c r="T14" s="6"/>
      <c r="U14" s="6"/>
      <c r="V14" s="6"/>
      <c r="W14" s="6"/>
      <c r="X14" s="6"/>
      <c r="Y14" s="6"/>
      <c r="Z14" s="6">
        <v>-280</v>
      </c>
      <c r="AA14" s="6"/>
      <c r="AB14" s="6"/>
      <c r="AC14" s="6">
        <v>-666</v>
      </c>
      <c r="AD14" s="6"/>
      <c r="AE14" s="6">
        <v>-114</v>
      </c>
      <c r="AF14" s="6"/>
      <c r="AG14" s="6"/>
      <c r="AH14" s="6"/>
      <c r="AI14" s="6"/>
      <c r="AJ14" s="6"/>
      <c r="AK14" s="6"/>
      <c r="AL14" s="6">
        <v>-1804</v>
      </c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>
        <v>-349.4</v>
      </c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>
        <v>-65</v>
      </c>
      <c r="BT14" s="6"/>
      <c r="BU14" s="6"/>
      <c r="BV14" s="6"/>
      <c r="BW14" s="6"/>
      <c r="BX14" s="6"/>
      <c r="BY14" s="6"/>
      <c r="BZ14" s="6">
        <v>-39</v>
      </c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>
        <v>-276</v>
      </c>
      <c r="CW14" s="6"/>
      <c r="CX14" s="6"/>
      <c r="CY14" s="6"/>
      <c r="CZ14" s="6">
        <v>-50</v>
      </c>
      <c r="DA14" s="6"/>
      <c r="DB14" s="6"/>
      <c r="DC14" s="6">
        <v>-1117.4000000000001</v>
      </c>
      <c r="DD14" s="6"/>
      <c r="DE14" s="6"/>
      <c r="DF14" s="6"/>
      <c r="DG14" s="6"/>
      <c r="DH14" s="6"/>
      <c r="DI14" s="6"/>
      <c r="DJ14" s="6"/>
      <c r="DK14" s="6"/>
      <c r="DL14" s="6"/>
      <c r="DM14" s="6">
        <v>-88</v>
      </c>
      <c r="DN14" s="6"/>
      <c r="DO14" s="6"/>
      <c r="DP14" s="6">
        <v>-67</v>
      </c>
      <c r="DQ14" s="6">
        <v>-83</v>
      </c>
      <c r="DR14" s="6"/>
      <c r="DS14" s="6"/>
      <c r="DT14" s="6">
        <v>-178</v>
      </c>
      <c r="DU14" s="6">
        <v>-37</v>
      </c>
      <c r="DV14" s="6"/>
      <c r="DW14" s="6"/>
      <c r="DX14" s="6">
        <v>-129</v>
      </c>
      <c r="DY14" s="6">
        <v>-47</v>
      </c>
      <c r="DZ14" s="6"/>
      <c r="EA14" s="6"/>
      <c r="EB14" s="6"/>
      <c r="EC14" s="6">
        <v>-44</v>
      </c>
      <c r="ED14" s="6"/>
      <c r="EE14" s="6"/>
      <c r="EF14" s="6"/>
      <c r="EG14" s="6"/>
      <c r="EH14" s="6"/>
      <c r="EI14" s="6"/>
      <c r="EJ14" s="6">
        <v>-355</v>
      </c>
      <c r="EK14" s="6">
        <v>-153</v>
      </c>
      <c r="EL14" s="6"/>
      <c r="EM14" s="6"/>
      <c r="EN14" s="6">
        <v>-60.77</v>
      </c>
      <c r="EO14" s="6"/>
      <c r="EP14" s="6"/>
      <c r="EQ14" s="6"/>
      <c r="ER14" s="6"/>
      <c r="ES14" s="6">
        <v>-99.5</v>
      </c>
      <c r="ET14" s="6">
        <v>-26</v>
      </c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>
        <v>-194</v>
      </c>
      <c r="FJ14" s="6"/>
      <c r="FK14" s="6"/>
      <c r="FL14" s="6"/>
      <c r="FM14" s="6"/>
      <c r="FN14" s="6"/>
      <c r="FO14" s="6">
        <v>-43</v>
      </c>
      <c r="FP14" s="6"/>
      <c r="FQ14" s="6"/>
      <c r="FR14" s="6">
        <v>-1588</v>
      </c>
      <c r="FS14" s="6">
        <v>-783</v>
      </c>
      <c r="FT14" s="6"/>
      <c r="FU14" s="6"/>
      <c r="FV14" s="6"/>
      <c r="FW14" s="6"/>
      <c r="FX14" s="6"/>
      <c r="FY14" s="6"/>
      <c r="FZ14" s="6"/>
      <c r="GA14" s="6"/>
      <c r="GB14" s="6">
        <v>-131</v>
      </c>
      <c r="GC14" s="6">
        <v>-45</v>
      </c>
      <c r="GD14" s="6"/>
      <c r="GE14" s="6"/>
      <c r="GF14" s="6">
        <v>-96.36</v>
      </c>
      <c r="GG14" s="6"/>
      <c r="GH14" s="6"/>
      <c r="GI14" s="6">
        <v>-513</v>
      </c>
      <c r="GJ14" s="6"/>
      <c r="GK14" s="6">
        <v>34714.57</v>
      </c>
    </row>
    <row r="15" spans="1:193" hidden="1" x14ac:dyDescent="0.25">
      <c r="A15" s="5" t="s">
        <v>7</v>
      </c>
      <c r="B15" s="6">
        <v>81000</v>
      </c>
      <c r="C15" s="6"/>
      <c r="D15" s="6">
        <v>-600</v>
      </c>
      <c r="E15" s="6">
        <v>-150</v>
      </c>
      <c r="F15" s="6"/>
      <c r="G15" s="6"/>
      <c r="H15" s="6"/>
      <c r="I15" s="6"/>
      <c r="J15" s="6">
        <v>-903</v>
      </c>
      <c r="K15" s="6"/>
      <c r="L15" s="6"/>
      <c r="M15" s="6"/>
      <c r="N15" s="6"/>
      <c r="O15" s="6">
        <v>-12078</v>
      </c>
      <c r="P15" s="6"/>
      <c r="Q15" s="6"/>
      <c r="R15" s="6"/>
      <c r="S15" s="6"/>
      <c r="T15" s="6">
        <v>-300</v>
      </c>
      <c r="U15" s="6"/>
      <c r="V15" s="6"/>
      <c r="W15" s="6"/>
      <c r="X15" s="6">
        <v>-130</v>
      </c>
      <c r="Y15" s="6"/>
      <c r="Z15" s="6"/>
      <c r="AA15" s="6">
        <v>-210</v>
      </c>
      <c r="AB15" s="6"/>
      <c r="AC15" s="6"/>
      <c r="AD15" s="6">
        <v>-362</v>
      </c>
      <c r="AE15" s="6"/>
      <c r="AF15" s="6"/>
      <c r="AG15" s="6"/>
      <c r="AH15" s="6">
        <v>-12</v>
      </c>
      <c r="AI15" s="6">
        <v>-597</v>
      </c>
      <c r="AJ15" s="6"/>
      <c r="AK15" s="6"/>
      <c r="AL15" s="6">
        <v>-499.25</v>
      </c>
      <c r="AM15" s="6"/>
      <c r="AN15" s="6"/>
      <c r="AO15" s="6">
        <v>-8838</v>
      </c>
      <c r="AP15" s="6">
        <v>-220</v>
      </c>
      <c r="AQ15" s="6"/>
      <c r="AR15" s="6"/>
      <c r="AS15" s="6">
        <v>-540</v>
      </c>
      <c r="AT15" s="6"/>
      <c r="AU15" s="6"/>
      <c r="AV15" s="6">
        <v>-88</v>
      </c>
      <c r="AW15" s="6"/>
      <c r="AX15" s="6"/>
      <c r="AY15" s="6"/>
      <c r="AZ15" s="6"/>
      <c r="BA15" s="6"/>
      <c r="BB15" s="6">
        <v>-294</v>
      </c>
      <c r="BC15" s="6"/>
      <c r="BD15" s="6"/>
      <c r="BE15" s="6"/>
      <c r="BF15" s="6"/>
      <c r="BG15" s="6">
        <v>-600</v>
      </c>
      <c r="BH15" s="6">
        <v>-48</v>
      </c>
      <c r="BI15" s="6">
        <v>-24</v>
      </c>
      <c r="BJ15" s="6">
        <v>-441</v>
      </c>
      <c r="BK15" s="6"/>
      <c r="BL15" s="6"/>
      <c r="BM15" s="6"/>
      <c r="BN15" s="6"/>
      <c r="BO15" s="6"/>
      <c r="BP15" s="6"/>
      <c r="BQ15" s="6"/>
      <c r="BR15" s="6"/>
      <c r="BS15" s="6">
        <v>-429</v>
      </c>
      <c r="BT15" s="6"/>
      <c r="BU15" s="6">
        <v>-230</v>
      </c>
      <c r="BV15" s="6"/>
      <c r="BW15" s="6">
        <v>-1654</v>
      </c>
      <c r="BX15" s="6"/>
      <c r="BY15" s="6">
        <v>-231</v>
      </c>
      <c r="BZ15" s="6"/>
      <c r="CA15" s="6">
        <v>-5569.6</v>
      </c>
      <c r="CB15" s="6"/>
      <c r="CC15" s="6"/>
      <c r="CD15" s="6"/>
      <c r="CE15" s="6"/>
      <c r="CF15" s="6">
        <v>-378</v>
      </c>
      <c r="CG15" s="6">
        <v>-4600</v>
      </c>
      <c r="CH15" s="6"/>
      <c r="CI15" s="6"/>
      <c r="CJ15" s="6"/>
      <c r="CK15" s="6">
        <v>-1255</v>
      </c>
      <c r="CL15" s="6"/>
      <c r="CM15" s="6">
        <v>-275</v>
      </c>
      <c r="CN15" s="6">
        <v>-98</v>
      </c>
      <c r="CO15" s="6"/>
      <c r="CP15" s="6"/>
      <c r="CQ15" s="6"/>
      <c r="CR15" s="6"/>
      <c r="CS15" s="6"/>
      <c r="CT15" s="6">
        <v>-1309</v>
      </c>
      <c r="CU15" s="6"/>
      <c r="CV15" s="6"/>
      <c r="CW15" s="6">
        <v>-1586</v>
      </c>
      <c r="CX15" s="6"/>
      <c r="CY15" s="6">
        <v>-219</v>
      </c>
      <c r="CZ15" s="6">
        <v>-50</v>
      </c>
      <c r="DA15" s="6">
        <v>-330.5</v>
      </c>
      <c r="DB15" s="6"/>
      <c r="DC15" s="6"/>
      <c r="DD15" s="6"/>
      <c r="DE15" s="6"/>
      <c r="DF15" s="6">
        <v>-630</v>
      </c>
      <c r="DG15" s="6">
        <v>-17</v>
      </c>
      <c r="DH15" s="6">
        <v>-520</v>
      </c>
      <c r="DI15" s="6">
        <v>-7</v>
      </c>
      <c r="DJ15" s="6"/>
      <c r="DK15" s="6">
        <v>-114</v>
      </c>
      <c r="DL15" s="6"/>
      <c r="DM15" s="6"/>
      <c r="DN15" s="6">
        <v>-522</v>
      </c>
      <c r="DO15" s="6"/>
      <c r="DP15" s="6"/>
      <c r="DQ15" s="6">
        <v>-257</v>
      </c>
      <c r="DR15" s="6"/>
      <c r="DS15" s="6"/>
      <c r="DT15" s="6"/>
      <c r="DU15" s="6"/>
      <c r="DV15" s="6">
        <v>-153.5</v>
      </c>
      <c r="DW15" s="6"/>
      <c r="DX15" s="6"/>
      <c r="DY15" s="6"/>
      <c r="DZ15" s="6"/>
      <c r="EA15" s="6"/>
      <c r="EB15" s="6">
        <v>-89</v>
      </c>
      <c r="EC15" s="6"/>
      <c r="ED15" s="6">
        <v>-85</v>
      </c>
      <c r="EE15" s="6"/>
      <c r="EF15" s="6"/>
      <c r="EG15" s="6"/>
      <c r="EH15" s="6"/>
      <c r="EI15" s="6">
        <v>-74</v>
      </c>
      <c r="EJ15" s="6"/>
      <c r="EK15" s="6"/>
      <c r="EL15" s="6"/>
      <c r="EM15" s="6"/>
      <c r="EN15" s="6"/>
      <c r="EO15" s="6"/>
      <c r="EP15" s="6"/>
      <c r="EQ15" s="6">
        <v>-965</v>
      </c>
      <c r="ER15" s="6"/>
      <c r="ES15" s="6"/>
      <c r="ET15" s="6"/>
      <c r="EU15" s="6">
        <v>-786</v>
      </c>
      <c r="EV15" s="6">
        <v>-211</v>
      </c>
      <c r="EW15" s="6"/>
      <c r="EX15" s="6"/>
      <c r="EY15" s="6"/>
      <c r="EZ15" s="6">
        <v>-959</v>
      </c>
      <c r="FA15" s="6"/>
      <c r="FB15" s="6">
        <v>-418</v>
      </c>
      <c r="FC15" s="6">
        <v>-12</v>
      </c>
      <c r="FD15" s="6">
        <v>-1037</v>
      </c>
      <c r="FE15" s="6">
        <v>-179.2</v>
      </c>
      <c r="FF15" s="6"/>
      <c r="FG15" s="6">
        <v>-680</v>
      </c>
      <c r="FH15" s="6"/>
      <c r="FI15" s="6"/>
      <c r="FJ15" s="6">
        <v>-1121</v>
      </c>
      <c r="FK15" s="6"/>
      <c r="FL15" s="6">
        <v>-600</v>
      </c>
      <c r="FM15" s="6">
        <v>-1010</v>
      </c>
      <c r="FN15" s="6"/>
      <c r="FO15" s="6"/>
      <c r="FP15" s="6"/>
      <c r="FQ15" s="6">
        <v>-125</v>
      </c>
      <c r="FR15" s="6"/>
      <c r="FS15" s="6"/>
      <c r="FT15" s="6">
        <v>-1061.3</v>
      </c>
      <c r="FU15" s="6">
        <v>-51</v>
      </c>
      <c r="FV15" s="6"/>
      <c r="FW15" s="6"/>
      <c r="FX15" s="6"/>
      <c r="FY15" s="6">
        <v>-1032</v>
      </c>
      <c r="FZ15" s="6"/>
      <c r="GA15" s="6"/>
      <c r="GB15" s="6"/>
      <c r="GC15" s="6"/>
      <c r="GD15" s="6"/>
      <c r="GE15" s="6">
        <v>-27</v>
      </c>
      <c r="GF15" s="6"/>
      <c r="GG15" s="6"/>
      <c r="GH15" s="6"/>
      <c r="GI15" s="6"/>
      <c r="GJ15" s="6"/>
      <c r="GK15" s="6">
        <v>23108.65</v>
      </c>
    </row>
    <row r="16" spans="1:193" hidden="1" x14ac:dyDescent="0.25">
      <c r="A16" s="5" t="s">
        <v>8</v>
      </c>
      <c r="B16" s="6">
        <v>45000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>
        <v>-1635</v>
      </c>
      <c r="O16" s="6"/>
      <c r="P16" s="6">
        <v>-482</v>
      </c>
      <c r="Q16" s="6"/>
      <c r="R16" s="6"/>
      <c r="S16" s="6"/>
      <c r="T16" s="6"/>
      <c r="U16" s="6">
        <v>-168</v>
      </c>
      <c r="V16" s="6"/>
      <c r="W16" s="6">
        <v>-144</v>
      </c>
      <c r="X16" s="6"/>
      <c r="Y16" s="6"/>
      <c r="Z16" s="6"/>
      <c r="AA16" s="6"/>
      <c r="AB16" s="6"/>
      <c r="AC16" s="6"/>
      <c r="AD16" s="6"/>
      <c r="AE16" s="6"/>
      <c r="AF16" s="6"/>
      <c r="AG16" s="6">
        <v>-102</v>
      </c>
      <c r="AH16" s="6"/>
      <c r="AI16" s="6"/>
      <c r="AJ16" s="6">
        <v>-138.5</v>
      </c>
      <c r="AK16" s="6"/>
      <c r="AL16" s="6"/>
      <c r="AM16" s="6"/>
      <c r="AN16" s="6"/>
      <c r="AO16" s="6"/>
      <c r="AP16" s="6"/>
      <c r="AQ16" s="6"/>
      <c r="AR16" s="6"/>
      <c r="AS16" s="6"/>
      <c r="AT16" s="6">
        <v>-205</v>
      </c>
      <c r="AU16" s="6"/>
      <c r="AV16" s="6"/>
      <c r="AW16" s="6"/>
      <c r="AX16" s="6"/>
      <c r="AY16" s="6"/>
      <c r="AZ16" s="6">
        <v>-1150</v>
      </c>
      <c r="BA16" s="6"/>
      <c r="BB16" s="6"/>
      <c r="BC16" s="6"/>
      <c r="BD16" s="6"/>
      <c r="BE16" s="6">
        <v>-131</v>
      </c>
      <c r="BF16" s="6"/>
      <c r="BG16" s="6"/>
      <c r="BH16" s="6"/>
      <c r="BI16" s="6"/>
      <c r="BJ16" s="6"/>
      <c r="BK16" s="6">
        <v>-296.3</v>
      </c>
      <c r="BL16" s="6"/>
      <c r="BM16" s="6"/>
      <c r="BN16" s="6">
        <v>-1749</v>
      </c>
      <c r="BO16" s="6">
        <v>-4</v>
      </c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>
        <v>-340</v>
      </c>
      <c r="CC16" s="6">
        <v>-53.08</v>
      </c>
      <c r="CD16" s="6"/>
      <c r="CE16" s="6"/>
      <c r="CF16" s="6"/>
      <c r="CG16" s="6"/>
      <c r="CH16" s="6"/>
      <c r="CI16" s="6">
        <v>-469</v>
      </c>
      <c r="CJ16" s="6">
        <v>-2153</v>
      </c>
      <c r="CK16" s="6"/>
      <c r="CL16" s="6">
        <v>-1211</v>
      </c>
      <c r="CM16" s="6"/>
      <c r="CN16" s="6"/>
      <c r="CO16" s="6"/>
      <c r="CP16" s="6"/>
      <c r="CQ16" s="6">
        <v>-166</v>
      </c>
      <c r="CR16" s="6"/>
      <c r="CS16" s="6"/>
      <c r="CT16" s="6"/>
      <c r="CU16" s="6"/>
      <c r="CV16" s="6"/>
      <c r="CW16" s="6"/>
      <c r="CX16" s="6"/>
      <c r="CY16" s="6"/>
      <c r="CZ16" s="6">
        <v>-110</v>
      </c>
      <c r="DA16" s="6"/>
      <c r="DB16" s="6"/>
      <c r="DC16" s="6">
        <v>-320</v>
      </c>
      <c r="DD16" s="6"/>
      <c r="DE16" s="6">
        <v>-797</v>
      </c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>
        <v>-318</v>
      </c>
      <c r="DU16" s="6"/>
      <c r="DV16" s="6"/>
      <c r="DW16" s="6"/>
      <c r="DX16" s="6"/>
      <c r="DY16" s="6"/>
      <c r="DZ16" s="6">
        <v>-12</v>
      </c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>
        <v>-3316</v>
      </c>
      <c r="EN16" s="6"/>
      <c r="EO16" s="6"/>
      <c r="EP16" s="6"/>
      <c r="EQ16" s="6"/>
      <c r="ER16" s="6"/>
      <c r="ES16" s="6"/>
      <c r="ET16" s="6"/>
      <c r="EU16" s="6"/>
      <c r="EV16" s="6"/>
      <c r="EW16" s="6">
        <v>-257</v>
      </c>
      <c r="EX16" s="6">
        <v>-218.5</v>
      </c>
      <c r="EY16" s="6"/>
      <c r="EZ16" s="6"/>
      <c r="FA16" s="6"/>
      <c r="FB16" s="6"/>
      <c r="FC16" s="6"/>
      <c r="FD16" s="6"/>
      <c r="FE16" s="6"/>
      <c r="FF16" s="6">
        <v>-2028</v>
      </c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>
        <v>-480</v>
      </c>
      <c r="GC16" s="6"/>
      <c r="GD16" s="6"/>
      <c r="GE16" s="6">
        <v>-1100</v>
      </c>
      <c r="GF16" s="6"/>
      <c r="GG16" s="6"/>
      <c r="GH16" s="6"/>
      <c r="GI16" s="6"/>
      <c r="GJ16" s="6"/>
      <c r="GK16" s="6">
        <v>25446.619999999995</v>
      </c>
    </row>
    <row r="17" spans="1:193" hidden="1" x14ac:dyDescent="0.25">
      <c r="A17" s="4" t="s">
        <v>75</v>
      </c>
      <c r="B17" s="885">
        <v>536000</v>
      </c>
      <c r="C17" s="885">
        <v>-409</v>
      </c>
      <c r="D17" s="885">
        <v>-600</v>
      </c>
      <c r="E17" s="885">
        <v>-150</v>
      </c>
      <c r="F17" s="885">
        <v>-590</v>
      </c>
      <c r="G17" s="885">
        <v>-373</v>
      </c>
      <c r="H17" s="885">
        <v>-100</v>
      </c>
      <c r="I17" s="885">
        <v>-449</v>
      </c>
      <c r="J17" s="885">
        <v>-3610</v>
      </c>
      <c r="K17" s="885">
        <v>-249</v>
      </c>
      <c r="L17" s="885">
        <v>-75</v>
      </c>
      <c r="M17" s="885">
        <v>-50</v>
      </c>
      <c r="N17" s="885">
        <v>-1635</v>
      </c>
      <c r="O17" s="885">
        <v>-12078</v>
      </c>
      <c r="P17" s="885">
        <v>-1562</v>
      </c>
      <c r="Q17" s="885">
        <v>-245</v>
      </c>
      <c r="R17" s="885">
        <v>-342.6</v>
      </c>
      <c r="S17" s="885">
        <v>-914</v>
      </c>
      <c r="T17" s="885">
        <v>-300</v>
      </c>
      <c r="U17" s="885">
        <v>-168</v>
      </c>
      <c r="V17" s="885">
        <v>-846</v>
      </c>
      <c r="W17" s="885">
        <v>-144</v>
      </c>
      <c r="X17" s="885">
        <v>-130</v>
      </c>
      <c r="Y17" s="885">
        <v>-3372</v>
      </c>
      <c r="Z17" s="885">
        <v>-377</v>
      </c>
      <c r="AA17" s="885">
        <v>-210</v>
      </c>
      <c r="AB17" s="885">
        <v>-493</v>
      </c>
      <c r="AC17" s="885">
        <v>-666</v>
      </c>
      <c r="AD17" s="885">
        <v>-362</v>
      </c>
      <c r="AE17" s="885">
        <v>-114</v>
      </c>
      <c r="AF17" s="885">
        <v>-850</v>
      </c>
      <c r="AG17" s="885">
        <v>-102</v>
      </c>
      <c r="AH17" s="885">
        <v>-12</v>
      </c>
      <c r="AI17" s="885">
        <v>-679</v>
      </c>
      <c r="AJ17" s="885">
        <v>-435.5</v>
      </c>
      <c r="AK17" s="885">
        <v>-110</v>
      </c>
      <c r="AL17" s="885">
        <v>-2303.25</v>
      </c>
      <c r="AM17" s="885">
        <v>-703.3</v>
      </c>
      <c r="AN17" s="885">
        <v>-1070</v>
      </c>
      <c r="AO17" s="885">
        <v>-8838</v>
      </c>
      <c r="AP17" s="885">
        <v>-220</v>
      </c>
      <c r="AQ17" s="885">
        <v>-32</v>
      </c>
      <c r="AR17" s="885">
        <v>-429</v>
      </c>
      <c r="AS17" s="885">
        <v>-540</v>
      </c>
      <c r="AT17" s="885">
        <v>-205</v>
      </c>
      <c r="AU17" s="885">
        <v>-91</v>
      </c>
      <c r="AV17" s="885">
        <v>-88</v>
      </c>
      <c r="AW17" s="885">
        <v>-1664</v>
      </c>
      <c r="AX17" s="885">
        <v>-458</v>
      </c>
      <c r="AY17" s="885">
        <v>-132</v>
      </c>
      <c r="AZ17" s="885">
        <v>-1150</v>
      </c>
      <c r="BA17" s="885">
        <v>-334</v>
      </c>
      <c r="BB17" s="885">
        <v>-294</v>
      </c>
      <c r="BC17" s="885">
        <v>-360</v>
      </c>
      <c r="BD17" s="885">
        <v>-112</v>
      </c>
      <c r="BE17" s="885">
        <v>-480.4</v>
      </c>
      <c r="BF17" s="885">
        <v>-155</v>
      </c>
      <c r="BG17" s="885">
        <v>-2854.6</v>
      </c>
      <c r="BH17" s="885">
        <v>-48</v>
      </c>
      <c r="BI17" s="885">
        <v>-24</v>
      </c>
      <c r="BJ17" s="885">
        <v>-581</v>
      </c>
      <c r="BK17" s="885">
        <v>-296.3</v>
      </c>
      <c r="BL17" s="885">
        <v>-408</v>
      </c>
      <c r="BM17" s="885">
        <v>-215</v>
      </c>
      <c r="BN17" s="885">
        <v>-1749</v>
      </c>
      <c r="BO17" s="885">
        <v>-543</v>
      </c>
      <c r="BP17" s="885">
        <v>-114</v>
      </c>
      <c r="BQ17" s="885">
        <v>-740</v>
      </c>
      <c r="BR17" s="885">
        <v>-362.5</v>
      </c>
      <c r="BS17" s="885">
        <v>-494</v>
      </c>
      <c r="BT17" s="885">
        <v>-232</v>
      </c>
      <c r="BU17" s="885">
        <v>-230</v>
      </c>
      <c r="BV17" s="885">
        <v>-126</v>
      </c>
      <c r="BW17" s="885">
        <v>-1654</v>
      </c>
      <c r="BX17" s="885">
        <v>-52</v>
      </c>
      <c r="BY17" s="885">
        <v>-231</v>
      </c>
      <c r="BZ17" s="885">
        <v>-39</v>
      </c>
      <c r="CA17" s="885">
        <v>-5725.6</v>
      </c>
      <c r="CB17" s="885">
        <v>-340</v>
      </c>
      <c r="CC17" s="885">
        <v>-53.08</v>
      </c>
      <c r="CD17" s="885">
        <v>-91.27</v>
      </c>
      <c r="CE17" s="885">
        <v>-402</v>
      </c>
      <c r="CF17" s="885">
        <v>-378</v>
      </c>
      <c r="CG17" s="885">
        <v>-4600</v>
      </c>
      <c r="CH17" s="885">
        <v>-123</v>
      </c>
      <c r="CI17" s="885">
        <v>-469</v>
      </c>
      <c r="CJ17" s="885">
        <v>-2381</v>
      </c>
      <c r="CK17" s="885">
        <v>-1255</v>
      </c>
      <c r="CL17" s="885">
        <v>-1211</v>
      </c>
      <c r="CM17" s="885">
        <v>-275</v>
      </c>
      <c r="CN17" s="885">
        <v>-98</v>
      </c>
      <c r="CO17" s="885">
        <v>-671</v>
      </c>
      <c r="CP17" s="885">
        <v>-40.5</v>
      </c>
      <c r="CQ17" s="885">
        <v>-476</v>
      </c>
      <c r="CR17" s="885">
        <v>-3908</v>
      </c>
      <c r="CS17" s="885">
        <v>-576</v>
      </c>
      <c r="CT17" s="885">
        <v>-2096.5500000000002</v>
      </c>
      <c r="CU17" s="885">
        <v>-74.400000000000006</v>
      </c>
      <c r="CV17" s="885">
        <v>-752</v>
      </c>
      <c r="CW17" s="885">
        <v>-1586</v>
      </c>
      <c r="CX17" s="885">
        <v>-80.5</v>
      </c>
      <c r="CY17" s="885">
        <v>-219</v>
      </c>
      <c r="CZ17" s="885">
        <v>-1580</v>
      </c>
      <c r="DA17" s="885">
        <v>-330.5</v>
      </c>
      <c r="DB17" s="885">
        <v>-199</v>
      </c>
      <c r="DC17" s="885">
        <v>-1798.4</v>
      </c>
      <c r="DD17" s="885">
        <v>-180</v>
      </c>
      <c r="DE17" s="885">
        <v>-797</v>
      </c>
      <c r="DF17" s="885">
        <v>-630</v>
      </c>
      <c r="DG17" s="885">
        <v>-799</v>
      </c>
      <c r="DH17" s="885">
        <v>-1121</v>
      </c>
      <c r="DI17" s="885">
        <v>-7</v>
      </c>
      <c r="DJ17" s="885">
        <v>-526.5</v>
      </c>
      <c r="DK17" s="885">
        <v>-114</v>
      </c>
      <c r="DL17" s="885">
        <v>-76</v>
      </c>
      <c r="DM17" s="885">
        <v>-88</v>
      </c>
      <c r="DN17" s="885">
        <v>-522</v>
      </c>
      <c r="DO17" s="885">
        <v>-49.5</v>
      </c>
      <c r="DP17" s="885">
        <v>-119</v>
      </c>
      <c r="DQ17" s="885">
        <v>-1060</v>
      </c>
      <c r="DR17" s="885">
        <v>-52.8</v>
      </c>
      <c r="DS17" s="885">
        <v>-76</v>
      </c>
      <c r="DT17" s="885">
        <v>-1001</v>
      </c>
      <c r="DU17" s="885">
        <v>-1174.5</v>
      </c>
      <c r="DV17" s="885">
        <v>-153.5</v>
      </c>
      <c r="DW17" s="885">
        <v>123</v>
      </c>
      <c r="DX17" s="885">
        <v>-585.6</v>
      </c>
      <c r="DY17" s="885">
        <v>-47</v>
      </c>
      <c r="DZ17" s="885">
        <v>-12</v>
      </c>
      <c r="EA17" s="885">
        <v>-43</v>
      </c>
      <c r="EB17" s="885">
        <v>-89</v>
      </c>
      <c r="EC17" s="885">
        <v>-83</v>
      </c>
      <c r="ED17" s="885">
        <v>-85</v>
      </c>
      <c r="EE17" s="885">
        <v>-123</v>
      </c>
      <c r="EF17" s="885">
        <v>-99</v>
      </c>
      <c r="EG17" s="885">
        <v>-560</v>
      </c>
      <c r="EH17" s="885">
        <v>-326</v>
      </c>
      <c r="EI17" s="885">
        <v>-74</v>
      </c>
      <c r="EJ17" s="885">
        <v>-355</v>
      </c>
      <c r="EK17" s="885">
        <v>-738</v>
      </c>
      <c r="EL17" s="885">
        <v>-724</v>
      </c>
      <c r="EM17" s="885">
        <v>-3559.5</v>
      </c>
      <c r="EN17" s="885">
        <v>-60.77</v>
      </c>
      <c r="EO17" s="885">
        <v>-80</v>
      </c>
      <c r="EP17" s="885">
        <v>-107</v>
      </c>
      <c r="EQ17" s="885">
        <v>-965</v>
      </c>
      <c r="ER17" s="885">
        <v>-260.39999999999998</v>
      </c>
      <c r="ES17" s="885">
        <v>-99.5</v>
      </c>
      <c r="ET17" s="885">
        <v>-909.9</v>
      </c>
      <c r="EU17" s="885">
        <v>-786</v>
      </c>
      <c r="EV17" s="885">
        <v>-211</v>
      </c>
      <c r="EW17" s="885">
        <v>-489.9</v>
      </c>
      <c r="EX17" s="885">
        <v>-486.5</v>
      </c>
      <c r="EY17" s="885">
        <v>-1065</v>
      </c>
      <c r="EZ17" s="885">
        <v>-959</v>
      </c>
      <c r="FA17" s="885">
        <v>-288</v>
      </c>
      <c r="FB17" s="885">
        <v>-418</v>
      </c>
      <c r="FC17" s="885">
        <v>-12</v>
      </c>
      <c r="FD17" s="885">
        <v>-1037</v>
      </c>
      <c r="FE17" s="885">
        <v>-299.89999999999998</v>
      </c>
      <c r="FF17" s="885">
        <v>-2028</v>
      </c>
      <c r="FG17" s="885">
        <v>-680</v>
      </c>
      <c r="FH17" s="885">
        <v>-43.4</v>
      </c>
      <c r="FI17" s="885">
        <v>-239</v>
      </c>
      <c r="FJ17" s="885">
        <v>-1121</v>
      </c>
      <c r="FK17" s="885">
        <v>-330</v>
      </c>
      <c r="FL17" s="885">
        <v>-600</v>
      </c>
      <c r="FM17" s="885">
        <v>-1010</v>
      </c>
      <c r="FN17" s="885">
        <v>-119</v>
      </c>
      <c r="FO17" s="885">
        <v>-686</v>
      </c>
      <c r="FP17" s="885">
        <v>-82</v>
      </c>
      <c r="FQ17" s="885">
        <v>-125</v>
      </c>
      <c r="FR17" s="885">
        <v>-1588</v>
      </c>
      <c r="FS17" s="885">
        <v>-1039</v>
      </c>
      <c r="FT17" s="885">
        <v>-1252.3</v>
      </c>
      <c r="FU17" s="885">
        <v>-621.59999999999991</v>
      </c>
      <c r="FV17" s="885">
        <v>-20</v>
      </c>
      <c r="FW17" s="885">
        <v>-201</v>
      </c>
      <c r="FX17" s="885">
        <v>-632</v>
      </c>
      <c r="FY17" s="885">
        <v>-1032</v>
      </c>
      <c r="FZ17" s="885">
        <v>-231</v>
      </c>
      <c r="GA17" s="885">
        <v>-48</v>
      </c>
      <c r="GB17" s="885">
        <v>-689</v>
      </c>
      <c r="GC17" s="885">
        <v>-45</v>
      </c>
      <c r="GD17" s="885">
        <v>-1179</v>
      </c>
      <c r="GE17" s="885">
        <v>-1642.9</v>
      </c>
      <c r="GF17" s="885">
        <v>-306.36</v>
      </c>
      <c r="GG17" s="885">
        <v>-82</v>
      </c>
      <c r="GH17" s="885">
        <v>-59</v>
      </c>
      <c r="GI17" s="885">
        <v>-614</v>
      </c>
      <c r="GJ17" s="885">
        <v>-288</v>
      </c>
      <c r="GK17" s="885">
        <v>397660.42</v>
      </c>
    </row>
    <row r="18" spans="1:193" hidden="1" x14ac:dyDescent="0.25"/>
    <row r="19" spans="1:193" hidden="1" x14ac:dyDescent="0.25"/>
    <row r="20" spans="1:193" hidden="1" x14ac:dyDescent="0.25">
      <c r="A20" s="4"/>
    </row>
    <row r="21" spans="1:193" hidden="1" x14ac:dyDescent="0.25">
      <c r="A21" s="4"/>
    </row>
    <row r="22" spans="1:193" hidden="1" x14ac:dyDescent="0.25">
      <c r="A22" s="4"/>
    </row>
    <row r="23" spans="1:193" x14ac:dyDescent="0.25">
      <c r="A23" s="4"/>
    </row>
    <row r="25" spans="1:193" ht="77.25" customHeight="1" x14ac:dyDescent="0.25">
      <c r="A25" s="15" t="s">
        <v>747</v>
      </c>
      <c r="B25" s="13" t="s">
        <v>744</v>
      </c>
      <c r="C25" s="14">
        <v>2018</v>
      </c>
      <c r="D25" s="14">
        <v>2019</v>
      </c>
      <c r="E25" s="14">
        <v>2020</v>
      </c>
      <c r="F25" s="14">
        <v>2021</v>
      </c>
      <c r="G25" s="14">
        <v>2022</v>
      </c>
      <c r="H25" s="14">
        <v>2023</v>
      </c>
      <c r="I25" s="14">
        <v>2024</v>
      </c>
      <c r="J25" s="14">
        <v>2025</v>
      </c>
      <c r="K25" s="15" t="s">
        <v>746</v>
      </c>
      <c r="L25" s="15" t="s">
        <v>1793</v>
      </c>
    </row>
    <row r="26" spans="1:193" x14ac:dyDescent="0.25">
      <c r="A26" s="5" t="s">
        <v>1</v>
      </c>
      <c r="B26" s="12">
        <v>45000</v>
      </c>
      <c r="C26" s="12">
        <f>B26-GETPIVOTDATA("Credits",'Table A-Wetland Adv Credit Bal'!$A$20,"Calendar Year",2018,"Service Area","Calumet-Dunes","Credit Class","Stream")</f>
        <v>0</v>
      </c>
      <c r="D26" s="12">
        <f>-GETPIVOTDATA("Credits",'Table A-Wetland Adv Credit Bal'!$A$20,"Calendar Year",2019,"Service Area","Calumet-Dunes","Credit Class","Stream")</f>
        <v>0</v>
      </c>
      <c r="E26" s="12">
        <f>-GETPIVOTDATA("Credits",'Table A-Wetland Adv Credit Bal'!$A$20,"Calendar Year",2020,"Service Area","Calumet-Dunes","Credit Class","Stream")</f>
        <v>8</v>
      </c>
      <c r="F26" s="12">
        <f>-GETPIVOTDATA("Credits",'Table A-Wetland Adv Credit Bal'!$A$20,"Calendar Year",2021,"Service Area","Calumet-Dunes","Credit Class","Stream")</f>
        <v>470</v>
      </c>
      <c r="G26" s="12">
        <f>-GETPIVOTDATA("Credits",'Table A-Wetland Adv Credit Bal'!$A$20,"Calendar Year",2022,"Service Area","Calumet-Dunes","Credit Class","Stream")</f>
        <v>511</v>
      </c>
      <c r="H26" s="12">
        <f>-GETPIVOTDATA("Credits",'Table A-Wetland Adv Credit Bal'!$A$20,"Calendar Year",2023,"Service Area","Calumet-Dunes","Credit Class","Stream")</f>
        <v>140.80000000000001</v>
      </c>
      <c r="I26" s="12">
        <f>-GETPIVOTDATA("Credits",'Table A-Wetland Adv Credit Bal'!$A$20,"Calendar Year",2024,"Service Area","Calumet-Dunes","Credit Class","Stream")</f>
        <v>409</v>
      </c>
      <c r="J26" s="12">
        <f>-GETPIVOTDATA("Credits",'Table A-Wetland Adv Credit Bal'!$A$20,"Calendar Year",2025,"Service Area","Calumet-Dunes","Credit Class","Stream")</f>
        <v>1060</v>
      </c>
      <c r="K26" s="12">
        <f>SUM(C26:J26)</f>
        <v>2598.8000000000002</v>
      </c>
      <c r="L26" s="12">
        <f t="shared" ref="L26:L36" si="0">B26-(K26-E58)</f>
        <v>42401.2</v>
      </c>
    </row>
    <row r="27" spans="1:193" x14ac:dyDescent="0.25">
      <c r="A27" s="5" t="s">
        <v>2</v>
      </c>
      <c r="B27" s="12">
        <v>45000</v>
      </c>
      <c r="C27" s="12">
        <f>B27-GETPIVOTDATA("Credits",'Table A-Wetland Adv Credit Bal'!$A$20,"Calendar Year",2018,"Service Area","Kankakee","Credit Class","Stream")</f>
        <v>0</v>
      </c>
      <c r="D27" s="12">
        <f>-GETPIVOTDATA("Credits",'Table A-Wetland Adv Credit Bal'!$A$20,"Calendar Year",2019,"Service Area","Kankakee","Credit Class","Stream")</f>
        <v>385</v>
      </c>
      <c r="E27" s="12">
        <f>-GETPIVOTDATA("Credits",'Table A-Wetland Adv Credit Bal'!$A$20,"Calendar Year",2020,"Service Area","Kankakee","Credit Class","Stream")</f>
        <v>97</v>
      </c>
      <c r="F27" s="12">
        <f>-GETPIVOTDATA("Credits",'Table A-Wetland Adv Credit Bal'!$A$20,"Calendar Year",2021,"Service Area","Kankakee","Credit Class","Stream")</f>
        <v>549</v>
      </c>
      <c r="G27" s="12">
        <f>-GETPIVOTDATA("Credits",'Table A-Wetland Adv Credit Bal'!$A$20,"Calendar Year",2022,"Service Area","Kankakee","Credit Class","Stream")</f>
        <v>226.5</v>
      </c>
      <c r="H27" s="12">
        <f>-GETPIVOTDATA("Credits",'Table A-Wetland Adv Credit Bal'!$A$20,"Calendar Year",2023,"Service Area","Kankakee","Credit Class","Stream")</f>
        <v>456.6</v>
      </c>
      <c r="I27" s="12">
        <f>-GETPIVOTDATA("Credits",'Table A-Wetland Adv Credit Bal'!$A$20,"Calendar Year",2024,"Service Area","Kankakee","Credit Class","Stream")</f>
        <v>633.4</v>
      </c>
      <c r="J27" s="12">
        <f>-GETPIVOTDATA("Credits",'Table A-Wetland Adv Credit Bal'!$A$20,"Calendar Year",2025,"Service Area","Kankakee","Credit Class","Stream")</f>
        <v>0</v>
      </c>
      <c r="K27" s="12">
        <f t="shared" ref="K27:K36" si="1">SUM(C27:J27)</f>
        <v>2347.5</v>
      </c>
      <c r="L27" s="12">
        <f t="shared" si="0"/>
        <v>42652.5</v>
      </c>
    </row>
    <row r="28" spans="1:193" x14ac:dyDescent="0.25">
      <c r="A28" s="5" t="s">
        <v>9</v>
      </c>
      <c r="B28" s="12">
        <v>45000</v>
      </c>
      <c r="C28" s="12">
        <f>B28-GETPIVOTDATA("Credits",'Table A-Wetland Adv Credit Bal'!$A$20,"Calendar Year",2018,"Service Area","Lower White","Credit Class","Stream")</f>
        <v>0</v>
      </c>
      <c r="D28" s="12">
        <f>-GETPIVOTDATA("Credits",'Table A-Wetland Adv Credit Bal'!$A$20,"Calendar Year",2019,"Service Area","Lower White","Credit Class","Stream")</f>
        <v>249</v>
      </c>
      <c r="E28" s="12">
        <f>-GETPIVOTDATA("Credits",'Table A-Wetland Adv Credit Bal'!$A$20,"Calendar Year",2020,"Service Area","Lower White","Credit Class","Stream")</f>
        <v>5826</v>
      </c>
      <c r="F28" s="12">
        <f>-GETPIVOTDATA("Credits",'Table A-Wetland Adv Credit Bal'!$A$20,"Calendar Year",2021,"Service Area","Lower White","Credit Class","Stream")</f>
        <v>1987.5</v>
      </c>
      <c r="G28" s="12">
        <f>-GETPIVOTDATA("Credits",'Table A-Wetland Adv Credit Bal'!$A$20,"Calendar Year",2022,"Service Area","Lower White","Credit Class","Stream")</f>
        <v>0</v>
      </c>
      <c r="H28" s="12">
        <f>-GETPIVOTDATA("Credits",'Table A-Wetland Adv Credit Bal'!$A$20,"Calendar Year",2023,"Service Area","Lower White","Credit Class","Stream")</f>
        <v>361</v>
      </c>
      <c r="I28" s="12">
        <f>-GETPIVOTDATA("Credits",'Table A-Wetland Adv Credit Bal'!$A$20,"Calendar Year",2024,"Service Area","Lower White","Credit Class","Stream")</f>
        <v>1505.9</v>
      </c>
      <c r="J28" s="12">
        <f>-GETPIVOTDATA("Credits",'Table A-Wetland Adv Credit Bal'!$A$20,"Calendar Year",2025,"Service Area","Lower White","Credit Class","Stream")</f>
        <v>790</v>
      </c>
      <c r="K28" s="12">
        <f t="shared" si="1"/>
        <v>10719.4</v>
      </c>
      <c r="L28" s="12">
        <f t="shared" si="0"/>
        <v>34280.6</v>
      </c>
    </row>
    <row r="29" spans="1:193" x14ac:dyDescent="0.25">
      <c r="A29" s="5" t="s">
        <v>4</v>
      </c>
      <c r="B29" s="12">
        <v>45000</v>
      </c>
      <c r="C29" s="12">
        <f>B29-GETPIVOTDATA("Credits",'Table A-Wetland Adv Credit Bal'!$A$20,"Calendar Year",2018,"Service Area","Maumee","Credit Class","Stream")</f>
        <v>0</v>
      </c>
      <c r="D29" s="12">
        <f>-GETPIVOTDATA("Credits",'Table A-Wetland Adv Credit Bal'!$A$20,"Calendar Year",2019,"Service Area","Maumee","Credit Class","Stream")</f>
        <v>0</v>
      </c>
      <c r="E29" s="12">
        <f>-GETPIVOTDATA("Credits",'Table A-Wetland Adv Credit Bal'!$A$20,"Calendar Year",2020,"Service Area","Maumee","Credit Class","Stream")</f>
        <v>740</v>
      </c>
      <c r="F29" s="12">
        <f>-GETPIVOTDATA("Credits",'Table A-Wetland Adv Credit Bal'!$A$20,"Calendar Year",2021,"Service Area","Maumee","Credit Class","Stream")</f>
        <v>0</v>
      </c>
      <c r="G29" s="12">
        <f>-GETPIVOTDATA("Credits",'Table A-Wetland Adv Credit Bal'!$A$20,"Calendar Year",2022,"Service Area","Maumee","Credit Class","Stream")</f>
        <v>37.549999999999997</v>
      </c>
      <c r="H29" s="12">
        <f>-GETPIVOTDATA("Credits",'Table A-Wetland Adv Credit Bal'!$A$20,"Calendar Year",2023,"Service Area","Maumee","Credit Class","Stream")</f>
        <v>359.5</v>
      </c>
      <c r="I29" s="12">
        <f>-GETPIVOTDATA("Credits",'Table A-Wetland Adv Credit Bal'!$A$20,"Calendar Year",2024,"Service Area","Maumee","Credit Class","Stream")</f>
        <v>80.5</v>
      </c>
      <c r="J29" s="12">
        <f>-GETPIVOTDATA("Credits",'Table A-Wetland Adv Credit Bal'!$A$20,"Calendar Year",2025,"Service Area","Maumee","Credit Class","Stream")</f>
        <v>1751.2</v>
      </c>
      <c r="K29" s="12">
        <f t="shared" si="1"/>
        <v>2968.75</v>
      </c>
      <c r="L29" s="12">
        <f t="shared" si="0"/>
        <v>42031.25</v>
      </c>
    </row>
    <row r="30" spans="1:193" x14ac:dyDescent="0.25">
      <c r="A30" s="5" t="s">
        <v>6</v>
      </c>
      <c r="B30" s="12">
        <v>45000</v>
      </c>
      <c r="C30" s="12">
        <f>B30-GETPIVOTDATA("Credits",'Table A-Wetland Adv Credit Bal'!$A$20,"Calendar Year",2018,"Service Area","Middle Wabash","Credit Class","Stream")</f>
        <v>0</v>
      </c>
      <c r="D30" s="12">
        <f>-GETPIVOTDATA("Credits",'Table A-Wetland Adv Credit Bal'!$A$20,"Calendar Year",2019,"Service Area","Middle Wabash","Credit Class","Stream")</f>
        <v>771</v>
      </c>
      <c r="E30" s="12">
        <f>-GETPIVOTDATA("Credits",'Table A-Wetland Adv Credit Bal'!$A$20,"Calendar Year",2020,"Service Area","Middle Wabash","Credit Class","Stream")</f>
        <v>438.3</v>
      </c>
      <c r="F30" s="12">
        <f>-GETPIVOTDATA("Credits",'Table A-Wetland Adv Credit Bal'!$A$20,"Calendar Year",2021,"Service Area","Middle Wabash","Credit Class","Stream")</f>
        <v>360</v>
      </c>
      <c r="G30" s="12">
        <f>-GETPIVOTDATA("Credits",'Table A-Wetland Adv Credit Bal'!$A$20,"Calendar Year",2022,"Service Area","Middle Wabash","Credit Class","Stream")</f>
        <v>360.5</v>
      </c>
      <c r="H30" s="12">
        <f>-GETPIVOTDATA("Credits",'Table A-Wetland Adv Credit Bal'!$A$20,"Calendar Year",2023,"Service Area","Middle Wabash","Credit Class","Stream")</f>
        <v>1015</v>
      </c>
      <c r="I30" s="12">
        <f>-GETPIVOTDATA("Credits",'Table A-Wetland Adv Credit Bal'!$A$20,"Calendar Year",2024,"Service Area","Middle Wabash","Credit Class","Stream")</f>
        <v>206</v>
      </c>
      <c r="J30" s="12">
        <f>-GETPIVOTDATA("Credits",'Table A-Wetland Adv Credit Bal'!$A$20,"Calendar Year",2025,"Service Area","Middle Wabash","Credit Class","Stream")</f>
        <v>683</v>
      </c>
      <c r="K30" s="12">
        <f t="shared" si="1"/>
        <v>3833.8</v>
      </c>
      <c r="L30" s="12">
        <f t="shared" si="0"/>
        <v>41166.199999999997</v>
      </c>
    </row>
    <row r="31" spans="1:193" x14ac:dyDescent="0.25">
      <c r="A31" s="5" t="s">
        <v>11</v>
      </c>
      <c r="B31" s="12">
        <v>50000</v>
      </c>
      <c r="C31" s="12">
        <f>B31-GETPIVOTDATA("Credits",'Table A-Wetland Adv Credit Bal'!$A$20,"Calendar Year",2018,"Service Area","Ohio-Wabash Lowlands","Credit Class","Stream")</f>
        <v>0</v>
      </c>
      <c r="D31" s="12">
        <f>-GETPIVOTDATA("Credits",'Table A-Wetland Adv Credit Bal'!$A$20,"Calendar Year",2019,"Service Area","Ohio-Wabash Lowlands","Credit Class","Stream")</f>
        <v>373</v>
      </c>
      <c r="E31" s="12">
        <f>-GETPIVOTDATA("Credits",'Table A-Wetland Adv Credit Bal'!$A$20,"Calendar Year",2020,"Service Area","Ohio-Wabash Lowlands","Credit Class","Stream")</f>
        <v>1607.6</v>
      </c>
      <c r="F31" s="12">
        <f>-GETPIVOTDATA("Credits",'Table A-Wetland Adv Credit Bal'!$A$20,"Calendar Year",2021,"Service Area","Ohio-Wabash Lowlands","Credit Class","Stream")</f>
        <v>0</v>
      </c>
      <c r="G31" s="12">
        <f>-GETPIVOTDATA("Credits",'Table A-Wetland Adv Credit Bal'!$A$20,"Calendar Year",2022,"Service Area","Ohio-Wabash Lowlands","Credit Class","Stream")</f>
        <v>1039</v>
      </c>
      <c r="H31" s="12">
        <f>-GETPIVOTDATA("Credits",'Table A-Wetland Adv Credit Bal'!$A$20,"Calendar Year",2023,"Service Area","Ohio-Wabash Lowlands","Credit Class","Stream")</f>
        <v>1722.5</v>
      </c>
      <c r="I31" s="12">
        <f>-GETPIVOTDATA("Credits",'Table A-Wetland Adv Credit Bal'!$A$20,"Calendar Year",2024,"Service Area","Ohio-Wabash Lowlands","Credit Class","Stream")</f>
        <v>449</v>
      </c>
      <c r="J31" s="12">
        <f>-GETPIVOTDATA("Credits",'Table A-Wetland Adv Credit Bal'!$A$20,"Calendar Year",2025,"Service Area","Ohio-Wabash Lowlands","Credit Class","Stream")</f>
        <v>2201.4</v>
      </c>
      <c r="K31" s="12">
        <f t="shared" si="1"/>
        <v>7392.5</v>
      </c>
      <c r="L31" s="12">
        <f t="shared" si="0"/>
        <v>42607.5</v>
      </c>
    </row>
    <row r="32" spans="1:193" x14ac:dyDescent="0.25">
      <c r="A32" s="5" t="s">
        <v>3</v>
      </c>
      <c r="B32" s="12">
        <v>45000</v>
      </c>
      <c r="C32" s="12">
        <f>B32-GETPIVOTDATA("Credits",'Table A-Wetland Adv Credit Bal'!$A$20,"Calendar Year",2018,"Service Area","St. Joseph River","Credit Class","Stream")</f>
        <v>0</v>
      </c>
      <c r="D32" s="12">
        <f>-GETPIVOTDATA("Credits",'Table A-Wetland Adv Credit Bal'!$A$20,"Calendar Year",2019,"Service Area","St. Joseph River","Credit Class","Stream")</f>
        <v>0</v>
      </c>
      <c r="E32" s="12">
        <f>-GETPIVOTDATA("Credits",'Table A-Wetland Adv Credit Bal'!$A$20,"Calendar Year",2020,"Service Area","St. Joseph River","Credit Class","Stream")</f>
        <v>941</v>
      </c>
      <c r="F32" s="12">
        <f>-GETPIVOTDATA("Credits",'Table A-Wetland Adv Credit Bal'!$A$20,"Calendar Year",2021,"Service Area","St. Joseph River","Credit Class","Stream")</f>
        <v>176</v>
      </c>
      <c r="G32" s="12">
        <f>-GETPIVOTDATA("Credits",'Table A-Wetland Adv Credit Bal'!$A$20,"Calendar Year",2022,"Service Area","St. Joseph River","Credit Class","Stream")</f>
        <v>91.27</v>
      </c>
      <c r="H32" s="12">
        <f>-GETPIVOTDATA("Credits",'Table A-Wetland Adv Credit Bal'!$A$20,"Calendar Year",2023,"Service Area","St. Joseph River","Credit Class","Stream")</f>
        <v>362.5</v>
      </c>
      <c r="I32" s="12">
        <f>-GETPIVOTDATA("Credits",'Table A-Wetland Adv Credit Bal'!$A$20,"Calendar Year",2024,"Service Area","St. Joseph River","Credit Class","Stream")</f>
        <v>375</v>
      </c>
      <c r="J32" s="12">
        <f>-GETPIVOTDATA("Credits",'Table A-Wetland Adv Credit Bal'!$A$20,"Calendar Year",2025,"Service Area","St. Joseph River","Credit Class","Stream")</f>
        <v>154</v>
      </c>
      <c r="K32" s="12">
        <f t="shared" si="1"/>
        <v>2099.77</v>
      </c>
      <c r="L32" s="12">
        <f t="shared" si="0"/>
        <v>42900.23</v>
      </c>
    </row>
    <row r="33" spans="1:13" x14ac:dyDescent="0.25">
      <c r="A33" s="5" t="s">
        <v>10</v>
      </c>
      <c r="B33" s="12">
        <v>45000</v>
      </c>
      <c r="C33" s="12">
        <f>B33-GETPIVOTDATA("Credits",'Table A-Wetland Adv Credit Bal'!$A$20,"Calendar Year",2018,"Service Area","Upper Ohio","Credit Class","Stream")</f>
        <v>409</v>
      </c>
      <c r="D33" s="12">
        <f>-GETPIVOTDATA("Credits",'Table A-Wetland Adv Credit Bal'!$A$20,"Calendar Year",2019,"Service Area","Upper Ohio","Credit Class","Stream")</f>
        <v>2225</v>
      </c>
      <c r="E33" s="12">
        <f>-GETPIVOTDATA("Credits",'Table A-Wetland Adv Credit Bal'!$A$20,"Calendar Year",2020,"Service Area","Upper Ohio","Credit Class","Stream")</f>
        <v>1222</v>
      </c>
      <c r="F33" s="12">
        <f>-GETPIVOTDATA("Credits",'Table A-Wetland Adv Credit Bal'!$A$20,"Calendar Year",2021,"Service Area","Upper Ohio","Credit Class","Stream")</f>
        <v>4803.6000000000004</v>
      </c>
      <c r="G33" s="12">
        <f>-GETPIVOTDATA("Credits",'Table A-Wetland Adv Credit Bal'!$A$20,"Calendar Year",2022,"Service Area","Upper Ohio","Credit Class","Stream")</f>
        <v>7080.4</v>
      </c>
      <c r="H33" s="12">
        <f>-GETPIVOTDATA("Credits",'Table A-Wetland Adv Credit Bal'!$A$20,"Calendar Year",2023,"Service Area","Upper Ohio","Credit Class","Stream")</f>
        <v>1357</v>
      </c>
      <c r="I33" s="12">
        <f>-GETPIVOTDATA("Credits",'Table A-Wetland Adv Credit Bal'!$A$20,"Calendar Year",2024,"Service Area","Upper Ohio","Credit Class","Stream")</f>
        <v>792.9</v>
      </c>
      <c r="J33" s="12">
        <f>-GETPIVOTDATA("Credits",'Table A-Wetland Adv Credit Bal'!$A$20,"Calendar Year",2025,"Service Area","Upper Ohio","Credit Class","Stream")</f>
        <v>759</v>
      </c>
      <c r="K33" s="12">
        <f t="shared" si="1"/>
        <v>18648.900000000001</v>
      </c>
      <c r="L33" s="12">
        <f t="shared" si="0"/>
        <v>26351.1</v>
      </c>
      <c r="M33" s="10"/>
    </row>
    <row r="34" spans="1:13" x14ac:dyDescent="0.25">
      <c r="A34" s="5" t="s">
        <v>5</v>
      </c>
      <c r="B34" s="12">
        <v>45000</v>
      </c>
      <c r="C34" s="12">
        <f>B34-GETPIVOTDATA("Credits",'Table A-Wetland Adv Credit Bal'!$A$20,"Calendar Year",2018,"Service Area","Upper Wabash","Credit Class","Stream")</f>
        <v>0</v>
      </c>
      <c r="D34" s="12">
        <f>-GETPIVOTDATA("Credits",'Table A-Wetland Adv Credit Bal'!$A$20,"Calendar Year",2019,"Service Area","Upper Wabash","Credit Class","Stream")</f>
        <v>590</v>
      </c>
      <c r="E34" s="12">
        <f>-GETPIVOTDATA("Credits",'Table A-Wetland Adv Credit Bal'!$A$20,"Calendar Year",2020,"Service Area","Upper Wabash","Credit Class","Stream")</f>
        <v>3038</v>
      </c>
      <c r="F34" s="12">
        <f>-GETPIVOTDATA("Credits",'Table A-Wetland Adv Credit Bal'!$A$20,"Calendar Year",2021,"Service Area","Upper Wabash","Credit Class","Stream")</f>
        <v>414.4</v>
      </c>
      <c r="G34" s="12">
        <f>-GETPIVOTDATA("Credits",'Table A-Wetland Adv Credit Bal'!$A$20,"Calendar Year",2022,"Service Area","Upper Wabash","Credit Class","Stream")</f>
        <v>365</v>
      </c>
      <c r="H34" s="12">
        <f>-GETPIVOTDATA("Credits",'Table A-Wetland Adv Credit Bal'!$A$20,"Calendar Year",2023,"Service Area","Upper Wabash","Credit Class","Stream")</f>
        <v>1699.4</v>
      </c>
      <c r="I34" s="12">
        <f>-GETPIVOTDATA("Credits",'Table A-Wetland Adv Credit Bal'!$A$20,"Calendar Year",2024,"Service Area","Upper Wabash","Credit Class","Stream")</f>
        <v>785.27</v>
      </c>
      <c r="J34" s="12">
        <f>-GETPIVOTDATA("Credits",'Table A-Wetland Adv Credit Bal'!$A$20,"Calendar Year",2025,"Service Area","Upper Wabash","Credit Class","Stream")</f>
        <v>3393.36</v>
      </c>
      <c r="K34" s="12">
        <f t="shared" si="1"/>
        <v>10285.43</v>
      </c>
      <c r="L34" s="12">
        <f t="shared" si="0"/>
        <v>34714.57</v>
      </c>
    </row>
    <row r="35" spans="1:13" x14ac:dyDescent="0.25">
      <c r="A35" s="5" t="s">
        <v>7</v>
      </c>
      <c r="B35" s="12">
        <v>81000</v>
      </c>
      <c r="C35" s="12">
        <f>B35-GETPIVOTDATA("Credits",'Table A-Wetland Adv Credit Bal'!$A$20,"Calendar Year",2018,"Service Area","Upper White","Credit Class","Stream")</f>
        <v>750</v>
      </c>
      <c r="D35" s="12">
        <f>-GETPIVOTDATA("Credits",'Table A-Wetland Adv Credit Bal'!$A$20,"Calendar Year",2019,"Service Area","Upper White","Credit Class","Stream")</f>
        <v>903</v>
      </c>
      <c r="E35" s="12">
        <f>-GETPIVOTDATA("Credits",'Table A-Wetland Adv Credit Bal'!$A$20,"Calendar Year",2020,"Service Area","Upper White","Credit Class","Stream")</f>
        <v>23786.25</v>
      </c>
      <c r="F35" s="12">
        <f>-GETPIVOTDATA("Credits",'Table A-Wetland Adv Credit Bal'!$A$20,"Calendar Year",2021,"Service Area","Upper White","Credit Class","Stream")</f>
        <v>2154</v>
      </c>
      <c r="G35" s="12">
        <f>-GETPIVOTDATA("Credits",'Table A-Wetland Adv Credit Bal'!$A$20,"Calendar Year",2022,"Service Area","Upper White","Credit Class","Stream")</f>
        <v>17224.599999999999</v>
      </c>
      <c r="H35" s="12">
        <f>-GETPIVOTDATA("Credits",'Table A-Wetland Adv Credit Bal'!$A$20,"Calendar Year",2023,"Service Area","Upper White","Credit Class","Stream")</f>
        <v>2397.5</v>
      </c>
      <c r="I35" s="12">
        <f>-GETPIVOTDATA("Credits",'Table A-Wetland Adv Credit Bal'!$A$20,"Calendar Year",2024,"Service Area","Upper White","Credit Class","Stream")</f>
        <v>2363.5</v>
      </c>
      <c r="J35" s="12">
        <f>-GETPIVOTDATA("Credits",'Table A-Wetland Adv Credit Bal'!$A$20,"Calendar Year",2025,"Service Area","Upper White","Credit Class","Stream")</f>
        <v>8312.5</v>
      </c>
      <c r="K35" s="12">
        <f t="shared" si="1"/>
        <v>57891.35</v>
      </c>
      <c r="L35" s="12">
        <f t="shared" si="0"/>
        <v>25400.65</v>
      </c>
    </row>
    <row r="36" spans="1:13" x14ac:dyDescent="0.25">
      <c r="A36" s="5" t="s">
        <v>8</v>
      </c>
      <c r="B36" s="12">
        <v>45000</v>
      </c>
      <c r="C36" s="12">
        <f>B36-GETPIVOTDATA("Credits",'Table A-Wetland Adv Credit Bal'!$A$20,"Calendar Year",2018,"Service Area","Whitewater-East Fork White","Credit Class","Stream")</f>
        <v>0</v>
      </c>
      <c r="D36" s="12">
        <f>-GETPIVOTDATA("Credits",'Table A-Wetland Adv Credit Bal'!$A$20,"Calendar Year",2019,"Service Area","Whitewater-East Fork White","Credit Class","Stream")</f>
        <v>1635</v>
      </c>
      <c r="E36" s="12">
        <f>-GETPIVOTDATA("Credits",'Table A-Wetland Adv Credit Bal'!$A$20,"Calendar Year",2020,"Service Area","Whitewater-East Fork White","Credit Class","Stream")</f>
        <v>1239.5</v>
      </c>
      <c r="F36" s="12">
        <f>-GETPIVOTDATA("Credits",'Table A-Wetland Adv Credit Bal'!$A$20,"Calendar Year",2021,"Service Area","Whitewater-East Fork White","Credit Class","Stream")</f>
        <v>3330.3</v>
      </c>
      <c r="G36" s="12">
        <f>-GETPIVOTDATA("Credits",'Table A-Wetland Adv Credit Bal'!$A$20,"Calendar Year",2022,"Service Area","Whitewater-East Fork White","Credit Class","Stream")</f>
        <v>4502.08</v>
      </c>
      <c r="H36" s="12">
        <f>-GETPIVOTDATA("Credits",'Table A-Wetland Adv Credit Bal'!$A$20,"Calendar Year",2023,"Service Area","Whitewater-East Fork White","Credit Class","Stream")</f>
        <v>1435</v>
      </c>
      <c r="I36" s="12">
        <f>-GETPIVOTDATA("Credits",'Table A-Wetland Adv Credit Bal'!$A$20,"Calendar Year",2024,"Service Area","Whitewater-East Fork White","Credit Class","Stream")</f>
        <v>3803.5</v>
      </c>
      <c r="J36" s="12">
        <f>-GETPIVOTDATA("Credits",'Table A-Wetland Adv Credit Bal'!$A$20,"Calendar Year",2025,"Service Area","Whitewater-East Fork White","Credit Class","Stream")</f>
        <v>3608</v>
      </c>
      <c r="K36" s="12">
        <f t="shared" si="1"/>
        <v>19553.38</v>
      </c>
      <c r="L36" s="12">
        <f t="shared" si="0"/>
        <v>25446.62</v>
      </c>
    </row>
    <row r="38" spans="1:13" x14ac:dyDescent="0.25">
      <c r="B38" t="s">
        <v>935</v>
      </c>
      <c r="C38" s="10">
        <f>SUM(C26:C36)</f>
        <v>1159</v>
      </c>
      <c r="D38" s="10">
        <f t="shared" ref="D38:G38" si="2">SUM(D26:D36)</f>
        <v>7131</v>
      </c>
      <c r="E38" s="10">
        <f t="shared" si="2"/>
        <v>38943.65</v>
      </c>
      <c r="F38" s="10">
        <f t="shared" si="2"/>
        <v>14244.8</v>
      </c>
      <c r="G38" s="10">
        <f t="shared" si="2"/>
        <v>31437.9</v>
      </c>
      <c r="H38" s="10">
        <f t="shared" ref="H38:J38" si="3">SUM(H26:H36)</f>
        <v>11306.8</v>
      </c>
      <c r="I38" s="10">
        <f t="shared" si="3"/>
        <v>11403.97</v>
      </c>
      <c r="J38" s="10">
        <f t="shared" si="3"/>
        <v>22712.46</v>
      </c>
      <c r="K38" s="10">
        <f>SUM(K26:K36)</f>
        <v>138339.57999999999</v>
      </c>
    </row>
    <row r="39" spans="1:13" x14ac:dyDescent="0.25">
      <c r="A39" s="3" t="s">
        <v>34</v>
      </c>
      <c r="B39" t="s">
        <v>1051</v>
      </c>
    </row>
    <row r="41" spans="1:13" x14ac:dyDescent="0.25">
      <c r="A41" s="3" t="s">
        <v>90</v>
      </c>
      <c r="B41" s="3" t="s">
        <v>76</v>
      </c>
    </row>
    <row r="42" spans="1:13" x14ac:dyDescent="0.25">
      <c r="A42" s="3" t="s">
        <v>74</v>
      </c>
      <c r="B42" t="s">
        <v>41</v>
      </c>
      <c r="C42" t="s">
        <v>40</v>
      </c>
      <c r="D42" t="s">
        <v>39</v>
      </c>
      <c r="E42" t="s">
        <v>75</v>
      </c>
    </row>
    <row r="43" spans="1:13" x14ac:dyDescent="0.25">
      <c r="A43" s="19" t="s">
        <v>1</v>
      </c>
      <c r="B43" s="11">
        <v>-120.7</v>
      </c>
      <c r="C43" s="11">
        <v>-694.3</v>
      </c>
      <c r="D43" s="11">
        <v>-1783.8</v>
      </c>
      <c r="E43" s="11">
        <v>-2598.8000000000002</v>
      </c>
    </row>
    <row r="44" spans="1:13" x14ac:dyDescent="0.25">
      <c r="A44" s="19" t="s">
        <v>2</v>
      </c>
      <c r="B44" s="11">
        <v>-260.39999999999998</v>
      </c>
      <c r="C44" s="11">
        <v>-554</v>
      </c>
      <c r="D44" s="11">
        <v>-1533.1</v>
      </c>
      <c r="E44" s="11">
        <v>-2347.5</v>
      </c>
    </row>
    <row r="45" spans="1:13" x14ac:dyDescent="0.25">
      <c r="A45" s="19" t="s">
        <v>9</v>
      </c>
      <c r="B45" s="11">
        <v>-6911.3</v>
      </c>
      <c r="C45" s="11">
        <v>-3027.6</v>
      </c>
      <c r="D45" s="11">
        <v>-780.5</v>
      </c>
      <c r="E45" s="11">
        <v>-10719.4</v>
      </c>
    </row>
    <row r="46" spans="1:13" x14ac:dyDescent="0.25">
      <c r="A46" s="19" t="s">
        <v>4</v>
      </c>
      <c r="B46" s="11">
        <v>-43</v>
      </c>
      <c r="C46" s="11">
        <v>-745</v>
      </c>
      <c r="D46" s="11">
        <v>-2180.75</v>
      </c>
      <c r="E46" s="11">
        <v>-2968.75</v>
      </c>
    </row>
    <row r="47" spans="1:13" x14ac:dyDescent="0.25">
      <c r="A47" s="19" t="s">
        <v>6</v>
      </c>
      <c r="B47" s="11">
        <v>-813.8</v>
      </c>
      <c r="C47" s="11">
        <v>-1197</v>
      </c>
      <c r="D47" s="11">
        <v>-1823</v>
      </c>
      <c r="E47" s="11">
        <v>-3833.8</v>
      </c>
    </row>
    <row r="48" spans="1:13" x14ac:dyDescent="0.25">
      <c r="A48" s="19" t="s">
        <v>11</v>
      </c>
      <c r="B48" s="11">
        <v>-1495.1</v>
      </c>
      <c r="C48" s="11">
        <v>-4329.2</v>
      </c>
      <c r="D48" s="11">
        <v>-1568.2</v>
      </c>
      <c r="E48" s="11">
        <v>-7392.4999999999991</v>
      </c>
    </row>
    <row r="49" spans="1:5" x14ac:dyDescent="0.25">
      <c r="A49" s="19" t="s">
        <v>3</v>
      </c>
      <c r="B49" s="11"/>
      <c r="C49" s="11">
        <v>-1370</v>
      </c>
      <c r="D49" s="11">
        <v>-729.77</v>
      </c>
      <c r="E49" s="11">
        <v>-2099.77</v>
      </c>
    </row>
    <row r="50" spans="1:5" x14ac:dyDescent="0.25">
      <c r="A50" s="19" t="s">
        <v>10</v>
      </c>
      <c r="B50" s="11">
        <v>-3567.4</v>
      </c>
      <c r="C50" s="11">
        <v>-12830.6</v>
      </c>
      <c r="D50" s="11">
        <v>-2250.9</v>
      </c>
      <c r="E50" s="11">
        <v>-18648.900000000001</v>
      </c>
    </row>
    <row r="51" spans="1:5" x14ac:dyDescent="0.25">
      <c r="A51" s="19" t="s">
        <v>5</v>
      </c>
      <c r="B51" s="11">
        <v>-349</v>
      </c>
      <c r="C51" s="11">
        <v>-6527</v>
      </c>
      <c r="D51" s="11">
        <v>-3409.4300000000003</v>
      </c>
      <c r="E51" s="11">
        <v>-10285.43</v>
      </c>
    </row>
    <row r="52" spans="1:5" x14ac:dyDescent="0.25">
      <c r="A52" s="19" t="s">
        <v>7</v>
      </c>
      <c r="B52" s="11">
        <v>-16171</v>
      </c>
      <c r="C52" s="11">
        <v>-33593.050000000003</v>
      </c>
      <c r="D52" s="11">
        <v>-8127.3</v>
      </c>
      <c r="E52" s="11">
        <v>-57891.350000000006</v>
      </c>
    </row>
    <row r="53" spans="1:5" x14ac:dyDescent="0.25">
      <c r="A53" s="19" t="s">
        <v>8</v>
      </c>
      <c r="B53" s="11">
        <v>-5155.5</v>
      </c>
      <c r="C53" s="11">
        <v>-9235.2999999999993</v>
      </c>
      <c r="D53" s="11">
        <v>-5162.58</v>
      </c>
      <c r="E53" s="11">
        <v>-19553.379999999997</v>
      </c>
    </row>
    <row r="54" spans="1:5" x14ac:dyDescent="0.25">
      <c r="A54" s="19" t="s">
        <v>75</v>
      </c>
      <c r="B54" s="11">
        <v>-34887.199999999997</v>
      </c>
      <c r="C54" s="11">
        <v>-74103.05</v>
      </c>
      <c r="D54" s="11">
        <v>-29349.33</v>
      </c>
      <c r="E54" s="11">
        <v>-138339.58000000002</v>
      </c>
    </row>
    <row r="56" spans="1:5" ht="15.75" thickBot="1" x14ac:dyDescent="0.3"/>
    <row r="57" spans="1:5" ht="30.75" thickBot="1" x14ac:dyDescent="0.3">
      <c r="A57" s="899" t="s">
        <v>1794</v>
      </c>
      <c r="B57" s="900">
        <v>2023</v>
      </c>
      <c r="C57" s="900">
        <v>2024</v>
      </c>
      <c r="D57" s="901">
        <v>2025</v>
      </c>
      <c r="E57" s="908" t="s">
        <v>1792</v>
      </c>
    </row>
    <row r="58" spans="1:5" x14ac:dyDescent="0.25">
      <c r="A58" s="892" t="s">
        <v>1</v>
      </c>
      <c r="B58" s="885"/>
      <c r="C58" s="885"/>
      <c r="D58" s="896"/>
      <c r="E58" s="891">
        <f>SUM(B58:D58)</f>
        <v>0</v>
      </c>
    </row>
    <row r="59" spans="1:5" x14ac:dyDescent="0.25">
      <c r="A59" s="893" t="s">
        <v>2</v>
      </c>
      <c r="B59" s="6"/>
      <c r="C59" s="6"/>
      <c r="D59" s="896"/>
      <c r="E59" s="891">
        <f t="shared" ref="E59:E68" si="4">SUM(B59:D59)</f>
        <v>0</v>
      </c>
    </row>
    <row r="60" spans="1:5" x14ac:dyDescent="0.25">
      <c r="A60" s="893" t="s">
        <v>9</v>
      </c>
      <c r="B60" s="6"/>
      <c r="C60" s="6"/>
      <c r="D60" s="896"/>
      <c r="E60" s="891">
        <f t="shared" si="4"/>
        <v>0</v>
      </c>
    </row>
    <row r="61" spans="1:5" x14ac:dyDescent="0.25">
      <c r="A61" s="893" t="s">
        <v>4</v>
      </c>
      <c r="B61" s="6"/>
      <c r="C61" s="6"/>
      <c r="D61" s="896"/>
      <c r="E61" s="891">
        <f t="shared" si="4"/>
        <v>0</v>
      </c>
    </row>
    <row r="62" spans="1:5" x14ac:dyDescent="0.25">
      <c r="A62" s="893" t="s">
        <v>6</v>
      </c>
      <c r="B62" s="6"/>
      <c r="C62" s="6"/>
      <c r="D62" s="896"/>
      <c r="E62" s="891">
        <f t="shared" si="4"/>
        <v>0</v>
      </c>
    </row>
    <row r="63" spans="1:5" x14ac:dyDescent="0.25">
      <c r="A63" s="893" t="s">
        <v>11</v>
      </c>
      <c r="B63" s="6"/>
      <c r="C63" s="6"/>
      <c r="D63" s="896"/>
      <c r="E63" s="891">
        <f t="shared" si="4"/>
        <v>0</v>
      </c>
    </row>
    <row r="64" spans="1:5" x14ac:dyDescent="0.25">
      <c r="A64" s="893" t="s">
        <v>3</v>
      </c>
      <c r="B64" s="6"/>
      <c r="C64" s="6"/>
      <c r="D64" s="896"/>
      <c r="E64" s="891">
        <f t="shared" si="4"/>
        <v>0</v>
      </c>
    </row>
    <row r="65" spans="1:5" x14ac:dyDescent="0.25">
      <c r="A65" s="893" t="s">
        <v>10</v>
      </c>
      <c r="B65" s="6"/>
      <c r="C65" s="6"/>
      <c r="D65" s="896"/>
      <c r="E65" s="891">
        <f t="shared" si="4"/>
        <v>0</v>
      </c>
    </row>
    <row r="66" spans="1:5" x14ac:dyDescent="0.25">
      <c r="A66" s="893" t="s">
        <v>5</v>
      </c>
      <c r="B66" s="6"/>
      <c r="C66" s="6"/>
      <c r="D66" s="896"/>
      <c r="E66" s="891">
        <f t="shared" si="4"/>
        <v>0</v>
      </c>
    </row>
    <row r="67" spans="1:5" x14ac:dyDescent="0.25">
      <c r="A67" s="893" t="s">
        <v>7</v>
      </c>
      <c r="B67" s="17">
        <v>1090</v>
      </c>
      <c r="C67" s="6">
        <v>852</v>
      </c>
      <c r="D67" s="896">
        <v>350</v>
      </c>
      <c r="E67" s="898">
        <f t="shared" si="4"/>
        <v>2292</v>
      </c>
    </row>
    <row r="68" spans="1:5" ht="15.75" thickBot="1" x14ac:dyDescent="0.3">
      <c r="A68" s="894" t="s">
        <v>8</v>
      </c>
      <c r="B68" s="888"/>
      <c r="C68" s="888"/>
      <c r="D68" s="897"/>
      <c r="E68" s="889">
        <f t="shared" si="4"/>
        <v>0</v>
      </c>
    </row>
  </sheetData>
  <pageMargins left="0.7" right="0.7" top="0.75" bottom="0.75" header="0.3" footer="0.3"/>
  <pageSetup orientation="landscape" horizontalDpi="1200" verticalDpi="1200" r:id="rId3"/>
  <ignoredErrors>
    <ignoredError sqref="G38" formulaRange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INSWMP Ledger</vt:lpstr>
      <vt:lpstr>Definitions</vt:lpstr>
      <vt:lpstr>Table A-Wetland Adv Credit Bal</vt:lpstr>
      <vt:lpstr>Table B-Stream Adv Credit Bal</vt:lpstr>
      <vt:lpstr>'INSWMP Ledger'!Print_Area</vt:lpstr>
    </vt:vector>
  </TitlesOfParts>
  <Company>Ducks Unlimited,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pwyckoff</dc:creator>
  <cp:lastModifiedBy>Davis, Scott (DNR)</cp:lastModifiedBy>
  <cp:lastPrinted>2022-04-28T12:43:17Z</cp:lastPrinted>
  <dcterms:created xsi:type="dcterms:W3CDTF">2013-03-21T15:30:02Z</dcterms:created>
  <dcterms:modified xsi:type="dcterms:W3CDTF">2026-08-25T13:16:12Z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490d7709165548d29a1e0014cd0df378</vt:lpwstr>
  </property>
  <property fmtid="{D5CDD505-2E9C-101B-9397-08002B2CF9AE}" pid="3" name="_MarkAsFinal">
    <vt:bool>true</vt:bool>
  </property>
</Properties>
</file>