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 tabRatio="603" firstSheet="12" activeTab="14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Credit'!$A$1:$I$31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Funding'!$A$1:$BJ$58</definedName>
    <definedName name="_xlnm.Print_Area" localSheetId="3">'OPERATING Performance Outputs'!$A$1:$AJ$30</definedName>
    <definedName name="_xlnm.Print_Area" localSheetId="4">'OPERATING Performance Per Unit'!$A$1:$K$46</definedName>
    <definedName name="_xlnm.Print_Area" localSheetId="6">'OPERATING Total Funding'!$A$1:$Z$34</definedName>
    <definedName name="_xlnm.Print_Area" localSheetId="1">'OVERALL Summary'!$A$1:$I$22</definedName>
    <definedName name="_xlnm.Print_Area" localSheetId="2">'OVERALL Summary Detail'!$A$1:$I$133,'OVERALL Summary Detail'!$A$1:$I$133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8" l="1"/>
  <c r="I47" i="18"/>
  <c r="D50" i="18"/>
  <c r="E50" i="18"/>
  <c r="H50" i="18"/>
  <c r="I50" i="18"/>
  <c r="I52" i="18"/>
  <c r="I54" i="18"/>
  <c r="B57" i="18"/>
  <c r="I57" i="18" s="1"/>
  <c r="C57" i="18"/>
  <c r="D57" i="18" s="1"/>
  <c r="G57" i="18"/>
  <c r="H57" i="18"/>
  <c r="B61" i="18"/>
  <c r="G61" i="18"/>
  <c r="I67" i="18"/>
  <c r="D69" i="18"/>
  <c r="E69" i="18" s="1"/>
  <c r="H69" i="18"/>
  <c r="I69" i="18"/>
  <c r="D72" i="18"/>
  <c r="E72" i="18"/>
  <c r="H72" i="18"/>
  <c r="I72" i="18"/>
  <c r="D75" i="18"/>
  <c r="E75" i="18"/>
  <c r="H75" i="18"/>
  <c r="I75" i="18"/>
  <c r="I77" i="18"/>
  <c r="I82" i="18"/>
  <c r="I84" i="18"/>
  <c r="I98" i="18"/>
  <c r="D102" i="18"/>
  <c r="E102" i="18" s="1"/>
  <c r="H102" i="18"/>
  <c r="I102" i="18"/>
  <c r="D103" i="18"/>
  <c r="E103" i="18" s="1"/>
  <c r="H103" i="18"/>
  <c r="D104" i="18"/>
  <c r="E104" i="18"/>
  <c r="H104" i="18"/>
  <c r="D105" i="18"/>
  <c r="E105" i="18"/>
  <c r="H105" i="18"/>
  <c r="B107" i="18"/>
  <c r="C107" i="18"/>
  <c r="D107" i="18"/>
  <c r="E107" i="18"/>
  <c r="G107" i="18"/>
  <c r="H107" i="18" s="1"/>
  <c r="I107" i="18" s="1"/>
  <c r="D108" i="18"/>
  <c r="E108" i="18" s="1"/>
  <c r="H108" i="18"/>
  <c r="I108" i="18"/>
  <c r="D109" i="18"/>
  <c r="E109" i="18" s="1"/>
  <c r="H109" i="18"/>
  <c r="I109" i="18"/>
  <c r="D110" i="18"/>
  <c r="E110" i="18" s="1"/>
  <c r="H110" i="18"/>
  <c r="I110" i="18"/>
  <c r="D111" i="18"/>
  <c r="E111" i="18" s="1"/>
  <c r="H111" i="18"/>
  <c r="I111" i="18"/>
  <c r="D112" i="18"/>
  <c r="E112" i="18"/>
  <c r="H112" i="18"/>
  <c r="I112" i="18"/>
  <c r="B114" i="18"/>
  <c r="C114" i="18"/>
  <c r="G114" i="18"/>
  <c r="H114" i="18" s="1"/>
  <c r="D115" i="18"/>
  <c r="E115" i="18"/>
  <c r="H115" i="18"/>
  <c r="I115" i="18" s="1"/>
  <c r="D116" i="18"/>
  <c r="E116" i="18"/>
  <c r="H116" i="18"/>
  <c r="I116" i="18" s="1"/>
  <c r="D117" i="18"/>
  <c r="E117" i="18"/>
  <c r="H117" i="18"/>
  <c r="I117" i="18" s="1"/>
  <c r="D118" i="18"/>
  <c r="E118" i="18"/>
  <c r="H118" i="18"/>
  <c r="I118" i="18" s="1"/>
  <c r="D119" i="18"/>
  <c r="E119" i="18"/>
  <c r="H119" i="18"/>
  <c r="I119" i="18" s="1"/>
  <c r="B121" i="18"/>
  <c r="I121" i="18" s="1"/>
  <c r="C121" i="18"/>
  <c r="D121" i="18" s="1"/>
  <c r="G121" i="18"/>
  <c r="H121" i="18"/>
  <c r="D122" i="18"/>
  <c r="E122" i="18"/>
  <c r="H122" i="18"/>
  <c r="I122" i="18" s="1"/>
  <c r="D123" i="18"/>
  <c r="E123" i="18"/>
  <c r="H123" i="18"/>
  <c r="I123" i="18" s="1"/>
  <c r="D124" i="18"/>
  <c r="E124" i="18"/>
  <c r="H124" i="18"/>
  <c r="I124" i="18" s="1"/>
  <c r="D125" i="18"/>
  <c r="E125" i="18"/>
  <c r="H125" i="18"/>
  <c r="I125" i="18" s="1"/>
  <c r="D126" i="18"/>
  <c r="E126" i="18"/>
  <c r="H126" i="18"/>
  <c r="I126" i="18"/>
  <c r="B128" i="18"/>
  <c r="E128" i="18" s="1"/>
  <c r="C128" i="18"/>
  <c r="D128" i="18"/>
  <c r="G128" i="18"/>
  <c r="H128" i="18"/>
  <c r="I128" i="18"/>
  <c r="D129" i="18"/>
  <c r="E129" i="18"/>
  <c r="H129" i="18"/>
  <c r="I129" i="18"/>
  <c r="D130" i="18"/>
  <c r="E130" i="18"/>
  <c r="H130" i="18"/>
  <c r="I130" i="18"/>
  <c r="D131" i="18"/>
  <c r="E131" i="18"/>
  <c r="H131" i="18"/>
  <c r="I131" i="18"/>
  <c r="D132" i="18"/>
  <c r="E132" i="18"/>
  <c r="H132" i="18"/>
  <c r="I132" i="18"/>
  <c r="I43" i="4"/>
  <c r="AI10" i="3"/>
  <c r="AK10" i="3"/>
  <c r="AM10" i="3"/>
  <c r="AO10" i="3"/>
  <c r="AR10" i="3"/>
  <c r="AT10" i="3"/>
  <c r="AV10" i="3"/>
  <c r="AX10" i="3"/>
  <c r="AZ10" i="3"/>
  <c r="BB10" i="3"/>
  <c r="BE10" i="3"/>
  <c r="BH10" i="3" s="1"/>
  <c r="BG10" i="3"/>
  <c r="AI11" i="3"/>
  <c r="AK11" i="3"/>
  <c r="AM11" i="3"/>
  <c r="AO11" i="3"/>
  <c r="AR11" i="3"/>
  <c r="AT11" i="3"/>
  <c r="AV11" i="3"/>
  <c r="AV17" i="3" s="1"/>
  <c r="AX11" i="3"/>
  <c r="AZ11" i="3"/>
  <c r="BB11" i="3"/>
  <c r="BC11" i="3"/>
  <c r="BE11" i="3"/>
  <c r="BG11" i="3"/>
  <c r="BH11" i="3"/>
  <c r="AM12" i="3"/>
  <c r="AO12" i="3"/>
  <c r="AR12" i="3"/>
  <c r="AT12" i="3"/>
  <c r="AV12" i="3"/>
  <c r="AX12" i="3"/>
  <c r="BC12" i="3" s="1"/>
  <c r="AZ12" i="3"/>
  <c r="BB12" i="3"/>
  <c r="BE12" i="3"/>
  <c r="BH12" i="3" s="1"/>
  <c r="BG12" i="3"/>
  <c r="AI13" i="3"/>
  <c r="AK13" i="3"/>
  <c r="AM13" i="3"/>
  <c r="AO13" i="3"/>
  <c r="AR13" i="3"/>
  <c r="AT13" i="3"/>
  <c r="AV13" i="3"/>
  <c r="AX13" i="3"/>
  <c r="AZ13" i="3"/>
  <c r="BB13" i="3"/>
  <c r="BC13" i="3"/>
  <c r="BE13" i="3"/>
  <c r="BG13" i="3"/>
  <c r="BH13" i="3"/>
  <c r="AM14" i="3"/>
  <c r="AO14" i="3"/>
  <c r="AR14" i="3"/>
  <c r="AT14" i="3"/>
  <c r="AV14" i="3"/>
  <c r="AX14" i="3"/>
  <c r="BC14" i="3" s="1"/>
  <c r="AZ14" i="3"/>
  <c r="BB14" i="3"/>
  <c r="BE14" i="3"/>
  <c r="BH14" i="3" s="1"/>
  <c r="BG14" i="3"/>
  <c r="AE15" i="3"/>
  <c r="AG15" i="3"/>
  <c r="AI15" i="3"/>
  <c r="AK15" i="3"/>
  <c r="AM15" i="3"/>
  <c r="AO15" i="3"/>
  <c r="AR15" i="3"/>
  <c r="AT15" i="3"/>
  <c r="AV15" i="3"/>
  <c r="AX15" i="3"/>
  <c r="AZ15" i="3"/>
  <c r="BB15" i="3"/>
  <c r="BE15" i="3"/>
  <c r="BH15" i="3" s="1"/>
  <c r="BG15" i="3"/>
  <c r="AC16" i="3"/>
  <c r="AE16" i="3"/>
  <c r="AG16" i="3"/>
  <c r="AI16" i="3"/>
  <c r="AK16" i="3"/>
  <c r="AM16" i="3"/>
  <c r="AO16" i="3"/>
  <c r="AR16" i="3"/>
  <c r="AT16" i="3"/>
  <c r="AV16" i="3"/>
  <c r="AX16" i="3"/>
  <c r="AZ16" i="3"/>
  <c r="BB16" i="3"/>
  <c r="BE16" i="3"/>
  <c r="BG16" i="3"/>
  <c r="AD17" i="3"/>
  <c r="AF17" i="3"/>
  <c r="AH17" i="3"/>
  <c r="AJ17" i="3"/>
  <c r="AL17" i="3"/>
  <c r="AM17" i="3"/>
  <c r="AN17" i="3"/>
  <c r="AQ17" i="3"/>
  <c r="AS17" i="3"/>
  <c r="AT17" i="3"/>
  <c r="AU17" i="3"/>
  <c r="AW17" i="3"/>
  <c r="AW29" i="3" s="1"/>
  <c r="AY17" i="3"/>
  <c r="BA17" i="3"/>
  <c r="BB17" i="3"/>
  <c r="BD17" i="3"/>
  <c r="BE17" i="3"/>
  <c r="BF17" i="3"/>
  <c r="AC19" i="3"/>
  <c r="AE19" i="3"/>
  <c r="AG19" i="3"/>
  <c r="AI19" i="3"/>
  <c r="AK19" i="3"/>
  <c r="AM19" i="3"/>
  <c r="AO19" i="3"/>
  <c r="AR19" i="3"/>
  <c r="AT19" i="3"/>
  <c r="AV19" i="3"/>
  <c r="AX19" i="3"/>
  <c r="AZ19" i="3"/>
  <c r="BB19" i="3"/>
  <c r="BC19" i="3"/>
  <c r="BE19" i="3"/>
  <c r="BG19" i="3"/>
  <c r="BH19" i="3"/>
  <c r="AC20" i="3"/>
  <c r="AE20" i="3"/>
  <c r="AG20" i="3"/>
  <c r="AI20" i="3"/>
  <c r="AK20" i="3"/>
  <c r="AM20" i="3"/>
  <c r="AO20" i="3"/>
  <c r="AR20" i="3"/>
  <c r="AT20" i="3"/>
  <c r="AV20" i="3"/>
  <c r="AX20" i="3"/>
  <c r="AZ20" i="3"/>
  <c r="BB20" i="3"/>
  <c r="BC20" i="3"/>
  <c r="BE20" i="3"/>
  <c r="BG20" i="3"/>
  <c r="BH20" i="3"/>
  <c r="AC21" i="3"/>
  <c r="AE21" i="3"/>
  <c r="AG21" i="3"/>
  <c r="AI21" i="3"/>
  <c r="AK21" i="3"/>
  <c r="AM21" i="3"/>
  <c r="AO21" i="3"/>
  <c r="AR21" i="3"/>
  <c r="AT21" i="3"/>
  <c r="AV21" i="3"/>
  <c r="AX21" i="3"/>
  <c r="AZ21" i="3"/>
  <c r="BB21" i="3"/>
  <c r="BC21" i="3"/>
  <c r="BE21" i="3"/>
  <c r="BG21" i="3"/>
  <c r="BH21" i="3"/>
  <c r="AC22" i="3"/>
  <c r="AD22" i="3"/>
  <c r="AE22" i="3"/>
  <c r="AF22" i="3"/>
  <c r="AH22" i="3"/>
  <c r="AI22" i="3"/>
  <c r="AJ22" i="3"/>
  <c r="AK22" i="3"/>
  <c r="AL22" i="3"/>
  <c r="AM22" i="3"/>
  <c r="AM29" i="3" s="1"/>
  <c r="AN22" i="3"/>
  <c r="AQ22" i="3"/>
  <c r="AQ29" i="3" s="1"/>
  <c r="AR22" i="3"/>
  <c r="AS22" i="3"/>
  <c r="AT22" i="3"/>
  <c r="AU22" i="3"/>
  <c r="AU29" i="3" s="1"/>
  <c r="AW22" i="3"/>
  <c r="AX22" i="3"/>
  <c r="AY22" i="3"/>
  <c r="AY29" i="3" s="1"/>
  <c r="AZ22" i="3"/>
  <c r="BA22" i="3"/>
  <c r="BB22" i="3"/>
  <c r="BC22" i="3"/>
  <c r="BD22" i="3"/>
  <c r="BE22" i="3"/>
  <c r="BF22" i="3"/>
  <c r="BG22" i="3"/>
  <c r="BH22" i="3"/>
  <c r="AC24" i="3"/>
  <c r="AE24" i="3"/>
  <c r="AG24" i="3"/>
  <c r="AI24" i="3"/>
  <c r="AK24" i="3"/>
  <c r="AM24" i="3"/>
  <c r="AO24" i="3"/>
  <c r="AR24" i="3"/>
  <c r="AT24" i="3"/>
  <c r="AV24" i="3"/>
  <c r="AX24" i="3"/>
  <c r="AZ24" i="3"/>
  <c r="BB24" i="3"/>
  <c r="BE24" i="3"/>
  <c r="BG24" i="3"/>
  <c r="AC25" i="3"/>
  <c r="AE25" i="3"/>
  <c r="AG25" i="3"/>
  <c r="AI25" i="3"/>
  <c r="AK25" i="3"/>
  <c r="AM25" i="3"/>
  <c r="AO25" i="3"/>
  <c r="AR25" i="3"/>
  <c r="AT25" i="3"/>
  <c r="AV25" i="3"/>
  <c r="AX25" i="3"/>
  <c r="AZ25" i="3"/>
  <c r="BB25" i="3"/>
  <c r="BE25" i="3"/>
  <c r="BG25" i="3"/>
  <c r="AC26" i="3"/>
  <c r="AE26" i="3"/>
  <c r="AG26" i="3"/>
  <c r="AI26" i="3"/>
  <c r="AK26" i="3"/>
  <c r="AM26" i="3"/>
  <c r="AO26" i="3"/>
  <c r="AR26" i="3"/>
  <c r="AT26" i="3"/>
  <c r="AV26" i="3"/>
  <c r="AX26" i="3"/>
  <c r="AZ26" i="3"/>
  <c r="BB26" i="3"/>
  <c r="BE26" i="3"/>
  <c r="BH26" i="3" s="1"/>
  <c r="BG26" i="3"/>
  <c r="AC27" i="3"/>
  <c r="AE27" i="3"/>
  <c r="AG27" i="3"/>
  <c r="AI27" i="3"/>
  <c r="AK27" i="3"/>
  <c r="AM27" i="3"/>
  <c r="AO27" i="3"/>
  <c r="AR27" i="3"/>
  <c r="AT27" i="3"/>
  <c r="AV27" i="3"/>
  <c r="AX27" i="3"/>
  <c r="AZ27" i="3"/>
  <c r="BB27" i="3"/>
  <c r="BE27" i="3"/>
  <c r="BH27" i="3" s="1"/>
  <c r="BG27" i="3"/>
  <c r="AC28" i="3"/>
  <c r="AE28" i="3"/>
  <c r="AG28" i="3"/>
  <c r="AI28" i="3"/>
  <c r="AK28" i="3"/>
  <c r="AM28" i="3"/>
  <c r="AO28" i="3"/>
  <c r="AR28" i="3"/>
  <c r="AT28" i="3"/>
  <c r="AV28" i="3"/>
  <c r="AX28" i="3"/>
  <c r="AZ28" i="3"/>
  <c r="BB28" i="3"/>
  <c r="BE28" i="3"/>
  <c r="BG28" i="3"/>
  <c r="AD29" i="3"/>
  <c r="AF29" i="3"/>
  <c r="AH29" i="3"/>
  <c r="AJ29" i="3"/>
  <c r="AL29" i="3"/>
  <c r="AN29" i="3"/>
  <c r="AS29" i="3"/>
  <c r="AT29" i="3"/>
  <c r="BA29" i="3"/>
  <c r="BB29" i="3"/>
  <c r="BD29" i="3"/>
  <c r="BE29" i="3"/>
  <c r="BF29" i="3"/>
  <c r="AD36" i="3"/>
  <c r="AF36" i="3"/>
  <c r="AH36" i="3"/>
  <c r="AJ36" i="3"/>
  <c r="AL36" i="3"/>
  <c r="AN36" i="3"/>
  <c r="AC38" i="3"/>
  <c r="AE38" i="3"/>
  <c r="AG38" i="3"/>
  <c r="AI38" i="3"/>
  <c r="AK38" i="3"/>
  <c r="AM38" i="3"/>
  <c r="AO38" i="3"/>
  <c r="AR38" i="3"/>
  <c r="AT38" i="3"/>
  <c r="AV38" i="3"/>
  <c r="AX38" i="3"/>
  <c r="AZ38" i="3"/>
  <c r="BB38" i="3"/>
  <c r="BE38" i="3"/>
  <c r="BG38" i="3"/>
  <c r="BG45" i="3" s="1"/>
  <c r="AC39" i="3"/>
  <c r="AE39" i="3"/>
  <c r="AG39" i="3"/>
  <c r="AI39" i="3"/>
  <c r="AK39" i="3"/>
  <c r="AM39" i="3"/>
  <c r="AO39" i="3"/>
  <c r="AR39" i="3"/>
  <c r="AT39" i="3"/>
  <c r="AV39" i="3"/>
  <c r="AX39" i="3"/>
  <c r="AZ39" i="3"/>
  <c r="BB39" i="3"/>
  <c r="BE39" i="3"/>
  <c r="BH39" i="3" s="1"/>
  <c r="BG39" i="3"/>
  <c r="M40" i="3"/>
  <c r="AC40" i="3"/>
  <c r="AE40" i="3"/>
  <c r="AG40" i="3"/>
  <c r="AI40" i="3"/>
  <c r="AI45" i="3" s="1"/>
  <c r="AK40" i="3"/>
  <c r="AM40" i="3"/>
  <c r="AO40" i="3"/>
  <c r="AR40" i="3"/>
  <c r="AT40" i="3"/>
  <c r="AV40" i="3"/>
  <c r="AX40" i="3"/>
  <c r="AZ40" i="3"/>
  <c r="BB40" i="3"/>
  <c r="BE40" i="3"/>
  <c r="BG40" i="3"/>
  <c r="M41" i="3"/>
  <c r="AC41" i="3"/>
  <c r="AE41" i="3"/>
  <c r="AG41" i="3"/>
  <c r="AG45" i="3" s="1"/>
  <c r="AI41" i="3"/>
  <c r="AK41" i="3"/>
  <c r="AM41" i="3"/>
  <c r="AO41" i="3"/>
  <c r="AR41" i="3"/>
  <c r="AT41" i="3"/>
  <c r="AV41" i="3"/>
  <c r="AV45" i="3" s="1"/>
  <c r="AX41" i="3"/>
  <c r="AZ41" i="3"/>
  <c r="BB41" i="3"/>
  <c r="BC41" i="3"/>
  <c r="BE41" i="3"/>
  <c r="BG41" i="3"/>
  <c r="BH41" i="3"/>
  <c r="I42" i="3"/>
  <c r="M42" i="3"/>
  <c r="P42" i="3"/>
  <c r="V42" i="3"/>
  <c r="Y42" i="3"/>
  <c r="AA42" i="3"/>
  <c r="AC42" i="3"/>
  <c r="AE42" i="3"/>
  <c r="AG42" i="3"/>
  <c r="AI42" i="3"/>
  <c r="AK42" i="3"/>
  <c r="AM42" i="3"/>
  <c r="AO42" i="3"/>
  <c r="AP42" i="3"/>
  <c r="AR42" i="3"/>
  <c r="AT42" i="3"/>
  <c r="AV42" i="3"/>
  <c r="AX42" i="3"/>
  <c r="BC42" i="3" s="1"/>
  <c r="AZ42" i="3"/>
  <c r="BB42" i="3"/>
  <c r="BE42" i="3"/>
  <c r="BH42" i="3" s="1"/>
  <c r="BG42" i="3"/>
  <c r="C43" i="3"/>
  <c r="E43" i="3"/>
  <c r="G43" i="3"/>
  <c r="I43" i="3"/>
  <c r="K43" i="3"/>
  <c r="M43" i="3"/>
  <c r="AC43" i="3"/>
  <c r="AE43" i="3"/>
  <c r="AG43" i="3"/>
  <c r="AI43" i="3"/>
  <c r="AK43" i="3"/>
  <c r="AM43" i="3"/>
  <c r="AO43" i="3"/>
  <c r="AR43" i="3"/>
  <c r="BC43" i="3" s="1"/>
  <c r="AT43" i="3"/>
  <c r="AV43" i="3"/>
  <c r="AX43" i="3"/>
  <c r="AZ43" i="3"/>
  <c r="BB43" i="3"/>
  <c r="BE43" i="3"/>
  <c r="BG43" i="3"/>
  <c r="BH43" i="3"/>
  <c r="AC44" i="3"/>
  <c r="AE44" i="3"/>
  <c r="AG44" i="3"/>
  <c r="AI44" i="3"/>
  <c r="AK44" i="3"/>
  <c r="AM44" i="3"/>
  <c r="AO44" i="3"/>
  <c r="AR44" i="3"/>
  <c r="BC44" i="3" s="1"/>
  <c r="AT44" i="3"/>
  <c r="AV44" i="3"/>
  <c r="AX44" i="3"/>
  <c r="AZ44" i="3"/>
  <c r="BB44" i="3"/>
  <c r="BE44" i="3"/>
  <c r="BG44" i="3"/>
  <c r="BH44" i="3"/>
  <c r="F45" i="3"/>
  <c r="X45" i="3"/>
  <c r="Z45" i="3"/>
  <c r="AB45" i="3"/>
  <c r="AD45" i="3"/>
  <c r="AE45" i="3"/>
  <c r="AF45" i="3"/>
  <c r="AH45" i="3"/>
  <c r="AJ45" i="3"/>
  <c r="AL45" i="3"/>
  <c r="AM45" i="3"/>
  <c r="AM57" i="3" s="1"/>
  <c r="AN45" i="3"/>
  <c r="AQ45" i="3"/>
  <c r="AS45" i="3"/>
  <c r="AU45" i="3"/>
  <c r="AU57" i="3" s="1"/>
  <c r="AW45" i="3"/>
  <c r="AY45" i="3"/>
  <c r="BA45" i="3"/>
  <c r="BD45" i="3"/>
  <c r="BF45" i="3"/>
  <c r="I47" i="3"/>
  <c r="I50" i="3" s="1"/>
  <c r="M47" i="3"/>
  <c r="P47" i="3"/>
  <c r="V47" i="3"/>
  <c r="Y47" i="3"/>
  <c r="AA47" i="3"/>
  <c r="AC47" i="3"/>
  <c r="AE47" i="3"/>
  <c r="AE50" i="3" s="1"/>
  <c r="AE57" i="3" s="1"/>
  <c r="AG47" i="3"/>
  <c r="AI47" i="3"/>
  <c r="AK47" i="3"/>
  <c r="AM47" i="3"/>
  <c r="AM50" i="3" s="1"/>
  <c r="AO47" i="3"/>
  <c r="AR47" i="3"/>
  <c r="BC47" i="3" s="1"/>
  <c r="AT47" i="3"/>
  <c r="AV47" i="3"/>
  <c r="AX47" i="3"/>
  <c r="AZ47" i="3"/>
  <c r="BB47" i="3"/>
  <c r="BE47" i="3"/>
  <c r="BG47" i="3"/>
  <c r="BH47" i="3"/>
  <c r="I48" i="3"/>
  <c r="M48" i="3"/>
  <c r="P48" i="3"/>
  <c r="V48" i="3"/>
  <c r="Y48" i="3"/>
  <c r="AA48" i="3"/>
  <c r="AC48" i="3"/>
  <c r="AE48" i="3"/>
  <c r="AG48" i="3"/>
  <c r="AI48" i="3"/>
  <c r="AK48" i="3"/>
  <c r="AM48" i="3"/>
  <c r="AO48" i="3"/>
  <c r="AP48" i="3" s="1"/>
  <c r="AR48" i="3"/>
  <c r="AT48" i="3"/>
  <c r="BC48" i="3" s="1"/>
  <c r="AV48" i="3"/>
  <c r="AX48" i="3"/>
  <c r="AZ48" i="3"/>
  <c r="BB48" i="3"/>
  <c r="BE48" i="3"/>
  <c r="BG48" i="3"/>
  <c r="BH48" i="3"/>
  <c r="I49" i="3"/>
  <c r="M49" i="3"/>
  <c r="P49" i="3"/>
  <c r="V49" i="3"/>
  <c r="Y49" i="3"/>
  <c r="AA49" i="3"/>
  <c r="AA50" i="3" s="1"/>
  <c r="AC49" i="3"/>
  <c r="AE49" i="3"/>
  <c r="AG49" i="3"/>
  <c r="AI49" i="3"/>
  <c r="AI50" i="3" s="1"/>
  <c r="AK49" i="3"/>
  <c r="AM49" i="3"/>
  <c r="AO49" i="3"/>
  <c r="AP49" i="3"/>
  <c r="AR49" i="3"/>
  <c r="AT49" i="3"/>
  <c r="AV49" i="3"/>
  <c r="AX49" i="3"/>
  <c r="AZ49" i="3"/>
  <c r="BB49" i="3"/>
  <c r="BE49" i="3"/>
  <c r="BG49" i="3"/>
  <c r="B50" i="3"/>
  <c r="D50" i="3"/>
  <c r="F50" i="3"/>
  <c r="H50" i="3"/>
  <c r="L50" i="3"/>
  <c r="M50" i="3"/>
  <c r="O50" i="3"/>
  <c r="V50" i="3"/>
  <c r="X50" i="3"/>
  <c r="Z50" i="3"/>
  <c r="AB50" i="3"/>
  <c r="AB57" i="3" s="1"/>
  <c r="AC50" i="3"/>
  <c r="AD50" i="3"/>
  <c r="AF50" i="3"/>
  <c r="AF57" i="3" s="1"/>
  <c r="AG50" i="3"/>
  <c r="AH50" i="3"/>
  <c r="AJ50" i="3"/>
  <c r="AJ57" i="3" s="1"/>
  <c r="AK50" i="3"/>
  <c r="AL50" i="3"/>
  <c r="AN50" i="3"/>
  <c r="AN57" i="3" s="1"/>
  <c r="AO50" i="3"/>
  <c r="AQ50" i="3"/>
  <c r="AR50" i="3"/>
  <c r="AS50" i="3"/>
  <c r="AT50" i="3"/>
  <c r="AU50" i="3"/>
  <c r="AV50" i="3"/>
  <c r="AW50" i="3"/>
  <c r="AY50" i="3"/>
  <c r="AZ50" i="3"/>
  <c r="BA50" i="3"/>
  <c r="BB50" i="3"/>
  <c r="BD50" i="3"/>
  <c r="BD57" i="3" s="1"/>
  <c r="BF50" i="3"/>
  <c r="BG50" i="3"/>
  <c r="I52" i="3"/>
  <c r="M52" i="3"/>
  <c r="P52" i="3"/>
  <c r="V52" i="3"/>
  <c r="Y52" i="3"/>
  <c r="AA52" i="3"/>
  <c r="AC52" i="3"/>
  <c r="AE52" i="3"/>
  <c r="AG52" i="3"/>
  <c r="AI52" i="3"/>
  <c r="AK52" i="3"/>
  <c r="AM52" i="3"/>
  <c r="AO52" i="3"/>
  <c r="AP52" i="3" s="1"/>
  <c r="AR52" i="3"/>
  <c r="AT52" i="3"/>
  <c r="AV52" i="3"/>
  <c r="AX52" i="3"/>
  <c r="AZ52" i="3"/>
  <c r="BB52" i="3"/>
  <c r="BC52" i="3"/>
  <c r="BE52" i="3"/>
  <c r="BH52" i="3" s="1"/>
  <c r="BG52" i="3"/>
  <c r="I53" i="3"/>
  <c r="M53" i="3"/>
  <c r="P53" i="3"/>
  <c r="V53" i="3"/>
  <c r="Y53" i="3"/>
  <c r="AA53" i="3"/>
  <c r="AC53" i="3"/>
  <c r="AE53" i="3"/>
  <c r="AG53" i="3"/>
  <c r="AI53" i="3"/>
  <c r="AK53" i="3"/>
  <c r="AM53" i="3"/>
  <c r="AO53" i="3"/>
  <c r="AP53" i="3"/>
  <c r="AR53" i="3"/>
  <c r="BC53" i="3" s="1"/>
  <c r="AT53" i="3"/>
  <c r="AV53" i="3"/>
  <c r="AX53" i="3"/>
  <c r="AZ53" i="3"/>
  <c r="BB53" i="3"/>
  <c r="BE53" i="3"/>
  <c r="BH53" i="3" s="1"/>
  <c r="BG53" i="3"/>
  <c r="I54" i="3"/>
  <c r="M54" i="3"/>
  <c r="P54" i="3"/>
  <c r="V54" i="3"/>
  <c r="Y54" i="3"/>
  <c r="AA54" i="3"/>
  <c r="AC54" i="3"/>
  <c r="AE54" i="3"/>
  <c r="AG54" i="3"/>
  <c r="AI54" i="3"/>
  <c r="AK54" i="3"/>
  <c r="AM54" i="3"/>
  <c r="AP54" i="3" s="1"/>
  <c r="AO54" i="3"/>
  <c r="AR54" i="3"/>
  <c r="AT54" i="3"/>
  <c r="AV54" i="3"/>
  <c r="AX54" i="3"/>
  <c r="AZ54" i="3"/>
  <c r="BB54" i="3"/>
  <c r="BE54" i="3"/>
  <c r="BG54" i="3"/>
  <c r="BH54" i="3" s="1"/>
  <c r="I55" i="3"/>
  <c r="M55" i="3"/>
  <c r="P55" i="3"/>
  <c r="V55" i="3"/>
  <c r="Y55" i="3"/>
  <c r="AA55" i="3"/>
  <c r="AC55" i="3"/>
  <c r="AE55" i="3"/>
  <c r="AG55" i="3"/>
  <c r="AI55" i="3"/>
  <c r="AK55" i="3"/>
  <c r="AM55" i="3"/>
  <c r="AO55" i="3"/>
  <c r="AP55" i="3" s="1"/>
  <c r="AR55" i="3"/>
  <c r="AT55" i="3"/>
  <c r="AV55" i="3"/>
  <c r="AX55" i="3"/>
  <c r="AZ55" i="3"/>
  <c r="BB55" i="3"/>
  <c r="BE55" i="3"/>
  <c r="BG55" i="3"/>
  <c r="BH55" i="3"/>
  <c r="I56" i="3"/>
  <c r="M56" i="3"/>
  <c r="P56" i="3"/>
  <c r="V56" i="3"/>
  <c r="Y56" i="3"/>
  <c r="AA56" i="3"/>
  <c r="AC56" i="3"/>
  <c r="AE56" i="3"/>
  <c r="AG56" i="3"/>
  <c r="AI56" i="3"/>
  <c r="AK56" i="3"/>
  <c r="AM56" i="3"/>
  <c r="AO56" i="3"/>
  <c r="AP56" i="3" s="1"/>
  <c r="AR56" i="3"/>
  <c r="AT56" i="3"/>
  <c r="AV56" i="3"/>
  <c r="AX56" i="3"/>
  <c r="AZ56" i="3"/>
  <c r="BB56" i="3"/>
  <c r="BC56" i="3"/>
  <c r="BE56" i="3"/>
  <c r="BH56" i="3" s="1"/>
  <c r="BG56" i="3"/>
  <c r="D57" i="3"/>
  <c r="F57" i="3"/>
  <c r="X57" i="3"/>
  <c r="Z57" i="3"/>
  <c r="AD57" i="3"/>
  <c r="AH57" i="3"/>
  <c r="AL57" i="3"/>
  <c r="AQ57" i="3"/>
  <c r="AS57" i="3"/>
  <c r="AW57" i="3"/>
  <c r="AY57" i="3"/>
  <c r="BA57" i="3"/>
  <c r="BF57" i="3"/>
  <c r="M24" i="6"/>
  <c r="M24" i="7"/>
  <c r="M30" i="7"/>
  <c r="M35" i="7"/>
  <c r="F40" i="7"/>
  <c r="M40" i="7"/>
  <c r="I16" i="8"/>
  <c r="I23" i="8"/>
  <c r="I24" i="8"/>
  <c r="M24" i="8"/>
  <c r="I25" i="8"/>
  <c r="M25" i="8"/>
  <c r="I28" i="8"/>
  <c r="M28" i="8"/>
  <c r="I29" i="8"/>
  <c r="M29" i="8"/>
  <c r="I30" i="8"/>
  <c r="M30" i="8"/>
  <c r="I31" i="8"/>
  <c r="M31" i="8"/>
  <c r="I32" i="8"/>
  <c r="M32" i="8"/>
  <c r="AD12" i="9"/>
  <c r="AD15" i="9"/>
  <c r="AE15" i="9"/>
  <c r="AF15" i="9"/>
  <c r="AG15" i="9"/>
  <c r="I16" i="9"/>
  <c r="W16" i="9"/>
  <c r="Y16" i="9"/>
  <c r="AA16" i="9"/>
  <c r="AC16" i="9"/>
  <c r="AD16" i="9"/>
  <c r="AF16" i="9"/>
  <c r="W17" i="9"/>
  <c r="Y17" i="9"/>
  <c r="AA17" i="9"/>
  <c r="AC17" i="9"/>
  <c r="AD17" i="9"/>
  <c r="AF17" i="9"/>
  <c r="W18" i="9"/>
  <c r="Y18" i="9"/>
  <c r="AA18" i="9"/>
  <c r="AC18" i="9"/>
  <c r="AD18" i="9"/>
  <c r="AE18" i="9"/>
  <c r="AF18" i="9"/>
  <c r="W19" i="9"/>
  <c r="Y19" i="9"/>
  <c r="AA19" i="9"/>
  <c r="AC19" i="9"/>
  <c r="AD19" i="9"/>
  <c r="AF19" i="9"/>
  <c r="W20" i="9"/>
  <c r="Y20" i="9"/>
  <c r="AA20" i="9"/>
  <c r="AC20" i="9"/>
  <c r="AD20" i="9"/>
  <c r="AF20" i="9"/>
  <c r="E21" i="9"/>
  <c r="G21" i="9"/>
  <c r="O21" i="9"/>
  <c r="W21" i="9"/>
  <c r="Y21" i="9"/>
  <c r="AA21" i="9"/>
  <c r="AC21" i="9"/>
  <c r="AD21" i="9"/>
  <c r="AF21" i="9"/>
  <c r="W22" i="9"/>
  <c r="Y22" i="9"/>
  <c r="AA22" i="9"/>
  <c r="AC22" i="9"/>
  <c r="AD22" i="9"/>
  <c r="AF22" i="9"/>
  <c r="I23" i="9"/>
  <c r="W23" i="9"/>
  <c r="Y23" i="9"/>
  <c r="AA23" i="9"/>
  <c r="AC23" i="9"/>
  <c r="AD23" i="9"/>
  <c r="AF23" i="9"/>
  <c r="I24" i="9"/>
  <c r="M24" i="9"/>
  <c r="W24" i="9"/>
  <c r="Y24" i="9"/>
  <c r="AA24" i="9"/>
  <c r="AC24" i="9"/>
  <c r="AD24" i="9"/>
  <c r="AF24" i="9"/>
  <c r="I25" i="9"/>
  <c r="M25" i="9"/>
  <c r="W25" i="9"/>
  <c r="Y25" i="9"/>
  <c r="AA25" i="9"/>
  <c r="AC25" i="9"/>
  <c r="AD25" i="9"/>
  <c r="AF25" i="9"/>
  <c r="I26" i="9"/>
  <c r="M26" i="9"/>
  <c r="W26" i="9"/>
  <c r="Y26" i="9"/>
  <c r="AA26" i="9"/>
  <c r="AC26" i="9"/>
  <c r="AD26" i="9"/>
  <c r="AF26" i="9"/>
  <c r="I27" i="9"/>
  <c r="M27" i="9"/>
  <c r="W27" i="9"/>
  <c r="Y27" i="9"/>
  <c r="AA27" i="9"/>
  <c r="AC27" i="9"/>
  <c r="AD27" i="9"/>
  <c r="AF27" i="9"/>
  <c r="I28" i="9"/>
  <c r="M28" i="9"/>
  <c r="W28" i="9"/>
  <c r="Y28" i="9"/>
  <c r="AA28" i="9"/>
  <c r="AC28" i="9"/>
  <c r="AD28" i="9"/>
  <c r="AF28" i="9"/>
  <c r="I29" i="9"/>
  <c r="M29" i="9"/>
  <c r="W29" i="9"/>
  <c r="Y29" i="9"/>
  <c r="AA29" i="9"/>
  <c r="AC29" i="9"/>
  <c r="AD29" i="9"/>
  <c r="AF29" i="9"/>
  <c r="I30" i="9"/>
  <c r="M30" i="9"/>
  <c r="W30" i="9"/>
  <c r="Y30" i="9"/>
  <c r="AA30" i="9"/>
  <c r="AC30" i="9"/>
  <c r="AD30" i="9"/>
  <c r="AF30" i="9"/>
  <c r="I31" i="9"/>
  <c r="M31" i="9"/>
  <c r="W31" i="9"/>
  <c r="Y31" i="9"/>
  <c r="AA31" i="9"/>
  <c r="AC31" i="9"/>
  <c r="AD31" i="9"/>
  <c r="AF31" i="9"/>
  <c r="I32" i="9"/>
  <c r="M32" i="9"/>
  <c r="W32" i="9"/>
  <c r="Y32" i="9"/>
  <c r="AA32" i="9"/>
  <c r="AC32" i="9"/>
  <c r="AD32" i="9"/>
  <c r="AF32" i="9"/>
  <c r="I33" i="9"/>
  <c r="M33" i="9"/>
  <c r="W33" i="9"/>
  <c r="Y33" i="9"/>
  <c r="AA33" i="9"/>
  <c r="AC33" i="9"/>
  <c r="AD33" i="9"/>
  <c r="AF33" i="9"/>
  <c r="I34" i="9"/>
  <c r="M34" i="9"/>
  <c r="W34" i="9"/>
  <c r="Y34" i="9"/>
  <c r="AA34" i="9"/>
  <c r="AC34" i="9"/>
  <c r="AD34" i="9"/>
  <c r="AF34" i="9"/>
  <c r="I35" i="9"/>
  <c r="M35" i="9"/>
  <c r="W35" i="9"/>
  <c r="Y35" i="9"/>
  <c r="AA35" i="9"/>
  <c r="AC35" i="9"/>
  <c r="AD35" i="9"/>
  <c r="AF35" i="9"/>
  <c r="I36" i="9"/>
  <c r="M36" i="9"/>
  <c r="W36" i="9"/>
  <c r="Y36" i="9"/>
  <c r="AA36" i="9"/>
  <c r="AC36" i="9"/>
  <c r="AD36" i="9"/>
  <c r="AF36" i="9"/>
  <c r="P10" i="12"/>
  <c r="P11" i="12"/>
  <c r="P12" i="12"/>
  <c r="P13" i="12"/>
  <c r="P14" i="12"/>
  <c r="P15" i="12"/>
  <c r="I16" i="12"/>
  <c r="P16" i="12"/>
  <c r="P17" i="12"/>
  <c r="P18" i="12"/>
  <c r="P19" i="12"/>
  <c r="P20" i="12"/>
  <c r="E21" i="12"/>
  <c r="G21" i="12"/>
  <c r="L21" i="12"/>
  <c r="O21" i="12"/>
  <c r="I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F30" i="12"/>
  <c r="I30" i="12"/>
  <c r="M30" i="12"/>
  <c r="P30" i="12"/>
  <c r="F31" i="12"/>
  <c r="I31" i="12"/>
  <c r="M31" i="12"/>
  <c r="P31" i="12"/>
  <c r="F32" i="12"/>
  <c r="I32" i="12"/>
  <c r="M32" i="12"/>
  <c r="P32" i="12"/>
  <c r="F33" i="12"/>
  <c r="I33" i="12"/>
  <c r="M33" i="12"/>
  <c r="P33" i="12"/>
  <c r="F34" i="12"/>
  <c r="I34" i="12"/>
  <c r="M34" i="12"/>
  <c r="P34" i="12"/>
  <c r="F35" i="12"/>
  <c r="I35" i="12"/>
  <c r="M35" i="12"/>
  <c r="P35" i="12"/>
  <c r="F36" i="12"/>
  <c r="I36" i="12"/>
  <c r="M36" i="12"/>
  <c r="P36" i="12"/>
  <c r="F37" i="12"/>
  <c r="I37" i="12"/>
  <c r="M37" i="12"/>
  <c r="P37" i="12"/>
  <c r="B38" i="12"/>
  <c r="C38" i="12"/>
  <c r="I38" i="12" s="1"/>
  <c r="D38" i="12"/>
  <c r="E38" i="12"/>
  <c r="F38" i="12"/>
  <c r="G38" i="12"/>
  <c r="H38" i="12"/>
  <c r="K38" i="12"/>
  <c r="L38" i="12"/>
  <c r="N38" i="12"/>
  <c r="O38" i="12"/>
  <c r="P38" i="12"/>
  <c r="F40" i="12"/>
  <c r="I40" i="12"/>
  <c r="M40" i="12"/>
  <c r="P40" i="12"/>
  <c r="F41" i="12"/>
  <c r="I41" i="12"/>
  <c r="M41" i="12"/>
  <c r="P41" i="12"/>
  <c r="F42" i="12"/>
  <c r="I42" i="12"/>
  <c r="M42" i="12"/>
  <c r="P42" i="12"/>
  <c r="B43" i="12"/>
  <c r="M43" i="12" s="1"/>
  <c r="C43" i="12"/>
  <c r="D43" i="12"/>
  <c r="E43" i="12"/>
  <c r="G43" i="12"/>
  <c r="H43" i="12"/>
  <c r="I43" i="12"/>
  <c r="K43" i="12"/>
  <c r="L43" i="12"/>
  <c r="N43" i="12"/>
  <c r="O43" i="12"/>
  <c r="P43" i="12"/>
  <c r="F45" i="12"/>
  <c r="I45" i="12"/>
  <c r="M45" i="12"/>
  <c r="P45" i="12"/>
  <c r="F46" i="12"/>
  <c r="I46" i="12"/>
  <c r="M46" i="12"/>
  <c r="P46" i="12"/>
  <c r="F47" i="12"/>
  <c r="I47" i="12"/>
  <c r="M47" i="12"/>
  <c r="P47" i="12"/>
  <c r="F48" i="12"/>
  <c r="I48" i="12"/>
  <c r="M48" i="12"/>
  <c r="P48" i="12"/>
  <c r="F49" i="12"/>
  <c r="I49" i="12"/>
  <c r="M49" i="12"/>
  <c r="P49" i="12"/>
  <c r="B50" i="12"/>
  <c r="C50" i="12"/>
  <c r="I50" i="12" s="1"/>
  <c r="D50" i="12"/>
  <c r="E50" i="12"/>
  <c r="F50" i="12"/>
  <c r="G50" i="12"/>
  <c r="H50" i="12"/>
  <c r="K50" i="12"/>
  <c r="L50" i="12"/>
  <c r="M50" i="12" s="1"/>
  <c r="N50" i="12"/>
  <c r="O50" i="12"/>
  <c r="P50" i="12"/>
  <c r="F52" i="12"/>
  <c r="I52" i="12"/>
  <c r="M52" i="12"/>
  <c r="P52" i="12"/>
  <c r="F53" i="12"/>
  <c r="I53" i="12"/>
  <c r="M53" i="12"/>
  <c r="P53" i="12"/>
  <c r="F54" i="12"/>
  <c r="I54" i="12"/>
  <c r="M54" i="12"/>
  <c r="P54" i="12"/>
  <c r="F55" i="12"/>
  <c r="I55" i="12"/>
  <c r="M55" i="12"/>
  <c r="P55" i="12"/>
  <c r="F56" i="12"/>
  <c r="I56" i="12"/>
  <c r="M56" i="12"/>
  <c r="P56" i="12"/>
  <c r="B57" i="12"/>
  <c r="M57" i="12" s="1"/>
  <c r="C57" i="12"/>
  <c r="D57" i="12"/>
  <c r="E57" i="12"/>
  <c r="F57" i="12" s="1"/>
  <c r="G57" i="12"/>
  <c r="H57" i="12"/>
  <c r="I57" i="12"/>
  <c r="K57" i="12"/>
  <c r="L57" i="12"/>
  <c r="N57" i="12"/>
  <c r="O57" i="12"/>
  <c r="P57" i="12"/>
  <c r="F59" i="12"/>
  <c r="I59" i="12"/>
  <c r="M59" i="12"/>
  <c r="P59" i="12"/>
  <c r="F60" i="12"/>
  <c r="I60" i="12"/>
  <c r="M60" i="12"/>
  <c r="P60" i="12"/>
  <c r="B61" i="12"/>
  <c r="C61" i="12"/>
  <c r="I61" i="12" s="1"/>
  <c r="D61" i="12"/>
  <c r="E61" i="12"/>
  <c r="F61" i="12"/>
  <c r="G61" i="12"/>
  <c r="H61" i="12"/>
  <c r="K61" i="12"/>
  <c r="L61" i="12"/>
  <c r="M61" i="12" s="1"/>
  <c r="N61" i="12"/>
  <c r="O61" i="12"/>
  <c r="P61" i="12"/>
  <c r="F63" i="12"/>
  <c r="I63" i="12"/>
  <c r="M63" i="12"/>
  <c r="P63" i="12"/>
  <c r="F64" i="12"/>
  <c r="I64" i="12"/>
  <c r="M64" i="12"/>
  <c r="P64" i="12"/>
  <c r="F65" i="12"/>
  <c r="I65" i="12"/>
  <c r="M65" i="12"/>
  <c r="P65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B69" i="12"/>
  <c r="M69" i="12" s="1"/>
  <c r="C69" i="12"/>
  <c r="D69" i="12"/>
  <c r="E69" i="12"/>
  <c r="F69" i="12" s="1"/>
  <c r="G69" i="12"/>
  <c r="H69" i="12"/>
  <c r="I69" i="12"/>
  <c r="K69" i="12"/>
  <c r="L69" i="12"/>
  <c r="N69" i="12"/>
  <c r="O69" i="12"/>
  <c r="P69" i="12" s="1"/>
  <c r="F71" i="12"/>
  <c r="I71" i="12"/>
  <c r="M71" i="12"/>
  <c r="P71" i="12"/>
  <c r="B72" i="12"/>
  <c r="C72" i="12"/>
  <c r="D72" i="12"/>
  <c r="E72" i="12"/>
  <c r="F72" i="12"/>
  <c r="G72" i="12"/>
  <c r="G104" i="12" s="1"/>
  <c r="H72" i="12"/>
  <c r="K72" i="12"/>
  <c r="L72" i="12"/>
  <c r="N72" i="12"/>
  <c r="O72" i="12"/>
  <c r="P72" i="12"/>
  <c r="F74" i="12"/>
  <c r="I74" i="12"/>
  <c r="M74" i="12"/>
  <c r="P74" i="12"/>
  <c r="B75" i="12"/>
  <c r="M75" i="12" s="1"/>
  <c r="C75" i="12"/>
  <c r="D75" i="12"/>
  <c r="E75" i="12"/>
  <c r="F75" i="12"/>
  <c r="G75" i="12"/>
  <c r="H75" i="12"/>
  <c r="I75" i="12"/>
  <c r="K75" i="12"/>
  <c r="L75" i="12"/>
  <c r="N75" i="12"/>
  <c r="O75" i="12"/>
  <c r="P75" i="12" s="1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F91" i="12"/>
  <c r="I91" i="12"/>
  <c r="M91" i="12"/>
  <c r="P91" i="12"/>
  <c r="B92" i="12"/>
  <c r="C92" i="12"/>
  <c r="I92" i="12" s="1"/>
  <c r="D92" i="12"/>
  <c r="D104" i="12" s="1"/>
  <c r="E92" i="12"/>
  <c r="F92" i="12"/>
  <c r="G92" i="12"/>
  <c r="H92" i="12"/>
  <c r="H104" i="12" s="1"/>
  <c r="K92" i="12"/>
  <c r="L92" i="12"/>
  <c r="M92" i="12" s="1"/>
  <c r="N92" i="12"/>
  <c r="O92" i="12"/>
  <c r="P92" i="12"/>
  <c r="F94" i="12"/>
  <c r="I94" i="12"/>
  <c r="M94" i="12"/>
  <c r="P94" i="12"/>
  <c r="F95" i="12"/>
  <c r="I95" i="12"/>
  <c r="M95" i="12"/>
  <c r="P95" i="12"/>
  <c r="F96" i="12"/>
  <c r="I96" i="12"/>
  <c r="M96" i="12"/>
  <c r="P96" i="12"/>
  <c r="F97" i="12"/>
  <c r="I97" i="12"/>
  <c r="M97" i="12"/>
  <c r="P97" i="12"/>
  <c r="F98" i="12"/>
  <c r="I98" i="12"/>
  <c r="M98" i="12"/>
  <c r="P98" i="12"/>
  <c r="F99" i="12"/>
  <c r="I99" i="12"/>
  <c r="M99" i="12"/>
  <c r="P99" i="12"/>
  <c r="F100" i="12"/>
  <c r="I100" i="12"/>
  <c r="M100" i="12"/>
  <c r="P100" i="12"/>
  <c r="F101" i="12"/>
  <c r="I101" i="12"/>
  <c r="M101" i="12"/>
  <c r="P101" i="12"/>
  <c r="B102" i="12"/>
  <c r="M102" i="12" s="1"/>
  <c r="C102" i="12"/>
  <c r="D102" i="12"/>
  <c r="E102" i="12"/>
  <c r="F102" i="12" s="1"/>
  <c r="G102" i="12"/>
  <c r="H102" i="12"/>
  <c r="I102" i="12"/>
  <c r="K102" i="12"/>
  <c r="K104" i="12" s="1"/>
  <c r="L102" i="12"/>
  <c r="N102" i="12"/>
  <c r="O102" i="12"/>
  <c r="P102" i="12" s="1"/>
  <c r="D103" i="12"/>
  <c r="D105" i="12" s="1"/>
  <c r="O103" i="12"/>
  <c r="B104" i="12"/>
  <c r="N104" i="12"/>
  <c r="G9" i="13"/>
  <c r="G10" i="13"/>
  <c r="G11" i="13"/>
  <c r="G12" i="13"/>
  <c r="E13" i="13"/>
  <c r="G13" i="13"/>
  <c r="G14" i="13"/>
  <c r="G15" i="13"/>
  <c r="B16" i="13"/>
  <c r="C16" i="13"/>
  <c r="E18" i="13"/>
  <c r="G18" i="13"/>
  <c r="G19" i="13"/>
  <c r="E20" i="13"/>
  <c r="G20" i="13"/>
  <c r="G23" i="13"/>
  <c r="H23" i="13" s="1"/>
  <c r="G24" i="13"/>
  <c r="H24" i="13"/>
  <c r="E25" i="13"/>
  <c r="G25" i="13"/>
  <c r="H25" i="13" s="1"/>
  <c r="G26" i="13"/>
  <c r="H26" i="13"/>
  <c r="G27" i="13"/>
  <c r="H27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E16" i="14" s="1"/>
  <c r="C16" i="14"/>
  <c r="D16" i="14"/>
  <c r="F16" i="14"/>
  <c r="F23" i="14" s="1"/>
  <c r="I16" i="14"/>
  <c r="K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K23" i="14"/>
  <c r="E9" i="15"/>
  <c r="F9" i="15"/>
  <c r="G9" i="15"/>
  <c r="E10" i="15"/>
  <c r="F10" i="15"/>
  <c r="G10" i="15"/>
  <c r="K10" i="15" s="1"/>
  <c r="L10" i="15" s="1"/>
  <c r="H10" i="15"/>
  <c r="I10" i="15" s="1"/>
  <c r="E11" i="15"/>
  <c r="G11" i="15" s="1"/>
  <c r="F11" i="15"/>
  <c r="E12" i="15"/>
  <c r="F12" i="15"/>
  <c r="F16" i="15" s="1"/>
  <c r="E13" i="15"/>
  <c r="F13" i="15"/>
  <c r="G13" i="15"/>
  <c r="E14" i="15"/>
  <c r="F14" i="15"/>
  <c r="G14" i="15"/>
  <c r="K14" i="15" s="1"/>
  <c r="L14" i="15" s="1"/>
  <c r="H14" i="15"/>
  <c r="I14" i="15" s="1"/>
  <c r="E15" i="15"/>
  <c r="G15" i="15" s="1"/>
  <c r="F15" i="15"/>
  <c r="B16" i="15"/>
  <c r="C16" i="15"/>
  <c r="D16" i="15"/>
  <c r="E18" i="15"/>
  <c r="F18" i="15"/>
  <c r="G18" i="15"/>
  <c r="K18" i="15" s="1"/>
  <c r="H18" i="15"/>
  <c r="I18" i="15" s="1"/>
  <c r="E19" i="15"/>
  <c r="F19" i="15"/>
  <c r="E20" i="15"/>
  <c r="F20" i="15"/>
  <c r="B21" i="15"/>
  <c r="C21" i="15"/>
  <c r="D21" i="15"/>
  <c r="D28" i="15" s="1"/>
  <c r="E23" i="15"/>
  <c r="G23" i="15" s="1"/>
  <c r="F23" i="15"/>
  <c r="E24" i="15"/>
  <c r="F24" i="15"/>
  <c r="E25" i="15"/>
  <c r="F25" i="15"/>
  <c r="G25" i="15"/>
  <c r="E26" i="15"/>
  <c r="F26" i="15"/>
  <c r="G26" i="15"/>
  <c r="K26" i="15" s="1"/>
  <c r="L26" i="15" s="1"/>
  <c r="H26" i="15"/>
  <c r="I26" i="15" s="1"/>
  <c r="E27" i="15"/>
  <c r="G27" i="15" s="1"/>
  <c r="F27" i="15"/>
  <c r="B28" i="15"/>
  <c r="C28" i="15"/>
  <c r="B23" i="14"/>
  <c r="K22" i="14"/>
  <c r="I22" i="14"/>
  <c r="F22" i="14"/>
  <c r="D22" i="14"/>
  <c r="E22" i="14" s="1"/>
  <c r="C22" i="14"/>
  <c r="L22" i="14" s="1"/>
  <c r="B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D27" i="13"/>
  <c r="E27" i="13" s="1"/>
  <c r="D26" i="13"/>
  <c r="E26" i="13" s="1"/>
  <c r="D25" i="13"/>
  <c r="D24" i="13"/>
  <c r="E24" i="13" s="1"/>
  <c r="D23" i="13"/>
  <c r="E23" i="13" s="1"/>
  <c r="C21" i="13"/>
  <c r="C28" i="13" s="1"/>
  <c r="B21" i="13"/>
  <c r="H20" i="13"/>
  <c r="D20" i="13"/>
  <c r="H19" i="13"/>
  <c r="D19" i="13"/>
  <c r="E19" i="13" s="1"/>
  <c r="H18" i="13"/>
  <c r="D18" i="13"/>
  <c r="H15" i="13"/>
  <c r="D15" i="13"/>
  <c r="E15" i="13" s="1"/>
  <c r="H14" i="13"/>
  <c r="D14" i="13"/>
  <c r="E14" i="13" s="1"/>
  <c r="H13" i="13"/>
  <c r="D13" i="13"/>
  <c r="H12" i="13"/>
  <c r="D12" i="13"/>
  <c r="E12" i="13" s="1"/>
  <c r="H11" i="13"/>
  <c r="D11" i="13"/>
  <c r="E11" i="13" s="1"/>
  <c r="D10" i="13"/>
  <c r="E10" i="13" s="1"/>
  <c r="H9" i="13"/>
  <c r="D9" i="13"/>
  <c r="E9" i="13" s="1"/>
  <c r="F28" i="12"/>
  <c r="F27" i="12"/>
  <c r="F26" i="12"/>
  <c r="F25" i="12"/>
  <c r="F24" i="12"/>
  <c r="M23" i="12"/>
  <c r="F23" i="12"/>
  <c r="N21" i="12"/>
  <c r="N103" i="12" s="1"/>
  <c r="K21" i="12"/>
  <c r="K103" i="12" s="1"/>
  <c r="K105" i="12" s="1"/>
  <c r="H21" i="12"/>
  <c r="H103" i="12" s="1"/>
  <c r="H105" i="12" s="1"/>
  <c r="D21" i="12"/>
  <c r="C21" i="12"/>
  <c r="B21" i="12"/>
  <c r="B103" i="12" s="1"/>
  <c r="M20" i="12"/>
  <c r="I20" i="12"/>
  <c r="F20" i="12"/>
  <c r="M19" i="12"/>
  <c r="I19" i="12"/>
  <c r="F19" i="12"/>
  <c r="M18" i="12"/>
  <c r="I18" i="12"/>
  <c r="F18" i="12"/>
  <c r="M17" i="12"/>
  <c r="I17" i="12"/>
  <c r="F17" i="12"/>
  <c r="M16" i="12"/>
  <c r="F16" i="12"/>
  <c r="M15" i="12"/>
  <c r="I15" i="12"/>
  <c r="F15" i="12"/>
  <c r="M14" i="12"/>
  <c r="I14" i="12"/>
  <c r="F14" i="12"/>
  <c r="M13" i="12"/>
  <c r="I13" i="12"/>
  <c r="F13" i="12"/>
  <c r="M12" i="12"/>
  <c r="I12" i="12"/>
  <c r="F12" i="12"/>
  <c r="M11" i="12"/>
  <c r="I11" i="12"/>
  <c r="F11" i="12"/>
  <c r="M10" i="12"/>
  <c r="I10" i="12"/>
  <c r="F10" i="12"/>
  <c r="U36" i="9"/>
  <c r="S36" i="9"/>
  <c r="Q36" i="9"/>
  <c r="O36" i="9"/>
  <c r="K36" i="9"/>
  <c r="G36" i="9"/>
  <c r="E36" i="9"/>
  <c r="AG36" i="9" s="1"/>
  <c r="C36" i="9"/>
  <c r="U35" i="9"/>
  <c r="S35" i="9"/>
  <c r="Q35" i="9"/>
  <c r="O35" i="9"/>
  <c r="K35" i="9"/>
  <c r="G35" i="9"/>
  <c r="E35" i="9"/>
  <c r="AG35" i="9" s="1"/>
  <c r="C35" i="9"/>
  <c r="AE35" i="9" s="1"/>
  <c r="U34" i="9"/>
  <c r="S34" i="9"/>
  <c r="Q34" i="9"/>
  <c r="O34" i="9"/>
  <c r="K34" i="9"/>
  <c r="G34" i="9"/>
  <c r="E34" i="9"/>
  <c r="AG34" i="9" s="1"/>
  <c r="C34" i="9"/>
  <c r="U33" i="9"/>
  <c r="S33" i="9"/>
  <c r="Q33" i="9"/>
  <c r="O33" i="9"/>
  <c r="K33" i="9"/>
  <c r="G33" i="9"/>
  <c r="E33" i="9"/>
  <c r="AG33" i="9" s="1"/>
  <c r="C33" i="9"/>
  <c r="AE33" i="9" s="1"/>
  <c r="U32" i="9"/>
  <c r="S32" i="9"/>
  <c r="Q32" i="9"/>
  <c r="O32" i="9"/>
  <c r="K32" i="9"/>
  <c r="G32" i="9"/>
  <c r="E32" i="9"/>
  <c r="AG32" i="9" s="1"/>
  <c r="C32" i="9"/>
  <c r="U31" i="9"/>
  <c r="S31" i="9"/>
  <c r="Q31" i="9"/>
  <c r="O31" i="9"/>
  <c r="K31" i="9"/>
  <c r="G31" i="9"/>
  <c r="E31" i="9"/>
  <c r="AG31" i="9" s="1"/>
  <c r="C31" i="9"/>
  <c r="AE31" i="9" s="1"/>
  <c r="U30" i="9"/>
  <c r="S30" i="9"/>
  <c r="Q30" i="9"/>
  <c r="O30" i="9"/>
  <c r="K30" i="9"/>
  <c r="G30" i="9"/>
  <c r="E30" i="9"/>
  <c r="AG30" i="9" s="1"/>
  <c r="C30" i="9"/>
  <c r="U29" i="9"/>
  <c r="S29" i="9"/>
  <c r="Q29" i="9"/>
  <c r="O29" i="9"/>
  <c r="K29" i="9"/>
  <c r="G29" i="9"/>
  <c r="E29" i="9"/>
  <c r="AG29" i="9" s="1"/>
  <c r="C29" i="9"/>
  <c r="AE29" i="9" s="1"/>
  <c r="U28" i="9"/>
  <c r="S28" i="9"/>
  <c r="Q28" i="9"/>
  <c r="O28" i="9"/>
  <c r="K28" i="9"/>
  <c r="G28" i="9"/>
  <c r="E28" i="9"/>
  <c r="AG28" i="9" s="1"/>
  <c r="C28" i="9"/>
  <c r="U27" i="9"/>
  <c r="S27" i="9"/>
  <c r="Q27" i="9"/>
  <c r="O27" i="9"/>
  <c r="K27" i="9"/>
  <c r="G27" i="9"/>
  <c r="E27" i="9"/>
  <c r="AG27" i="9" s="1"/>
  <c r="C27" i="9"/>
  <c r="AE27" i="9" s="1"/>
  <c r="U26" i="9"/>
  <c r="S26" i="9"/>
  <c r="Q26" i="9"/>
  <c r="O26" i="9"/>
  <c r="K26" i="9"/>
  <c r="G26" i="9"/>
  <c r="E26" i="9"/>
  <c r="AG26" i="9" s="1"/>
  <c r="C26" i="9"/>
  <c r="U25" i="9"/>
  <c r="S25" i="9"/>
  <c r="Q25" i="9"/>
  <c r="O25" i="9"/>
  <c r="K25" i="9"/>
  <c r="G25" i="9"/>
  <c r="E25" i="9"/>
  <c r="AG25" i="9" s="1"/>
  <c r="C25" i="9"/>
  <c r="AE25" i="9" s="1"/>
  <c r="U24" i="9"/>
  <c r="S24" i="9"/>
  <c r="Q24" i="9"/>
  <c r="O24" i="9"/>
  <c r="K24" i="9"/>
  <c r="G24" i="9"/>
  <c r="E24" i="9"/>
  <c r="AG24" i="9" s="1"/>
  <c r="C24" i="9"/>
  <c r="U23" i="9"/>
  <c r="S23" i="9"/>
  <c r="Q23" i="9"/>
  <c r="O23" i="9"/>
  <c r="M23" i="9"/>
  <c r="K23" i="9"/>
  <c r="G23" i="9"/>
  <c r="E23" i="9"/>
  <c r="C23" i="9"/>
  <c r="U22" i="9"/>
  <c r="S22" i="9"/>
  <c r="Q22" i="9"/>
  <c r="O22" i="9"/>
  <c r="M22" i="9"/>
  <c r="K22" i="9"/>
  <c r="I22" i="9"/>
  <c r="G22" i="9"/>
  <c r="E22" i="9"/>
  <c r="AG22" i="9" s="1"/>
  <c r="C22" i="9"/>
  <c r="AE22" i="9" s="1"/>
  <c r="U21" i="9"/>
  <c r="S21" i="9"/>
  <c r="Q21" i="9"/>
  <c r="M21" i="9"/>
  <c r="K21" i="9"/>
  <c r="I21" i="9"/>
  <c r="C21" i="9"/>
  <c r="AE21" i="9" s="1"/>
  <c r="U20" i="9"/>
  <c r="S20" i="9"/>
  <c r="Q20" i="9"/>
  <c r="O20" i="9"/>
  <c r="M20" i="9"/>
  <c r="K20" i="9"/>
  <c r="I20" i="9"/>
  <c r="G20" i="9"/>
  <c r="E20" i="9"/>
  <c r="AG20" i="9" s="1"/>
  <c r="C20" i="9"/>
  <c r="AE20" i="9" s="1"/>
  <c r="U19" i="9"/>
  <c r="S19" i="9"/>
  <c r="Q19" i="9"/>
  <c r="O19" i="9"/>
  <c r="M19" i="9"/>
  <c r="K19" i="9"/>
  <c r="I19" i="9"/>
  <c r="G19" i="9"/>
  <c r="E19" i="9"/>
  <c r="C19" i="9"/>
  <c r="AE19" i="9" s="1"/>
  <c r="U18" i="9"/>
  <c r="S18" i="9"/>
  <c r="Q18" i="9"/>
  <c r="O18" i="9"/>
  <c r="M18" i="9"/>
  <c r="K18" i="9"/>
  <c r="I18" i="9"/>
  <c r="G18" i="9"/>
  <c r="E18" i="9"/>
  <c r="AG18" i="9" s="1"/>
  <c r="C18" i="9"/>
  <c r="U17" i="9"/>
  <c r="S17" i="9"/>
  <c r="Q17" i="9"/>
  <c r="O17" i="9"/>
  <c r="M17" i="9"/>
  <c r="K17" i="9"/>
  <c r="I17" i="9"/>
  <c r="G17" i="9"/>
  <c r="E17" i="9"/>
  <c r="C17" i="9"/>
  <c r="AE17" i="9" s="1"/>
  <c r="U16" i="9"/>
  <c r="S16" i="9"/>
  <c r="Q16" i="9"/>
  <c r="O16" i="9"/>
  <c r="M16" i="9"/>
  <c r="K16" i="9"/>
  <c r="G16" i="9"/>
  <c r="E16" i="9"/>
  <c r="C16" i="9"/>
  <c r="AE16" i="9" s="1"/>
  <c r="O33" i="8"/>
  <c r="H33" i="8"/>
  <c r="G33" i="8"/>
  <c r="C33" i="8"/>
  <c r="V32" i="8"/>
  <c r="T32" i="8"/>
  <c r="S32" i="8"/>
  <c r="R32" i="8"/>
  <c r="K32" i="8"/>
  <c r="J32" i="8"/>
  <c r="D32" i="8"/>
  <c r="V31" i="8"/>
  <c r="T31" i="8"/>
  <c r="S31" i="8"/>
  <c r="R31" i="8"/>
  <c r="K31" i="8"/>
  <c r="J31" i="8"/>
  <c r="D31" i="8"/>
  <c r="V30" i="8"/>
  <c r="S30" i="8"/>
  <c r="R30" i="8"/>
  <c r="T30" i="8" s="1"/>
  <c r="K30" i="8"/>
  <c r="J30" i="8"/>
  <c r="D30" i="8"/>
  <c r="V29" i="8"/>
  <c r="R29" i="8"/>
  <c r="K29" i="8"/>
  <c r="J29" i="8"/>
  <c r="D29" i="8"/>
  <c r="V28" i="8"/>
  <c r="T28" i="8"/>
  <c r="S28" i="8"/>
  <c r="R28" i="8"/>
  <c r="K28" i="8"/>
  <c r="J28" i="8"/>
  <c r="D28" i="8"/>
  <c r="U26" i="8"/>
  <c r="Q26" i="8"/>
  <c r="P26" i="8"/>
  <c r="P33" i="8" s="1"/>
  <c r="O26" i="8"/>
  <c r="L26" i="8"/>
  <c r="H26" i="8"/>
  <c r="G26" i="8"/>
  <c r="F26" i="8"/>
  <c r="E26" i="8"/>
  <c r="C26" i="8"/>
  <c r="B26" i="8"/>
  <c r="D26" i="8" s="1"/>
  <c r="V25" i="8"/>
  <c r="R25" i="8"/>
  <c r="K25" i="8"/>
  <c r="J25" i="8"/>
  <c r="D25" i="8"/>
  <c r="V24" i="8"/>
  <c r="T24" i="8"/>
  <c r="S24" i="8"/>
  <c r="R24" i="8"/>
  <c r="K24" i="8"/>
  <c r="J24" i="8"/>
  <c r="D24" i="8"/>
  <c r="V23" i="8"/>
  <c r="T23" i="8"/>
  <c r="S23" i="8"/>
  <c r="R23" i="8"/>
  <c r="M23" i="8"/>
  <c r="K23" i="8"/>
  <c r="J23" i="8"/>
  <c r="D23" i="8"/>
  <c r="V22" i="8"/>
  <c r="T22" i="8"/>
  <c r="S22" i="8"/>
  <c r="R22" i="8"/>
  <c r="M22" i="8"/>
  <c r="K22" i="8"/>
  <c r="J22" i="8"/>
  <c r="I22" i="8"/>
  <c r="D22" i="8"/>
  <c r="V21" i="8"/>
  <c r="T21" i="8"/>
  <c r="S21" i="8"/>
  <c r="R21" i="8"/>
  <c r="M21" i="8"/>
  <c r="K21" i="8"/>
  <c r="J21" i="8"/>
  <c r="I21" i="8"/>
  <c r="D21" i="8"/>
  <c r="V19" i="8"/>
  <c r="U19" i="8"/>
  <c r="U33" i="8" s="1"/>
  <c r="Q19" i="8"/>
  <c r="Q33" i="8" s="1"/>
  <c r="P19" i="8"/>
  <c r="O19" i="8"/>
  <c r="M19" i="8"/>
  <c r="L19" i="8"/>
  <c r="L33" i="8" s="1"/>
  <c r="H19" i="8"/>
  <c r="G19" i="8"/>
  <c r="F19" i="8"/>
  <c r="F33" i="8" s="1"/>
  <c r="E19" i="8"/>
  <c r="C19" i="8"/>
  <c r="B19" i="8"/>
  <c r="V18" i="8"/>
  <c r="T18" i="8"/>
  <c r="S18" i="8"/>
  <c r="R18" i="8"/>
  <c r="M18" i="8"/>
  <c r="K18" i="8"/>
  <c r="J18" i="8"/>
  <c r="I18" i="8"/>
  <c r="D18" i="8"/>
  <c r="V17" i="8"/>
  <c r="T17" i="8"/>
  <c r="R17" i="8"/>
  <c r="S17" i="8" s="1"/>
  <c r="M17" i="8"/>
  <c r="K17" i="8"/>
  <c r="I17" i="8"/>
  <c r="J17" i="8" s="1"/>
  <c r="D17" i="8"/>
  <c r="V16" i="8"/>
  <c r="T16" i="8"/>
  <c r="S16" i="8"/>
  <c r="R16" i="8"/>
  <c r="M16" i="8"/>
  <c r="K16" i="8"/>
  <c r="J16" i="8"/>
  <c r="D16" i="8"/>
  <c r="V15" i="8"/>
  <c r="T15" i="8"/>
  <c r="S15" i="8"/>
  <c r="R15" i="8"/>
  <c r="M15" i="8"/>
  <c r="K15" i="8"/>
  <c r="J15" i="8"/>
  <c r="I15" i="8"/>
  <c r="D15" i="8"/>
  <c r="V14" i="8"/>
  <c r="T14" i="8"/>
  <c r="S14" i="8"/>
  <c r="R14" i="8"/>
  <c r="M14" i="8"/>
  <c r="K14" i="8"/>
  <c r="J14" i="8"/>
  <c r="I14" i="8"/>
  <c r="D14" i="8"/>
  <c r="V13" i="8"/>
  <c r="R13" i="8"/>
  <c r="M13" i="8"/>
  <c r="I13" i="8"/>
  <c r="D13" i="8"/>
  <c r="V12" i="8"/>
  <c r="S12" i="8"/>
  <c r="R12" i="8"/>
  <c r="T12" i="8" s="1"/>
  <c r="M12" i="8"/>
  <c r="I12" i="8"/>
  <c r="K12" i="8" s="1"/>
  <c r="D12" i="8"/>
  <c r="V11" i="8"/>
  <c r="T11" i="8"/>
  <c r="S11" i="8"/>
  <c r="R11" i="8"/>
  <c r="M11" i="8"/>
  <c r="K11" i="8"/>
  <c r="J11" i="8"/>
  <c r="I11" i="8"/>
  <c r="D11" i="8"/>
  <c r="V10" i="8"/>
  <c r="T10" i="8"/>
  <c r="S10" i="8"/>
  <c r="R10" i="8"/>
  <c r="M10" i="8"/>
  <c r="K10" i="8"/>
  <c r="J10" i="8"/>
  <c r="I10" i="8"/>
  <c r="D10" i="8"/>
  <c r="V9" i="8"/>
  <c r="R9" i="8"/>
  <c r="M9" i="8"/>
  <c r="I9" i="8"/>
  <c r="D9" i="8"/>
  <c r="L40" i="7"/>
  <c r="K40" i="7"/>
  <c r="J40" i="7"/>
  <c r="H40" i="7"/>
  <c r="G40" i="7"/>
  <c r="L35" i="7"/>
  <c r="K35" i="7"/>
  <c r="J35" i="7"/>
  <c r="H35" i="7"/>
  <c r="G35" i="7"/>
  <c r="F35" i="7"/>
  <c r="L30" i="7"/>
  <c r="K30" i="7"/>
  <c r="J30" i="7"/>
  <c r="H30" i="7"/>
  <c r="G30" i="7"/>
  <c r="F30" i="7"/>
  <c r="M27" i="7"/>
  <c r="L27" i="7"/>
  <c r="K27" i="7"/>
  <c r="J27" i="7"/>
  <c r="H27" i="7"/>
  <c r="G27" i="7"/>
  <c r="F27" i="7"/>
  <c r="L24" i="7"/>
  <c r="K24" i="7"/>
  <c r="J24" i="7"/>
  <c r="H24" i="7"/>
  <c r="G24" i="7"/>
  <c r="F24" i="7"/>
  <c r="M20" i="7"/>
  <c r="L20" i="7"/>
  <c r="K20" i="7"/>
  <c r="J20" i="7"/>
  <c r="J41" i="7" s="1"/>
  <c r="H20" i="7"/>
  <c r="G20" i="7"/>
  <c r="F20" i="7"/>
  <c r="M15" i="7"/>
  <c r="M41" i="7" s="1"/>
  <c r="L15" i="7"/>
  <c r="K15" i="7"/>
  <c r="J15" i="7"/>
  <c r="H15" i="7"/>
  <c r="H41" i="7" s="1"/>
  <c r="G15" i="7"/>
  <c r="F15" i="7"/>
  <c r="L27" i="6"/>
  <c r="F27" i="6"/>
  <c r="C27" i="6"/>
  <c r="M26" i="6"/>
  <c r="N26" i="6" s="1"/>
  <c r="H26" i="6"/>
  <c r="I26" i="6" s="1"/>
  <c r="E26" i="6"/>
  <c r="M25" i="6"/>
  <c r="H25" i="6"/>
  <c r="E25" i="6"/>
  <c r="I25" i="6" s="1"/>
  <c r="H24" i="6"/>
  <c r="E24" i="6"/>
  <c r="M23" i="6"/>
  <c r="H23" i="6"/>
  <c r="E23" i="6"/>
  <c r="M22" i="6"/>
  <c r="H22" i="6"/>
  <c r="I22" i="6" s="1"/>
  <c r="E22" i="6"/>
  <c r="N22" i="6" s="1"/>
  <c r="L20" i="6"/>
  <c r="K20" i="6"/>
  <c r="G20" i="6"/>
  <c r="G27" i="6" s="1"/>
  <c r="F20" i="6"/>
  <c r="D20" i="6"/>
  <c r="C20" i="6"/>
  <c r="B20" i="6"/>
  <c r="M19" i="6"/>
  <c r="N19" i="6" s="1"/>
  <c r="I19" i="6"/>
  <c r="H19" i="6"/>
  <c r="E19" i="6"/>
  <c r="M18" i="6"/>
  <c r="N18" i="6" s="1"/>
  <c r="H18" i="6"/>
  <c r="E18" i="6"/>
  <c r="I18" i="6" s="1"/>
  <c r="N17" i="6"/>
  <c r="M17" i="6"/>
  <c r="H17" i="6"/>
  <c r="I17" i="6" s="1"/>
  <c r="E17" i="6"/>
  <c r="L15" i="6"/>
  <c r="K15" i="6"/>
  <c r="K27" i="6" s="1"/>
  <c r="H15" i="6"/>
  <c r="G15" i="6"/>
  <c r="F15" i="6"/>
  <c r="D15" i="6"/>
  <c r="D27" i="6" s="1"/>
  <c r="C15" i="6"/>
  <c r="B15" i="6"/>
  <c r="M15" i="6" s="1"/>
  <c r="M14" i="6"/>
  <c r="N14" i="6" s="1"/>
  <c r="H14" i="6"/>
  <c r="I14" i="6" s="1"/>
  <c r="E14" i="6"/>
  <c r="N13" i="6"/>
  <c r="M13" i="6"/>
  <c r="H13" i="6"/>
  <c r="E13" i="6"/>
  <c r="I13" i="6" s="1"/>
  <c r="M12" i="6"/>
  <c r="N12" i="6" s="1"/>
  <c r="H12" i="6"/>
  <c r="I12" i="6" s="1"/>
  <c r="E12" i="6"/>
  <c r="M11" i="6"/>
  <c r="I11" i="6"/>
  <c r="H11" i="6"/>
  <c r="E11" i="6"/>
  <c r="N11" i="6" s="1"/>
  <c r="M10" i="6"/>
  <c r="N10" i="6" s="1"/>
  <c r="H10" i="6"/>
  <c r="I10" i="6" s="1"/>
  <c r="E10" i="6"/>
  <c r="M9" i="6"/>
  <c r="H9" i="6"/>
  <c r="E9" i="6"/>
  <c r="I9" i="6" s="1"/>
  <c r="M8" i="6"/>
  <c r="N8" i="6" s="1"/>
  <c r="H8" i="6"/>
  <c r="I8" i="6" s="1"/>
  <c r="E8" i="6"/>
  <c r="F16" i="21"/>
  <c r="D16" i="21"/>
  <c r="C16" i="21"/>
  <c r="B16" i="21"/>
  <c r="G16" i="21" s="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H32" i="5"/>
  <c r="D32" i="5"/>
  <c r="W31" i="5"/>
  <c r="V31" i="5"/>
  <c r="L31" i="5"/>
  <c r="K31" i="5"/>
  <c r="E31" i="5"/>
  <c r="Q31" i="5" s="1"/>
  <c r="R31" i="5" s="1"/>
  <c r="W30" i="5"/>
  <c r="V30" i="5"/>
  <c r="T30" i="5"/>
  <c r="U30" i="5" s="1"/>
  <c r="Q30" i="5"/>
  <c r="R30" i="5" s="1"/>
  <c r="L30" i="5"/>
  <c r="K30" i="5"/>
  <c r="I30" i="5"/>
  <c r="J30" i="5" s="1"/>
  <c r="F30" i="5"/>
  <c r="G30" i="5" s="1"/>
  <c r="E30" i="5"/>
  <c r="W29" i="5"/>
  <c r="V29" i="5"/>
  <c r="L29" i="5"/>
  <c r="K29" i="5"/>
  <c r="E29" i="5"/>
  <c r="W28" i="5"/>
  <c r="V28" i="5"/>
  <c r="Q28" i="5"/>
  <c r="R28" i="5" s="1"/>
  <c r="T28" i="5" s="1"/>
  <c r="L28" i="5"/>
  <c r="K28" i="5"/>
  <c r="F28" i="5"/>
  <c r="G28" i="5" s="1"/>
  <c r="I28" i="5" s="1"/>
  <c r="E28" i="5"/>
  <c r="W27" i="5"/>
  <c r="V27" i="5"/>
  <c r="L27" i="5"/>
  <c r="K27" i="5"/>
  <c r="E27" i="5"/>
  <c r="Q27" i="5" s="1"/>
  <c r="R27" i="5" s="1"/>
  <c r="X25" i="5"/>
  <c r="S25" i="5"/>
  <c r="S32" i="5" s="1"/>
  <c r="M25" i="5"/>
  <c r="H25" i="5"/>
  <c r="D25" i="5"/>
  <c r="C25" i="5"/>
  <c r="W24" i="5"/>
  <c r="V24" i="5"/>
  <c r="L24" i="5"/>
  <c r="L25" i="5" s="1"/>
  <c r="K24" i="5"/>
  <c r="E24" i="5"/>
  <c r="Q24" i="5" s="1"/>
  <c r="R24" i="5" s="1"/>
  <c r="Y23" i="5"/>
  <c r="Z23" i="5" s="1"/>
  <c r="V23" i="5"/>
  <c r="W23" i="5" s="1"/>
  <c r="U23" i="5"/>
  <c r="T23" i="5"/>
  <c r="R23" i="5"/>
  <c r="Q23" i="5"/>
  <c r="N23" i="5"/>
  <c r="O23" i="5" s="1"/>
  <c r="K23" i="5"/>
  <c r="L23" i="5" s="1"/>
  <c r="J23" i="5"/>
  <c r="I23" i="5"/>
  <c r="G23" i="5"/>
  <c r="F23" i="5"/>
  <c r="E23" i="5"/>
  <c r="W22" i="5"/>
  <c r="V22" i="5"/>
  <c r="L22" i="5"/>
  <c r="K22" i="5"/>
  <c r="E22" i="5"/>
  <c r="W21" i="5"/>
  <c r="V21" i="5"/>
  <c r="V25" i="5" s="1"/>
  <c r="Q21" i="5"/>
  <c r="R21" i="5" s="1"/>
  <c r="L21" i="5"/>
  <c r="K21" i="5"/>
  <c r="K25" i="5" s="1"/>
  <c r="F21" i="5"/>
  <c r="E21" i="5"/>
  <c r="X19" i="5"/>
  <c r="X32" i="5" s="1"/>
  <c r="S19" i="5"/>
  <c r="M19" i="5"/>
  <c r="M32" i="5" s="1"/>
  <c r="H19" i="5"/>
  <c r="D19" i="5"/>
  <c r="C19" i="5"/>
  <c r="C32" i="5" s="1"/>
  <c r="V18" i="5"/>
  <c r="W18" i="5" s="1"/>
  <c r="Y18" i="5" s="1"/>
  <c r="Z18" i="5" s="1"/>
  <c r="U18" i="5"/>
  <c r="T18" i="5"/>
  <c r="R18" i="5"/>
  <c r="Q18" i="5"/>
  <c r="K18" i="5"/>
  <c r="L18" i="5" s="1"/>
  <c r="N18" i="5" s="1"/>
  <c r="O18" i="5" s="1"/>
  <c r="J18" i="5"/>
  <c r="I18" i="5"/>
  <c r="G18" i="5"/>
  <c r="F18" i="5"/>
  <c r="E18" i="5"/>
  <c r="W17" i="5"/>
  <c r="Y17" i="5" s="1"/>
  <c r="Z17" i="5" s="1"/>
  <c r="V17" i="5"/>
  <c r="U17" i="5"/>
  <c r="T17" i="5"/>
  <c r="R17" i="5"/>
  <c r="Q17" i="5"/>
  <c r="L17" i="5"/>
  <c r="N17" i="5" s="1"/>
  <c r="O17" i="5" s="1"/>
  <c r="K17" i="5"/>
  <c r="J17" i="5"/>
  <c r="I17" i="5"/>
  <c r="G17" i="5"/>
  <c r="F17" i="5"/>
  <c r="E17" i="5"/>
  <c r="W16" i="5"/>
  <c r="V16" i="5"/>
  <c r="T16" i="5"/>
  <c r="U16" i="5" s="1"/>
  <c r="Q16" i="5"/>
  <c r="R16" i="5" s="1"/>
  <c r="L16" i="5"/>
  <c r="K16" i="5"/>
  <c r="F16" i="5"/>
  <c r="G16" i="5" s="1"/>
  <c r="I16" i="5" s="1"/>
  <c r="E16" i="5"/>
  <c r="W15" i="5"/>
  <c r="V15" i="5"/>
  <c r="L15" i="5"/>
  <c r="K15" i="5"/>
  <c r="E15" i="5"/>
  <c r="W14" i="5"/>
  <c r="V14" i="5"/>
  <c r="Q14" i="5"/>
  <c r="R14" i="5" s="1"/>
  <c r="T14" i="5" s="1"/>
  <c r="L14" i="5"/>
  <c r="K14" i="5"/>
  <c r="F14" i="5"/>
  <c r="G14" i="5" s="1"/>
  <c r="I14" i="5" s="1"/>
  <c r="E14" i="5"/>
  <c r="W13" i="5"/>
  <c r="V13" i="5"/>
  <c r="L13" i="5"/>
  <c r="K13" i="5"/>
  <c r="E13" i="5"/>
  <c r="Q13" i="5" s="1"/>
  <c r="R13" i="5" s="1"/>
  <c r="W12" i="5"/>
  <c r="V12" i="5"/>
  <c r="T12" i="5"/>
  <c r="U12" i="5" s="1"/>
  <c r="Q12" i="5"/>
  <c r="R12" i="5" s="1"/>
  <c r="L12" i="5"/>
  <c r="K12" i="5"/>
  <c r="I12" i="5"/>
  <c r="J12" i="5" s="1"/>
  <c r="F12" i="5"/>
  <c r="G12" i="5" s="1"/>
  <c r="E12" i="5"/>
  <c r="W11" i="5"/>
  <c r="V11" i="5"/>
  <c r="L11" i="5"/>
  <c r="K11" i="5"/>
  <c r="E11" i="5"/>
  <c r="W10" i="5"/>
  <c r="W19" i="5" s="1"/>
  <c r="V10" i="5"/>
  <c r="Q10" i="5"/>
  <c r="L10" i="5"/>
  <c r="L19" i="5" s="1"/>
  <c r="L32" i="5" s="1"/>
  <c r="K10" i="5"/>
  <c r="K19" i="5" s="1"/>
  <c r="K32" i="5" s="1"/>
  <c r="F10" i="5"/>
  <c r="E10" i="5"/>
  <c r="T56" i="3"/>
  <c r="R56" i="3"/>
  <c r="K56" i="3"/>
  <c r="G56" i="3"/>
  <c r="E56" i="3"/>
  <c r="C56" i="3"/>
  <c r="T55" i="3"/>
  <c r="R55" i="3"/>
  <c r="K55" i="3"/>
  <c r="G55" i="3"/>
  <c r="E55" i="3"/>
  <c r="C55" i="3"/>
  <c r="N55" i="3" s="1"/>
  <c r="T54" i="3"/>
  <c r="R54" i="3"/>
  <c r="W54" i="3" s="1"/>
  <c r="K54" i="3"/>
  <c r="G54" i="3"/>
  <c r="E54" i="3"/>
  <c r="C54" i="3"/>
  <c r="N54" i="3" s="1"/>
  <c r="T53" i="3"/>
  <c r="R53" i="3"/>
  <c r="K53" i="3"/>
  <c r="G53" i="3"/>
  <c r="E53" i="3"/>
  <c r="C53" i="3"/>
  <c r="N53" i="3" s="1"/>
  <c r="T52" i="3"/>
  <c r="R52" i="3"/>
  <c r="K52" i="3"/>
  <c r="G52" i="3"/>
  <c r="E52" i="3"/>
  <c r="C52" i="3"/>
  <c r="U50" i="3"/>
  <c r="S50" i="3"/>
  <c r="Q50" i="3"/>
  <c r="J50" i="3"/>
  <c r="T49" i="3"/>
  <c r="R49" i="3"/>
  <c r="K49" i="3"/>
  <c r="G49" i="3"/>
  <c r="E49" i="3"/>
  <c r="C49" i="3"/>
  <c r="N49" i="3" s="1"/>
  <c r="T48" i="3"/>
  <c r="R48" i="3"/>
  <c r="W48" i="3" s="1"/>
  <c r="K48" i="3"/>
  <c r="G48" i="3"/>
  <c r="E48" i="3"/>
  <c r="C48" i="3"/>
  <c r="T47" i="3"/>
  <c r="T50" i="3" s="1"/>
  <c r="R47" i="3"/>
  <c r="K47" i="3"/>
  <c r="G47" i="3"/>
  <c r="E47" i="3"/>
  <c r="C47" i="3"/>
  <c r="C50" i="3" s="1"/>
  <c r="U45" i="3"/>
  <c r="U57" i="3" s="1"/>
  <c r="S45" i="3"/>
  <c r="R45" i="3"/>
  <c r="Q45" i="3"/>
  <c r="Q57" i="3" s="1"/>
  <c r="O45" i="3"/>
  <c r="O57" i="3" s="1"/>
  <c r="L45" i="3"/>
  <c r="L57" i="3" s="1"/>
  <c r="J45" i="3"/>
  <c r="J57" i="3" s="1"/>
  <c r="H45" i="3"/>
  <c r="H57" i="3" s="1"/>
  <c r="D45" i="3"/>
  <c r="B45" i="3"/>
  <c r="B57" i="3" s="1"/>
  <c r="AA44" i="3"/>
  <c r="Y44" i="3"/>
  <c r="V44" i="3"/>
  <c r="T44" i="3"/>
  <c r="R44" i="3"/>
  <c r="P44" i="3"/>
  <c r="W44" i="3" s="1"/>
  <c r="M44" i="3"/>
  <c r="K44" i="3"/>
  <c r="I44" i="3"/>
  <c r="G44" i="3"/>
  <c r="N44" i="3" s="1"/>
  <c r="E44" i="3"/>
  <c r="C44" i="3"/>
  <c r="AA43" i="3"/>
  <c r="Y43" i="3"/>
  <c r="V43" i="3"/>
  <c r="T43" i="3"/>
  <c r="R43" i="3"/>
  <c r="P43" i="3"/>
  <c r="N43" i="3"/>
  <c r="T42" i="3"/>
  <c r="R42" i="3"/>
  <c r="K42" i="3"/>
  <c r="G42" i="3"/>
  <c r="E42" i="3"/>
  <c r="C42" i="3"/>
  <c r="AA41" i="3"/>
  <c r="Y41" i="3"/>
  <c r="V41" i="3"/>
  <c r="T41" i="3"/>
  <c r="R41" i="3"/>
  <c r="P41" i="3"/>
  <c r="W41" i="3" s="1"/>
  <c r="K41" i="3"/>
  <c r="I41" i="3"/>
  <c r="G41" i="3"/>
  <c r="G45" i="3" s="1"/>
  <c r="E41" i="3"/>
  <c r="C41" i="3"/>
  <c r="AA40" i="3"/>
  <c r="Y40" i="3"/>
  <c r="V40" i="3"/>
  <c r="T40" i="3"/>
  <c r="R40" i="3"/>
  <c r="P40" i="3"/>
  <c r="W40" i="3" s="1"/>
  <c r="K40" i="3"/>
  <c r="I40" i="3"/>
  <c r="G40" i="3"/>
  <c r="E40" i="3"/>
  <c r="N40" i="3" s="1"/>
  <c r="C40" i="3"/>
  <c r="AA39" i="3"/>
  <c r="Y39" i="3"/>
  <c r="V39" i="3"/>
  <c r="T39" i="3"/>
  <c r="R39" i="3"/>
  <c r="P39" i="3"/>
  <c r="M39" i="3"/>
  <c r="K39" i="3"/>
  <c r="I39" i="3"/>
  <c r="G39" i="3"/>
  <c r="E39" i="3"/>
  <c r="N39" i="3" s="1"/>
  <c r="C39" i="3"/>
  <c r="AA38" i="3"/>
  <c r="Y38" i="3"/>
  <c r="V38" i="3"/>
  <c r="T38" i="3"/>
  <c r="R38" i="3"/>
  <c r="P38" i="3"/>
  <c r="P45" i="3" s="1"/>
  <c r="M38" i="3"/>
  <c r="K38" i="3"/>
  <c r="K45" i="3" s="1"/>
  <c r="I38" i="3"/>
  <c r="G38" i="3"/>
  <c r="E38" i="3"/>
  <c r="C38" i="3"/>
  <c r="N38" i="3" s="1"/>
  <c r="S29" i="3"/>
  <c r="O29" i="3"/>
  <c r="AA28" i="3"/>
  <c r="Y28" i="3"/>
  <c r="V28" i="3"/>
  <c r="T28" i="3"/>
  <c r="R28" i="3"/>
  <c r="P28" i="3"/>
  <c r="W28" i="3" s="1"/>
  <c r="M28" i="3"/>
  <c r="K28" i="3"/>
  <c r="I28" i="3"/>
  <c r="G28" i="3"/>
  <c r="E28" i="3"/>
  <c r="C28" i="3"/>
  <c r="N28" i="3" s="1"/>
  <c r="AA27" i="3"/>
  <c r="Y27" i="3"/>
  <c r="V27" i="3"/>
  <c r="T27" i="3"/>
  <c r="R27" i="3"/>
  <c r="P27" i="3"/>
  <c r="W27" i="3" s="1"/>
  <c r="M27" i="3"/>
  <c r="K27" i="3"/>
  <c r="I27" i="3"/>
  <c r="G27" i="3"/>
  <c r="E27" i="3"/>
  <c r="N27" i="3" s="1"/>
  <c r="C27" i="3"/>
  <c r="AA26" i="3"/>
  <c r="Y26" i="3"/>
  <c r="V26" i="3"/>
  <c r="T26" i="3"/>
  <c r="R26" i="3"/>
  <c r="P26" i="3"/>
  <c r="W26" i="3" s="1"/>
  <c r="M26" i="3"/>
  <c r="K26" i="3"/>
  <c r="I26" i="3"/>
  <c r="G26" i="3"/>
  <c r="E26" i="3"/>
  <c r="C26" i="3"/>
  <c r="AA25" i="3"/>
  <c r="Y25" i="3"/>
  <c r="V25" i="3"/>
  <c r="T25" i="3"/>
  <c r="R25" i="3"/>
  <c r="P25" i="3"/>
  <c r="W25" i="3" s="1"/>
  <c r="M25" i="3"/>
  <c r="K25" i="3"/>
  <c r="I25" i="3"/>
  <c r="G25" i="3"/>
  <c r="E25" i="3"/>
  <c r="N25" i="3" s="1"/>
  <c r="C25" i="3"/>
  <c r="AA24" i="3"/>
  <c r="Y24" i="3"/>
  <c r="V24" i="3"/>
  <c r="T24" i="3"/>
  <c r="R24" i="3"/>
  <c r="P24" i="3"/>
  <c r="W24" i="3" s="1"/>
  <c r="M24" i="3"/>
  <c r="K24" i="3"/>
  <c r="I24" i="3"/>
  <c r="G24" i="3"/>
  <c r="E24" i="3"/>
  <c r="C24" i="3"/>
  <c r="N24" i="3" s="1"/>
  <c r="AB22" i="3"/>
  <c r="Z22" i="3"/>
  <c r="X22" i="3"/>
  <c r="U22" i="3"/>
  <c r="T22" i="3"/>
  <c r="S22" i="3"/>
  <c r="Q22" i="3"/>
  <c r="P22" i="3"/>
  <c r="O22" i="3"/>
  <c r="L22" i="3"/>
  <c r="J22" i="3"/>
  <c r="H22" i="3"/>
  <c r="F22" i="3"/>
  <c r="D22" i="3"/>
  <c r="B22" i="3"/>
  <c r="AA21" i="3"/>
  <c r="Y21" i="3"/>
  <c r="V21" i="3"/>
  <c r="T21" i="3"/>
  <c r="R21" i="3"/>
  <c r="P21" i="3"/>
  <c r="M21" i="3"/>
  <c r="K21" i="3"/>
  <c r="I21" i="3"/>
  <c r="G21" i="3"/>
  <c r="E21" i="3"/>
  <c r="C21" i="3"/>
  <c r="N21" i="3" s="1"/>
  <c r="AA20" i="3"/>
  <c r="Y20" i="3"/>
  <c r="V20" i="3"/>
  <c r="T20" i="3"/>
  <c r="R20" i="3"/>
  <c r="P20" i="3"/>
  <c r="W20" i="3" s="1"/>
  <c r="M20" i="3"/>
  <c r="K20" i="3"/>
  <c r="I20" i="3"/>
  <c r="I22" i="3" s="1"/>
  <c r="G20" i="3"/>
  <c r="N20" i="3" s="1"/>
  <c r="E20" i="3"/>
  <c r="C20" i="3"/>
  <c r="AA19" i="3"/>
  <c r="AA22" i="3" s="1"/>
  <c r="Y19" i="3"/>
  <c r="V19" i="3"/>
  <c r="T19" i="3"/>
  <c r="R19" i="3"/>
  <c r="P19" i="3"/>
  <c r="M19" i="3"/>
  <c r="M22" i="3" s="1"/>
  <c r="K19" i="3"/>
  <c r="K22" i="3" s="1"/>
  <c r="I19" i="3"/>
  <c r="G19" i="3"/>
  <c r="G22" i="3" s="1"/>
  <c r="E19" i="3"/>
  <c r="E22" i="3" s="1"/>
  <c r="C19" i="3"/>
  <c r="AB17" i="3"/>
  <c r="AB29" i="3" s="1"/>
  <c r="Z17" i="3"/>
  <c r="Z29" i="3" s="1"/>
  <c r="X17" i="3"/>
  <c r="X29" i="3" s="1"/>
  <c r="U17" i="3"/>
  <c r="U29" i="3" s="1"/>
  <c r="S17" i="3"/>
  <c r="Q17" i="3"/>
  <c r="Q29" i="3" s="1"/>
  <c r="O17" i="3"/>
  <c r="L17" i="3"/>
  <c r="L29" i="3" s="1"/>
  <c r="J17" i="3"/>
  <c r="J29" i="3" s="1"/>
  <c r="I17" i="3"/>
  <c r="I29" i="3" s="1"/>
  <c r="H17" i="3"/>
  <c r="F17" i="3"/>
  <c r="F29" i="3" s="1"/>
  <c r="D17" i="3"/>
  <c r="D29" i="3" s="1"/>
  <c r="B17" i="3"/>
  <c r="B29" i="3" s="1"/>
  <c r="AA16" i="3"/>
  <c r="Y16" i="3"/>
  <c r="V16" i="3"/>
  <c r="T16" i="3"/>
  <c r="R16" i="3"/>
  <c r="P16" i="3"/>
  <c r="M16" i="3"/>
  <c r="K16" i="3"/>
  <c r="I16" i="3"/>
  <c r="G16" i="3"/>
  <c r="E16" i="3"/>
  <c r="N16" i="3" s="1"/>
  <c r="C16" i="3"/>
  <c r="AC15" i="3"/>
  <c r="AA15" i="3"/>
  <c r="Y15" i="3"/>
  <c r="V15" i="3"/>
  <c r="T15" i="3"/>
  <c r="R15" i="3"/>
  <c r="P15" i="3"/>
  <c r="W15" i="3" s="1"/>
  <c r="M15" i="3"/>
  <c r="K15" i="3"/>
  <c r="I15" i="3"/>
  <c r="G15" i="3"/>
  <c r="E15" i="3"/>
  <c r="C15" i="3"/>
  <c r="N15" i="3" s="1"/>
  <c r="AK14" i="3"/>
  <c r="AI14" i="3"/>
  <c r="AG14" i="3"/>
  <c r="AE14" i="3"/>
  <c r="AC14" i="3"/>
  <c r="AA14" i="3"/>
  <c r="Y14" i="3"/>
  <c r="V14" i="3"/>
  <c r="T14" i="3"/>
  <c r="R14" i="3"/>
  <c r="P14" i="3"/>
  <c r="W14" i="3" s="1"/>
  <c r="M14" i="3"/>
  <c r="K14" i="3"/>
  <c r="I14" i="3"/>
  <c r="G14" i="3"/>
  <c r="E14" i="3"/>
  <c r="C14" i="3"/>
  <c r="N14" i="3" s="1"/>
  <c r="AG13" i="3"/>
  <c r="AE13" i="3"/>
  <c r="AC13" i="3"/>
  <c r="AA13" i="3"/>
  <c r="Y13" i="3"/>
  <c r="V13" i="3"/>
  <c r="T13" i="3"/>
  <c r="R13" i="3"/>
  <c r="P13" i="3"/>
  <c r="M13" i="3"/>
  <c r="K13" i="3"/>
  <c r="I13" i="3"/>
  <c r="G13" i="3"/>
  <c r="E13" i="3"/>
  <c r="C13" i="3"/>
  <c r="N13" i="3" s="1"/>
  <c r="AK12" i="3"/>
  <c r="AI12" i="3"/>
  <c r="AG12" i="3"/>
  <c r="AE12" i="3"/>
  <c r="AC12" i="3"/>
  <c r="AA12" i="3"/>
  <c r="Y12" i="3"/>
  <c r="V12" i="3"/>
  <c r="T12" i="3"/>
  <c r="R12" i="3"/>
  <c r="P12" i="3"/>
  <c r="W12" i="3" s="1"/>
  <c r="M12" i="3"/>
  <c r="K12" i="3"/>
  <c r="I12" i="3"/>
  <c r="G12" i="3"/>
  <c r="E12" i="3"/>
  <c r="C12" i="3"/>
  <c r="AG11" i="3"/>
  <c r="AE11" i="3"/>
  <c r="AC11" i="3"/>
  <c r="AA11" i="3"/>
  <c r="Y11" i="3"/>
  <c r="Y17" i="3" s="1"/>
  <c r="V11" i="3"/>
  <c r="T11" i="3"/>
  <c r="R11" i="3"/>
  <c r="P11" i="3"/>
  <c r="M11" i="3"/>
  <c r="K11" i="3"/>
  <c r="K17" i="3" s="1"/>
  <c r="K29" i="3" s="1"/>
  <c r="I11" i="3"/>
  <c r="G11" i="3"/>
  <c r="E11" i="3"/>
  <c r="C11" i="3"/>
  <c r="C17" i="3" s="1"/>
  <c r="AG10" i="3"/>
  <c r="AE10" i="3"/>
  <c r="AC10" i="3"/>
  <c r="AC17" i="3" s="1"/>
  <c r="AC29" i="3" s="1"/>
  <c r="AA10" i="3"/>
  <c r="AA17" i="3" s="1"/>
  <c r="AA29" i="3" s="1"/>
  <c r="Y10" i="3"/>
  <c r="V10" i="3"/>
  <c r="V17" i="3" s="1"/>
  <c r="T10" i="3"/>
  <c r="R10" i="3"/>
  <c r="P10" i="3"/>
  <c r="M10" i="3"/>
  <c r="M17" i="3" s="1"/>
  <c r="M29" i="3" s="1"/>
  <c r="K10" i="3"/>
  <c r="I10" i="3"/>
  <c r="G10" i="3"/>
  <c r="G17" i="3" s="1"/>
  <c r="G29" i="3" s="1"/>
  <c r="E10" i="3"/>
  <c r="E17" i="3" s="1"/>
  <c r="E29" i="3" s="1"/>
  <c r="C10" i="3"/>
  <c r="G45" i="4"/>
  <c r="J44" i="4"/>
  <c r="I44" i="4"/>
  <c r="G44" i="4"/>
  <c r="F44" i="4"/>
  <c r="D44" i="4"/>
  <c r="J43" i="4"/>
  <c r="J45" i="4" s="1"/>
  <c r="F43" i="4"/>
  <c r="G43" i="4" s="1"/>
  <c r="D43" i="4"/>
  <c r="J40" i="4"/>
  <c r="I40" i="4"/>
  <c r="F40" i="4"/>
  <c r="G40" i="4" s="1"/>
  <c r="D40" i="4"/>
  <c r="J39" i="4"/>
  <c r="I39" i="4"/>
  <c r="F39" i="4"/>
  <c r="G39" i="4" s="1"/>
  <c r="D39" i="4"/>
  <c r="J38" i="4"/>
  <c r="I38" i="4"/>
  <c r="F38" i="4"/>
  <c r="G38" i="4" s="1"/>
  <c r="D38" i="4"/>
  <c r="J37" i="4"/>
  <c r="I37" i="4"/>
  <c r="F37" i="4"/>
  <c r="G37" i="4" s="1"/>
  <c r="D37" i="4"/>
  <c r="J36" i="4"/>
  <c r="I36" i="4"/>
  <c r="F36" i="4"/>
  <c r="G36" i="4" s="1"/>
  <c r="D36" i="4"/>
  <c r="J35" i="4"/>
  <c r="I35" i="4"/>
  <c r="F35" i="4"/>
  <c r="G35" i="4" s="1"/>
  <c r="G41" i="4" s="1"/>
  <c r="D35" i="4"/>
  <c r="D41" i="4" s="1"/>
  <c r="J32" i="4"/>
  <c r="I32" i="4"/>
  <c r="F32" i="4"/>
  <c r="G32" i="4" s="1"/>
  <c r="D32" i="4"/>
  <c r="J31" i="4"/>
  <c r="I31" i="4"/>
  <c r="F31" i="4"/>
  <c r="G31" i="4" s="1"/>
  <c r="D31" i="4"/>
  <c r="J30" i="4"/>
  <c r="I30" i="4"/>
  <c r="F30" i="4"/>
  <c r="G30" i="4" s="1"/>
  <c r="D30" i="4"/>
  <c r="J29" i="4"/>
  <c r="I29" i="4"/>
  <c r="F29" i="4"/>
  <c r="G29" i="4" s="1"/>
  <c r="D29" i="4"/>
  <c r="J28" i="4"/>
  <c r="I28" i="4"/>
  <c r="G28" i="4"/>
  <c r="F28" i="4"/>
  <c r="D28" i="4"/>
  <c r="J27" i="4"/>
  <c r="I27" i="4"/>
  <c r="G27" i="4"/>
  <c r="F27" i="4"/>
  <c r="D27" i="4"/>
  <c r="J26" i="4"/>
  <c r="I26" i="4"/>
  <c r="G26" i="4"/>
  <c r="F26" i="4"/>
  <c r="D26" i="4"/>
  <c r="J25" i="4"/>
  <c r="I25" i="4"/>
  <c r="G25" i="4"/>
  <c r="F25" i="4"/>
  <c r="D25" i="4"/>
  <c r="J24" i="4"/>
  <c r="J33" i="4" s="1"/>
  <c r="I24" i="4"/>
  <c r="I33" i="4" s="1"/>
  <c r="G24" i="4"/>
  <c r="G33" i="4" s="1"/>
  <c r="F24" i="4"/>
  <c r="F33" i="4" s="1"/>
  <c r="D24" i="4"/>
  <c r="D33" i="4" s="1"/>
  <c r="I21" i="4"/>
  <c r="J21" i="4" s="1"/>
  <c r="G21" i="4"/>
  <c r="F21" i="4"/>
  <c r="D21" i="4"/>
  <c r="I20" i="4"/>
  <c r="J20" i="4" s="1"/>
  <c r="G20" i="4"/>
  <c r="F20" i="4"/>
  <c r="D20" i="4"/>
  <c r="I19" i="4"/>
  <c r="J19" i="4" s="1"/>
  <c r="G19" i="4"/>
  <c r="F19" i="4"/>
  <c r="D19" i="4"/>
  <c r="I18" i="4"/>
  <c r="J18" i="4" s="1"/>
  <c r="G18" i="4"/>
  <c r="G22" i="4" s="1"/>
  <c r="F18" i="4"/>
  <c r="D18" i="4"/>
  <c r="D22" i="4" s="1"/>
  <c r="J15" i="4"/>
  <c r="I15" i="4"/>
  <c r="G15" i="4"/>
  <c r="F15" i="4"/>
  <c r="D15" i="4"/>
  <c r="J14" i="4"/>
  <c r="I14" i="4"/>
  <c r="G14" i="4"/>
  <c r="F14" i="4"/>
  <c r="D14" i="4"/>
  <c r="J13" i="4"/>
  <c r="I13" i="4"/>
  <c r="G13" i="4"/>
  <c r="F13" i="4"/>
  <c r="D13" i="4"/>
  <c r="J12" i="4"/>
  <c r="I12" i="4"/>
  <c r="G12" i="4"/>
  <c r="F12" i="4"/>
  <c r="D12" i="4"/>
  <c r="J11" i="4"/>
  <c r="I11" i="4"/>
  <c r="G11" i="4"/>
  <c r="F11" i="4"/>
  <c r="D11" i="4"/>
  <c r="J10" i="4"/>
  <c r="J16" i="4" s="1"/>
  <c r="I10" i="4"/>
  <c r="G10" i="4"/>
  <c r="G16" i="4" s="1"/>
  <c r="F10" i="4"/>
  <c r="D10" i="4"/>
  <c r="D16" i="4" s="1"/>
  <c r="I105" i="18"/>
  <c r="I104" i="18"/>
  <c r="I103" i="18"/>
  <c r="H101" i="18"/>
  <c r="I101" i="18" s="1"/>
  <c r="E101" i="18"/>
  <c r="D101" i="18"/>
  <c r="H100" i="18"/>
  <c r="G100" i="18"/>
  <c r="E100" i="18"/>
  <c r="D100" i="18"/>
  <c r="C100" i="18"/>
  <c r="B100" i="18"/>
  <c r="H98" i="18"/>
  <c r="E98" i="18"/>
  <c r="D98" i="18"/>
  <c r="H97" i="18"/>
  <c r="I97" i="18" s="1"/>
  <c r="E97" i="18"/>
  <c r="D97" i="18"/>
  <c r="H96" i="18"/>
  <c r="I96" i="18" s="1"/>
  <c r="D96" i="18"/>
  <c r="E96" i="18" s="1"/>
  <c r="H95" i="18"/>
  <c r="I95" i="18" s="1"/>
  <c r="E95" i="18"/>
  <c r="D95" i="18"/>
  <c r="H94" i="18"/>
  <c r="I94" i="18" s="1"/>
  <c r="E94" i="18"/>
  <c r="G93" i="18"/>
  <c r="H93" i="18" s="1"/>
  <c r="C93" i="18"/>
  <c r="B93" i="18"/>
  <c r="H91" i="18"/>
  <c r="G91" i="18"/>
  <c r="D91" i="18"/>
  <c r="C91" i="18"/>
  <c r="B91" i="18"/>
  <c r="E91" i="18" s="1"/>
  <c r="H90" i="18"/>
  <c r="I90" i="18" s="1"/>
  <c r="E90" i="18"/>
  <c r="D90" i="18"/>
  <c r="H89" i="18"/>
  <c r="G89" i="18"/>
  <c r="E89" i="18"/>
  <c r="D89" i="18"/>
  <c r="C89" i="18"/>
  <c r="B89" i="18"/>
  <c r="H88" i="18"/>
  <c r="G88" i="18"/>
  <c r="C88" i="18"/>
  <c r="C86" i="18" s="1"/>
  <c r="D86" i="18" s="1"/>
  <c r="B88" i="18"/>
  <c r="H87" i="18"/>
  <c r="G87" i="18"/>
  <c r="E87" i="18"/>
  <c r="D87" i="18"/>
  <c r="C87" i="18"/>
  <c r="B87" i="18"/>
  <c r="H86" i="18"/>
  <c r="G86" i="18"/>
  <c r="B86" i="18"/>
  <c r="E86" i="18" s="1"/>
  <c r="H85" i="18"/>
  <c r="I85" i="18" s="1"/>
  <c r="D85" i="18"/>
  <c r="E85" i="18" s="1"/>
  <c r="H84" i="18"/>
  <c r="E84" i="18"/>
  <c r="D84" i="18"/>
  <c r="H83" i="18"/>
  <c r="G83" i="18"/>
  <c r="C83" i="18"/>
  <c r="D83" i="18" s="1"/>
  <c r="B83" i="18"/>
  <c r="E83" i="18" s="1"/>
  <c r="H82" i="18"/>
  <c r="E82" i="18"/>
  <c r="D82" i="18"/>
  <c r="H81" i="18"/>
  <c r="I81" i="18" s="1"/>
  <c r="E81" i="18"/>
  <c r="D81" i="18"/>
  <c r="H80" i="18"/>
  <c r="I80" i="18" s="1"/>
  <c r="E80" i="18"/>
  <c r="D80" i="18"/>
  <c r="H79" i="18"/>
  <c r="I79" i="18" s="1"/>
  <c r="E79" i="18"/>
  <c r="D79" i="18"/>
  <c r="D78" i="18"/>
  <c r="C78" i="18"/>
  <c r="B78" i="18"/>
  <c r="E78" i="18" s="1"/>
  <c r="H77" i="18"/>
  <c r="E77" i="18"/>
  <c r="D77" i="18"/>
  <c r="I76" i="18"/>
  <c r="H76" i="18"/>
  <c r="E76" i="18"/>
  <c r="D76" i="18"/>
  <c r="H74" i="18"/>
  <c r="I74" i="18" s="1"/>
  <c r="D74" i="18"/>
  <c r="E74" i="18" s="1"/>
  <c r="I73" i="18"/>
  <c r="H73" i="18"/>
  <c r="G73" i="18"/>
  <c r="E73" i="18"/>
  <c r="D73" i="18"/>
  <c r="C73" i="18"/>
  <c r="B73" i="18"/>
  <c r="H71" i="18"/>
  <c r="I71" i="18" s="1"/>
  <c r="E71" i="18"/>
  <c r="D71" i="18"/>
  <c r="H70" i="18"/>
  <c r="I70" i="18" s="1"/>
  <c r="E70" i="18"/>
  <c r="D70" i="18"/>
  <c r="G68" i="18"/>
  <c r="H68" i="18" s="1"/>
  <c r="C68" i="18"/>
  <c r="B68" i="18"/>
  <c r="H67" i="18"/>
  <c r="E67" i="18"/>
  <c r="D67" i="18"/>
  <c r="H66" i="18"/>
  <c r="I66" i="18" s="1"/>
  <c r="E66" i="18"/>
  <c r="D66" i="18"/>
  <c r="H65" i="18"/>
  <c r="I65" i="18" s="1"/>
  <c r="E65" i="18"/>
  <c r="D65" i="18"/>
  <c r="H64" i="18"/>
  <c r="I64" i="18" s="1"/>
  <c r="D64" i="18"/>
  <c r="E64" i="18" s="1"/>
  <c r="H63" i="18"/>
  <c r="G63" i="18"/>
  <c r="D63" i="18"/>
  <c r="C63" i="18"/>
  <c r="B63" i="18"/>
  <c r="E63" i="18" s="1"/>
  <c r="H60" i="18"/>
  <c r="I60" i="18" s="1"/>
  <c r="E60" i="18"/>
  <c r="D60" i="18"/>
  <c r="H59" i="18"/>
  <c r="G59" i="18"/>
  <c r="E59" i="18"/>
  <c r="D59" i="18"/>
  <c r="C59" i="18"/>
  <c r="B59" i="18"/>
  <c r="I58" i="18"/>
  <c r="H58" i="18"/>
  <c r="G58" i="18"/>
  <c r="D58" i="18"/>
  <c r="C58" i="18"/>
  <c r="C56" i="18" s="1"/>
  <c r="B58" i="18"/>
  <c r="E58" i="18" s="1"/>
  <c r="G56" i="18"/>
  <c r="G133" i="18" s="1"/>
  <c r="B56" i="18"/>
  <c r="H55" i="18"/>
  <c r="I55" i="18" s="1"/>
  <c r="E55" i="18"/>
  <c r="D55" i="18"/>
  <c r="H54" i="18"/>
  <c r="E54" i="18"/>
  <c r="D54" i="18"/>
  <c r="G53" i="18"/>
  <c r="H53" i="18" s="1"/>
  <c r="C53" i="18"/>
  <c r="B53" i="18"/>
  <c r="D53" i="18" s="1"/>
  <c r="H52" i="18"/>
  <c r="E52" i="18"/>
  <c r="D52" i="18"/>
  <c r="I51" i="18"/>
  <c r="H51" i="18"/>
  <c r="E51" i="18"/>
  <c r="D51" i="18"/>
  <c r="H49" i="18"/>
  <c r="I49" i="18" s="1"/>
  <c r="E49" i="18"/>
  <c r="D49" i="18"/>
  <c r="G48" i="18"/>
  <c r="H48" i="18" s="1"/>
  <c r="C48" i="18"/>
  <c r="B48" i="18"/>
  <c r="H47" i="18"/>
  <c r="E47" i="18"/>
  <c r="D47" i="18"/>
  <c r="I46" i="18"/>
  <c r="H46" i="18"/>
  <c r="E46" i="18"/>
  <c r="D46" i="18"/>
  <c r="I45" i="18"/>
  <c r="H45" i="18"/>
  <c r="E45" i="18"/>
  <c r="D45" i="18"/>
  <c r="I44" i="18"/>
  <c r="H44" i="18"/>
  <c r="E44" i="18"/>
  <c r="D44" i="18"/>
  <c r="H43" i="18"/>
  <c r="D43" i="18"/>
  <c r="C43" i="18"/>
  <c r="B43" i="18"/>
  <c r="I42" i="18"/>
  <c r="H42" i="18"/>
  <c r="E42" i="18"/>
  <c r="D42" i="18"/>
  <c r="I41" i="18"/>
  <c r="H41" i="18"/>
  <c r="E41" i="18"/>
  <c r="D41" i="18"/>
  <c r="I40" i="18"/>
  <c r="H40" i="18"/>
  <c r="E40" i="18"/>
  <c r="D40" i="18"/>
  <c r="I39" i="18"/>
  <c r="H39" i="18"/>
  <c r="E39" i="18"/>
  <c r="D39" i="18"/>
  <c r="I38" i="18"/>
  <c r="H38" i="18"/>
  <c r="G38" i="18"/>
  <c r="D38" i="18"/>
  <c r="C38" i="18"/>
  <c r="B38" i="18"/>
  <c r="E38" i="18" s="1"/>
  <c r="I37" i="18"/>
  <c r="H37" i="18"/>
  <c r="E37" i="18"/>
  <c r="D37" i="18"/>
  <c r="H36" i="18"/>
  <c r="I36" i="18" s="1"/>
  <c r="E36" i="18"/>
  <c r="D36" i="18"/>
  <c r="H35" i="18"/>
  <c r="I35" i="18" s="1"/>
  <c r="E35" i="18"/>
  <c r="D35" i="18"/>
  <c r="H34" i="18"/>
  <c r="I34" i="18" s="1"/>
  <c r="E34" i="18"/>
  <c r="D34" i="18"/>
  <c r="H33" i="18"/>
  <c r="G33" i="18"/>
  <c r="C33" i="18"/>
  <c r="D33" i="18" s="1"/>
  <c r="B33" i="18"/>
  <c r="I32" i="18"/>
  <c r="H32" i="18"/>
  <c r="E32" i="18"/>
  <c r="D32" i="18"/>
  <c r="I31" i="18"/>
  <c r="H31" i="18"/>
  <c r="E31" i="18"/>
  <c r="D31" i="18"/>
  <c r="I30" i="18"/>
  <c r="H30" i="18"/>
  <c r="E30" i="18"/>
  <c r="D30" i="18"/>
  <c r="I29" i="18"/>
  <c r="H29" i="18"/>
  <c r="E29" i="18"/>
  <c r="D29" i="18"/>
  <c r="G28" i="18"/>
  <c r="H28" i="18" s="1"/>
  <c r="C28" i="18"/>
  <c r="B28" i="18"/>
  <c r="I27" i="18"/>
  <c r="H27" i="18"/>
  <c r="E27" i="18"/>
  <c r="D27" i="18"/>
  <c r="I26" i="18"/>
  <c r="H26" i="18"/>
  <c r="D26" i="18"/>
  <c r="E26" i="18" s="1"/>
  <c r="I25" i="18"/>
  <c r="H25" i="18"/>
  <c r="D25" i="18"/>
  <c r="E25" i="18" s="1"/>
  <c r="I24" i="18"/>
  <c r="H24" i="18"/>
  <c r="D24" i="18"/>
  <c r="E24" i="18" s="1"/>
  <c r="I23" i="18"/>
  <c r="H23" i="18"/>
  <c r="G23" i="18"/>
  <c r="E23" i="18"/>
  <c r="D23" i="18"/>
  <c r="C23" i="18"/>
  <c r="B23" i="18"/>
  <c r="I22" i="18"/>
  <c r="H22" i="18"/>
  <c r="E22" i="18"/>
  <c r="D22" i="18"/>
  <c r="I21" i="18"/>
  <c r="H21" i="18"/>
  <c r="E21" i="18"/>
  <c r="D21" i="18"/>
  <c r="I20" i="18"/>
  <c r="H20" i="18"/>
  <c r="E20" i="18"/>
  <c r="D20" i="18"/>
  <c r="I19" i="18"/>
  <c r="H19" i="18"/>
  <c r="E19" i="18"/>
  <c r="D19" i="18"/>
  <c r="I18" i="18"/>
  <c r="H18" i="18"/>
  <c r="G18" i="18"/>
  <c r="D18" i="18"/>
  <c r="C18" i="18"/>
  <c r="B18" i="18"/>
  <c r="E18" i="18" s="1"/>
  <c r="I17" i="18"/>
  <c r="E17" i="18"/>
  <c r="D17" i="18"/>
  <c r="E16" i="18"/>
  <c r="D16" i="18"/>
  <c r="E15" i="18"/>
  <c r="D15" i="18"/>
  <c r="E14" i="18"/>
  <c r="D14" i="18"/>
  <c r="I13" i="18"/>
  <c r="H13" i="18"/>
  <c r="G13" i="18"/>
  <c r="D13" i="18"/>
  <c r="C13" i="18"/>
  <c r="B13" i="18"/>
  <c r="E13" i="18" s="1"/>
  <c r="I12" i="18"/>
  <c r="H12" i="18"/>
  <c r="E12" i="18"/>
  <c r="D12" i="18"/>
  <c r="H11" i="18"/>
  <c r="I11" i="18" s="1"/>
  <c r="E11" i="18"/>
  <c r="D11" i="18"/>
  <c r="H10" i="18"/>
  <c r="I10" i="18" s="1"/>
  <c r="E10" i="18"/>
  <c r="D10" i="18"/>
  <c r="H9" i="18"/>
  <c r="I9" i="18" s="1"/>
  <c r="E9" i="18"/>
  <c r="D9" i="18"/>
  <c r="H8" i="18"/>
  <c r="G8" i="18"/>
  <c r="C8" i="18"/>
  <c r="D8" i="18" s="1"/>
  <c r="B8" i="18"/>
  <c r="G19" i="17"/>
  <c r="B19" i="17"/>
  <c r="E19" i="17" s="1"/>
  <c r="G18" i="17"/>
  <c r="E18" i="17"/>
  <c r="D18" i="17"/>
  <c r="C18" i="17"/>
  <c r="B18" i="17"/>
  <c r="I17" i="17"/>
  <c r="H17" i="17"/>
  <c r="H18" i="17" s="1"/>
  <c r="I18" i="17" s="1"/>
  <c r="E17" i="17"/>
  <c r="D17" i="17"/>
  <c r="G15" i="17"/>
  <c r="D15" i="17"/>
  <c r="D19" i="17" s="1"/>
  <c r="C15" i="17"/>
  <c r="C19" i="17" s="1"/>
  <c r="B15" i="17"/>
  <c r="E15" i="17" s="1"/>
  <c r="H14" i="17"/>
  <c r="I14" i="17" s="1"/>
  <c r="E14" i="17"/>
  <c r="D14" i="17"/>
  <c r="H13" i="17"/>
  <c r="I13" i="17" s="1"/>
  <c r="E13" i="17"/>
  <c r="D13" i="17"/>
  <c r="H12" i="17"/>
  <c r="I12" i="17" s="1"/>
  <c r="E12" i="17"/>
  <c r="D12" i="17"/>
  <c r="H11" i="17"/>
  <c r="I11" i="17" s="1"/>
  <c r="E11" i="17"/>
  <c r="D11" i="17"/>
  <c r="H10" i="17"/>
  <c r="I10" i="17" s="1"/>
  <c r="E10" i="17"/>
  <c r="D10" i="17"/>
  <c r="H9" i="17"/>
  <c r="I9" i="17" s="1"/>
  <c r="E9" i="17"/>
  <c r="D9" i="17"/>
  <c r="H8" i="17"/>
  <c r="H15" i="17" s="1"/>
  <c r="E8" i="17"/>
  <c r="D8" i="17"/>
  <c r="I15" i="17" l="1"/>
  <c r="H19" i="17"/>
  <c r="E8" i="18"/>
  <c r="C133" i="18"/>
  <c r="D56" i="18"/>
  <c r="E88" i="18"/>
  <c r="F46" i="4"/>
  <c r="H12" i="4" s="1"/>
  <c r="E93" i="18"/>
  <c r="H33" i="4"/>
  <c r="J22" i="4"/>
  <c r="E33" i="18"/>
  <c r="J16" i="5"/>
  <c r="N16" i="5"/>
  <c r="O16" i="5" s="1"/>
  <c r="BI44" i="3"/>
  <c r="I48" i="18"/>
  <c r="N10" i="3"/>
  <c r="W38" i="3"/>
  <c r="BI53" i="3"/>
  <c r="T29" i="5"/>
  <c r="Q29" i="5"/>
  <c r="R29" i="5" s="1"/>
  <c r="F29" i="5"/>
  <c r="G29" i="5" s="1"/>
  <c r="I29" i="5" s="1"/>
  <c r="I8" i="17"/>
  <c r="I8" i="18"/>
  <c r="I33" i="18"/>
  <c r="I43" i="18"/>
  <c r="E43" i="18"/>
  <c r="H56" i="18"/>
  <c r="I56" i="18" s="1"/>
  <c r="I59" i="18"/>
  <c r="I87" i="18"/>
  <c r="D88" i="18"/>
  <c r="I89" i="18"/>
  <c r="I100" i="18"/>
  <c r="H10" i="4"/>
  <c r="P17" i="3"/>
  <c r="P29" i="3" s="1"/>
  <c r="W10" i="3"/>
  <c r="AE17" i="3"/>
  <c r="AE29" i="3" s="1"/>
  <c r="N11" i="3"/>
  <c r="W16" i="3"/>
  <c r="BI16" i="3" s="1"/>
  <c r="V22" i="3"/>
  <c r="V29" i="3" s="1"/>
  <c r="N26" i="3"/>
  <c r="I45" i="3"/>
  <c r="I57" i="3" s="1"/>
  <c r="W39" i="3"/>
  <c r="BI39" i="3" s="1"/>
  <c r="W43" i="3"/>
  <c r="S57" i="3"/>
  <c r="R10" i="5"/>
  <c r="Y16" i="5"/>
  <c r="Z16" i="5" s="1"/>
  <c r="F25" i="5"/>
  <c r="G21" i="5"/>
  <c r="U28" i="5"/>
  <c r="Y28" i="5"/>
  <c r="Z28" i="5" s="1"/>
  <c r="N23" i="6"/>
  <c r="T29" i="8"/>
  <c r="S29" i="8"/>
  <c r="I68" i="18"/>
  <c r="C22" i="3"/>
  <c r="C29" i="3" s="1"/>
  <c r="N19" i="3"/>
  <c r="BI40" i="3"/>
  <c r="I11" i="5"/>
  <c r="E19" i="5"/>
  <c r="Q11" i="5"/>
  <c r="R11" i="5" s="1"/>
  <c r="T11" i="5" s="1"/>
  <c r="F11" i="5"/>
  <c r="G11" i="5" s="1"/>
  <c r="J14" i="5"/>
  <c r="N14" i="5"/>
  <c r="O14" i="5" s="1"/>
  <c r="T21" i="5"/>
  <c r="H9" i="15"/>
  <c r="K9" i="15"/>
  <c r="I19" i="17"/>
  <c r="D28" i="18"/>
  <c r="E28" i="18" s="1"/>
  <c r="I28" i="18"/>
  <c r="D48" i="18"/>
  <c r="I63" i="18"/>
  <c r="D68" i="18"/>
  <c r="E68" i="18" s="1"/>
  <c r="I78" i="18"/>
  <c r="H78" i="18"/>
  <c r="I91" i="18"/>
  <c r="D93" i="18"/>
  <c r="I93" i="18"/>
  <c r="J41" i="4"/>
  <c r="W11" i="3"/>
  <c r="W19" i="3"/>
  <c r="Y22" i="3"/>
  <c r="Y29" i="3" s="1"/>
  <c r="BI28" i="3"/>
  <c r="K57" i="3"/>
  <c r="T45" i="3"/>
  <c r="T57" i="3" s="1"/>
  <c r="N41" i="3"/>
  <c r="N42" i="3"/>
  <c r="N48" i="3"/>
  <c r="BI48" i="3" s="1"/>
  <c r="N52" i="3"/>
  <c r="BI52" i="3" s="1"/>
  <c r="G10" i="5"/>
  <c r="V19" i="5"/>
  <c r="V32" i="5" s="1"/>
  <c r="N12" i="5"/>
  <c r="O12" i="5" s="1"/>
  <c r="I15" i="5"/>
  <c r="Q15" i="5"/>
  <c r="R15" i="5" s="1"/>
  <c r="T15" i="5" s="1"/>
  <c r="F15" i="5"/>
  <c r="G15" i="5" s="1"/>
  <c r="W25" i="5"/>
  <c r="J28" i="5"/>
  <c r="N28" i="5"/>
  <c r="O28" i="5" s="1"/>
  <c r="N30" i="5"/>
  <c r="O30" i="5" s="1"/>
  <c r="N24" i="6"/>
  <c r="I24" i="6"/>
  <c r="G41" i="7"/>
  <c r="L41" i="7"/>
  <c r="E21" i="13"/>
  <c r="B28" i="13"/>
  <c r="E21" i="15"/>
  <c r="G19" i="15"/>
  <c r="I53" i="18"/>
  <c r="B133" i="18"/>
  <c r="E48" i="18"/>
  <c r="E53" i="18"/>
  <c r="E56" i="18"/>
  <c r="I83" i="18"/>
  <c r="I86" i="18"/>
  <c r="I88" i="18"/>
  <c r="D45" i="4"/>
  <c r="T17" i="3"/>
  <c r="T29" i="3" s="1"/>
  <c r="R17" i="3"/>
  <c r="R29" i="3" s="1"/>
  <c r="N12" i="3"/>
  <c r="W13" i="3"/>
  <c r="BI13" i="3" s="1"/>
  <c r="H29" i="3"/>
  <c r="R22" i="3"/>
  <c r="W21" i="3"/>
  <c r="BI21" i="3" s="1"/>
  <c r="E45" i="3"/>
  <c r="N47" i="3"/>
  <c r="N56" i="3"/>
  <c r="W32" i="5"/>
  <c r="Y12" i="5"/>
  <c r="Z12" i="5" s="1"/>
  <c r="U14" i="5"/>
  <c r="Y14" i="5"/>
  <c r="Z14" i="5" s="1"/>
  <c r="T22" i="5"/>
  <c r="I22" i="5"/>
  <c r="E25" i="5"/>
  <c r="Q22" i="5"/>
  <c r="R22" i="5" s="1"/>
  <c r="R25" i="5" s="1"/>
  <c r="F22" i="5"/>
  <c r="G22" i="5" s="1"/>
  <c r="Y30" i="5"/>
  <c r="Z30" i="5" s="1"/>
  <c r="N9" i="6"/>
  <c r="N25" i="6"/>
  <c r="P21" i="12"/>
  <c r="C103" i="12"/>
  <c r="C105" i="12" s="1"/>
  <c r="I21" i="12"/>
  <c r="K27" i="15"/>
  <c r="L27" i="15" s="1"/>
  <c r="H27" i="15"/>
  <c r="I27" i="15" s="1"/>
  <c r="K15" i="15"/>
  <c r="L15" i="15" s="1"/>
  <c r="H15" i="15"/>
  <c r="I15" i="15" s="1"/>
  <c r="Y45" i="3"/>
  <c r="AP40" i="3"/>
  <c r="C45" i="3"/>
  <c r="C57" i="3" s="1"/>
  <c r="E50" i="3"/>
  <c r="W47" i="3"/>
  <c r="W55" i="3"/>
  <c r="BI55" i="3" s="1"/>
  <c r="T13" i="5"/>
  <c r="T24" i="5"/>
  <c r="I27" i="5"/>
  <c r="T27" i="5"/>
  <c r="T31" i="5"/>
  <c r="E15" i="6"/>
  <c r="N15" i="6" s="1"/>
  <c r="I23" i="6"/>
  <c r="B27" i="6"/>
  <c r="T9" i="8"/>
  <c r="S9" i="8"/>
  <c r="K13" i="8"/>
  <c r="J13" i="8"/>
  <c r="D19" i="8"/>
  <c r="B33" i="8"/>
  <c r="D33" i="8" s="1"/>
  <c r="G20" i="15"/>
  <c r="D23" i="14"/>
  <c r="E23" i="14" s="1"/>
  <c r="G16" i="13"/>
  <c r="H10" i="13"/>
  <c r="AV57" i="3"/>
  <c r="M45" i="3"/>
  <c r="M57" i="3" s="1"/>
  <c r="AA45" i="3"/>
  <c r="AA57" i="3" s="1"/>
  <c r="G50" i="3"/>
  <c r="G57" i="3" s="1"/>
  <c r="E20" i="6"/>
  <c r="M20" i="6"/>
  <c r="N20" i="6" s="1"/>
  <c r="F41" i="7"/>
  <c r="K41" i="7"/>
  <c r="R19" i="8"/>
  <c r="T25" i="8"/>
  <c r="S25" i="8"/>
  <c r="V26" i="8"/>
  <c r="M26" i="8"/>
  <c r="AE23" i="9"/>
  <c r="D21" i="13"/>
  <c r="H25" i="15"/>
  <c r="I25" i="15" s="1"/>
  <c r="K25" i="15"/>
  <c r="L25" i="15" s="1"/>
  <c r="K23" i="15"/>
  <c r="L23" i="15" s="1"/>
  <c r="H23" i="15"/>
  <c r="I23" i="15" s="1"/>
  <c r="L18" i="15"/>
  <c r="H13" i="15"/>
  <c r="I13" i="15" s="1"/>
  <c r="K13" i="15"/>
  <c r="L13" i="15" s="1"/>
  <c r="F28" i="15"/>
  <c r="K11" i="15"/>
  <c r="L11" i="15" s="1"/>
  <c r="H11" i="15"/>
  <c r="I11" i="15" s="1"/>
  <c r="E16" i="15"/>
  <c r="E28" i="15" s="1"/>
  <c r="L16" i="14"/>
  <c r="C23" i="14"/>
  <c r="M72" i="12"/>
  <c r="L104" i="12"/>
  <c r="F43" i="12"/>
  <c r="E103" i="12"/>
  <c r="W53" i="3"/>
  <c r="AP10" i="3"/>
  <c r="AG17" i="3"/>
  <c r="AP12" i="3"/>
  <c r="AK17" i="3"/>
  <c r="AK29" i="3" s="1"/>
  <c r="AP14" i="3"/>
  <c r="BI14" i="3" s="1"/>
  <c r="V45" i="3"/>
  <c r="V57" i="3" s="1"/>
  <c r="K50" i="3"/>
  <c r="R50" i="3"/>
  <c r="R57" i="3" s="1"/>
  <c r="F13" i="5"/>
  <c r="G13" i="5" s="1"/>
  <c r="I13" i="5" s="1"/>
  <c r="F24" i="5"/>
  <c r="G24" i="5" s="1"/>
  <c r="I24" i="5" s="1"/>
  <c r="F27" i="5"/>
  <c r="G27" i="5" s="1"/>
  <c r="F31" i="5"/>
  <c r="G31" i="5" s="1"/>
  <c r="I31" i="5" s="1"/>
  <c r="H20" i="6"/>
  <c r="I20" i="6" s="1"/>
  <c r="K9" i="8"/>
  <c r="J9" i="8"/>
  <c r="J12" i="8"/>
  <c r="T13" i="8"/>
  <c r="S13" i="8"/>
  <c r="E33" i="8"/>
  <c r="I19" i="8"/>
  <c r="R26" i="8"/>
  <c r="T26" i="8" s="1"/>
  <c r="I23" i="14"/>
  <c r="J23" i="14" s="1"/>
  <c r="J22" i="14"/>
  <c r="G24" i="15"/>
  <c r="F21" i="15"/>
  <c r="G12" i="15"/>
  <c r="G16" i="14"/>
  <c r="BH49" i="3"/>
  <c r="BH50" i="3" s="1"/>
  <c r="BE50" i="3"/>
  <c r="AG16" i="9"/>
  <c r="D16" i="13"/>
  <c r="W56" i="3"/>
  <c r="AG57" i="3"/>
  <c r="AP44" i="3"/>
  <c r="AP20" i="3"/>
  <c r="BI20" i="3" s="1"/>
  <c r="AP13" i="3"/>
  <c r="AO17" i="3"/>
  <c r="K19" i="8"/>
  <c r="I26" i="8"/>
  <c r="AG17" i="9"/>
  <c r="AG19" i="9"/>
  <c r="AG21" i="9"/>
  <c r="F21" i="12"/>
  <c r="M21" i="12"/>
  <c r="G103" i="12"/>
  <c r="G105" i="12" s="1"/>
  <c r="BC54" i="3"/>
  <c r="BI54" i="3" s="1"/>
  <c r="AG23" i="9"/>
  <c r="AE24" i="9"/>
  <c r="AE26" i="9"/>
  <c r="AE28" i="9"/>
  <c r="AE30" i="9"/>
  <c r="AE32" i="9"/>
  <c r="AE34" i="9"/>
  <c r="AE36" i="9"/>
  <c r="B105" i="12"/>
  <c r="N105" i="12"/>
  <c r="G22" i="14"/>
  <c r="G21" i="13"/>
  <c r="H21" i="13" s="1"/>
  <c r="E104" i="12"/>
  <c r="I72" i="12"/>
  <c r="C104" i="12"/>
  <c r="M38" i="12"/>
  <c r="L103" i="12"/>
  <c r="L105" i="12" s="1"/>
  <c r="BC55" i="3"/>
  <c r="W52" i="3"/>
  <c r="AX50" i="3"/>
  <c r="BC49" i="3"/>
  <c r="BC50" i="3" s="1"/>
  <c r="BC40" i="3"/>
  <c r="AX45" i="3"/>
  <c r="AI57" i="3"/>
  <c r="BC39" i="3"/>
  <c r="BG57" i="3"/>
  <c r="AP26" i="3"/>
  <c r="BC25" i="3"/>
  <c r="BI25" i="3" s="1"/>
  <c r="AX17" i="3"/>
  <c r="AX29" i="3" s="1"/>
  <c r="BC10" i="3"/>
  <c r="AI17" i="3"/>
  <c r="AI29" i="3" s="1"/>
  <c r="Y50" i="3"/>
  <c r="AP43" i="3"/>
  <c r="BI43" i="3" s="1"/>
  <c r="W42" i="3"/>
  <c r="BH40" i="3"/>
  <c r="BE45" i="3"/>
  <c r="BE57" i="3" s="1"/>
  <c r="BH38" i="3"/>
  <c r="BH45" i="3" s="1"/>
  <c r="BH57" i="3" s="1"/>
  <c r="BH28" i="3"/>
  <c r="AP27" i="3"/>
  <c r="BI27" i="3" s="1"/>
  <c r="BC26" i="3"/>
  <c r="BH24" i="3"/>
  <c r="BI24" i="3" s="1"/>
  <c r="BH16" i="3"/>
  <c r="AP15" i="3"/>
  <c r="BH17" i="3"/>
  <c r="D61" i="18"/>
  <c r="E61" i="18"/>
  <c r="O104" i="12"/>
  <c r="O105" i="12" s="1"/>
  <c r="BB45" i="3"/>
  <c r="BB57" i="3" s="1"/>
  <c r="AT45" i="3"/>
  <c r="AT57" i="3" s="1"/>
  <c r="AK45" i="3"/>
  <c r="AK57" i="3" s="1"/>
  <c r="AP38" i="3"/>
  <c r="AC45" i="3"/>
  <c r="AC57" i="3" s="1"/>
  <c r="AP28" i="3"/>
  <c r="BC27" i="3"/>
  <c r="BH25" i="3"/>
  <c r="AP24" i="3"/>
  <c r="AP21" i="3"/>
  <c r="AP19" i="3"/>
  <c r="AO22" i="3"/>
  <c r="AG22" i="3"/>
  <c r="AP16" i="3"/>
  <c r="AZ17" i="3"/>
  <c r="AZ29" i="3" s="1"/>
  <c r="BC15" i="3"/>
  <c r="BI15" i="3" s="1"/>
  <c r="AR17" i="3"/>
  <c r="AR29" i="3" s="1"/>
  <c r="D114" i="18"/>
  <c r="E114" i="18" s="1"/>
  <c r="W49" i="3"/>
  <c r="P50" i="3"/>
  <c r="P57" i="3" s="1"/>
  <c r="AP47" i="3"/>
  <c r="AP50" i="3" s="1"/>
  <c r="AP41" i="3"/>
  <c r="AO45" i="3"/>
  <c r="AO57" i="3" s="1"/>
  <c r="AP39" i="3"/>
  <c r="AZ45" i="3"/>
  <c r="AZ57" i="3" s="1"/>
  <c r="AR45" i="3"/>
  <c r="AR57" i="3" s="1"/>
  <c r="BC38" i="3"/>
  <c r="BC28" i="3"/>
  <c r="AP25" i="3"/>
  <c r="BC24" i="3"/>
  <c r="AV22" i="3"/>
  <c r="AV29" i="3" s="1"/>
  <c r="BC16" i="3"/>
  <c r="BG17" i="3"/>
  <c r="BG29" i="3" s="1"/>
  <c r="AP11" i="3"/>
  <c r="I114" i="18"/>
  <c r="H61" i="18"/>
  <c r="I61" i="18" s="1"/>
  <c r="E121" i="18"/>
  <c r="E57" i="18"/>
  <c r="J24" i="5" l="1"/>
  <c r="N24" i="5"/>
  <c r="O24" i="5" s="1"/>
  <c r="J13" i="5"/>
  <c r="N13" i="5"/>
  <c r="O13" i="5" s="1"/>
  <c r="Y11" i="5"/>
  <c r="Z11" i="5" s="1"/>
  <c r="U11" i="5"/>
  <c r="J31" i="5"/>
  <c r="N31" i="5"/>
  <c r="O31" i="5" s="1"/>
  <c r="Y15" i="5"/>
  <c r="Z15" i="5" s="1"/>
  <c r="U15" i="5"/>
  <c r="N29" i="5"/>
  <c r="O29" i="5" s="1"/>
  <c r="J29" i="5"/>
  <c r="BH29" i="3"/>
  <c r="E16" i="13"/>
  <c r="D28" i="13"/>
  <c r="E28" i="13" s="1"/>
  <c r="AP17" i="3"/>
  <c r="U27" i="5"/>
  <c r="Y27" i="5"/>
  <c r="Z27" i="5" s="1"/>
  <c r="L9" i="15"/>
  <c r="T25" i="5"/>
  <c r="U25" i="5" s="1"/>
  <c r="U21" i="5"/>
  <c r="Y21" i="5"/>
  <c r="BI49" i="3"/>
  <c r="G25" i="5"/>
  <c r="I21" i="5"/>
  <c r="H24" i="15"/>
  <c r="I24" i="15" s="1"/>
  <c r="K24" i="15"/>
  <c r="L24" i="15" s="1"/>
  <c r="N15" i="5"/>
  <c r="O15" i="5" s="1"/>
  <c r="J15" i="5"/>
  <c r="I10" i="5"/>
  <c r="G19" i="5"/>
  <c r="H133" i="18"/>
  <c r="I133" i="18" s="1"/>
  <c r="W17" i="3"/>
  <c r="H27" i="4"/>
  <c r="H22" i="4"/>
  <c r="AX57" i="3"/>
  <c r="AO29" i="3"/>
  <c r="H12" i="15"/>
  <c r="I12" i="15" s="1"/>
  <c r="K12" i="15"/>
  <c r="L12" i="15" s="1"/>
  <c r="V33" i="8"/>
  <c r="M33" i="8"/>
  <c r="R33" i="8"/>
  <c r="H16" i="13"/>
  <c r="G28" i="13"/>
  <c r="H28" i="13" s="1"/>
  <c r="U31" i="5"/>
  <c r="Y31" i="5"/>
  <c r="Z31" i="5" s="1"/>
  <c r="U24" i="5"/>
  <c r="Y24" i="5"/>
  <c r="Z24" i="5" s="1"/>
  <c r="Y22" i="5"/>
  <c r="Z22" i="5" s="1"/>
  <c r="U22" i="5"/>
  <c r="E45" i="4"/>
  <c r="K19" i="15"/>
  <c r="H19" i="15"/>
  <c r="G21" i="15"/>
  <c r="F19" i="5"/>
  <c r="F32" i="5" s="1"/>
  <c r="BI42" i="3"/>
  <c r="N45" i="3"/>
  <c r="S19" i="8"/>
  <c r="N11" i="5"/>
  <c r="O11" i="5" s="1"/>
  <c r="J11" i="5"/>
  <c r="BI26" i="3"/>
  <c r="W45" i="3"/>
  <c r="W57" i="3" s="1"/>
  <c r="H15" i="4"/>
  <c r="H26" i="4"/>
  <c r="H14" i="4"/>
  <c r="H13" i="4"/>
  <c r="AP45" i="3"/>
  <c r="K26" i="8"/>
  <c r="J26" i="8"/>
  <c r="E105" i="12"/>
  <c r="S26" i="8"/>
  <c r="U13" i="5"/>
  <c r="Y13" i="5"/>
  <c r="Z13" i="5" s="1"/>
  <c r="BI47" i="3"/>
  <c r="N50" i="3"/>
  <c r="R19" i="5"/>
  <c r="R32" i="5" s="1"/>
  <c r="T10" i="5"/>
  <c r="Y29" i="5"/>
  <c r="Z29" i="5" s="1"/>
  <c r="U29" i="5"/>
  <c r="H44" i="4"/>
  <c r="H21" i="4"/>
  <c r="H20" i="4"/>
  <c r="H19" i="4"/>
  <c r="H18" i="4"/>
  <c r="H43" i="4"/>
  <c r="H39" i="4"/>
  <c r="H37" i="4"/>
  <c r="H35" i="4"/>
  <c r="H32" i="4"/>
  <c r="H30" i="4"/>
  <c r="H40" i="4"/>
  <c r="H36" i="4"/>
  <c r="H31" i="4"/>
  <c r="H38" i="4"/>
  <c r="H29" i="4"/>
  <c r="BC45" i="3"/>
  <c r="AP22" i="3"/>
  <c r="I33" i="8"/>
  <c r="J19" i="8"/>
  <c r="L23" i="14"/>
  <c r="G23" i="14"/>
  <c r="H20" i="15"/>
  <c r="I20" i="15" s="1"/>
  <c r="K20" i="15"/>
  <c r="L20" i="15" s="1"/>
  <c r="J27" i="5"/>
  <c r="N27" i="5"/>
  <c r="O27" i="5" s="1"/>
  <c r="N22" i="5"/>
  <c r="O22" i="5" s="1"/>
  <c r="J22" i="5"/>
  <c r="E57" i="3"/>
  <c r="I15" i="6"/>
  <c r="H16" i="15"/>
  <c r="I9" i="15"/>
  <c r="E32" i="5"/>
  <c r="Q19" i="5"/>
  <c r="H41" i="4"/>
  <c r="BC29" i="3"/>
  <c r="BC17" i="3"/>
  <c r="AG29" i="3"/>
  <c r="AP29" i="3" s="1"/>
  <c r="T19" i="8"/>
  <c r="E27" i="6"/>
  <c r="H27" i="6"/>
  <c r="M27" i="6"/>
  <c r="W50" i="3"/>
  <c r="Y57" i="3"/>
  <c r="BI56" i="3"/>
  <c r="BI12" i="3"/>
  <c r="BI41" i="3"/>
  <c r="BI38" i="3"/>
  <c r="W22" i="3"/>
  <c r="G16" i="15"/>
  <c r="G28" i="15" s="1"/>
  <c r="BI19" i="3"/>
  <c r="N22" i="3"/>
  <c r="Q25" i="5"/>
  <c r="BI11" i="3"/>
  <c r="H24" i="4"/>
  <c r="BI10" i="3"/>
  <c r="N17" i="3"/>
  <c r="H45" i="4"/>
  <c r="H11" i="4"/>
  <c r="H28" i="4"/>
  <c r="C46" i="4"/>
  <c r="H16" i="4"/>
  <c r="D133" i="18"/>
  <c r="E133" i="18" s="1"/>
  <c r="H25" i="4"/>
  <c r="I46" i="4"/>
  <c r="K41" i="4" s="1"/>
  <c r="BI17" i="3" l="1"/>
  <c r="AP57" i="3"/>
  <c r="L19" i="15"/>
  <c r="K21" i="15"/>
  <c r="L21" i="15" s="1"/>
  <c r="J10" i="5"/>
  <c r="I19" i="5"/>
  <c r="N10" i="5"/>
  <c r="J21" i="5"/>
  <c r="N21" i="5"/>
  <c r="I25" i="5"/>
  <c r="J25" i="5" s="1"/>
  <c r="BI22" i="3"/>
  <c r="I16" i="15"/>
  <c r="N27" i="6"/>
  <c r="Q32" i="5"/>
  <c r="J33" i="8"/>
  <c r="K33" i="8"/>
  <c r="U10" i="5"/>
  <c r="Y10" i="5"/>
  <c r="T19" i="5"/>
  <c r="K22" i="4"/>
  <c r="BC57" i="3"/>
  <c r="W29" i="3"/>
  <c r="K28" i="4"/>
  <c r="K27" i="4"/>
  <c r="K26" i="4"/>
  <c r="K25" i="4"/>
  <c r="K13" i="4"/>
  <c r="K44" i="4"/>
  <c r="K15" i="4"/>
  <c r="K14" i="4"/>
  <c r="K12" i="4"/>
  <c r="K11" i="4"/>
  <c r="K10" i="4"/>
  <c r="K24" i="4"/>
  <c r="K33" i="4"/>
  <c r="K30" i="4"/>
  <c r="K29" i="4"/>
  <c r="K40" i="4"/>
  <c r="K43" i="4"/>
  <c r="K37" i="4"/>
  <c r="K38" i="4"/>
  <c r="K45" i="4"/>
  <c r="K39" i="4"/>
  <c r="K31" i="4"/>
  <c r="K32" i="4"/>
  <c r="K19" i="4"/>
  <c r="K18" i="4"/>
  <c r="K35" i="4"/>
  <c r="K36" i="4"/>
  <c r="K16" i="4"/>
  <c r="K21" i="4"/>
  <c r="K20" i="4"/>
  <c r="E39" i="4"/>
  <c r="E30" i="4"/>
  <c r="E19" i="4"/>
  <c r="E40" i="4"/>
  <c r="E38" i="4"/>
  <c r="E36" i="4"/>
  <c r="E31" i="4"/>
  <c r="E29" i="4"/>
  <c r="E28" i="4"/>
  <c r="E27" i="4"/>
  <c r="E26" i="4"/>
  <c r="E25" i="4"/>
  <c r="E24" i="4"/>
  <c r="E15" i="4"/>
  <c r="E14" i="4"/>
  <c r="E13" i="4"/>
  <c r="E12" i="4"/>
  <c r="E11" i="4"/>
  <c r="E10" i="4"/>
  <c r="E37" i="4"/>
  <c r="E35" i="4"/>
  <c r="E32" i="4"/>
  <c r="E18" i="4"/>
  <c r="E21" i="4"/>
  <c r="E20" i="4"/>
  <c r="E44" i="4"/>
  <c r="E43" i="4"/>
  <c r="E16" i="4"/>
  <c r="E22" i="4"/>
  <c r="E33" i="4"/>
  <c r="E41" i="4"/>
  <c r="N29" i="3"/>
  <c r="I27" i="6"/>
  <c r="BI50" i="3"/>
  <c r="BI45" i="3"/>
  <c r="N57" i="3"/>
  <c r="I19" i="15"/>
  <c r="H21" i="15"/>
  <c r="I21" i="15" s="1"/>
  <c r="T33" i="8"/>
  <c r="S33" i="8"/>
  <c r="G32" i="5"/>
  <c r="Z21" i="5"/>
  <c r="Y25" i="5"/>
  <c r="Z25" i="5" s="1"/>
  <c r="K16" i="15"/>
  <c r="BI57" i="3" l="1"/>
  <c r="Z10" i="5"/>
  <c r="Y19" i="5"/>
  <c r="H28" i="15"/>
  <c r="I28" i="15" s="1"/>
  <c r="I32" i="5"/>
  <c r="J32" i="5" s="1"/>
  <c r="J19" i="5"/>
  <c r="AP58" i="3"/>
  <c r="BJ50" i="3"/>
  <c r="N19" i="5"/>
  <c r="O10" i="5"/>
  <c r="BI29" i="3"/>
  <c r="K28" i="15"/>
  <c r="L28" i="15" s="1"/>
  <c r="L16" i="15"/>
  <c r="N58" i="3"/>
  <c r="BC58" i="3"/>
  <c r="T32" i="5"/>
  <c r="U32" i="5" s="1"/>
  <c r="U19" i="5"/>
  <c r="O21" i="5"/>
  <c r="N25" i="5"/>
  <c r="O25" i="5" s="1"/>
  <c r="Z19" i="5" l="1"/>
  <c r="Y32" i="5"/>
  <c r="Z32" i="5" s="1"/>
  <c r="AS30" i="3"/>
  <c r="BA30" i="3"/>
  <c r="D30" i="3"/>
  <c r="AL30" i="3"/>
  <c r="H30" i="3"/>
  <c r="AB30" i="3"/>
  <c r="J30" i="3"/>
  <c r="Z30" i="3"/>
  <c r="L30" i="3"/>
  <c r="F30" i="3"/>
  <c r="BD30" i="3"/>
  <c r="BJ27" i="3"/>
  <c r="BJ24" i="3"/>
  <c r="S30" i="3"/>
  <c r="BF30" i="3"/>
  <c r="AH30" i="3"/>
  <c r="BJ25" i="3"/>
  <c r="B30" i="3"/>
  <c r="X30" i="3"/>
  <c r="O30" i="3"/>
  <c r="U30" i="3"/>
  <c r="BJ21" i="3"/>
  <c r="BJ20" i="3"/>
  <c r="BJ13" i="3"/>
  <c r="AY30" i="3"/>
  <c r="AJ30" i="3"/>
  <c r="AD30" i="3"/>
  <c r="AQ30" i="3"/>
  <c r="BJ15" i="3"/>
  <c r="BJ14" i="3"/>
  <c r="BJ16" i="3"/>
  <c r="AU30" i="3"/>
  <c r="Q30" i="3"/>
  <c r="BJ28" i="3"/>
  <c r="AW30" i="3"/>
  <c r="AP30" i="3"/>
  <c r="BJ12" i="3"/>
  <c r="AN30" i="3"/>
  <c r="BC30" i="3"/>
  <c r="BJ26" i="3"/>
  <c r="BJ11" i="3"/>
  <c r="BH30" i="3"/>
  <c r="BJ10" i="3"/>
  <c r="AF30" i="3"/>
  <c r="BJ19" i="3"/>
  <c r="BJ17" i="3"/>
  <c r="W30" i="3"/>
  <c r="N30" i="3"/>
  <c r="AD58" i="3"/>
  <c r="AL58" i="3"/>
  <c r="BJ43" i="3"/>
  <c r="BJ55" i="3"/>
  <c r="BJ54" i="3"/>
  <c r="BJ44" i="3"/>
  <c r="H58" i="3"/>
  <c r="AH58" i="3"/>
  <c r="AY58" i="3"/>
  <c r="BA58" i="3"/>
  <c r="BJ39" i="3"/>
  <c r="Q58" i="3"/>
  <c r="BJ52" i="3"/>
  <c r="AQ58" i="3"/>
  <c r="BH58" i="3"/>
  <c r="F58" i="3"/>
  <c r="AN58" i="3"/>
  <c r="J58" i="3"/>
  <c r="Z58" i="3"/>
  <c r="BJ48" i="3"/>
  <c r="O58" i="3"/>
  <c r="BJ40" i="3"/>
  <c r="BJ53" i="3"/>
  <c r="BF58" i="3"/>
  <c r="L58" i="3"/>
  <c r="AJ58" i="3"/>
  <c r="B58" i="3"/>
  <c r="AS58" i="3"/>
  <c r="AF58" i="3"/>
  <c r="AU58" i="3"/>
  <c r="S58" i="3"/>
  <c r="BD58" i="3"/>
  <c r="AB58" i="3"/>
  <c r="U58" i="3"/>
  <c r="X58" i="3"/>
  <c r="W58" i="3"/>
  <c r="BJ41" i="3"/>
  <c r="BJ49" i="3"/>
  <c r="BJ47" i="3"/>
  <c r="AW58" i="3"/>
  <c r="BJ56" i="3"/>
  <c r="BJ42" i="3"/>
  <c r="D58" i="3"/>
  <c r="BJ38" i="3"/>
  <c r="N32" i="5"/>
  <c r="O32" i="5" s="1"/>
  <c r="O19" i="5"/>
  <c r="BJ22" i="3"/>
  <c r="BJ45" i="3"/>
</calcChain>
</file>

<file path=xl/sharedStrings.xml><?xml version="1.0" encoding="utf-8"?>
<sst xmlns="http://schemas.openxmlformats.org/spreadsheetml/2006/main" count="997" uniqueCount="360">
  <si>
    <t>Gov Recommendation</t>
  </si>
  <si>
    <t>Run Date: 1/9/2019 4:03 PM</t>
  </si>
  <si>
    <t>Operating Input Summary</t>
  </si>
  <si>
    <t>FY 2020</t>
  </si>
  <si>
    <t>FY 2021</t>
  </si>
  <si>
    <t>Recommended Performance Funding</t>
  </si>
  <si>
    <t>PFF % of Total Operating</t>
  </si>
  <si>
    <t>Reallocation % of Base Operating</t>
  </si>
  <si>
    <t>New Funding % of Base Operating</t>
  </si>
  <si>
    <t>Recommended IU SOMD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</si>
  <si>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</si>
  <si>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</si>
  <si>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</si>
  <si>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</si>
  <si>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</si>
  <si>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</si>
  <si>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</si>
  <si>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Total funding per year</t>
  </si>
  <si>
    <t>Recommended Cash Funded Projects</t>
  </si>
  <si>
    <t>Line Item Input Summary (General Fund Only)</t>
  </si>
  <si>
    <t>Requested Line Item Funding</t>
  </si>
  <si>
    <t>Total line items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</si>
  <si>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</si>
  <si>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</si>
  <si>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</si>
  <si>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</si>
  <si>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</si>
  <si>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</si>
  <si>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</si>
  <si>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</si>
  <si>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</si>
  <si>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Gov Recommendation [1/9/2019 4:03 PM]</t>
  </si>
  <si>
    <t>This report outlines a summary of overall recommended funding</t>
  </si>
  <si>
    <t>FY 2019 Appropriation</t>
  </si>
  <si>
    <t>Appropriation</t>
  </si>
  <si>
    <t>$ Change from FY 2019</t>
  </si>
  <si>
    <t>% Change from FY 2019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</si>
  <si>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</si>
  <si>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</si>
  <si>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</si>
  <si>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</si>
  <si>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</si>
  <si>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</si>
  <si>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IHE Capital Projects (Cash)</t>
  </si>
  <si>
    <t>TOTAL GENERAL FUND</t>
  </si>
  <si>
    <t>State Dedicated Funds</t>
  </si>
  <si>
    <t>TOTAL DEDICATED FUNDS</t>
  </si>
  <si>
    <t>TOTAL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</si>
  <si>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</si>
  <si>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</si>
  <si>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</si>
  <si>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</si>
  <si>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</si>
  <si>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</si>
  <si>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Capital Projects (Cash)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</si>
  <si>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</si>
  <si>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</si>
  <si>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</si>
  <si>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</si>
  <si>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</si>
  <si>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</si>
  <si>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</si>
  <si>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</si>
  <si>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</si>
  <si>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</si>
  <si>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</si>
  <si>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</si>
  <si>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</si>
  <si>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</si>
  <si>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</si>
  <si>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</si>
  <si>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</si>
  <si>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</si>
  <si>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</si>
  <si>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</si>
  <si>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</si>
  <si>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</si>
  <si>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</si>
  <si>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</si>
  <si>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</si>
  <si>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</si>
  <si>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</si>
  <si>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</si>
  <si>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</si>
  <si>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</si>
  <si>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</si>
  <si>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</si>
  <si>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</si>
  <si>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</si>
  <si>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</si>
  <si>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</si>
  <si>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</si>
  <si>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</si>
  <si>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</si>
  <si>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</si>
  <si>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</si>
  <si>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</si>
  <si>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</si>
  <si>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</si>
  <si>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</si>
  <si>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</si>
  <si>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</si>
  <si>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</si>
  <si>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</si>
  <si>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</si>
  <si>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</si>
  <si>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</si>
  <si>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</si>
  <si>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</si>
  <si>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</si>
  <si>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</si>
  <si>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</si>
  <si>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</si>
  <si>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</si>
  <si>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</si>
  <si>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2012-2014 three year average and the 2015-2017 three year average</t>
  </si>
  <si>
    <t>Change in Rate represents difference between the 2012-2014 three year rate and the 2015-2017 three year rate</t>
  </si>
  <si>
    <t>Per Unit Value is calculated by multiplying the 2015-2017 cohort three year average by the change in rate</t>
  </si>
  <si>
    <t>OPERATING Performance Per Unit</t>
  </si>
  <si>
    <t>This report outlines the recommended performance funding for each metric</t>
  </si>
  <si>
    <t>Total Units</t>
  </si>
  <si>
    <t>Base</t>
  </si>
  <si>
    <t>Metric Total</t>
  </si>
  <si>
    <t>% of TOTAL</t>
  </si>
  <si>
    <t>Per Unit Value Reduction %</t>
  </si>
  <si>
    <t>At-Risk Degree Completion Metric</t>
  </si>
  <si>
    <t>Non-Research Institution Bachelor</t>
  </si>
  <si>
    <t>OPERATING Performance Funding</t>
  </si>
  <si>
    <t>This report outlines the recommended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</si>
  <si>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</si>
  <si>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</si>
  <si>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</si>
  <si>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</si>
  <si>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</si>
  <si>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</si>
  <si>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</si>
  <si>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FY 2019
Approp</t>
  </si>
  <si>
    <t>PFF Adjusted Base</t>
  </si>
  <si>
    <t>Operating - Performance Funding</t>
  </si>
  <si>
    <t>Operating - Non PFF</t>
  </si>
  <si>
    <t>Oth Ops
Adjustments</t>
  </si>
  <si>
    <t>Total FY 2020
Appropriation</t>
  </si>
  <si>
    <t>FY 2020
vs
FY 2019</t>
  </si>
  <si>
    <t>Total FY 2021
Appropriation</t>
  </si>
  <si>
    <t>FY 2021
vs
FY 2019</t>
  </si>
  <si>
    <t>Ops Funds Excluded from PFF</t>
  </si>
  <si>
    <t>PFF Base</t>
  </si>
  <si>
    <t>Reallocation</t>
  </si>
  <si>
    <t>New Funding (PFF Total - Reallocation)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</si>
  <si>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</si>
  <si>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</si>
  <si>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</si>
  <si>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</si>
  <si>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</si>
  <si>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</si>
  <si>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</si>
  <si>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2019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</si>
  <si>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</si>
  <si>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</si>
  <si>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</si>
  <si>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</si>
  <si>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</si>
  <si>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</si>
  <si>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</si>
  <si>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</si>
  <si>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</si>
  <si>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</si>
  <si>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2016-17
Resident FTE</t>
  </si>
  <si>
    <t>FY 2019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</si>
  <si>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</si>
  <si>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</si>
  <si>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</si>
  <si>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</si>
  <si>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</si>
  <si>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</si>
  <si>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</si>
  <si>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</si>
  <si>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</si>
  <si>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</si>
  <si>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</si>
  <si>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</si>
  <si>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</si>
  <si>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</si>
  <si>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</si>
  <si>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</si>
  <si>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</si>
  <si>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</si>
  <si>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</si>
  <si>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</si>
  <si>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</si>
  <si>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</si>
  <si>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Bicentennial Repair and Rehabilitation Plan</t>
  </si>
  <si>
    <t>A-0-19-2-06</t>
  </si>
  <si>
    <t>Research Laboratory Building V</t>
  </si>
  <si>
    <t>A-2-19-1-07</t>
  </si>
  <si>
    <t>School of Dentistry Renovation</t>
  </si>
  <si>
    <t>A-2-19-2-08</t>
  </si>
  <si>
    <t>Bryce and Ott Buildings Renovation</t>
  </si>
  <si>
    <t>A-2-19-2-09</t>
  </si>
  <si>
    <t>Fort Wayne Health Sciences Planning Study</t>
  </si>
  <si>
    <t>A-0-19-6-10</t>
  </si>
  <si>
    <t>Indiana University System Total</t>
  </si>
  <si>
    <t>Purdue University System</t>
  </si>
  <si>
    <t>Engineering and Polytechnic Gateway Building</t>
  </si>
  <si>
    <t>B-1-19-1-08</t>
  </si>
  <si>
    <t>South Campus Renovations Phase II</t>
  </si>
  <si>
    <t>B-3-15-2-11</t>
  </si>
  <si>
    <t>Chiller Plant Upgrade and Chilled Water Line Replacement</t>
  </si>
  <si>
    <t>B-2-19-2-09</t>
  </si>
  <si>
    <t>Purdue University System Total</t>
  </si>
  <si>
    <t>Ball State University</t>
  </si>
  <si>
    <t>STEM and Health Professions Facilities - Phase III</t>
  </si>
  <si>
    <t>D-1-19-2-01</t>
  </si>
  <si>
    <t>Infrastructure Improvements</t>
  </si>
  <si>
    <t>D-1-19-2-02</t>
  </si>
  <si>
    <t>Ball State University Total</t>
  </si>
  <si>
    <t>Indiana State University</t>
  </si>
  <si>
    <t>Academic Facility Renovation Phase Two - Dreiser Hall</t>
  </si>
  <si>
    <t>C-1-19-2-01</t>
  </si>
  <si>
    <t>Indiana State University Total</t>
  </si>
  <si>
    <t>University of Southern Indiana</t>
  </si>
  <si>
    <t>Health Professions Classroom Renovation and Expansion</t>
  </si>
  <si>
    <t>G-0-19-2-01</t>
  </si>
  <si>
    <t>University of Southern Indiana Total</t>
  </si>
  <si>
    <t>Vincennes University</t>
  </si>
  <si>
    <t>CAMPUS ELECTRICAL SUBSTATION AND RELATED INFRASTRUCTURE</t>
  </si>
  <si>
    <t>E-1-19-2-01</t>
  </si>
  <si>
    <t>MECHANICAL UPGRADES PROJECT HUMANITIES &amp; SUMMERS CENTERS</t>
  </si>
  <si>
    <t>E-1-19-2-02</t>
  </si>
  <si>
    <t>ADVANCED MANUFACTURING AND PRODUCT DESIGN LAB RENOVATION</t>
  </si>
  <si>
    <t>E-1-19-2-03</t>
  </si>
  <si>
    <t>Vincennes University Total</t>
  </si>
  <si>
    <t>Ivy Tech Community College</t>
  </si>
  <si>
    <t>Columbus Campus Main Building Replacement</t>
  </si>
  <si>
    <t>F-0-19-1-01</t>
  </si>
  <si>
    <t>Fort Wayne Harshman Hall Renovation and Carroll Hall Demolition</t>
  </si>
  <si>
    <t>F-0-19-2-02</t>
  </si>
  <si>
    <t>Statewide Campus Deferred Maintenance</t>
  </si>
  <si>
    <t>F-0-19-2-03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</si>
  <si>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</si>
  <si>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</si>
  <si>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</si>
  <si>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</si>
  <si>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</si>
  <si>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</si>
  <si>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</si>
  <si>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</si>
  <si>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</si>
  <si>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</si>
  <si>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</si>
  <si>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</si>
  <si>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</si>
  <si>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New Debt Starting in FY 2020</t>
  </si>
  <si>
    <t>New Debt Starting in FY 2021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</si>
  <si>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</si>
  <si>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</si>
  <si>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</si>
  <si>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</si>
  <si>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</si>
  <si>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</si>
  <si>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</si>
  <si>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</si>
  <si>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</si>
  <si>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</si>
  <si>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</si>
  <si>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</si>
  <si>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</si>
  <si>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Spinal Cord and Head Injury Research</t>
  </si>
  <si>
    <t>IU Center for Rural Engagement*</t>
  </si>
  <si>
    <t>Local Government Advisory Commission*</t>
  </si>
  <si>
    <t>Regional Campus Community Engagement*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</si>
  <si>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</si>
  <si>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</si>
  <si>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</si>
  <si>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</si>
  <si>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</si>
  <si>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Indiana Technical Assistance and Advanced Manufacturing Competitiveness Program</t>
  </si>
  <si>
    <t>IN-MaC (IN Next Generation Manufacturing Compet. Center)</t>
  </si>
  <si>
    <t>Purdue Moves</t>
  </si>
  <si>
    <t>Statewide Technology</t>
  </si>
  <si>
    <t>Think Summer</t>
  </si>
  <si>
    <t>University-Based Business Assistance</t>
  </si>
  <si>
    <t>Veterinary Research</t>
  </si>
  <si>
    <t>College of Veterinary Medicine*</t>
  </si>
  <si>
    <t>Purdue University Fort Wayne Academic Expansion*</t>
  </si>
  <si>
    <t>Wine and Grape Market Fund*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</si>
  <si>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</si>
  <si>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</si>
  <si>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</si>
  <si>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</si>
  <si>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</si>
  <si>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</si>
  <si>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</si>
  <si>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Student Success Initiatives</t>
  </si>
  <si>
    <t>Dual Credit: University of Southern Indiana</t>
  </si>
  <si>
    <t>Historic New Harmony</t>
  </si>
  <si>
    <t>USI Campus Security Enhancements</t>
  </si>
  <si>
    <t>USI STEM Innovation and Expansion Initiatives</t>
  </si>
  <si>
    <t>Strong Start Summer Bridge Program*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</si>
  <si>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</si>
  <si>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</si>
  <si>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</si>
  <si>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</si>
  <si>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</si>
  <si>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</si>
  <si>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</si>
  <si>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All Students Achieve*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</si>
  <si>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</si>
  <si>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</si>
  <si>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</si>
  <si>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</si>
  <si>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</si>
  <si>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</si>
  <si>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</si>
  <si>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</si>
  <si>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</si>
  <si>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</si>
  <si>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</si>
  <si>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</si>
  <si>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Indiana INTERNnet</t>
  </si>
  <si>
    <t>Job Ready Education Grant</t>
  </si>
  <si>
    <t>Minority Student Teaching Stipend</t>
  </si>
  <si>
    <t>Minority Teacher Scholarship</t>
  </si>
  <si>
    <t>National Guard Scholarship</t>
  </si>
  <si>
    <t>Next Generation Hoosier Educators</t>
  </si>
  <si>
    <t>Part-Time Student Grant Distribution</t>
  </si>
  <si>
    <t>Primary Care Shortage Area Scholarship</t>
  </si>
  <si>
    <t>Statutory Fee Remission (CVO Program)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</si>
  <si>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</si>
  <si>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</si>
  <si>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</si>
  <si>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</si>
  <si>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</si>
  <si>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Postsecondary Proprietary Inst. Accred.</t>
  </si>
  <si>
    <t>Statewide Transfer and Technology</t>
  </si>
  <si>
    <t>STEM Teacher Recruitment Fund</t>
  </si>
  <si>
    <t>CHEDSS 2.0*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</si>
  <si>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</si>
  <si>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</si>
  <si>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</si>
  <si>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</si>
  <si>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</si>
  <si>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</si>
  <si>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FY 2019
Funding</t>
  </si>
  <si>
    <t>2016-17 T+HP Credit Awarded</t>
  </si>
  <si>
    <t>Per Credit Value</t>
  </si>
  <si>
    <t>Credits awarded represent total dual 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</si>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</sst>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??_);_(@_)"/>
    <numFmt numFmtId="165" formatCode="0.0%"/>
    <numFmt numFmtId="166" formatCode="0.00\ %"/>
    <numFmt numFmtId="167" formatCode="\$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2BEB5"/>
        <bgColor rgb="FFB2BEB5"/>
      </patternFill>
    </fill>
    <fill>
      <patternFill patternType="solid">
        <fgColor rgb="FFADD8E6"/>
        <bgColor rgb="FFADD8E6"/>
      </patternFill>
    </fill>
    <fill>
      <patternFill patternType="solid">
        <fgColor rgb="FFD0F0C0"/>
        <bgColor rgb="FFD0F0C0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26">
    <xf numFmtId="0" fontId="0" fillId="0" borderId="0" xfId="0"/>
    <xf numFmtId="167" fontId="5" fillId="23" borderId="40" xfId="0" applyNumberFormat="1" applyFont="1" applyFill="1" applyBorder="1" applyAlignment="1" applyProtection="1">
      <alignment horizontal="center" vertical="center"/>
    </xf>
    <xf numFmtId="167" fontId="5" fillId="23" borderId="78" xfId="0" applyNumberFormat="1" applyFont="1" applyFill="1" applyBorder="1" applyAlignment="1" applyProtection="1">
      <alignment horizontal="center" vertical="center"/>
    </xf>
    <xf numFmtId="167" fontId="5" fillId="23" borderId="58" xfId="0" applyNumberFormat="1" applyFont="1" applyFill="1" applyBorder="1" applyAlignment="1" applyProtection="1">
      <alignment horizontal="center" vertical="center"/>
    </xf>
    <xf numFmtId="167" fontId="5" fillId="23" borderId="57" xfId="0" applyNumberFormat="1" applyFont="1" applyFill="1" applyBorder="1" applyAlignment="1" applyProtection="1">
      <alignment horizontal="center" vertical="center"/>
    </xf>
    <xf numFmtId="167" fontId="5" fillId="23" borderId="56" xfId="0" applyNumberFormat="1" applyFont="1" applyFill="1" applyBorder="1" applyAlignment="1" applyProtection="1">
      <alignment horizontal="center" vertical="center"/>
    </xf>
    <xf numFmtId="166" fontId="5" fillId="14" borderId="18" xfId="0" applyNumberFormat="1" applyFont="1" applyFill="1" applyBorder="1" applyAlignment="1" applyProtection="1">
      <alignment horizontal="center" vertical="center" wrapText="1"/>
    </xf>
    <xf numFmtId="167" fontId="5" fillId="14" borderId="16" xfId="0" applyNumberFormat="1" applyFont="1" applyFill="1" applyBorder="1" applyAlignment="1" applyProtection="1">
      <alignment horizontal="center" vertical="center"/>
    </xf>
    <xf numFmtId="167" fontId="5" fillId="14" borderId="6" xfId="0" applyNumberFormat="1" applyFont="1" applyFill="1" applyBorder="1" applyAlignment="1" applyProtection="1">
      <alignment horizontal="center" vertical="center"/>
    </xf>
    <xf numFmtId="167" fontId="5" fillId="17" borderId="18" xfId="0" applyNumberFormat="1" applyFont="1" applyFill="1" applyBorder="1" applyAlignment="1" applyProtection="1">
      <alignment horizontal="center" vertical="center" wrapText="1"/>
    </xf>
    <xf numFmtId="167" fontId="5" fillId="17" borderId="11" xfId="0" applyNumberFormat="1" applyFont="1" applyFill="1" applyBorder="1" applyAlignment="1" applyProtection="1">
      <alignment horizontal="center" vertical="center" wrapText="1"/>
    </xf>
    <xf numFmtId="167" fontId="5" fillId="17" borderId="4" xfId="0" applyNumberFormat="1" applyFont="1" applyFill="1" applyBorder="1" applyAlignment="1" applyProtection="1">
      <alignment horizontal="center" vertical="center" wrapText="1"/>
    </xf>
    <xf numFmtId="167" fontId="5" fillId="17" borderId="16" xfId="0" applyNumberFormat="1" applyFont="1" applyFill="1" applyBorder="1" applyAlignment="1" applyProtection="1">
      <alignment horizontal="center" vertical="center" wrapText="1"/>
    </xf>
    <xf numFmtId="167" fontId="5" fillId="17" borderId="9" xfId="0" applyNumberFormat="1" applyFont="1" applyFill="1" applyBorder="1" applyAlignment="1" applyProtection="1">
      <alignment horizontal="center" vertical="center" wrapText="1"/>
    </xf>
    <xf numFmtId="167" fontId="5" fillId="17" borderId="6" xfId="0" applyNumberFormat="1" applyFont="1" applyFill="1" applyBorder="1" applyAlignment="1" applyProtection="1">
      <alignment horizontal="center" vertical="center" wrapText="1"/>
    </xf>
    <xf numFmtId="166" fontId="5" fillId="22" borderId="72" xfId="0" applyNumberFormat="1" applyFont="1" applyFill="1" applyBorder="1" applyAlignment="1" applyProtection="1">
      <alignment horizontal="center" vertical="center"/>
    </xf>
    <xf numFmtId="167" fontId="5" fillId="22" borderId="71" xfId="0" applyNumberFormat="1" applyFont="1" applyFill="1" applyBorder="1" applyAlignment="1" applyProtection="1">
      <alignment horizontal="center" vertical="center"/>
    </xf>
    <xf numFmtId="166" fontId="5" fillId="23" borderId="72" xfId="0" applyNumberFormat="1" applyFont="1" applyFill="1" applyBorder="1" applyAlignment="1" applyProtection="1">
      <alignment horizontal="center" vertical="center"/>
    </xf>
    <xf numFmtId="167" fontId="5" fillId="23" borderId="71" xfId="0" applyNumberFormat="1" applyFont="1" applyFill="1" applyBorder="1" applyAlignment="1" applyProtection="1">
      <alignment horizontal="center" vertical="center"/>
    </xf>
    <xf numFmtId="166" fontId="5" fillId="14" borderId="57" xfId="0" applyNumberFormat="1" applyFont="1" applyFill="1" applyBorder="1" applyAlignment="1" applyProtection="1">
      <alignment horizontal="center" vertical="center"/>
    </xf>
    <xf numFmtId="167" fontId="5" fillId="8" borderId="57" xfId="0" applyNumberFormat="1" applyFont="1" applyFill="1" applyBorder="1" applyAlignment="1" applyProtection="1">
      <alignment horizontal="center" vertical="center"/>
    </xf>
    <xf numFmtId="167" fontId="5" fillId="8" borderId="56" xfId="0" applyNumberFormat="1" applyFont="1" applyFill="1" applyBorder="1" applyAlignment="1" applyProtection="1">
      <alignment horizontal="center" vertical="center"/>
    </xf>
    <xf numFmtId="167" fontId="5" fillId="22" borderId="18" xfId="0" applyNumberFormat="1" applyFont="1" applyFill="1" applyBorder="1" applyAlignment="1" applyProtection="1">
      <alignment horizontal="center" vertical="center" wrapText="1"/>
    </xf>
    <xf numFmtId="167" fontId="5" fillId="22" borderId="4" xfId="0" applyNumberFormat="1" applyFont="1" applyFill="1" applyBorder="1" applyAlignment="1" applyProtection="1">
      <alignment horizontal="center" vertical="center" wrapText="1"/>
    </xf>
    <xf numFmtId="167" fontId="5" fillId="23" borderId="5" xfId="0" applyNumberFormat="1" applyFont="1" applyFill="1" applyBorder="1" applyAlignment="1" applyProtection="1">
      <alignment horizontal="center" vertical="center" wrapText="1"/>
    </xf>
    <xf numFmtId="167" fontId="5" fillId="23" borderId="1" xfId="0" applyNumberFormat="1" applyFont="1" applyFill="1" applyBorder="1" applyAlignment="1" applyProtection="1">
      <alignment horizontal="center" vertical="center" wrapText="1"/>
    </xf>
    <xf numFmtId="167" fontId="5" fillId="17" borderId="8" xfId="0" applyNumberFormat="1" applyFont="1" applyFill="1" applyBorder="1" applyAlignment="1" applyProtection="1">
      <alignment horizontal="center" vertical="center" wrapText="1"/>
    </xf>
    <xf numFmtId="166" fontId="5" fillId="14" borderId="18" xfId="0" applyNumberFormat="1" applyFont="1" applyFill="1" applyBorder="1" applyAlignment="1" applyProtection="1">
      <alignment horizontal="center" vertical="center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0" fontId="5" fillId="22" borderId="72" xfId="0" applyFont="1" applyFill="1" applyBorder="1" applyAlignment="1" applyProtection="1">
      <alignment horizontal="center" vertical="center"/>
    </xf>
    <xf numFmtId="0" fontId="5" fillId="22" borderId="73" xfId="0" applyFont="1" applyFill="1" applyBorder="1" applyAlignment="1" applyProtection="1">
      <alignment horizontal="center" vertical="center"/>
    </xf>
    <xf numFmtId="0" fontId="5" fillId="22" borderId="71" xfId="0" applyFont="1" applyFill="1" applyBorder="1" applyAlignment="1" applyProtection="1">
      <alignment horizontal="center" vertical="center"/>
    </xf>
    <xf numFmtId="0" fontId="5" fillId="23" borderId="72" xfId="0" applyFont="1" applyFill="1" applyBorder="1" applyAlignment="1" applyProtection="1">
      <alignment vertical="center"/>
    </xf>
    <xf numFmtId="0" fontId="5" fillId="23" borderId="73" xfId="0" applyFont="1" applyFill="1" applyBorder="1" applyAlignment="1" applyProtection="1">
      <alignment vertical="center"/>
    </xf>
    <xf numFmtId="0" fontId="5" fillId="23" borderId="71" xfId="0" applyFont="1" applyFill="1" applyBorder="1" applyAlignment="1" applyProtection="1">
      <alignment horizontal="center" vertical="center"/>
    </xf>
    <xf numFmtId="0" fontId="5" fillId="14" borderId="58" xfId="0" applyFont="1" applyFill="1" applyBorder="1" applyAlignment="1" applyProtection="1">
      <alignment vertical="center"/>
    </xf>
    <xf numFmtId="0" fontId="5" fillId="14" borderId="57" xfId="0" applyFont="1" applyFill="1" applyBorder="1" applyAlignment="1" applyProtection="1">
      <alignment vertical="center"/>
    </xf>
    <xf numFmtId="0" fontId="5" fillId="8" borderId="57" xfId="0" applyFont="1" applyFill="1" applyBorder="1" applyAlignment="1" applyProtection="1">
      <alignment vertical="center" wrapText="1"/>
    </xf>
    <xf numFmtId="0" fontId="5" fillId="8" borderId="56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5" fillId="22" borderId="18" xfId="0" applyFont="1" applyFill="1" applyBorder="1" applyAlignment="1" applyProtection="1">
      <alignment horizontal="center" vertical="center" wrapText="1"/>
    </xf>
    <xf numFmtId="0" fontId="5" fillId="22" borderId="4" xfId="0" applyFont="1" applyFill="1" applyBorder="1" applyAlignment="1" applyProtection="1">
      <alignment horizontal="center" vertical="center" wrapText="1"/>
    </xf>
    <xf numFmtId="0" fontId="5" fillId="23" borderId="5" xfId="0" applyFont="1" applyFill="1" applyBorder="1" applyAlignment="1" applyProtection="1">
      <alignment horizontal="center" vertical="center" wrapText="1"/>
    </xf>
    <xf numFmtId="0" fontId="5" fillId="23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20" borderId="48" xfId="0" applyFont="1" applyFill="1" applyBorder="1" applyAlignment="1" applyProtection="1">
      <alignment horizontal="center"/>
    </xf>
    <xf numFmtId="0" fontId="5" fillId="20" borderId="47" xfId="0" applyFont="1" applyFill="1" applyBorder="1" applyAlignment="1" applyProtection="1">
      <alignment horizontal="center"/>
    </xf>
    <xf numFmtId="167" fontId="5" fillId="8" borderId="18" xfId="0" applyNumberFormat="1" applyFont="1" applyFill="1" applyBorder="1" applyAlignment="1" applyProtection="1">
      <alignment horizontal="center"/>
    </xf>
    <xf numFmtId="167" fontId="5" fillId="8" borderId="20" xfId="0" applyNumberFormat="1" applyFont="1" applyFill="1" applyBorder="1" applyAlignment="1" applyProtection="1">
      <alignment horizontal="center"/>
    </xf>
    <xf numFmtId="167" fontId="5" fillId="8" borderId="19" xfId="0" applyNumberFormat="1" applyFont="1" applyFill="1" applyBorder="1" applyAlignment="1" applyProtection="1">
      <alignment horizontal="center"/>
    </xf>
    <xf numFmtId="0" fontId="5" fillId="8" borderId="4" xfId="0" applyFont="1" applyFill="1" applyBorder="1" applyAlignment="1" applyProtection="1">
      <alignment horizontal="center"/>
    </xf>
    <xf numFmtId="0" fontId="5" fillId="8" borderId="3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/>
    </xf>
    <xf numFmtId="0" fontId="5" fillId="21" borderId="11" xfId="0" applyFont="1" applyFill="1" applyBorder="1" applyAlignment="1" applyProtection="1">
      <alignment horizontal="center"/>
    </xf>
    <xf numFmtId="167" fontId="5" fillId="21" borderId="0" xfId="0" applyNumberFormat="1" applyFont="1" applyFill="1" applyAlignment="1" applyProtection="1">
      <alignment horizontal="center"/>
    </xf>
    <xf numFmtId="0" fontId="5" fillId="21" borderId="4" xfId="0" applyFont="1" applyFill="1" applyBorder="1" applyAlignment="1" applyProtection="1">
      <alignment horizontal="center"/>
    </xf>
    <xf numFmtId="0" fontId="5" fillId="21" borderId="3" xfId="0" applyFont="1" applyFill="1" applyBorder="1" applyAlignment="1" applyProtection="1">
      <alignment horizontal="center"/>
    </xf>
    <xf numFmtId="0" fontId="5" fillId="21" borderId="2" xfId="0" applyFont="1" applyFill="1" applyBorder="1" applyAlignment="1" applyProtection="1">
      <alignment horizontal="center"/>
    </xf>
    <xf numFmtId="0" fontId="5" fillId="20" borderId="4" xfId="0" applyFont="1" applyFill="1" applyBorder="1" applyAlignment="1" applyProtection="1">
      <alignment horizontal="center"/>
    </xf>
    <xf numFmtId="0" fontId="5" fillId="20" borderId="3" xfId="0" applyFont="1" applyFill="1" applyBorder="1" applyAlignment="1" applyProtection="1">
      <alignment horizontal="center"/>
    </xf>
    <xf numFmtId="0" fontId="5" fillId="18" borderId="31" xfId="0" applyFont="1" applyFill="1" applyBorder="1" applyAlignment="1" applyProtection="1">
      <alignment horizontal="center"/>
    </xf>
    <xf numFmtId="0" fontId="5" fillId="18" borderId="2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7" fontId="5" fillId="21" borderId="19" xfId="0" applyNumberFormat="1" applyFont="1" applyFill="1" applyBorder="1" applyAlignment="1" applyProtection="1">
      <alignment horizontal="center"/>
    </xf>
    <xf numFmtId="0" fontId="5" fillId="21" borderId="0" xfId="0" applyFont="1" applyFill="1" applyAlignment="1" applyProtection="1">
      <alignment horizontal="center"/>
    </xf>
    <xf numFmtId="167" fontId="5" fillId="21" borderId="15" xfId="0" applyNumberFormat="1" applyFont="1" applyFill="1" applyBorder="1" applyAlignment="1" applyProtection="1">
      <alignment horizontal="center"/>
    </xf>
    <xf numFmtId="167" fontId="5" fillId="21" borderId="20" xfId="0" applyNumberFormat="1" applyFont="1" applyFill="1" applyBorder="1" applyAlignment="1" applyProtection="1">
      <alignment horizontal="center"/>
    </xf>
    <xf numFmtId="167" fontId="5" fillId="17" borderId="5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/>
    </xf>
    <xf numFmtId="167" fontId="5" fillId="17" borderId="18" xfId="0" applyNumberFormat="1" applyFont="1" applyFill="1" applyBorder="1" applyAlignment="1" applyProtection="1">
      <alignment horizontal="center" vertical="center"/>
    </xf>
    <xf numFmtId="167" fontId="5" fillId="17" borderId="4" xfId="0" applyNumberFormat="1" applyFont="1" applyFill="1" applyBorder="1" applyAlignment="1" applyProtection="1">
      <alignment horizontal="center" vertical="center"/>
    </xf>
    <xf numFmtId="166" fontId="5" fillId="18" borderId="72" xfId="0" applyNumberFormat="1" applyFont="1" applyFill="1" applyBorder="1" applyAlignment="1" applyProtection="1">
      <alignment horizontal="center"/>
    </xf>
    <xf numFmtId="166" fontId="5" fillId="18" borderId="73" xfId="0" applyNumberFormat="1" applyFont="1" applyFill="1" applyBorder="1" applyAlignment="1" applyProtection="1">
      <alignment horizontal="center"/>
    </xf>
    <xf numFmtId="167" fontId="5" fillId="18" borderId="73" xfId="0" applyNumberFormat="1" applyFont="1" applyFill="1" applyBorder="1" applyAlignment="1" applyProtection="1">
      <alignment horizontal="center"/>
    </xf>
    <xf numFmtId="167" fontId="5" fillId="18" borderId="71" xfId="0" applyNumberFormat="1" applyFont="1" applyFill="1" applyBorder="1" applyAlignment="1" applyProtection="1">
      <alignment horizontal="center"/>
    </xf>
    <xf numFmtId="167" fontId="5" fillId="18" borderId="16" xfId="0" applyNumberFormat="1" applyFont="1" applyFill="1" applyBorder="1" applyAlignment="1" applyProtection="1">
      <alignment horizontal="center" vertical="center" wrapText="1"/>
    </xf>
    <xf numFmtId="167" fontId="5" fillId="18" borderId="6" xfId="0" applyNumberFormat="1" applyFont="1" applyFill="1" applyBorder="1" applyAlignment="1" applyProtection="1">
      <alignment horizontal="center" vertical="center" wrapText="1"/>
    </xf>
    <xf numFmtId="167" fontId="5" fillId="15" borderId="5" xfId="0" applyNumberFormat="1" applyFont="1" applyFill="1" applyBorder="1" applyAlignment="1" applyProtection="1">
      <alignment horizontal="center" vertical="center" wrapText="1"/>
    </xf>
    <xf numFmtId="167" fontId="5" fillId="15" borderId="1" xfId="0" applyNumberFormat="1" applyFont="1" applyFill="1" applyBorder="1" applyAlignment="1" applyProtection="1">
      <alignment horizontal="center" vertical="center" wrapText="1"/>
    </xf>
    <xf numFmtId="166" fontId="5" fillId="18" borderId="20" xfId="0" applyNumberFormat="1" applyFont="1" applyFill="1" applyBorder="1" applyAlignment="1" applyProtection="1">
      <alignment horizontal="center" vertical="center" wrapText="1"/>
    </xf>
    <xf numFmtId="166" fontId="5" fillId="18" borderId="3" xfId="0" applyNumberFormat="1" applyFont="1" applyFill="1" applyBorder="1" applyAlignment="1" applyProtection="1">
      <alignment horizontal="center" vertical="center" wrapText="1"/>
    </xf>
    <xf numFmtId="167" fontId="5" fillId="17" borderId="5" xfId="0" applyNumberFormat="1" applyFont="1" applyFill="1" applyBorder="1" applyAlignment="1" applyProtection="1">
      <alignment horizontal="center" vertical="center" wrapText="1"/>
    </xf>
    <xf numFmtId="167" fontId="5" fillId="17" borderId="1" xfId="0" applyNumberFormat="1" applyFont="1" applyFill="1" applyBorder="1" applyAlignment="1" applyProtection="1">
      <alignment horizontal="center" vertical="center" wrapText="1"/>
    </xf>
    <xf numFmtId="167" fontId="5" fillId="8" borderId="4" xfId="0" applyNumberFormat="1" applyFont="1" applyFill="1" applyBorder="1" applyAlignment="1" applyProtection="1">
      <alignment horizontal="center" vertical="center"/>
    </xf>
    <xf numFmtId="166" fontId="5" fillId="8" borderId="3" xfId="0" applyNumberFormat="1" applyFont="1" applyFill="1" applyBorder="1" applyAlignment="1" applyProtection="1">
      <alignment horizontal="center" vertical="center"/>
    </xf>
    <xf numFmtId="166" fontId="5" fillId="15" borderId="72" xfId="0" applyNumberFormat="1" applyFont="1" applyFill="1" applyBorder="1" applyAlignment="1" applyProtection="1">
      <alignment horizontal="center"/>
    </xf>
    <xf numFmtId="167" fontId="5" fillId="15" borderId="71" xfId="0" applyNumberFormat="1" applyFont="1" applyFill="1" applyBorder="1" applyAlignment="1" applyProtection="1">
      <alignment horizontal="center"/>
    </xf>
    <xf numFmtId="166" fontId="5" fillId="14" borderId="3" xfId="0" applyNumberFormat="1" applyFont="1" applyFill="1" applyBorder="1" applyAlignment="1" applyProtection="1">
      <alignment horizontal="center" vertical="center"/>
    </xf>
    <xf numFmtId="0" fontId="0" fillId="26" borderId="85" xfId="0" applyFill="1" applyBorder="1" applyAlignment="1" applyProtection="1">
      <alignment horizontal="center"/>
    </xf>
    <xf numFmtId="167" fontId="0" fillId="26" borderId="85" xfId="0" applyNumberFormat="1" applyFill="1" applyBorder="1" applyAlignment="1" applyProtection="1">
      <alignment horizontal="center"/>
    </xf>
    <xf numFmtId="0" fontId="0" fillId="25" borderId="85" xfId="0" applyFill="1" applyBorder="1" applyAlignment="1" applyProtection="1">
      <alignment horizontal="center"/>
    </xf>
    <xf numFmtId="167" fontId="0" fillId="25" borderId="85" xfId="0" applyNumberFormat="1" applyFill="1" applyBorder="1" applyAlignment="1" applyProtection="1">
      <alignment horizontal="center"/>
    </xf>
    <xf numFmtId="0" fontId="0" fillId="0" borderId="0" xfId="0"/>
    <xf numFmtId="0" fontId="5" fillId="15" borderId="40" xfId="0" applyFont="1" applyFill="1" applyBorder="1" applyAlignment="1" applyProtection="1">
      <alignment horizontal="center" vertical="center" wrapText="1"/>
    </xf>
    <xf numFmtId="0" fontId="5" fillId="15" borderId="78" xfId="0" applyFont="1" applyFill="1" applyBorder="1" applyAlignment="1" applyProtection="1">
      <alignment horizontal="center" vertical="center" wrapText="1"/>
    </xf>
    <xf numFmtId="0" fontId="5" fillId="17" borderId="18" xfId="0" applyFont="1" applyFill="1" applyBorder="1" applyAlignment="1" applyProtection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</xf>
    <xf numFmtId="0" fontId="5" fillId="17" borderId="16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9" borderId="18" xfId="0" applyFont="1" applyFill="1" applyBorder="1" applyAlignment="1" applyProtection="1">
      <alignment horizontal="center" vertical="center" wrapText="1"/>
    </xf>
    <xf numFmtId="0" fontId="5" fillId="19" borderId="4" xfId="0" applyFont="1" applyFill="1" applyBorder="1" applyAlignment="1" applyProtection="1">
      <alignment horizontal="center" vertical="center" wrapText="1"/>
    </xf>
    <xf numFmtId="0" fontId="5" fillId="18" borderId="16" xfId="0" applyFont="1" applyFill="1" applyBorder="1" applyAlignment="1" applyProtection="1">
      <alignment horizontal="center" vertical="center" wrapText="1"/>
    </xf>
    <xf numFmtId="0" fontId="5" fillId="18" borderId="6" xfId="0" applyFont="1" applyFill="1" applyBorder="1" applyAlignment="1" applyProtection="1">
      <alignment horizontal="center" vertical="center" wrapText="1"/>
    </xf>
    <xf numFmtId="0" fontId="5" fillId="19" borderId="17" xfId="0" applyFont="1" applyFill="1" applyBorder="1" applyAlignment="1" applyProtection="1">
      <alignment horizontal="center" vertical="center" wrapText="1"/>
    </xf>
    <xf numFmtId="0" fontId="5" fillId="19" borderId="7" xfId="0" applyFont="1" applyFill="1" applyBorder="1" applyAlignment="1" applyProtection="1">
      <alignment horizontal="center" vertical="center" wrapText="1"/>
    </xf>
    <xf numFmtId="0" fontId="5" fillId="19" borderId="20" xfId="0" applyFont="1" applyFill="1" applyBorder="1" applyAlignment="1" applyProtection="1">
      <alignment horizontal="center" vertical="center" wrapText="1"/>
    </xf>
    <xf numFmtId="0" fontId="5" fillId="19" borderId="3" xfId="0" applyFont="1" applyFill="1" applyBorder="1" applyAlignment="1" applyProtection="1">
      <alignment horizontal="center" vertical="center" wrapText="1"/>
    </xf>
    <xf numFmtId="0" fontId="5" fillId="19" borderId="16" xfId="0" applyFont="1" applyFill="1" applyBorder="1" applyAlignment="1" applyProtection="1">
      <alignment horizontal="center" vertical="center"/>
    </xf>
    <xf numFmtId="0" fontId="5" fillId="19" borderId="6" xfId="0" applyFont="1" applyFill="1" applyBorder="1" applyAlignment="1" applyProtection="1">
      <alignment horizontal="center" vertical="center"/>
    </xf>
    <xf numFmtId="0" fontId="5" fillId="17" borderId="58" xfId="0" applyFont="1" applyFill="1" applyBorder="1" applyAlignment="1" applyProtection="1">
      <alignment horizontal="center" vertical="center" wrapText="1"/>
    </xf>
    <xf numFmtId="0" fontId="5" fillId="17" borderId="56" xfId="0" applyFont="1" applyFill="1" applyBorder="1" applyAlignment="1" applyProtection="1">
      <alignment horizontal="center" vertical="center" wrapText="1"/>
    </xf>
    <xf numFmtId="0" fontId="5" fillId="19" borderId="58" xfId="0" applyFont="1" applyFill="1" applyBorder="1" applyAlignment="1" applyProtection="1">
      <alignment horizontal="center" vertical="center" wrapText="1"/>
    </xf>
    <xf numFmtId="0" fontId="5" fillId="19" borderId="57" xfId="0" applyFont="1" applyFill="1" applyBorder="1" applyAlignment="1" applyProtection="1">
      <alignment horizontal="center" vertical="center" wrapText="1"/>
    </xf>
    <xf numFmtId="0" fontId="5" fillId="19" borderId="56" xfId="0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167" fontId="5" fillId="14" borderId="3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 wrapText="1"/>
    </xf>
    <xf numFmtId="167" fontId="5" fillId="8" borderId="58" xfId="0" applyNumberFormat="1" applyFont="1" applyFill="1" applyBorder="1" applyAlignment="1" applyProtection="1">
      <alignment horizontal="center" vertical="center" wrapText="1"/>
    </xf>
    <xf numFmtId="167" fontId="5" fillId="8" borderId="57" xfId="0" applyNumberFormat="1" applyFont="1" applyFill="1" applyBorder="1" applyAlignment="1" applyProtection="1">
      <alignment horizontal="center" vertical="center" wrapText="1"/>
    </xf>
    <xf numFmtId="167" fontId="5" fillId="8" borderId="56" xfId="0" applyNumberFormat="1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0" fontId="5" fillId="17" borderId="1" xfId="0" applyFont="1" applyFill="1" applyBorder="1" applyAlignment="1" applyProtection="1">
      <alignment horizontal="center" vertical="center" wrapText="1"/>
    </xf>
    <xf numFmtId="167" fontId="5" fillId="14" borderId="56" xfId="0" applyNumberFormat="1" applyFont="1" applyFill="1" applyBorder="1" applyAlignment="1" applyProtection="1">
      <alignment horizontal="center" vertical="center"/>
    </xf>
    <xf numFmtId="0" fontId="5" fillId="14" borderId="32" xfId="0" applyFont="1" applyFill="1" applyBorder="1" applyAlignment="1" applyProtection="1">
      <alignment horizontal="center" vertical="center" wrapText="1"/>
    </xf>
    <xf numFmtId="0" fontId="5" fillId="14" borderId="30" xfId="0" applyFont="1" applyFill="1" applyBorder="1" applyAlignment="1" applyProtection="1">
      <alignment horizontal="center" vertical="center" wrapText="1"/>
    </xf>
    <xf numFmtId="0" fontId="5" fillId="14" borderId="31" xfId="0" applyFont="1" applyFill="1" applyBorder="1" applyAlignment="1" applyProtection="1">
      <alignment horizontal="center" vertical="center" wrapText="1"/>
    </xf>
    <xf numFmtId="0" fontId="5" fillId="14" borderId="18" xfId="0" applyFont="1" applyFill="1" applyBorder="1" applyAlignment="1" applyProtection="1">
      <alignment horizontal="center" vertical="center" wrapText="1"/>
    </xf>
    <xf numFmtId="0" fontId="5" fillId="14" borderId="11" xfId="0" applyFont="1" applyFill="1" applyBorder="1" applyAlignment="1" applyProtection="1">
      <alignment horizontal="center" vertical="center" wrapText="1"/>
    </xf>
    <xf numFmtId="0" fontId="5" fillId="14" borderId="4" xfId="0" applyFont="1" applyFill="1" applyBorder="1" applyAlignment="1" applyProtection="1">
      <alignment horizontal="center" vertical="center" wrapText="1"/>
    </xf>
    <xf numFmtId="0" fontId="5" fillId="14" borderId="16" xfId="0" applyFont="1" applyFill="1" applyBorder="1" applyAlignment="1" applyProtection="1">
      <alignment horizontal="center" vertical="center"/>
    </xf>
    <xf numFmtId="0" fontId="5" fillId="14" borderId="9" xfId="0" applyFont="1" applyFill="1" applyBorder="1" applyAlignment="1" applyProtection="1">
      <alignment horizontal="center" vertical="center"/>
    </xf>
    <xf numFmtId="0" fontId="5" fillId="14" borderId="6" xfId="0" applyFont="1" applyFill="1" applyBorder="1" applyAlignment="1" applyProtection="1">
      <alignment horizontal="center" vertical="center" wrapText="1"/>
    </xf>
    <xf numFmtId="0" fontId="5" fillId="15" borderId="16" xfId="0" applyFont="1" applyFill="1" applyBorder="1" applyAlignment="1" applyProtection="1">
      <alignment horizontal="center" vertical="center" wrapText="1"/>
    </xf>
    <xf numFmtId="0" fontId="5" fillId="15" borderId="51" xfId="0" applyFont="1" applyFill="1" applyBorder="1" applyAlignment="1" applyProtection="1">
      <alignment horizontal="center" vertical="center" wrapText="1"/>
    </xf>
    <xf numFmtId="0" fontId="5" fillId="15" borderId="13" xfId="0" applyFont="1" applyFill="1" applyBorder="1" applyAlignment="1" applyProtection="1">
      <alignment horizontal="center" vertical="center" wrapText="1"/>
    </xf>
    <xf numFmtId="0" fontId="5" fillId="15" borderId="14" xfId="0" applyFont="1" applyFill="1" applyBorder="1" applyAlignment="1" applyProtection="1">
      <alignment horizontal="center" vertical="center" wrapText="1"/>
    </xf>
    <xf numFmtId="0" fontId="5" fillId="15" borderId="4" xfId="0" applyFont="1" applyFill="1" applyBorder="1" applyAlignment="1" applyProtection="1">
      <alignment horizontal="center" vertical="center" wrapText="1"/>
    </xf>
    <xf numFmtId="0" fontId="5" fillId="15" borderId="2" xfId="0" applyFont="1" applyFill="1" applyBorder="1" applyAlignment="1" applyProtection="1">
      <alignment horizontal="center" vertical="center" wrapText="1"/>
    </xf>
    <xf numFmtId="0" fontId="5" fillId="15" borderId="60" xfId="0" applyFont="1" applyFill="1" applyBorder="1" applyAlignment="1" applyProtection="1">
      <alignment horizontal="center" vertical="center"/>
    </xf>
    <xf numFmtId="0" fontId="5" fillId="15" borderId="72" xfId="0" applyFont="1" applyFill="1" applyBorder="1" applyAlignment="1" applyProtection="1">
      <alignment horizontal="center"/>
    </xf>
    <xf numFmtId="0" fontId="5" fillId="15" borderId="73" xfId="0" applyFont="1" applyFill="1" applyBorder="1" applyAlignment="1" applyProtection="1">
      <alignment horizontal="center"/>
    </xf>
    <xf numFmtId="0" fontId="5" fillId="15" borderId="71" xfId="0" applyFont="1" applyFill="1" applyBorder="1" applyAlignment="1" applyProtection="1">
      <alignment horizontal="center"/>
    </xf>
    <xf numFmtId="0" fontId="5" fillId="15" borderId="18" xfId="0" applyFont="1" applyFill="1" applyBorder="1" applyAlignment="1" applyProtection="1">
      <alignment horizontal="center" vertical="center" wrapText="1"/>
    </xf>
    <xf numFmtId="0" fontId="5" fillId="15" borderId="59" xfId="0" applyFont="1" applyFill="1" applyBorder="1" applyAlignment="1" applyProtection="1">
      <alignment horizontal="center" vertical="center" wrapText="1"/>
    </xf>
    <xf numFmtId="0" fontId="5" fillId="14" borderId="58" xfId="0" applyFont="1" applyFill="1" applyBorder="1" applyAlignment="1" applyProtection="1">
      <alignment horizontal="center" vertical="center"/>
    </xf>
    <xf numFmtId="0" fontId="5" fillId="14" borderId="57" xfId="0" applyFont="1" applyFill="1" applyBorder="1" applyAlignment="1" applyProtection="1">
      <alignment horizontal="center" vertical="center"/>
    </xf>
    <xf numFmtId="0" fontId="5" fillId="14" borderId="56" xfId="0" applyFont="1" applyFill="1" applyBorder="1" applyAlignment="1" applyProtection="1">
      <alignment horizontal="center" vertical="center"/>
    </xf>
    <xf numFmtId="0" fontId="5" fillId="16" borderId="18" xfId="0" applyFont="1" applyFill="1" applyBorder="1" applyAlignment="1" applyProtection="1">
      <alignment horizontal="center" vertical="center" wrapText="1"/>
    </xf>
    <xf numFmtId="0" fontId="5" fillId="16" borderId="59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/>
    </xf>
    <xf numFmtId="0" fontId="5" fillId="15" borderId="17" xfId="0" applyFont="1" applyFill="1" applyBorder="1" applyAlignment="1" applyProtection="1">
      <alignment horizontal="center" vertical="center" wrapText="1"/>
    </xf>
    <xf numFmtId="0" fontId="5" fillId="15" borderId="60" xfId="0" applyFont="1" applyFill="1" applyBorder="1" applyAlignment="1" applyProtection="1">
      <alignment horizontal="center" vertical="center" wrapText="1"/>
    </xf>
    <xf numFmtId="0" fontId="5" fillId="16" borderId="72" xfId="0" applyFont="1" applyFill="1" applyBorder="1" applyAlignment="1" applyProtection="1">
      <alignment horizontal="center"/>
    </xf>
    <xf numFmtId="0" fontId="5" fillId="16" borderId="71" xfId="0" applyFon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167" fontId="2" fillId="4" borderId="0" xfId="0" applyNumberFormat="1" applyFont="1" applyFill="1" applyAlignment="1" applyProtection="1">
      <alignment horizontal="center"/>
    </xf>
    <xf numFmtId="167" fontId="2" fillId="3" borderId="33" xfId="0" applyNumberFormat="1" applyFont="1" applyFill="1" applyBorder="1" applyAlignment="1" applyProtection="1">
      <alignment horizontal="center"/>
    </xf>
    <xf numFmtId="164" fontId="2" fillId="3" borderId="40" xfId="0" applyNumberFormat="1" applyFont="1" applyFill="1" applyBorder="1" applyAlignment="1" applyProtection="1">
      <alignment horizontal="center"/>
    </xf>
    <xf numFmtId="164" fontId="2" fillId="3" borderId="39" xfId="0" applyNumberFormat="1" applyFont="1" applyFill="1" applyBorder="1" applyAlignment="1" applyProtection="1">
      <alignment horizontal="center" vertical="center"/>
    </xf>
    <xf numFmtId="164" fontId="2" fillId="3" borderId="36" xfId="0" applyNumberFormat="1" applyFont="1" applyFill="1" applyBorder="1" applyAlignment="1" applyProtection="1">
      <alignment horizontal="center" vertical="center"/>
    </xf>
    <xf numFmtId="164" fontId="2" fillId="3" borderId="35" xfId="0" applyNumberFormat="1" applyFont="1" applyFill="1" applyBorder="1" applyAlignment="1" applyProtection="1">
      <alignment horizontal="center" vertical="center"/>
    </xf>
    <xf numFmtId="164" fontId="2" fillId="3" borderId="37" xfId="0" applyNumberFormat="1" applyFont="1" applyFill="1" applyBorder="1" applyAlignment="1" applyProtection="1">
      <alignment horizontal="center" vertical="center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  <protection locked="0"/>
    </xf>
    <xf numFmtId="164" fontId="3" fillId="2" borderId="12" xfId="0" applyNumberFormat="1" applyFont="1" applyFill="1" applyBorder="1" applyAlignment="1" applyProtection="1">
      <alignment horizontal="center" wrapText="1"/>
      <protection locked="0"/>
    </xf>
    <xf numFmtId="164" fontId="3" fillId="2" borderId="14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</xf>
    <xf numFmtId="164" fontId="2" fillId="2" borderId="36" xfId="0" applyNumberFormat="1" applyFont="1" applyFill="1" applyBorder="1" applyAlignment="1" applyProtection="1">
      <alignment horizontal="center" vertical="center"/>
    </xf>
    <xf numFmtId="164" fontId="2" fillId="4" borderId="40" xfId="0" applyNumberFormat="1" applyFont="1" applyFill="1" applyBorder="1" applyAlignment="1" applyProtection="1">
      <alignment horizontal="center"/>
    </xf>
    <xf numFmtId="164" fontId="2" fillId="4" borderId="39" xfId="0" applyNumberFormat="1" applyFont="1" applyFill="1" applyBorder="1" applyAlignment="1" applyProtection="1">
      <alignment horizontal="center" vertical="center"/>
    </xf>
    <xf numFmtId="164" fontId="2" fillId="6" borderId="40" xfId="0" applyNumberFormat="1" applyFont="1" applyFill="1" applyBorder="1" applyAlignment="1" applyProtection="1">
      <alignment horizontal="center"/>
    </xf>
    <xf numFmtId="164" fontId="2" fillId="6" borderId="39" xfId="0" applyNumberFormat="1" applyFont="1" applyFill="1" applyBorder="1" applyAlignment="1" applyProtection="1">
      <alignment horizontal="center" vertical="center"/>
    </xf>
    <xf numFmtId="164" fontId="2" fillId="5" borderId="37" xfId="0" applyNumberFormat="1" applyFont="1" applyFill="1" applyBorder="1" applyAlignment="1" applyProtection="1">
      <alignment horizontal="center" vertical="center"/>
    </xf>
    <xf numFmtId="167" fontId="2" fillId="5" borderId="0" xfId="0" applyNumberFormat="1" applyFont="1" applyFill="1" applyAlignment="1" applyProtection="1">
      <alignment horizontal="center"/>
    </xf>
    <xf numFmtId="164" fontId="2" fillId="4" borderId="37" xfId="0" applyNumberFormat="1" applyFont="1" applyFill="1" applyBorder="1" applyAlignment="1" applyProtection="1">
      <alignment horizontal="center" vertical="center"/>
    </xf>
    <xf numFmtId="167" fontId="2" fillId="6" borderId="30" xfId="0" applyNumberFormat="1" applyFont="1" applyFill="1" applyBorder="1" applyAlignment="1" applyProtection="1">
      <alignment horizontal="center"/>
    </xf>
    <xf numFmtId="167" fontId="2" fillId="6" borderId="33" xfId="0" applyNumberFormat="1" applyFont="1" applyFill="1" applyBorder="1" applyAlignment="1" applyProtection="1">
      <alignment horizontal="center"/>
    </xf>
    <xf numFmtId="164" fontId="2" fillId="6" borderId="35" xfId="0" applyNumberFormat="1" applyFont="1" applyFill="1" applyBorder="1" applyAlignment="1" applyProtection="1">
      <alignment horizontal="center" vertical="center"/>
    </xf>
    <xf numFmtId="164" fontId="2" fillId="6" borderId="36" xfId="0" applyNumberFormat="1" applyFont="1" applyFill="1" applyBorder="1" applyAlignment="1" applyProtection="1">
      <alignment horizontal="center" vertical="center"/>
    </xf>
    <xf numFmtId="167" fontId="2" fillId="2" borderId="30" xfId="0" applyNumberFormat="1" applyFont="1" applyFill="1" applyBorder="1" applyAlignment="1" applyProtection="1">
      <alignment horizontal="center"/>
    </xf>
    <xf numFmtId="167" fontId="2" fillId="2" borderId="33" xfId="0" applyNumberFormat="1" applyFont="1" applyFill="1" applyBorder="1" applyAlignment="1" applyProtection="1">
      <alignment horizontal="center"/>
    </xf>
    <xf numFmtId="167" fontId="2" fillId="2" borderId="38" xfId="0" applyNumberFormat="1" applyFont="1" applyFill="1" applyBorder="1" applyAlignment="1" applyProtection="1">
      <alignment horizontal="center"/>
    </xf>
    <xf numFmtId="0" fontId="5" fillId="8" borderId="49" xfId="0" applyFont="1" applyFill="1" applyBorder="1" applyAlignment="1" applyProtection="1">
      <alignment horizontal="center"/>
    </xf>
    <xf numFmtId="0" fontId="5" fillId="8" borderId="46" xfId="0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0" fontId="1" fillId="14" borderId="8" xfId="0" applyFont="1" applyFill="1" applyBorder="1" applyAlignment="1" applyProtection="1">
      <alignment horizontal="center" vertical="center" wrapText="1"/>
    </xf>
    <xf numFmtId="0" fontId="1" fillId="14" borderId="1" xfId="0" applyFont="1" applyFill="1" applyBorder="1" applyAlignment="1" applyProtection="1">
      <alignment horizontal="center" vertical="center" wrapText="1"/>
    </xf>
    <xf numFmtId="164" fontId="2" fillId="2" borderId="40" xfId="0" applyNumberFormat="1" applyFont="1" applyFill="1" applyBorder="1" applyAlignment="1" applyProtection="1">
      <alignment horizontal="center"/>
    </xf>
    <xf numFmtId="164" fontId="2" fillId="2" borderId="39" xfId="0" applyNumberFormat="1" applyFont="1" applyFill="1" applyBorder="1" applyAlignment="1" applyProtection="1">
      <alignment horizontal="center" vertical="center"/>
    </xf>
    <xf numFmtId="164" fontId="2" fillId="5" borderId="40" xfId="0" applyNumberFormat="1" applyFont="1" applyFill="1" applyBorder="1" applyAlignment="1" applyProtection="1">
      <alignment horizontal="center"/>
    </xf>
    <xf numFmtId="164" fontId="2" fillId="5" borderId="39" xfId="0" applyNumberFormat="1" applyFont="1" applyFill="1" applyBorder="1" applyAlignment="1" applyProtection="1">
      <alignment horizontal="center" vertical="center"/>
    </xf>
    <xf numFmtId="167" fontId="2" fillId="5" borderId="30" xfId="0" applyNumberFormat="1" applyFont="1" applyFill="1" applyBorder="1" applyAlignment="1" applyProtection="1">
      <alignment horizontal="center"/>
    </xf>
    <xf numFmtId="167" fontId="2" fillId="5" borderId="33" xfId="0" applyNumberFormat="1" applyFont="1" applyFill="1" applyBorder="1" applyAlignment="1" applyProtection="1">
      <alignment horizontal="center"/>
    </xf>
    <xf numFmtId="167" fontId="2" fillId="3" borderId="32" xfId="0" applyNumberFormat="1" applyFont="1" applyFill="1" applyBorder="1" applyAlignment="1" applyProtection="1">
      <alignment horizontal="center"/>
    </xf>
    <xf numFmtId="167" fontId="2" fillId="3" borderId="40" xfId="0" applyNumberFormat="1" applyFont="1" applyFill="1" applyBorder="1" applyAlignment="1" applyProtection="1">
      <alignment horizontal="center"/>
    </xf>
    <xf numFmtId="164" fontId="3" fillId="6" borderId="13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0" fontId="5" fillId="8" borderId="50" xfId="0" applyFont="1" applyFill="1" applyBorder="1" applyAlignment="1" applyProtection="1">
      <alignment horizontal="center" wrapText="1"/>
    </xf>
    <xf numFmtId="0" fontId="5" fillId="8" borderId="48" xfId="0" applyFont="1" applyFill="1" applyBorder="1" applyAlignment="1" applyProtection="1">
      <alignment horizontal="center" wrapText="1"/>
    </xf>
    <xf numFmtId="167" fontId="2" fillId="4" borderId="30" xfId="0" applyNumberFormat="1" applyFont="1" applyFill="1" applyBorder="1" applyAlignment="1" applyProtection="1">
      <alignment horizontal="center"/>
    </xf>
    <xf numFmtId="167" fontId="2" fillId="4" borderId="33" xfId="0" applyNumberFormat="1" applyFont="1" applyFill="1" applyBorder="1" applyAlignment="1" applyProtection="1">
      <alignment horizontal="center"/>
    </xf>
    <xf numFmtId="167" fontId="2" fillId="3" borderId="30" xfId="0" applyNumberFormat="1" applyFont="1" applyFill="1" applyBorder="1" applyAlignment="1" applyProtection="1">
      <alignment horizontal="center"/>
    </xf>
    <xf numFmtId="167" fontId="2" fillId="3" borderId="0" xfId="0" applyNumberFormat="1" applyFont="1" applyFill="1" applyAlignment="1" applyProtection="1">
      <alignment horizontal="center"/>
    </xf>
    <xf numFmtId="164" fontId="2" fillId="4" borderId="35" xfId="0" applyNumberFormat="1" applyFont="1" applyFill="1" applyBorder="1" applyAlignment="1" applyProtection="1">
      <alignment horizontal="center" vertical="center"/>
    </xf>
    <xf numFmtId="164" fontId="2" fillId="4" borderId="36" xfId="0" applyNumberFormat="1" applyFont="1" applyFill="1" applyBorder="1" applyAlignment="1" applyProtection="1">
      <alignment horizontal="center" vertical="center"/>
    </xf>
    <xf numFmtId="165" fontId="7" fillId="8" borderId="21" xfId="0" applyNumberFormat="1" applyFont="1" applyFill="1" applyBorder="1" applyAlignment="1" applyProtection="1">
      <alignment horizontal="center" vertical="center"/>
    </xf>
    <xf numFmtId="165" fontId="7" fillId="8" borderId="28" xfId="0" applyNumberFormat="1" applyFont="1" applyFill="1" applyBorder="1" applyAlignment="1" applyProtection="1">
      <alignment horizontal="center" vertical="center"/>
    </xf>
    <xf numFmtId="165" fontId="7" fillId="8" borderId="22" xfId="0" applyNumberFormat="1" applyFont="1" applyFill="1" applyBorder="1" applyAlignment="1" applyProtection="1">
      <alignment horizontal="center" vertical="center"/>
    </xf>
    <xf numFmtId="167" fontId="2" fillId="2" borderId="32" xfId="0" applyNumberFormat="1" applyFont="1" applyFill="1" applyBorder="1" applyAlignment="1" applyProtection="1">
      <alignment horizontal="center"/>
    </xf>
    <xf numFmtId="167" fontId="2" fillId="2" borderId="40" xfId="0" applyNumberFormat="1" applyFont="1" applyFill="1" applyBorder="1" applyAlignment="1" applyProtection="1">
      <alignment horizontal="center"/>
    </xf>
    <xf numFmtId="164" fontId="2" fillId="2" borderId="35" xfId="0" applyNumberFormat="1" applyFont="1" applyFill="1" applyBorder="1" applyAlignment="1" applyProtection="1">
      <alignment horizontal="center" vertical="center" wrapText="1"/>
    </xf>
    <xf numFmtId="164" fontId="2" fillId="2" borderId="36" xfId="0" applyNumberFormat="1" applyFont="1" applyFill="1" applyBorder="1" applyAlignment="1" applyProtection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5" fontId="7" fillId="8" borderId="23" xfId="0" applyNumberFormat="1" applyFont="1" applyFill="1" applyBorder="1" applyAlignment="1" applyProtection="1">
      <alignment horizontal="center" vertical="center"/>
    </xf>
    <xf numFmtId="167" fontId="2" fillId="5" borderId="32" xfId="0" applyNumberFormat="1" applyFont="1" applyFill="1" applyBorder="1" applyAlignment="1" applyProtection="1">
      <alignment horizontal="center"/>
    </xf>
    <xf numFmtId="167" fontId="2" fillId="5" borderId="40" xfId="0" applyNumberFormat="1" applyFont="1" applyFill="1" applyBorder="1" applyAlignment="1" applyProtection="1">
      <alignment horizontal="center"/>
    </xf>
    <xf numFmtId="164" fontId="2" fillId="5" borderId="35" xfId="0" applyNumberFormat="1" applyFont="1" applyFill="1" applyBorder="1" applyAlignment="1" applyProtection="1">
      <alignment horizontal="center" vertical="center"/>
    </xf>
    <xf numFmtId="164" fontId="2" fillId="5" borderId="36" xfId="0" applyNumberFormat="1" applyFont="1" applyFill="1" applyBorder="1" applyAlignment="1" applyProtection="1">
      <alignment horizontal="center" vertical="center"/>
    </xf>
    <xf numFmtId="166" fontId="5" fillId="8" borderId="18" xfId="0" applyNumberFormat="1" applyFont="1" applyFill="1" applyBorder="1" applyAlignment="1" applyProtection="1">
      <alignment horizontal="center" vertical="center" wrapText="1"/>
    </xf>
    <xf numFmtId="166" fontId="5" fillId="8" borderId="59" xfId="0" applyNumberFormat="1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166" fontId="0" fillId="14" borderId="18" xfId="0" applyNumberFormat="1" applyFill="1" applyBorder="1" applyAlignment="1" applyProtection="1">
      <alignment horizontal="center" vertical="center"/>
    </xf>
    <xf numFmtId="167" fontId="0" fillId="14" borderId="20" xfId="0" applyNumberFormat="1" applyFill="1" applyBorder="1" applyAlignment="1" applyProtection="1">
      <alignment horizontal="center" vertical="center"/>
    </xf>
    <xf numFmtId="167" fontId="0" fillId="14" borderId="19" xfId="0" applyNumberFormat="1" applyFill="1" applyBorder="1" applyAlignment="1" applyProtection="1">
      <alignment horizontal="center" vertical="center"/>
    </xf>
    <xf numFmtId="166" fontId="5" fillId="14" borderId="4" xfId="0" applyNumberFormat="1" applyFont="1" applyFill="1" applyBorder="1" applyAlignment="1" applyProtection="1">
      <alignment horizontal="center"/>
    </xf>
    <xf numFmtId="167" fontId="5" fillId="14" borderId="3" xfId="0" applyNumberFormat="1" applyFont="1" applyFill="1" applyBorder="1" applyAlignment="1" applyProtection="1">
      <alignment horizontal="center"/>
    </xf>
    <xf numFmtId="167" fontId="5" fillId="14" borderId="2" xfId="0" applyNumberFormat="1" applyFont="1" applyFill="1" applyBorder="1" applyAlignment="1" applyProtection="1">
      <alignment horizontal="center"/>
    </xf>
    <xf numFmtId="167" fontId="5" fillId="8" borderId="17" xfId="0" applyNumberFormat="1" applyFont="1" applyFill="1" applyBorder="1" applyAlignment="1" applyProtection="1">
      <alignment horizontal="center" vertical="center" wrapText="1"/>
    </xf>
    <xf numFmtId="167" fontId="5" fillId="8" borderId="60" xfId="0" applyNumberFormat="1" applyFont="1" applyFill="1" applyBorder="1" applyAlignment="1" applyProtection="1">
      <alignment horizontal="center" vertical="center" wrapText="1"/>
    </xf>
    <xf numFmtId="167" fontId="5" fillId="8" borderId="16" xfId="0" applyNumberFormat="1" applyFont="1" applyFill="1" applyBorder="1" applyAlignment="1" applyProtection="1">
      <alignment horizontal="center" vertical="center" wrapText="1"/>
    </xf>
    <xf numFmtId="167" fontId="5" fillId="8" borderId="51" xfId="0" applyNumberFormat="1" applyFont="1" applyFill="1" applyBorder="1" applyAlignment="1" applyProtection="1">
      <alignment horizontal="center" vertical="center" wrapText="1"/>
    </xf>
    <xf numFmtId="166" fontId="3" fillId="14" borderId="11" xfId="0" applyNumberFormat="1" applyFont="1" applyFill="1" applyBorder="1" applyAlignment="1" applyProtection="1">
      <alignment horizontal="center"/>
    </xf>
    <xf numFmtId="167" fontId="3" fillId="14" borderId="0" xfId="0" applyNumberFormat="1" applyFont="1" applyFill="1" applyAlignment="1" applyProtection="1">
      <alignment horizontal="center"/>
    </xf>
    <xf numFmtId="167" fontId="3" fillId="14" borderId="15" xfId="0" applyNumberFormat="1" applyFont="1" applyFill="1" applyBorder="1" applyAlignment="1" applyProtection="1">
      <alignment horizontal="center"/>
    </xf>
    <xf numFmtId="166" fontId="5" fillId="8" borderId="4" xfId="0" applyNumberFormat="1" applyFont="1" applyFill="1" applyBorder="1" applyAlignment="1" applyProtection="1">
      <alignment horizontal="center" vertical="center"/>
    </xf>
    <xf numFmtId="167" fontId="5" fillId="8" borderId="3" xfId="0" applyNumberFormat="1" applyFont="1" applyFill="1" applyBorder="1" applyAlignment="1" applyProtection="1">
      <alignment horizontal="center" vertical="center"/>
    </xf>
    <xf numFmtId="167" fontId="5" fillId="8" borderId="2" xfId="0" applyNumberFormat="1" applyFont="1" applyFill="1" applyBorder="1" applyAlignment="1" applyProtection="1">
      <alignment horizontal="center" vertical="center"/>
    </xf>
    <xf numFmtId="0" fontId="5" fillId="8" borderId="58" xfId="0" applyFont="1" applyFill="1" applyBorder="1" applyAlignment="1" applyProtection="1">
      <alignment horizontal="center"/>
    </xf>
    <xf numFmtId="0" fontId="5" fillId="8" borderId="56" xfId="0" applyFont="1" applyFill="1" applyBorder="1" applyAlignment="1" applyProtection="1">
      <alignment horizontal="center"/>
    </xf>
    <xf numFmtId="166" fontId="5" fillId="8" borderId="58" xfId="0" applyNumberFormat="1" applyFont="1" applyFill="1" applyBorder="1" applyAlignment="1" applyProtection="1">
      <alignment horizontal="center"/>
    </xf>
    <xf numFmtId="167" fontId="5" fillId="8" borderId="57" xfId="0" applyNumberFormat="1" applyFont="1" applyFill="1" applyBorder="1" applyAlignment="1" applyProtection="1">
      <alignment horizontal="center"/>
    </xf>
    <xf numFmtId="167" fontId="5" fillId="8" borderId="56" xfId="0" applyNumberFormat="1" applyFont="1" applyFill="1" applyBorder="1" applyAlignment="1" applyProtection="1">
      <alignment horizontal="center"/>
    </xf>
    <xf numFmtId="0" fontId="5" fillId="11" borderId="11" xfId="0" applyFont="1" applyFill="1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center" vertical="center"/>
    </xf>
    <xf numFmtId="0" fontId="5" fillId="11" borderId="15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5" fillId="11" borderId="3" xfId="0" applyFont="1" applyFill="1" applyBorder="1" applyAlignment="1" applyProtection="1">
      <alignment horizontal="center" vertical="center"/>
    </xf>
    <xf numFmtId="0" fontId="5" fillId="11" borderId="2" xfId="0" applyFont="1" applyFill="1" applyBorder="1" applyAlignment="1" applyProtection="1">
      <alignment horizontal="center" vertical="center"/>
    </xf>
    <xf numFmtId="164" fontId="2" fillId="5" borderId="20" xfId="0" applyNumberFormat="1" applyFont="1" applyFill="1" applyBorder="1" applyAlignment="1" applyProtection="1">
      <alignment horizontal="center" vertical="center" wrapText="1"/>
    </xf>
    <xf numFmtId="164" fontId="1" fillId="5" borderId="11" xfId="0" applyNumberFormat="1" applyFont="1" applyFill="1" applyBorder="1" applyAlignment="1" applyProtection="1">
      <alignment horizontal="center" vertical="center" wrapText="1"/>
    </xf>
    <xf numFmtId="164" fontId="1" fillId="5" borderId="0" xfId="0" applyNumberFormat="1" applyFont="1" applyFill="1" applyAlignment="1" applyProtection="1">
      <alignment horizontal="center" vertical="center" wrapText="1"/>
    </xf>
    <xf numFmtId="164" fontId="1" fillId="5" borderId="15" xfId="0" applyNumberFormat="1" applyFont="1" applyFill="1" applyBorder="1" applyAlignment="1" applyProtection="1">
      <alignment horizontal="center" vertical="center" wrapText="1"/>
    </xf>
    <xf numFmtId="164" fontId="1" fillId="5" borderId="4" xfId="0" applyNumberFormat="1" applyFont="1" applyFill="1" applyBorder="1" applyAlignment="1" applyProtection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center" wrapText="1"/>
    </xf>
    <xf numFmtId="164" fontId="1" fillId="5" borderId="2" xfId="0" applyNumberFormat="1" applyFont="1" applyFill="1" applyBorder="1" applyAlignment="1" applyProtection="1">
      <alignment horizontal="center" vertical="center" wrapText="1"/>
    </xf>
    <xf numFmtId="164" fontId="3" fillId="5" borderId="18" xfId="0" applyNumberFormat="1" applyFont="1" applyFill="1" applyBorder="1" applyAlignment="1" applyProtection="1">
      <alignment horizontal="center" wrapText="1"/>
    </xf>
    <xf numFmtId="164" fontId="3" fillId="5" borderId="20" xfId="0" applyNumberFormat="1" applyFont="1" applyFill="1" applyBorder="1" applyAlignment="1" applyProtection="1">
      <alignment horizontal="center" wrapText="1"/>
    </xf>
    <xf numFmtId="164" fontId="3" fillId="5" borderId="19" xfId="0" applyNumberFormat="1" applyFont="1" applyFill="1" applyBorder="1" applyAlignment="1" applyProtection="1">
      <alignment horizont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</xf>
    <xf numFmtId="164" fontId="2" fillId="6" borderId="25" xfId="0" applyNumberFormat="1" applyFont="1" applyFill="1" applyBorder="1" applyAlignment="1" applyProtection="1">
      <alignment horizontal="center" vertical="center" wrapText="1"/>
    </xf>
    <xf numFmtId="164" fontId="2" fillId="6" borderId="27" xfId="0" applyNumberFormat="1" applyFont="1" applyFill="1" applyBorder="1" applyAlignment="1" applyProtection="1">
      <alignment horizontal="center" vertical="center" wrapText="1"/>
    </xf>
    <xf numFmtId="164" fontId="2" fillId="6" borderId="28" xfId="0" applyNumberFormat="1" applyFont="1" applyFill="1" applyBorder="1" applyAlignment="1" applyProtection="1">
      <alignment horizontal="center" vertical="center" wrapText="1"/>
    </xf>
    <xf numFmtId="164" fontId="2" fillId="6" borderId="29" xfId="0" applyNumberFormat="1" applyFont="1" applyFill="1" applyBorder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</xf>
    <xf numFmtId="0" fontId="1" fillId="6" borderId="15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0" fontId="3" fillId="6" borderId="13" xfId="0" applyFont="1" applyFill="1" applyBorder="1" applyAlignment="1" applyProtection="1">
      <alignment horizontal="center" wrapText="1"/>
    </xf>
    <xf numFmtId="0" fontId="3" fillId="6" borderId="12" xfId="0" applyFont="1" applyFill="1" applyBorder="1" applyAlignment="1" applyProtection="1">
      <alignment horizontal="center" wrapText="1"/>
    </xf>
    <xf numFmtId="0" fontId="3" fillId="6" borderId="14" xfId="0" applyFont="1" applyFill="1" applyBorder="1" applyAlignment="1" applyProtection="1">
      <alignment horizontal="center" wrapText="1"/>
    </xf>
    <xf numFmtId="164" fontId="2" fillId="5" borderId="32" xfId="0" applyNumberFormat="1" applyFont="1" applyFill="1" applyBorder="1" applyAlignment="1" applyProtection="1">
      <alignment horizontal="center" vertical="center" wrapText="1"/>
    </xf>
    <xf numFmtId="164" fontId="2" fillId="5" borderId="38" xfId="0" applyNumberFormat="1" applyFont="1" applyFill="1" applyBorder="1" applyAlignment="1" applyProtection="1">
      <alignment horizontal="center" vertic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3" borderId="11" xfId="0" applyNumberFormat="1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 applyProtection="1">
      <alignment horizontal="center" vertical="center" wrapText="1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0" fontId="5" fillId="12" borderId="57" xfId="0" applyFont="1" applyFill="1" applyBorder="1" applyAlignment="1" applyProtection="1">
      <alignment horizontal="center"/>
    </xf>
    <xf numFmtId="0" fontId="5" fillId="12" borderId="56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/>
    </xf>
    <xf numFmtId="166" fontId="5" fillId="14" borderId="58" xfId="0" applyNumberFormat="1" applyFont="1" applyFill="1" applyBorder="1" applyAlignment="1" applyProtection="1">
      <alignment horizontal="center" vertical="center"/>
    </xf>
    <xf numFmtId="167" fontId="5" fillId="14" borderId="57" xfId="0" applyNumberFormat="1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167" fontId="5" fillId="8" borderId="8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/>
    </xf>
    <xf numFmtId="167" fontId="5" fillId="14" borderId="3" xfId="0" applyNumberFormat="1" applyFont="1" applyFill="1" applyBorder="1" applyAlignment="1" applyProtection="1">
      <alignment horizontal="center" vertical="center"/>
    </xf>
    <xf numFmtId="167" fontId="5" fillId="14" borderId="2" xfId="0" applyNumberFormat="1" applyFont="1" applyFill="1" applyBorder="1" applyAlignment="1" applyProtection="1">
      <alignment horizontal="center" vertical="center"/>
    </xf>
    <xf numFmtId="167" fontId="5" fillId="8" borderId="5" xfId="0" applyNumberFormat="1" applyFont="1" applyFill="1" applyBorder="1" applyAlignment="1" applyProtection="1">
      <alignment horizontal="center" vertical="center" wrapText="1"/>
    </xf>
    <xf numFmtId="167" fontId="5" fillId="8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0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167" fontId="0" fillId="0" borderId="0" xfId="0" applyNumberForma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166" fontId="0" fillId="0" borderId="0" xfId="0" applyNumberFormat="1" applyFill="1" applyAlignment="1" applyProtection="1">
      <alignment horizontal="center" vertical="center"/>
    </xf>
    <xf numFmtId="0" fontId="0" fillId="0" borderId="0" xfId="0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167" fontId="0" fillId="0" borderId="0" xfId="0" applyNumberFormat="1" applyFill="1" applyProtection="1"/>
    <xf numFmtId="0" fontId="3" fillId="0" borderId="0" xfId="0" applyFont="1" applyFill="1" applyProtection="1"/>
    <xf numFmtId="166" fontId="0" fillId="0" borderId="0" xfId="0" applyNumberFormat="1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7" borderId="1" xfId="0" applyFill="1" applyBorder="1" applyProtection="1"/>
    <xf numFmtId="167" fontId="5" fillId="14" borderId="63" xfId="0" applyNumberFormat="1" applyFont="1" applyFill="1" applyBorder="1" applyAlignment="1" applyProtection="1">
      <alignment horizontal="center" vertical="center" wrapText="1"/>
    </xf>
    <xf numFmtId="167" fontId="5" fillId="14" borderId="64" xfId="0" applyNumberFormat="1" applyFont="1" applyFill="1" applyBorder="1" applyAlignment="1" applyProtection="1">
      <alignment horizontal="center" vertical="center" wrapText="1"/>
    </xf>
    <xf numFmtId="166" fontId="5" fillId="14" borderId="58" xfId="0" applyNumberFormat="1" applyFont="1" applyFill="1" applyBorder="1" applyAlignment="1" applyProtection="1">
      <alignment horizontal="center" vertical="center" wrapText="1"/>
    </xf>
    <xf numFmtId="0" fontId="0" fillId="7" borderId="8" xfId="0" applyFill="1" applyBorder="1" applyProtection="1"/>
    <xf numFmtId="0" fontId="0" fillId="0" borderId="2" xfId="0" applyFill="1" applyBorder="1" applyAlignment="1" applyProtection="1">
      <alignment vertical="center"/>
    </xf>
    <xf numFmtId="167" fontId="0" fillId="0" borderId="8" xfId="0" applyNumberFormat="1" applyFill="1" applyBorder="1" applyAlignment="1" applyProtection="1">
      <alignment vertical="center"/>
    </xf>
    <xf numFmtId="167" fontId="0" fillId="0" borderId="9" xfId="0" applyNumberFormat="1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6" fontId="0" fillId="0" borderId="11" xfId="0" applyNumberFormat="1" applyFill="1" applyBorder="1" applyAlignment="1" applyProtection="1">
      <alignment horizontal="center" vertical="center"/>
    </xf>
    <xf numFmtId="167" fontId="0" fillId="7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5" fillId="0" borderId="62" xfId="0" applyFont="1" applyFill="1" applyBorder="1" applyAlignment="1" applyProtection="1">
      <alignment vertical="center"/>
    </xf>
    <xf numFmtId="167" fontId="5" fillId="0" borderId="41" xfId="0" applyNumberFormat="1" applyFont="1" applyFill="1" applyBorder="1" applyAlignment="1" applyProtection="1">
      <alignment vertical="center"/>
    </xf>
    <xf numFmtId="167" fontId="5" fillId="0" borderId="65" xfId="0" applyNumberFormat="1" applyFont="1" applyFill="1" applyBorder="1" applyAlignment="1" applyProtection="1">
      <alignment vertical="center"/>
    </xf>
    <xf numFmtId="167" fontId="5" fillId="0" borderId="66" xfId="0" applyNumberFormat="1" applyFont="1" applyFill="1" applyBorder="1" applyAlignment="1" applyProtection="1">
      <alignment vertical="center"/>
    </xf>
    <xf numFmtId="166" fontId="5" fillId="0" borderId="67" xfId="0" applyNumberFormat="1" applyFont="1" applyFill="1" applyBorder="1" applyAlignment="1" applyProtection="1">
      <alignment horizontal="center" vertical="center"/>
    </xf>
    <xf numFmtId="167" fontId="5" fillId="7" borderId="41" xfId="0" applyNumberFormat="1" applyFont="1" applyFill="1" applyBorder="1" applyAlignment="1" applyProtection="1">
      <alignment vertical="center"/>
    </xf>
    <xf numFmtId="0" fontId="5" fillId="7" borderId="15" xfId="0" applyFont="1" applyFill="1" applyBorder="1" applyAlignment="1" applyProtection="1">
      <alignment vertical="center"/>
    </xf>
    <xf numFmtId="167" fontId="0" fillId="7" borderId="9" xfId="0" applyNumberFormat="1" applyFill="1" applyBorder="1" applyAlignment="1" applyProtection="1">
      <alignment vertical="center"/>
    </xf>
    <xf numFmtId="167" fontId="0" fillId="7" borderId="10" xfId="0" applyNumberFormat="1" applyFill="1" applyBorder="1" applyAlignment="1" applyProtection="1">
      <alignment vertical="center"/>
    </xf>
    <xf numFmtId="166" fontId="0" fillId="7" borderId="11" xfId="0" applyNumberFormat="1" applyFill="1" applyBorder="1" applyAlignment="1" applyProtection="1">
      <alignment horizontal="center" vertical="center"/>
    </xf>
    <xf numFmtId="0" fontId="5" fillId="8" borderId="56" xfId="0" applyFont="1" applyFill="1" applyBorder="1" applyAlignment="1" applyProtection="1">
      <alignment vertical="center"/>
    </xf>
    <xf numFmtId="167" fontId="5" fillId="8" borderId="61" xfId="0" applyNumberFormat="1" applyFont="1" applyFill="1" applyBorder="1" applyAlignment="1" applyProtection="1">
      <alignment vertical="center"/>
    </xf>
    <xf numFmtId="167" fontId="5" fillId="8" borderId="63" xfId="0" applyNumberFormat="1" applyFont="1" applyFill="1" applyBorder="1" applyAlignment="1" applyProtection="1">
      <alignment vertical="center"/>
    </xf>
    <xf numFmtId="167" fontId="5" fillId="8" borderId="64" xfId="0" applyNumberFormat="1" applyFont="1" applyFill="1" applyBorder="1" applyAlignment="1" applyProtection="1">
      <alignment vertical="center"/>
    </xf>
    <xf numFmtId="166" fontId="5" fillId="8" borderId="68" xfId="0" applyNumberFormat="1" applyFont="1" applyFill="1" applyBorder="1" applyAlignment="1" applyProtection="1">
      <alignment horizontal="center" vertical="center"/>
    </xf>
    <xf numFmtId="167" fontId="5" fillId="7" borderId="61" xfId="0" applyNumberFormat="1" applyFont="1" applyFill="1" applyBorder="1" applyAlignment="1" applyProtection="1">
      <alignment vertical="center"/>
    </xf>
    <xf numFmtId="0" fontId="5" fillId="0" borderId="76" xfId="0" applyFont="1" applyFill="1" applyBorder="1" applyAlignment="1" applyProtection="1">
      <alignment vertical="center"/>
    </xf>
    <xf numFmtId="167" fontId="5" fillId="0" borderId="54" xfId="0" applyNumberFormat="1" applyFont="1" applyFill="1" applyBorder="1" applyAlignment="1" applyProtection="1">
      <alignment vertical="center"/>
    </xf>
    <xf numFmtId="167" fontId="5" fillId="0" borderId="74" xfId="0" applyNumberFormat="1" applyFont="1" applyFill="1" applyBorder="1" applyAlignment="1" applyProtection="1">
      <alignment vertical="center"/>
    </xf>
    <xf numFmtId="167" fontId="5" fillId="0" borderId="75" xfId="0" applyNumberFormat="1" applyFont="1" applyFill="1" applyBorder="1" applyAlignment="1" applyProtection="1">
      <alignment vertical="center"/>
    </xf>
    <xf numFmtId="166" fontId="5" fillId="0" borderId="55" xfId="0" applyNumberFormat="1" applyFont="1" applyFill="1" applyBorder="1" applyAlignment="1" applyProtection="1">
      <alignment horizontal="center" vertical="center"/>
    </xf>
    <xf numFmtId="167" fontId="5" fillId="7" borderId="54" xfId="0" applyNumberFormat="1" applyFont="1" applyFill="1" applyBorder="1" applyAlignment="1" applyProtection="1">
      <alignment vertical="center"/>
    </xf>
    <xf numFmtId="167" fontId="5" fillId="14" borderId="30" xfId="0" applyNumberFormat="1" applyFont="1" applyFill="1" applyBorder="1" applyAlignment="1" applyProtection="1">
      <alignment horizontal="center" vertical="center" wrapText="1"/>
    </xf>
    <xf numFmtId="167" fontId="5" fillId="14" borderId="10" xfId="0" applyNumberFormat="1" applyFont="1" applyFill="1" applyBorder="1" applyAlignment="1" applyProtection="1">
      <alignment horizontal="center" vertical="center" wrapText="1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 wrapText="1"/>
    </xf>
    <xf numFmtId="167" fontId="5" fillId="14" borderId="31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Protection="1"/>
    <xf numFmtId="167" fontId="5" fillId="0" borderId="1" xfId="0" applyNumberFormat="1" applyFont="1" applyFill="1" applyBorder="1" applyAlignment="1" applyProtection="1">
      <alignment vertical="center"/>
    </xf>
    <xf numFmtId="167" fontId="5" fillId="0" borderId="31" xfId="0" applyNumberFormat="1" applyFont="1" applyFill="1" applyBorder="1" applyAlignment="1" applyProtection="1">
      <alignment vertical="center"/>
    </xf>
    <xf numFmtId="167" fontId="5" fillId="0" borderId="7" xfId="0" applyNumberFormat="1" applyFont="1" applyFill="1" applyBorder="1" applyAlignment="1" applyProtection="1">
      <alignment vertical="center"/>
    </xf>
    <xf numFmtId="166" fontId="5" fillId="0" borderId="4" xfId="0" applyNumberFormat="1" applyFont="1" applyFill="1" applyBorder="1" applyAlignment="1" applyProtection="1">
      <alignment horizontal="center" vertical="center"/>
    </xf>
    <xf numFmtId="167" fontId="5" fillId="7" borderId="1" xfId="0" applyNumberFormat="1" applyFont="1" applyFill="1" applyBorder="1" applyAlignment="1" applyProtection="1">
      <alignment vertical="center"/>
    </xf>
    <xf numFmtId="167" fontId="5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167" fontId="0" fillId="0" borderId="8" xfId="0" applyNumberFormat="1" applyFill="1" applyBorder="1" applyProtection="1"/>
    <xf numFmtId="167" fontId="0" fillId="0" borderId="30" xfId="0" applyNumberFormat="1" applyFill="1" applyBorder="1" applyProtection="1"/>
    <xf numFmtId="166" fontId="0" fillId="0" borderId="79" xfId="0" applyNumberFormat="1" applyFill="1" applyBorder="1" applyAlignment="1" applyProtection="1">
      <alignment horizontal="center" vertical="center"/>
    </xf>
    <xf numFmtId="167" fontId="0" fillId="0" borderId="9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167" fontId="0" fillId="0" borderId="5" xfId="0" applyNumberFormat="1" applyFill="1" applyBorder="1" applyProtection="1"/>
    <xf numFmtId="167" fontId="0" fillId="0" borderId="32" xfId="0" applyNumberFormat="1" applyFill="1" applyBorder="1" applyProtection="1"/>
    <xf numFmtId="167" fontId="0" fillId="0" borderId="17" xfId="0" applyNumberFormat="1" applyFill="1" applyBorder="1" applyAlignment="1" applyProtection="1">
      <alignment vertical="center"/>
    </xf>
    <xf numFmtId="0" fontId="0" fillId="7" borderId="5" xfId="0" applyFill="1" applyBorder="1" applyProtection="1"/>
    <xf numFmtId="167" fontId="0" fillId="0" borderId="16" xfId="0" applyNumberFormat="1" applyFill="1" applyBorder="1" applyProtection="1"/>
    <xf numFmtId="0" fontId="5" fillId="8" borderId="62" xfId="0" applyFont="1" applyFill="1" applyBorder="1" applyProtection="1"/>
    <xf numFmtId="167" fontId="5" fillId="8" borderId="41" xfId="0" applyNumberFormat="1" applyFont="1" applyFill="1" applyBorder="1" applyAlignment="1" applyProtection="1">
      <alignment vertical="center"/>
    </xf>
    <xf numFmtId="167" fontId="5" fillId="8" borderId="42" xfId="0" applyNumberFormat="1" applyFont="1" applyFill="1" applyBorder="1" applyAlignment="1" applyProtection="1">
      <alignment vertical="center"/>
    </xf>
    <xf numFmtId="167" fontId="5" fillId="8" borderId="66" xfId="0" applyNumberFormat="1" applyFont="1" applyFill="1" applyBorder="1" applyAlignment="1" applyProtection="1">
      <alignment vertical="center"/>
    </xf>
    <xf numFmtId="166" fontId="5" fillId="8" borderId="45" xfId="0" applyNumberFormat="1" applyFont="1" applyFill="1" applyBorder="1" applyAlignment="1" applyProtection="1">
      <alignment horizontal="center" vertical="center"/>
    </xf>
    <xf numFmtId="167" fontId="5" fillId="8" borderId="65" xfId="0" applyNumberFormat="1" applyFont="1" applyFill="1" applyBorder="1" applyAlignment="1" applyProtection="1">
      <alignment vertical="center"/>
    </xf>
    <xf numFmtId="0" fontId="0" fillId="8" borderId="15" xfId="0" applyFill="1" applyBorder="1" applyAlignment="1" applyProtection="1">
      <alignment horizontal="left" indent="3"/>
    </xf>
    <xf numFmtId="167" fontId="0" fillId="8" borderId="8" xfId="0" applyNumberFormat="1" applyFill="1" applyBorder="1" applyProtection="1"/>
    <xf numFmtId="167" fontId="0" fillId="8" borderId="30" xfId="0" applyNumberFormat="1" applyFill="1" applyBorder="1" applyProtection="1"/>
    <xf numFmtId="167" fontId="0" fillId="8" borderId="10" xfId="0" applyNumberFormat="1" applyFill="1" applyBorder="1" applyAlignment="1" applyProtection="1">
      <alignment vertical="center"/>
    </xf>
    <xf numFmtId="166" fontId="0" fillId="8" borderId="79" xfId="0" applyNumberFormat="1" applyFill="1" applyBorder="1" applyAlignment="1" applyProtection="1">
      <alignment horizontal="center" vertical="center"/>
    </xf>
    <xf numFmtId="166" fontId="0" fillId="8" borderId="11" xfId="0" applyNumberFormat="1" applyFill="1" applyBorder="1" applyAlignment="1" applyProtection="1">
      <alignment horizontal="center" vertical="center"/>
    </xf>
    <xf numFmtId="0" fontId="0" fillId="8" borderId="19" xfId="0" applyFill="1" applyBorder="1" applyAlignment="1" applyProtection="1">
      <alignment horizontal="left" indent="3"/>
    </xf>
    <xf numFmtId="167" fontId="0" fillId="8" borderId="5" xfId="0" applyNumberFormat="1" applyFill="1" applyBorder="1" applyProtection="1"/>
    <xf numFmtId="167" fontId="0" fillId="8" borderId="16" xfId="0" applyNumberFormat="1" applyFill="1" applyBorder="1" applyProtection="1"/>
    <xf numFmtId="167" fontId="0" fillId="8" borderId="32" xfId="0" applyNumberFormat="1" applyFill="1" applyBorder="1" applyAlignment="1" applyProtection="1">
      <alignment vertical="center"/>
    </xf>
    <xf numFmtId="166" fontId="0" fillId="8" borderId="40" xfId="0" applyNumberFormat="1" applyFill="1" applyBorder="1" applyAlignment="1" applyProtection="1">
      <alignment horizontal="center" vertical="center"/>
    </xf>
    <xf numFmtId="167" fontId="0" fillId="8" borderId="17" xfId="0" applyNumberFormat="1" applyFill="1" applyBorder="1" applyAlignment="1" applyProtection="1">
      <alignment vertical="center"/>
    </xf>
    <xf numFmtId="166" fontId="0" fillId="8" borderId="18" xfId="0" applyNumberFormat="1" applyFill="1" applyBorder="1" applyAlignment="1" applyProtection="1">
      <alignment horizontal="center" vertical="center"/>
    </xf>
    <xf numFmtId="0" fontId="0" fillId="7" borderId="56" xfId="0" applyFill="1" applyBorder="1" applyProtection="1"/>
    <xf numFmtId="167" fontId="0" fillId="7" borderId="61" xfId="0" applyNumberFormat="1" applyFill="1" applyBorder="1" applyProtection="1"/>
    <xf numFmtId="167" fontId="0" fillId="7" borderId="57" xfId="0" applyNumberFormat="1" applyFill="1" applyBorder="1" applyProtection="1"/>
    <xf numFmtId="166" fontId="0" fillId="7" borderId="57" xfId="0" applyNumberFormat="1" applyFill="1" applyBorder="1" applyProtection="1"/>
    <xf numFmtId="0" fontId="0" fillId="7" borderId="57" xfId="0" applyFill="1" applyBorder="1" applyProtection="1"/>
    <xf numFmtId="166" fontId="0" fillId="7" borderId="58" xfId="0" applyNumberFormat="1" applyFill="1" applyBorder="1" applyProtection="1"/>
    <xf numFmtId="167" fontId="0" fillId="8" borderId="9" xfId="0" applyNumberFormat="1" applyFill="1" applyBorder="1" applyProtection="1"/>
    <xf numFmtId="167" fontId="0" fillId="8" borderId="32" xfId="0" applyNumberFormat="1" applyFill="1" applyBorder="1" applyProtection="1"/>
    <xf numFmtId="166" fontId="0" fillId="0" borderId="40" xfId="0" applyNumberFormat="1" applyFill="1" applyBorder="1" applyAlignment="1" applyProtection="1">
      <alignment horizontal="center" vertical="center"/>
    </xf>
    <xf numFmtId="166" fontId="0" fillId="0" borderId="18" xfId="0" applyNumberFormat="1" applyFill="1" applyBorder="1" applyAlignment="1" applyProtection="1">
      <alignment horizontal="center" vertical="center"/>
    </xf>
    <xf numFmtId="0" fontId="5" fillId="8" borderId="61" xfId="0" applyFont="1" applyFill="1" applyBorder="1" applyAlignment="1" applyProtection="1">
      <alignment horizontal="left"/>
    </xf>
    <xf numFmtId="167" fontId="5" fillId="8" borderId="5" xfId="0" applyNumberFormat="1" applyFont="1" applyFill="1" applyBorder="1" applyProtection="1"/>
    <xf numFmtId="167" fontId="5" fillId="8" borderId="63" xfId="0" applyNumberFormat="1" applyFont="1" applyFill="1" applyBorder="1" applyProtection="1"/>
    <xf numFmtId="167" fontId="5" fillId="8" borderId="32" xfId="0" applyNumberFormat="1" applyFont="1" applyFill="1" applyBorder="1" applyAlignment="1" applyProtection="1">
      <alignment vertical="center"/>
    </xf>
    <xf numFmtId="166" fontId="5" fillId="8" borderId="18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Protection="1"/>
    <xf numFmtId="164" fontId="1" fillId="3" borderId="19" xfId="0" applyNumberFormat="1" applyFont="1" applyFill="1" applyBorder="1" applyAlignment="1" applyProtection="1">
      <alignment vertical="center" wrapText="1"/>
    </xf>
    <xf numFmtId="164" fontId="1" fillId="3" borderId="20" xfId="0" applyNumberFormat="1" applyFont="1" applyFill="1" applyBorder="1" applyAlignment="1" applyProtection="1">
      <alignment vertical="center" wrapText="1"/>
    </xf>
    <xf numFmtId="164" fontId="1" fillId="3" borderId="18" xfId="0" applyNumberFormat="1" applyFont="1" applyFill="1" applyBorder="1" applyAlignment="1" applyProtection="1">
      <alignment vertical="center" wrapText="1"/>
    </xf>
    <xf numFmtId="164" fontId="2" fillId="3" borderId="16" xfId="0" applyNumberFormat="1" applyFont="1" applyFill="1" applyBorder="1" applyAlignment="1" applyProtection="1">
      <alignment horizontal="center" vertical="center" wrapText="1"/>
    </xf>
    <xf numFmtId="164" fontId="2" fillId="3" borderId="32" xfId="0" applyNumberFormat="1" applyFont="1" applyFill="1" applyBorder="1" applyAlignment="1" applyProtection="1">
      <alignment horizontal="center" vertical="center" wrapText="1"/>
    </xf>
    <xf numFmtId="164" fontId="2" fillId="3" borderId="38" xfId="0" applyNumberFormat="1" applyFont="1" applyFill="1" applyBorder="1" applyAlignment="1" applyProtection="1">
      <alignment horizontal="center"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164" fontId="2" fillId="3" borderId="40" xfId="0" applyNumberFormat="1" applyFont="1" applyFill="1" applyBorder="1" applyAlignment="1" applyProtection="1">
      <alignment horizontal="center" vertical="center" wrapText="1"/>
    </xf>
    <xf numFmtId="164" fontId="2" fillId="4" borderId="21" xfId="0" applyNumberFormat="1" applyFont="1" applyFill="1" applyBorder="1" applyAlignment="1" applyProtection="1">
      <alignment horizontal="center" vertical="center" wrapText="1"/>
    </xf>
    <xf numFmtId="164" fontId="2" fillId="4" borderId="28" xfId="0" applyNumberFormat="1" applyFont="1" applyFill="1" applyBorder="1" applyAlignment="1" applyProtection="1">
      <alignment horizontal="center" vertical="center" wrapText="1"/>
    </xf>
    <xf numFmtId="164" fontId="2" fillId="4" borderId="23" xfId="0" applyNumberFormat="1" applyFont="1" applyFill="1" applyBorder="1" applyAlignment="1" applyProtection="1">
      <alignment horizontal="center" vertical="center" wrapText="1"/>
    </xf>
    <xf numFmtId="164" fontId="2" fillId="4" borderId="22" xfId="0" applyNumberFormat="1" applyFont="1" applyFill="1" applyBorder="1" applyAlignment="1" applyProtection="1">
      <alignment horizontal="center" vertical="center" wrapText="1"/>
    </xf>
    <xf numFmtId="164" fontId="2" fillId="2" borderId="21" xfId="0" applyNumberFormat="1" applyFont="1" applyFill="1" applyBorder="1" applyAlignment="1" applyProtection="1">
      <alignment horizontal="center" vertical="center" wrapText="1"/>
    </xf>
    <xf numFmtId="164" fontId="2" fillId="2" borderId="23" xfId="0" applyNumberFormat="1" applyFont="1" applyFill="1" applyBorder="1" applyAlignment="1" applyProtection="1">
      <alignment horizontal="center" vertical="center" wrapText="1"/>
    </xf>
    <xf numFmtId="164" fontId="2" fillId="2" borderId="24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31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165" fontId="0" fillId="0" borderId="33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 wrapText="1"/>
    </xf>
    <xf numFmtId="0" fontId="0" fillId="0" borderId="5" xfId="0" applyFill="1" applyBorder="1" applyProtection="1"/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0" fontId="0" fillId="0" borderId="38" xfId="0" applyFill="1" applyBorder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vertical="center" wrapText="1"/>
    </xf>
    <xf numFmtId="166" fontId="11" fillId="0" borderId="0" xfId="0" applyNumberFormat="1" applyFont="1" applyFill="1" applyProtection="1"/>
    <xf numFmtId="167" fontId="1" fillId="0" borderId="0" xfId="0" applyNumberFormat="1" applyFont="1" applyFill="1" applyProtection="1"/>
    <xf numFmtId="166" fontId="1" fillId="0" borderId="0" xfId="0" applyNumberFormat="1" applyFont="1" applyFill="1" applyProtection="1"/>
    <xf numFmtId="0" fontId="5" fillId="9" borderId="1" xfId="0" applyFont="1" applyFill="1" applyBorder="1" applyProtection="1"/>
    <xf numFmtId="0" fontId="0" fillId="0" borderId="1" xfId="0" applyFill="1" applyBorder="1" applyAlignment="1" applyProtection="1">
      <alignment horizontal="center" wrapText="1"/>
    </xf>
    <xf numFmtId="167" fontId="0" fillId="0" borderId="6" xfId="0" applyNumberFormat="1" applyFill="1" applyBorder="1" applyAlignment="1" applyProtection="1">
      <alignment horizontal="center" vertical="center"/>
    </xf>
    <xf numFmtId="167" fontId="0" fillId="0" borderId="7" xfId="0" applyNumberFormat="1" applyFill="1" applyBorder="1" applyAlignment="1" applyProtection="1">
      <alignment horizontal="center" vertical="center"/>
    </xf>
    <xf numFmtId="166" fontId="0" fillId="0" borderId="4" xfId="0" applyNumberFormat="1" applyFill="1" applyBorder="1" applyAlignment="1" applyProtection="1">
      <alignment horizontal="center" vertical="center"/>
    </xf>
    <xf numFmtId="167" fontId="0" fillId="0" borderId="6" xfId="0" applyNumberFormat="1" applyFill="1" applyBorder="1" applyAlignment="1" applyProtection="1">
      <alignment horizontal="center"/>
    </xf>
    <xf numFmtId="167" fontId="0" fillId="0" borderId="7" xfId="0" applyNumberFormat="1" applyFill="1" applyBorder="1" applyAlignment="1" applyProtection="1">
      <alignment horizontal="center"/>
    </xf>
    <xf numFmtId="166" fontId="0" fillId="0" borderId="4" xfId="0" applyNumberFormat="1" applyFill="1" applyBorder="1" applyAlignment="1" applyProtection="1">
      <alignment horizontal="center"/>
    </xf>
    <xf numFmtId="0" fontId="0" fillId="9" borderId="8" xfId="0" applyFill="1" applyBorder="1" applyAlignment="1" applyProtection="1">
      <alignment horizontal="left" indent="2"/>
    </xf>
    <xf numFmtId="0" fontId="0" fillId="0" borderId="8" xfId="0" applyFill="1" applyBorder="1" applyAlignment="1" applyProtection="1">
      <alignment horizontal="center"/>
    </xf>
    <xf numFmtId="167" fontId="0" fillId="0" borderId="10" xfId="0" applyNumberFormat="1" applyFill="1" applyBorder="1" applyProtection="1"/>
    <xf numFmtId="166" fontId="0" fillId="0" borderId="11" xfId="0" applyNumberFormat="1" applyFill="1" applyBorder="1" applyAlignment="1" applyProtection="1">
      <alignment horizontal="center"/>
    </xf>
    <xf numFmtId="0" fontId="5" fillId="9" borderId="5" xfId="0" applyFont="1" applyFill="1" applyBorder="1" applyAlignment="1" applyProtection="1">
      <alignment horizontal="left" indent="2"/>
    </xf>
    <xf numFmtId="0" fontId="5" fillId="0" borderId="54" xfId="0" applyFont="1" applyFill="1" applyBorder="1" applyProtection="1"/>
    <xf numFmtId="167" fontId="5" fillId="0" borderId="74" xfId="0" applyNumberFormat="1" applyFont="1" applyFill="1" applyBorder="1" applyProtection="1"/>
    <xf numFmtId="167" fontId="5" fillId="0" borderId="75" xfId="0" applyNumberFormat="1" applyFont="1" applyFill="1" applyBorder="1" applyProtection="1"/>
    <xf numFmtId="166" fontId="5" fillId="0" borderId="55" xfId="0" applyNumberFormat="1" applyFont="1" applyFill="1" applyBorder="1" applyAlignment="1" applyProtection="1">
      <alignment horizontal="center"/>
    </xf>
    <xf numFmtId="0" fontId="5" fillId="12" borderId="1" xfId="0" applyFont="1" applyFill="1" applyBorder="1" applyProtection="1"/>
    <xf numFmtId="166" fontId="0" fillId="0" borderId="4" xfId="0" applyNumberForma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5" fillId="12" borderId="5" xfId="0" applyFont="1" applyFill="1" applyBorder="1" applyAlignment="1" applyProtection="1">
      <alignment horizontal="left" indent="2"/>
    </xf>
    <xf numFmtId="0" fontId="5" fillId="11" borderId="1" xfId="0" applyFont="1" applyFill="1" applyBorder="1" applyProtection="1"/>
    <xf numFmtId="0" fontId="0" fillId="11" borderId="15" xfId="0" applyFill="1" applyBorder="1" applyAlignment="1" applyProtection="1">
      <alignment horizontal="left" indent="2"/>
    </xf>
    <xf numFmtId="0" fontId="0" fillId="11" borderId="8" xfId="0" applyFill="1" applyBorder="1" applyAlignment="1" applyProtection="1">
      <alignment horizontal="left" indent="2"/>
    </xf>
    <xf numFmtId="0" fontId="0" fillId="0" borderId="81" xfId="0" applyFill="1" applyBorder="1" applyAlignment="1" applyProtection="1">
      <alignment horizontal="center"/>
    </xf>
    <xf numFmtId="167" fontId="0" fillId="0" borderId="82" xfId="0" applyNumberFormat="1" applyFill="1" applyBorder="1" applyProtection="1"/>
    <xf numFmtId="167" fontId="0" fillId="0" borderId="83" xfId="0" applyNumberFormat="1" applyFill="1" applyBorder="1" applyProtection="1"/>
    <xf numFmtId="166" fontId="0" fillId="0" borderId="84" xfId="0" applyNumberFormat="1" applyFill="1" applyBorder="1" applyAlignment="1" applyProtection="1">
      <alignment horizontal="center"/>
    </xf>
    <xf numFmtId="0" fontId="5" fillId="11" borderId="5" xfId="0" applyFont="1" applyFill="1" applyBorder="1" applyAlignment="1" applyProtection="1">
      <alignment horizontal="left" indent="2"/>
    </xf>
    <xf numFmtId="0" fontId="0" fillId="0" borderId="5" xfId="0" applyFill="1" applyBorder="1" applyAlignment="1" applyProtection="1">
      <alignment horizontal="center"/>
    </xf>
    <xf numFmtId="167" fontId="5" fillId="0" borderId="17" xfId="0" applyNumberFormat="1" applyFont="1" applyFill="1" applyBorder="1" applyProtection="1"/>
    <xf numFmtId="166" fontId="5" fillId="0" borderId="18" xfId="0" applyNumberFormat="1" applyFont="1" applyFill="1" applyBorder="1" applyAlignment="1" applyProtection="1">
      <alignment horizontal="center"/>
    </xf>
    <xf numFmtId="167" fontId="5" fillId="0" borderId="16" xfId="0" applyNumberFormat="1" applyFont="1" applyFill="1" applyBorder="1" applyProtection="1"/>
    <xf numFmtId="0" fontId="5" fillId="10" borderId="1" xfId="0" applyFont="1" applyFill="1" applyBorder="1" applyProtection="1"/>
    <xf numFmtId="0" fontId="0" fillId="0" borderId="8" xfId="0" applyFill="1" applyBorder="1" applyAlignment="1" applyProtection="1">
      <alignment horizontal="center" wrapText="1"/>
    </xf>
    <xf numFmtId="0" fontId="0" fillId="10" borderId="8" xfId="0" applyFill="1" applyBorder="1" applyAlignment="1" applyProtection="1">
      <alignment horizontal="left" indent="2"/>
    </xf>
    <xf numFmtId="0" fontId="5" fillId="10" borderId="5" xfId="0" applyFont="1" applyFill="1" applyBorder="1" applyAlignment="1" applyProtection="1">
      <alignment horizontal="left" indent="2"/>
    </xf>
    <xf numFmtId="0" fontId="5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5" fillId="13" borderId="5" xfId="0" applyFont="1" applyFill="1" applyBorder="1" applyAlignment="1" applyProtection="1">
      <alignment horizontal="left" indent="2"/>
    </xf>
    <xf numFmtId="166" fontId="5" fillId="8" borderId="58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6" fillId="0" borderId="3" xfId="0" applyFont="1" applyFill="1" applyBorder="1" applyAlignment="1" applyProtection="1">
      <alignment horizontal="center"/>
    </xf>
    <xf numFmtId="167" fontId="6" fillId="0" borderId="31" xfId="0" applyNumberFormat="1" applyFont="1" applyFill="1" applyBorder="1" applyProtection="1"/>
    <xf numFmtId="0" fontId="6" fillId="0" borderId="34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7" fontId="6" fillId="0" borderId="11" xfId="0" applyNumberFormat="1" applyFont="1" applyFill="1" applyBorder="1" applyProtection="1"/>
    <xf numFmtId="167" fontId="5" fillId="8" borderId="49" xfId="0" applyNumberFormat="1" applyFont="1" applyFill="1" applyBorder="1" applyProtection="1"/>
    <xf numFmtId="165" fontId="5" fillId="8" borderId="50" xfId="0" applyNumberFormat="1" applyFont="1" applyFill="1" applyBorder="1" applyAlignment="1" applyProtection="1">
      <alignment horizontal="center"/>
    </xf>
    <xf numFmtId="167" fontId="6" fillId="0" borderId="30" xfId="0" applyNumberFormat="1" applyFont="1" applyFill="1" applyBorder="1" applyProtection="1"/>
    <xf numFmtId="0" fontId="6" fillId="0" borderId="33" xfId="0" applyFont="1" applyFill="1" applyBorder="1" applyAlignment="1" applyProtection="1">
      <alignment horizontal="center"/>
    </xf>
    <xf numFmtId="167" fontId="5" fillId="8" borderId="51" xfId="0" applyNumberFormat="1" applyFont="1" applyFill="1" applyBorder="1" applyProtection="1"/>
    <xf numFmtId="165" fontId="5" fillId="8" borderId="39" xfId="0" applyNumberFormat="1" applyFont="1" applyFill="1" applyBorder="1" applyAlignment="1" applyProtection="1">
      <alignment horizontal="center"/>
    </xf>
    <xf numFmtId="0" fontId="5" fillId="0" borderId="41" xfId="0" applyFont="1" applyFill="1" applyBorder="1" applyProtection="1"/>
    <xf numFmtId="0" fontId="7" fillId="0" borderId="44" xfId="0" applyFont="1" applyFill="1" applyBorder="1" applyAlignment="1" applyProtection="1">
      <alignment horizontal="center"/>
    </xf>
    <xf numFmtId="167" fontId="7" fillId="0" borderId="42" xfId="0" applyNumberFormat="1" applyFont="1" applyFill="1" applyBorder="1" applyProtection="1"/>
    <xf numFmtId="0" fontId="7" fillId="0" borderId="43" xfId="0" applyFont="1" applyFill="1" applyBorder="1" applyAlignment="1" applyProtection="1">
      <alignment horizontal="center"/>
    </xf>
    <xf numFmtId="167" fontId="7" fillId="0" borderId="45" xfId="0" applyNumberFormat="1" applyFont="1" applyFill="1" applyBorder="1" applyProtection="1"/>
    <xf numFmtId="167" fontId="5" fillId="8" borderId="52" xfId="0" applyNumberFormat="1" applyFont="1" applyFill="1" applyBorder="1" applyProtection="1"/>
    <xf numFmtId="165" fontId="5" fillId="8" borderId="53" xfId="0" applyNumberFormat="1" applyFont="1" applyFill="1" applyBorder="1" applyAlignment="1" applyProtection="1">
      <alignment horizontal="center"/>
    </xf>
    <xf numFmtId="0" fontId="5" fillId="7" borderId="8" xfId="0" applyFont="1" applyFill="1" applyBorder="1" applyProtection="1"/>
    <xf numFmtId="0" fontId="6" fillId="7" borderId="0" xfId="0" applyFont="1" applyFill="1" applyAlignment="1" applyProtection="1">
      <alignment horizontal="center"/>
    </xf>
    <xf numFmtId="167" fontId="6" fillId="7" borderId="30" xfId="0" applyNumberFormat="1" applyFont="1" applyFill="1" applyBorder="1" applyProtection="1"/>
    <xf numFmtId="167" fontId="6" fillId="7" borderId="0" xfId="0" applyNumberFormat="1" applyFont="1" applyFill="1" applyProtection="1"/>
    <xf numFmtId="0" fontId="6" fillId="7" borderId="33" xfId="0" applyFont="1" applyFill="1" applyBorder="1" applyAlignment="1" applyProtection="1">
      <alignment horizontal="center"/>
    </xf>
    <xf numFmtId="167" fontId="6" fillId="7" borderId="11" xfId="0" applyNumberFormat="1" applyFont="1" applyFill="1" applyBorder="1" applyProtection="1"/>
    <xf numFmtId="167" fontId="5" fillId="7" borderId="49" xfId="0" applyNumberFormat="1" applyFont="1" applyFill="1" applyBorder="1" applyProtection="1"/>
    <xf numFmtId="0" fontId="5" fillId="7" borderId="50" xfId="0" applyFont="1" applyFill="1" applyBorder="1" applyProtection="1"/>
    <xf numFmtId="0" fontId="7" fillId="7" borderId="0" xfId="0" applyFont="1" applyFill="1" applyAlignment="1" applyProtection="1">
      <alignment horizontal="center"/>
    </xf>
    <xf numFmtId="167" fontId="7" fillId="7" borderId="30" xfId="0" applyNumberFormat="1" applyFont="1" applyFill="1" applyBorder="1" applyProtection="1"/>
    <xf numFmtId="167" fontId="7" fillId="7" borderId="0" xfId="0" applyNumberFormat="1" applyFont="1" applyFill="1" applyProtection="1"/>
    <xf numFmtId="0" fontId="7" fillId="7" borderId="33" xfId="0" applyFont="1" applyFill="1" applyBorder="1" applyAlignment="1" applyProtection="1">
      <alignment horizontal="center"/>
    </xf>
    <xf numFmtId="167" fontId="7" fillId="7" borderId="11" xfId="0" applyNumberFormat="1" applyFont="1" applyFill="1" applyBorder="1" applyProtection="1"/>
    <xf numFmtId="0" fontId="5" fillId="8" borderId="1" xfId="0" applyFont="1" applyFill="1" applyBorder="1" applyProtection="1"/>
    <xf numFmtId="0" fontId="7" fillId="8" borderId="46" xfId="0" applyFont="1" applyFill="1" applyBorder="1" applyAlignment="1" applyProtection="1">
      <alignment horizontal="center"/>
    </xf>
    <xf numFmtId="167" fontId="7" fillId="8" borderId="47" xfId="0" applyNumberFormat="1" applyFont="1" applyFill="1" applyBorder="1" applyProtection="1"/>
    <xf numFmtId="0" fontId="7" fillId="8" borderId="80" xfId="0" applyFont="1" applyFill="1" applyBorder="1" applyAlignment="1" applyProtection="1">
      <alignment horizontal="center"/>
    </xf>
    <xf numFmtId="0" fontId="7" fillId="8" borderId="47" xfId="0" applyFont="1" applyFill="1" applyBorder="1" applyAlignment="1" applyProtection="1">
      <alignment horizontal="center"/>
    </xf>
    <xf numFmtId="167" fontId="7" fillId="8" borderId="48" xfId="0" applyNumberFormat="1" applyFont="1" applyFill="1" applyBorder="1" applyProtection="1"/>
    <xf numFmtId="167" fontId="5" fillId="8" borderId="2" xfId="0" applyNumberFormat="1" applyFont="1" applyFill="1" applyBorder="1" applyProtection="1"/>
    <xf numFmtId="167" fontId="5" fillId="8" borderId="4" xfId="0" applyNumberFormat="1" applyFont="1" applyFill="1" applyBorder="1" applyProtection="1"/>
    <xf numFmtId="0" fontId="5" fillId="8" borderId="26" xfId="0" applyFont="1" applyFill="1" applyBorder="1" applyAlignment="1" applyProtection="1">
      <alignment wrapText="1"/>
    </xf>
    <xf numFmtId="165" fontId="7" fillId="8" borderId="24" xfId="0" applyNumberFormat="1" applyFont="1" applyFill="1" applyBorder="1" applyAlignment="1" applyProtection="1">
      <alignment horizontal="center" vertical="center"/>
    </xf>
    <xf numFmtId="167" fontId="5" fillId="8" borderId="19" xfId="0" applyNumberFormat="1" applyFont="1" applyFill="1" applyBorder="1" applyProtection="1"/>
    <xf numFmtId="167" fontId="5" fillId="8" borderId="18" xfId="0" applyNumberFormat="1" applyFont="1" applyFill="1" applyBorder="1" applyProtection="1"/>
    <xf numFmtId="0" fontId="0" fillId="0" borderId="3" xfId="0" applyFill="1" applyBorder="1" applyProtection="1"/>
    <xf numFmtId="0" fontId="5" fillId="15" borderId="51" xfId="0" applyFont="1" applyFill="1" applyBorder="1" applyAlignment="1" applyProtection="1">
      <alignment horizontal="center"/>
    </xf>
    <xf numFmtId="0" fontId="5" fillId="16" borderId="51" xfId="0" applyFont="1" applyFill="1" applyBorder="1" applyAlignment="1" applyProtection="1">
      <alignment horizontal="center"/>
    </xf>
    <xf numFmtId="166" fontId="5" fillId="15" borderId="16" xfId="0" applyNumberFormat="1" applyFont="1" applyFill="1" applyBorder="1" applyAlignment="1" applyProtection="1">
      <alignment horizontal="center" vertical="top"/>
    </xf>
    <xf numFmtId="166" fontId="5" fillId="16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167" fontId="0" fillId="0" borderId="1" xfId="0" applyNumberFormat="1" applyFill="1" applyBorder="1" applyProtection="1"/>
    <xf numFmtId="167" fontId="0" fillId="0" borderId="11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0" fillId="0" borderId="15" xfId="0" applyFill="1" applyBorder="1" applyProtection="1"/>
    <xf numFmtId="0" fontId="5" fillId="0" borderId="62" xfId="0" applyFont="1" applyFill="1" applyBorder="1" applyProtection="1"/>
    <xf numFmtId="167" fontId="5" fillId="0" borderId="41" xfId="0" applyNumberFormat="1" applyFont="1" applyFill="1" applyBorder="1" applyProtection="1"/>
    <xf numFmtId="167" fontId="5" fillId="0" borderId="65" xfId="0" applyNumberFormat="1" applyFont="1" applyFill="1" applyBorder="1" applyProtection="1"/>
    <xf numFmtId="167" fontId="5" fillId="0" borderId="45" xfId="0" applyNumberFormat="1" applyFont="1" applyFill="1" applyBorder="1" applyProtection="1"/>
    <xf numFmtId="167" fontId="5" fillId="0" borderId="66" xfId="0" applyNumberFormat="1" applyFont="1" applyFill="1" applyBorder="1" applyProtection="1"/>
    <xf numFmtId="167" fontId="5" fillId="0" borderId="42" xfId="0" applyNumberFormat="1" applyFont="1" applyFill="1" applyBorder="1" applyProtection="1"/>
    <xf numFmtId="165" fontId="5" fillId="0" borderId="67" xfId="0" applyNumberFormat="1" applyFont="1" applyFill="1" applyBorder="1" applyAlignment="1" applyProtection="1">
      <alignment horizontal="center"/>
    </xf>
    <xf numFmtId="0" fontId="5" fillId="7" borderId="15" xfId="0" applyFont="1" applyFill="1" applyBorder="1" applyProtection="1"/>
    <xf numFmtId="167" fontId="0" fillId="7" borderId="8" xfId="0" applyNumberFormat="1" applyFill="1" applyBorder="1" applyProtection="1"/>
    <xf numFmtId="167" fontId="0" fillId="7" borderId="9" xfId="0" applyNumberFormat="1" applyFill="1" applyBorder="1" applyProtection="1"/>
    <xf numFmtId="167" fontId="0" fillId="7" borderId="0" xfId="0" applyNumberFormat="1" applyFill="1" applyProtection="1"/>
    <xf numFmtId="167" fontId="0" fillId="7" borderId="10" xfId="0" applyNumberFormat="1" applyFill="1" applyBorder="1" applyProtection="1"/>
    <xf numFmtId="167" fontId="0" fillId="7" borderId="30" xfId="0" applyNumberFormat="1" applyFill="1" applyBorder="1" applyProtection="1"/>
    <xf numFmtId="167" fontId="0" fillId="7" borderId="0" xfId="0" applyNumberFormat="1" applyFill="1" applyAlignment="1" applyProtection="1">
      <alignment horizontal="center"/>
    </xf>
    <xf numFmtId="167" fontId="0" fillId="7" borderId="11" xfId="0" applyNumberFormat="1" applyFill="1" applyBorder="1" applyProtection="1"/>
    <xf numFmtId="0" fontId="0" fillId="7" borderId="11" xfId="0" applyFill="1" applyBorder="1" applyAlignment="1" applyProtection="1">
      <alignment horizontal="center"/>
    </xf>
    <xf numFmtId="0" fontId="5" fillId="8" borderId="63" xfId="0" applyFont="1" applyFill="1" applyBorder="1" applyProtection="1"/>
    <xf numFmtId="0" fontId="5" fillId="8" borderId="69" xfId="0" applyFont="1" applyFill="1" applyBorder="1" applyProtection="1"/>
    <xf numFmtId="167" fontId="5" fillId="8" borderId="61" xfId="0" applyNumberFormat="1" applyFont="1" applyFill="1" applyBorder="1" applyProtection="1"/>
    <xf numFmtId="167" fontId="5" fillId="8" borderId="58" xfId="0" applyNumberFormat="1" applyFont="1" applyFill="1" applyBorder="1" applyProtection="1"/>
    <xf numFmtId="167" fontId="5" fillId="8" borderId="64" xfId="0" applyNumberFormat="1" applyFont="1" applyFill="1" applyBorder="1" applyProtection="1"/>
    <xf numFmtId="167" fontId="5" fillId="8" borderId="70" xfId="0" applyNumberFormat="1" applyFont="1" applyFill="1" applyBorder="1" applyProtection="1"/>
    <xf numFmtId="165" fontId="5" fillId="8" borderId="68" xfId="0" applyNumberFormat="1" applyFont="1" applyFill="1" applyBorder="1" applyAlignment="1" applyProtection="1">
      <alignment horizontal="center"/>
    </xf>
    <xf numFmtId="167" fontId="5" fillId="8" borderId="68" xfId="0" applyNumberFormat="1" applyFont="1" applyFill="1" applyBorder="1" applyProtection="1"/>
    <xf numFmtId="166" fontId="5" fillId="8" borderId="68" xfId="0" applyNumberFormat="1" applyFont="1" applyFill="1" applyBorder="1" applyAlignment="1" applyProtection="1">
      <alignment horizontal="center"/>
    </xf>
    <xf numFmtId="167" fontId="5" fillId="8" borderId="58" xfId="0" applyNumberFormat="1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  <xf numFmtId="167" fontId="5" fillId="8" borderId="63" xfId="0" applyNumberFormat="1" applyFont="1" applyFill="1" applyBorder="1" applyAlignment="1" applyProtection="1">
      <alignment horizontal="center" vertical="center" wrapText="1"/>
    </xf>
    <xf numFmtId="167" fontId="5" fillId="8" borderId="64" xfId="0" applyNumberFormat="1" applyFont="1" applyFill="1" applyBorder="1" applyAlignment="1" applyProtection="1">
      <alignment horizontal="center" vertical="center" wrapText="1"/>
    </xf>
    <xf numFmtId="166" fontId="5" fillId="14" borderId="68" xfId="0" applyNumberFormat="1" applyFont="1" applyFill="1" applyBorder="1" applyAlignment="1" applyProtection="1">
      <alignment horizontal="center" vertical="center" wrapText="1"/>
    </xf>
    <xf numFmtId="0" fontId="5" fillId="7" borderId="57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7" borderId="0" xfId="0" applyNumberFormat="1" applyFill="1" applyAlignment="1" applyProtection="1">
      <alignment horizontal="center"/>
    </xf>
    <xf numFmtId="37" fontId="5" fillId="0" borderId="62" xfId="0" applyNumberFormat="1" applyFont="1" applyFill="1" applyBorder="1" applyAlignment="1" applyProtection="1">
      <alignment horizontal="center"/>
    </xf>
    <xf numFmtId="167" fontId="5" fillId="0" borderId="67" xfId="0" applyNumberFormat="1" applyFont="1" applyFill="1" applyBorder="1" applyProtection="1"/>
    <xf numFmtId="166" fontId="5" fillId="0" borderId="67" xfId="0" applyNumberFormat="1" applyFont="1" applyFill="1" applyBorder="1" applyAlignment="1" applyProtection="1">
      <alignment horizontal="center"/>
    </xf>
    <xf numFmtId="165" fontId="5" fillId="7" borderId="44" xfId="0" applyNumberFormat="1" applyFont="1" applyFill="1" applyBorder="1" applyAlignment="1" applyProtection="1">
      <alignment horizontal="center"/>
    </xf>
    <xf numFmtId="37" fontId="0" fillId="7" borderId="15" xfId="0" applyNumberFormat="1" applyFill="1" applyBorder="1" applyAlignment="1" applyProtection="1">
      <alignment horizontal="center"/>
    </xf>
    <xf numFmtId="166" fontId="0" fillId="7" borderId="11" xfId="0" applyNumberFormat="1" applyFill="1" applyBorder="1" applyAlignment="1" applyProtection="1">
      <alignment horizontal="center"/>
    </xf>
    <xf numFmtId="37" fontId="5" fillId="8" borderId="56" xfId="0" applyNumberFormat="1" applyFont="1" applyFill="1" applyBorder="1" applyAlignment="1" applyProtection="1">
      <alignment horizontal="center"/>
    </xf>
    <xf numFmtId="165" fontId="5" fillId="7" borderId="57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5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0" fillId="24" borderId="0" xfId="0" applyFill="1" applyProtection="1"/>
    <xf numFmtId="0" fontId="8" fillId="24" borderId="0" xfId="0" applyFont="1" applyFill="1" applyProtection="1"/>
    <xf numFmtId="0" fontId="8" fillId="25" borderId="85" xfId="0" applyFont="1" applyFill="1" applyBorder="1" applyProtection="1"/>
    <xf numFmtId="0" fontId="0" fillId="25" borderId="85" xfId="0" applyFill="1" applyBorder="1" applyProtection="1"/>
    <xf numFmtId="167" fontId="0" fillId="25" borderId="85" xfId="0" applyNumberFormat="1" applyFill="1" applyBorder="1" applyProtection="1"/>
    <xf numFmtId="0" fontId="8" fillId="26" borderId="85" xfId="0" applyFont="1" applyFill="1" applyBorder="1" applyProtection="1"/>
    <xf numFmtId="0" fontId="0" fillId="26" borderId="85" xfId="0" applyFill="1" applyBorder="1" applyProtection="1"/>
    <xf numFmtId="167" fontId="0" fillId="26" borderId="85" xfId="0" applyNumberFormat="1" applyFill="1" applyBorder="1" applyProtection="1"/>
    <xf numFmtId="167" fontId="5" fillId="7" borderId="1" xfId="0" applyNumberFormat="1" applyFont="1" applyFill="1" applyBorder="1" applyProtection="1"/>
    <xf numFmtId="167" fontId="5" fillId="7" borderId="8" xfId="0" applyNumberFormat="1" applyFont="1" applyFill="1" applyBorder="1" applyProtection="1"/>
    <xf numFmtId="167" fontId="5" fillId="18" borderId="9" xfId="0" applyNumberFormat="1" applyFont="1" applyFill="1" applyBorder="1" applyAlignment="1" applyProtection="1">
      <alignment horizontal="center" vertical="center" wrapText="1"/>
    </xf>
    <xf numFmtId="167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1" xfId="0" applyNumberFormat="1" applyFont="1" applyFill="1" applyBorder="1" applyAlignment="1" applyProtection="1">
      <alignment horizontal="center" vertical="center" wrapText="1"/>
    </xf>
    <xf numFmtId="167" fontId="5" fillId="15" borderId="51" xfId="0" applyNumberFormat="1" applyFont="1" applyFill="1" applyBorder="1" applyAlignment="1" applyProtection="1">
      <alignment horizontal="center" vertical="center" wrapText="1"/>
    </xf>
    <xf numFmtId="166" fontId="5" fillId="15" borderId="11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Fill="1" applyBorder="1" applyProtection="1"/>
    <xf numFmtId="166" fontId="0" fillId="0" borderId="3" xfId="0" applyNumberFormat="1" applyFill="1" applyBorder="1" applyAlignment="1" applyProtection="1">
      <alignment horizontal="center"/>
    </xf>
    <xf numFmtId="167" fontId="0" fillId="0" borderId="4" xfId="0" applyNumberFormat="1" applyFill="1" applyBorder="1" applyProtection="1"/>
    <xf numFmtId="167" fontId="0" fillId="0" borderId="7" xfId="0" applyNumberFormat="1" applyFill="1" applyBorder="1" applyProtection="1"/>
    <xf numFmtId="166" fontId="0" fillId="0" borderId="7" xfId="0" applyNumberFormat="1" applyFill="1" applyBorder="1" applyAlignment="1" applyProtection="1">
      <alignment horizontal="center"/>
    </xf>
    <xf numFmtId="167" fontId="0" fillId="7" borderId="1" xfId="0" applyNumberFormat="1" applyFill="1" applyBorder="1" applyProtection="1"/>
    <xf numFmtId="166" fontId="0" fillId="0" borderId="10" xfId="0" applyNumberFormat="1" applyFill="1" applyBorder="1" applyAlignment="1" applyProtection="1">
      <alignment horizontal="center"/>
    </xf>
    <xf numFmtId="166" fontId="5" fillId="0" borderId="45" xfId="0" applyNumberFormat="1" applyFont="1" applyFill="1" applyBorder="1" applyAlignment="1" applyProtection="1">
      <alignment horizontal="center"/>
    </xf>
    <xf numFmtId="166" fontId="5" fillId="0" borderId="66" xfId="0" applyNumberFormat="1" applyFont="1" applyFill="1" applyBorder="1" applyAlignment="1" applyProtection="1">
      <alignment horizontal="center"/>
    </xf>
    <xf numFmtId="167" fontId="5" fillId="7" borderId="41" xfId="0" applyNumberFormat="1" applyFont="1" applyFill="1" applyBorder="1" applyProtection="1"/>
    <xf numFmtId="166" fontId="0" fillId="7" borderId="0" xfId="0" applyNumberFormat="1" applyFill="1" applyAlignment="1" applyProtection="1">
      <alignment horizontal="center"/>
    </xf>
    <xf numFmtId="166" fontId="0" fillId="7" borderId="10" xfId="0" applyNumberFormat="1" applyFill="1" applyBorder="1" applyAlignment="1" applyProtection="1">
      <alignment horizontal="center"/>
    </xf>
    <xf numFmtId="0" fontId="5" fillId="8" borderId="56" xfId="0" applyFont="1" applyFill="1" applyBorder="1" applyProtection="1"/>
    <xf numFmtId="166" fontId="5" fillId="8" borderId="64" xfId="0" applyNumberFormat="1" applyFont="1" applyFill="1" applyBorder="1" applyAlignment="1" applyProtection="1">
      <alignment horizontal="center"/>
    </xf>
    <xf numFmtId="167" fontId="5" fillId="7" borderId="61" xfId="0" applyNumberFormat="1" applyFont="1" applyFill="1" applyBorder="1" applyProtection="1"/>
    <xf numFmtId="0" fontId="5" fillId="8" borderId="15" xfId="0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5" fillId="8" borderId="11" xfId="0" applyFont="1" applyFill="1" applyBorder="1" applyAlignment="1" applyProtection="1">
      <alignment horizontal="center"/>
    </xf>
    <xf numFmtId="0" fontId="5" fillId="18" borderId="21" xfId="0" applyFont="1" applyFill="1" applyBorder="1" applyAlignment="1" applyProtection="1">
      <alignment horizontal="center" vertical="center"/>
    </xf>
    <xf numFmtId="0" fontId="5" fillId="18" borderId="23" xfId="0" applyFont="1" applyFill="1" applyBorder="1" applyAlignment="1" applyProtection="1">
      <alignment horizontal="center" vertical="center"/>
    </xf>
    <xf numFmtId="0" fontId="5" fillId="20" borderId="23" xfId="0" applyFont="1" applyFill="1" applyBorder="1" applyAlignment="1" applyProtection="1">
      <alignment horizontal="center" vertical="center"/>
    </xf>
    <xf numFmtId="0" fontId="5" fillId="20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167" fontId="0" fillId="0" borderId="15" xfId="0" applyNumberFormat="1" applyFill="1" applyBorder="1" applyAlignment="1" applyProtection="1">
      <alignment vertical="center"/>
    </xf>
    <xf numFmtId="167" fontId="0" fillId="0" borderId="30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5" fillId="0" borderId="15" xfId="0" applyNumberFormat="1" applyFont="1" applyFill="1" applyBorder="1" applyAlignment="1" applyProtection="1">
      <alignment vertical="center"/>
    </xf>
    <xf numFmtId="167" fontId="5" fillId="0" borderId="30" xfId="0" applyNumberFormat="1" applyFont="1" applyFill="1" applyBorder="1" applyAlignment="1" applyProtection="1">
      <alignment vertical="center"/>
    </xf>
    <xf numFmtId="167" fontId="5" fillId="0" borderId="0" xfId="0" applyNumberFormat="1" applyFont="1" applyFill="1" applyAlignment="1" applyProtection="1">
      <alignment vertical="center"/>
    </xf>
    <xf numFmtId="167" fontId="5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167" fontId="0" fillId="0" borderId="19" xfId="0" applyNumberFormat="1" applyFill="1" applyBorder="1" applyAlignment="1" applyProtection="1">
      <alignment vertical="center"/>
    </xf>
    <xf numFmtId="167" fontId="0" fillId="0" borderId="32" xfId="0" applyNumberFormat="1" applyFill="1" applyBorder="1" applyAlignment="1" applyProtection="1">
      <alignment vertical="center"/>
    </xf>
    <xf numFmtId="167" fontId="0" fillId="0" borderId="20" xfId="0" applyNumberFormat="1" applyFill="1" applyBorder="1" applyAlignment="1" applyProtection="1">
      <alignment vertical="center"/>
    </xf>
    <xf numFmtId="167" fontId="0" fillId="0" borderId="18" xfId="0" applyNumberFormat="1" applyFill="1" applyBorder="1" applyAlignment="1" applyProtection="1">
      <alignment vertical="center"/>
    </xf>
    <xf numFmtId="167" fontId="5" fillId="0" borderId="19" xfId="0" applyNumberFormat="1" applyFont="1" applyFill="1" applyBorder="1" applyAlignment="1" applyProtection="1">
      <alignment vertical="center"/>
    </xf>
    <xf numFmtId="167" fontId="5" fillId="0" borderId="32" xfId="0" applyNumberFormat="1" applyFont="1" applyFill="1" applyBorder="1" applyAlignment="1" applyProtection="1">
      <alignment vertical="center"/>
    </xf>
    <xf numFmtId="167" fontId="5" fillId="0" borderId="38" xfId="0" applyNumberFormat="1" applyFont="1" applyFill="1" applyBorder="1" applyAlignment="1" applyProtection="1">
      <alignment vertical="center"/>
    </xf>
    <xf numFmtId="167" fontId="5" fillId="0" borderId="18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7" borderId="61" xfId="0" applyFont="1" applyFill="1" applyBorder="1" applyAlignment="1" applyProtection="1">
      <alignment horizontal="center" vertical="center"/>
    </xf>
    <xf numFmtId="0" fontId="5" fillId="7" borderId="77" xfId="0" applyFont="1" applyFill="1" applyBorder="1" applyAlignment="1" applyProtection="1">
      <alignment horizontal="center" vertical="center"/>
    </xf>
    <xf numFmtId="0" fontId="5" fillId="22" borderId="18" xfId="0" applyFont="1" applyFill="1" applyBorder="1" applyAlignment="1" applyProtection="1">
      <alignment horizontal="center" vertical="center" wrapText="1"/>
    </xf>
    <xf numFmtId="0" fontId="5" fillId="22" borderId="17" xfId="0" applyFont="1" applyFill="1" applyBorder="1" applyAlignment="1" applyProtection="1">
      <alignment horizontal="center" vertical="center" wrapText="1"/>
    </xf>
    <xf numFmtId="0" fontId="5" fillId="22" borderId="16" xfId="0" applyFont="1" applyFill="1" applyBorder="1" applyAlignment="1" applyProtection="1">
      <alignment horizontal="center" vertical="center" wrapText="1"/>
    </xf>
    <xf numFmtId="0" fontId="5" fillId="23" borderId="18" xfId="0" applyFont="1" applyFill="1" applyBorder="1" applyAlignment="1" applyProtection="1">
      <alignment horizontal="center" vertical="center" wrapText="1"/>
    </xf>
    <xf numFmtId="0" fontId="5" fillId="23" borderId="17" xfId="0" applyFont="1" applyFill="1" applyBorder="1" applyAlignment="1" applyProtection="1">
      <alignment horizontal="center" vertical="center" wrapText="1"/>
    </xf>
    <xf numFmtId="0" fontId="5" fillId="23" borderId="16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166" fontId="0" fillId="25" borderId="85" xfId="0" applyNumberFormat="1" applyFill="1" applyBorder="1" applyProtection="1"/>
    <xf numFmtId="0" fontId="5" fillId="7" borderId="57" xfId="0" applyFont="1" applyFill="1" applyBorder="1" applyAlignment="1" applyProtection="1">
      <alignment horizontal="center" vertical="center"/>
    </xf>
    <xf numFmtId="167" fontId="5" fillId="23" borderId="9" xfId="0" applyNumberFormat="1" applyFont="1" applyFill="1" applyBorder="1" applyAlignment="1" applyProtection="1">
      <alignment horizontal="center" wrapText="1"/>
    </xf>
    <xf numFmtId="0" fontId="5" fillId="7" borderId="0" xfId="0" applyFont="1" applyFill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top"/>
    </xf>
    <xf numFmtId="0" fontId="5" fillId="7" borderId="20" xfId="0" applyFont="1" applyFill="1" applyBorder="1" applyAlignment="1" applyProtection="1">
      <alignment horizontal="center" vertical="center"/>
    </xf>
    <xf numFmtId="167" fontId="0" fillId="0" borderId="8" xfId="0" applyNumberFormat="1" applyFill="1" applyBorder="1" applyAlignment="1" applyProtection="1">
      <alignment horizontal="center"/>
    </xf>
    <xf numFmtId="167" fontId="5" fillId="0" borderId="41" xfId="0" applyNumberFormat="1" applyFont="1" applyFill="1" applyBorder="1" applyAlignment="1" applyProtection="1">
      <alignment horizontal="center"/>
    </xf>
    <xf numFmtId="167" fontId="0" fillId="7" borderId="8" xfId="0" applyNumberFormat="1" applyFill="1" applyBorder="1" applyAlignment="1" applyProtection="1">
      <alignment horizontal="center"/>
    </xf>
    <xf numFmtId="167" fontId="5" fillId="8" borderId="61" xfId="0" applyNumberFormat="1" applyFont="1" applyFill="1" applyBorder="1" applyAlignment="1" applyProtection="1">
      <alignment horizontal="center"/>
    </xf>
    <xf numFmtId="0" fontId="5" fillId="7" borderId="58" xfId="0" applyFont="1" applyFill="1" applyBorder="1" applyAlignment="1" applyProtection="1">
      <alignment horizontal="center" vertical="center"/>
    </xf>
    <xf numFmtId="0" fontId="5" fillId="7" borderId="72" xfId="0" applyFont="1" applyFill="1" applyBorder="1" applyAlignment="1" applyProtection="1">
      <alignment horizontal="center" vertical="center"/>
    </xf>
    <xf numFmtId="166" fontId="5" fillId="22" borderId="18" xfId="0" applyNumberFormat="1" applyFont="1" applyFill="1" applyBorder="1" applyAlignment="1" applyProtection="1">
      <alignment horizontal="center" vertical="center" wrapText="1"/>
    </xf>
    <xf numFmtId="167" fontId="5" fillId="22" borderId="32" xfId="0" applyNumberFormat="1" applyFont="1" applyFill="1" applyBorder="1" applyAlignment="1" applyProtection="1">
      <alignment horizontal="center" vertical="center" wrapText="1"/>
    </xf>
    <xf numFmtId="166" fontId="5" fillId="23" borderId="18" xfId="0" applyNumberFormat="1" applyFont="1" applyFill="1" applyBorder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center" wrapText="1"/>
    </xf>
    <xf numFmtId="0" fontId="5" fillId="7" borderId="18" xfId="0" applyFont="1" applyFill="1" applyBorder="1" applyAlignment="1" applyProtection="1">
      <alignment horizontal="center" vertical="center" wrapText="1"/>
    </xf>
    <xf numFmtId="0" fontId="5" fillId="0" borderId="76" xfId="0" applyFont="1" applyFill="1" applyBorder="1" applyProtection="1"/>
    <xf numFmtId="167" fontId="5" fillId="0" borderId="54" xfId="0" applyNumberFormat="1" applyFont="1" applyFill="1" applyBorder="1" applyProtection="1"/>
    <xf numFmtId="167" fontId="5" fillId="0" borderId="55" xfId="0" applyNumberFormat="1" applyFont="1" applyFill="1" applyBorder="1" applyProtection="1"/>
    <xf numFmtId="0" fontId="0" fillId="7" borderId="61" xfId="0" applyFill="1" applyBorder="1" applyProtection="1"/>
    <xf numFmtId="167" fontId="5" fillId="23" borderId="9" xfId="0" applyNumberFormat="1" applyFont="1" applyFill="1" applyBorder="1" applyAlignment="1" applyProtection="1">
      <alignment horizontal="center"/>
    </xf>
    <xf numFmtId="167" fontId="5" fillId="23" borderId="7" xfId="0" applyNumberFormat="1" applyFont="1" applyFill="1" applyBorder="1" applyAlignment="1" applyProtection="1">
      <alignment horizontal="center"/>
    </xf>
    <xf numFmtId="166" fontId="5" fillId="23" borderId="16" xfId="0" applyNumberFormat="1" applyFont="1" applyFill="1" applyBorder="1" applyAlignment="1" applyProtection="1">
      <alignment horizontal="center" vertical="top"/>
    </xf>
    <xf numFmtId="166" fontId="5" fillId="23" borderId="17" xfId="0" applyNumberFormat="1" applyFont="1" applyFill="1" applyBorder="1" applyAlignment="1" applyProtection="1">
      <alignment horizontal="center" vertical="top"/>
    </xf>
    <xf numFmtId="167" fontId="5" fillId="0" borderId="44" xfId="0" applyNumberFormat="1" applyFont="1" applyFill="1" applyBorder="1" applyProtection="1"/>
    <xf numFmtId="167" fontId="5" fillId="8" borderId="57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  <color rgb="FFFF0000"/>
      <color rgb="FFFFFF00"/>
      <color rgb="FFE6B8B7"/>
      <color rgb="FFFCD5B4"/>
      <color rgb="FFFABF8F"/>
      <color rgb="FFBFBFBF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Summary'!$AD$15:$AD$36</c:f>
              <c:numCache>
                <c:formatCode>\$\ #,##0.00</c:formatCode>
                <c:ptCount val="22"/>
                <c:pt idx="0">
                  <c:v>161964845</c:v>
                </c:pt>
                <c:pt idx="1">
                  <c:v>162977282</c:v>
                </c:pt>
                <c:pt idx="2">
                  <c:v>164578451</c:v>
                </c:pt>
                <c:pt idx="3">
                  <c:v>145144961</c:v>
                </c:pt>
                <c:pt idx="4">
                  <c:v>138666276</c:v>
                </c:pt>
                <c:pt idx="5">
                  <c:v>132036487</c:v>
                </c:pt>
                <c:pt idx="6">
                  <c:v>125674805</c:v>
                </c:pt>
                <c:pt idx="7">
                  <c:v>122831839</c:v>
                </c:pt>
                <c:pt idx="8">
                  <c:v>117664425</c:v>
                </c:pt>
                <c:pt idx="9">
                  <c:v>92388743</c:v>
                </c:pt>
                <c:pt idx="10">
                  <c:v>78553259</c:v>
                </c:pt>
                <c:pt idx="11">
                  <c:v>72722783</c:v>
                </c:pt>
                <c:pt idx="12">
                  <c:v>64210736</c:v>
                </c:pt>
                <c:pt idx="13">
                  <c:v>60913567</c:v>
                </c:pt>
                <c:pt idx="14">
                  <c:v>57698854</c:v>
                </c:pt>
                <c:pt idx="15">
                  <c:v>49599347</c:v>
                </c:pt>
                <c:pt idx="16">
                  <c:v>49574060</c:v>
                </c:pt>
                <c:pt idx="17">
                  <c:v>44814505</c:v>
                </c:pt>
                <c:pt idx="18">
                  <c:v>35125262</c:v>
                </c:pt>
                <c:pt idx="19">
                  <c:v>30289346</c:v>
                </c:pt>
                <c:pt idx="20">
                  <c:v>11965850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Summary'!$AE$15:$AE$36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029312"/>
        <c:axId val="438624696"/>
      </c:areaChart>
      <c:catAx>
        <c:axId val="6250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624696"/>
        <c:crosses val="autoZero"/>
        <c:auto val="1"/>
        <c:lblAlgn val="ctr"/>
        <c:lblOffset val="100"/>
        <c:noMultiLvlLbl val="0"/>
      </c:catAx>
      <c:valAx>
        <c:axId val="438624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029312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Summary'!$AF$15:$AF$36</c:f>
              <c:numCache>
                <c:formatCode>\$\ #,##0.00</c:formatCode>
                <c:ptCount val="22"/>
                <c:pt idx="0">
                  <c:v>1310790837</c:v>
                </c:pt>
                <c:pt idx="1">
                  <c:v>1205649437</c:v>
                </c:pt>
                <c:pt idx="2">
                  <c:v>1093989763</c:v>
                </c:pt>
                <c:pt idx="3">
                  <c:v>996667233</c:v>
                </c:pt>
                <c:pt idx="4">
                  <c:v>899370457</c:v>
                </c:pt>
                <c:pt idx="5">
                  <c:v>806527322</c:v>
                </c:pt>
                <c:pt idx="6">
                  <c:v>713218080</c:v>
                </c:pt>
                <c:pt idx="7">
                  <c:v>621164205</c:v>
                </c:pt>
                <c:pt idx="8">
                  <c:v>530027143</c:v>
                </c:pt>
                <c:pt idx="9">
                  <c:v>460645122</c:v>
                </c:pt>
                <c:pt idx="10">
                  <c:v>402247541</c:v>
                </c:pt>
                <c:pt idx="11">
                  <c:v>344337026</c:v>
                </c:pt>
                <c:pt idx="12">
                  <c:v>295333512</c:v>
                </c:pt>
                <c:pt idx="13">
                  <c:v>247412899</c:v>
                </c:pt>
                <c:pt idx="14">
                  <c:v>200537724</c:v>
                </c:pt>
                <c:pt idx="15">
                  <c:v>158856018</c:v>
                </c:pt>
                <c:pt idx="16">
                  <c:v>116038526</c:v>
                </c:pt>
                <c:pt idx="17">
                  <c:v>76037683</c:v>
                </c:pt>
                <c:pt idx="18">
                  <c:v>43990896</c:v>
                </c:pt>
                <c:pt idx="19">
                  <c:v>14785020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Summary'!$AG$15:$AG$36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283752"/>
        <c:axId val="812284144"/>
      </c:areaChart>
      <c:catAx>
        <c:axId val="81228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284144"/>
        <c:crosses val="autoZero"/>
        <c:auto val="1"/>
        <c:lblAlgn val="ctr"/>
        <c:lblOffset val="100"/>
        <c:noMultiLvlLbl val="0"/>
      </c:catAx>
      <c:valAx>
        <c:axId val="81228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283752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5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topLeftCell="A5" zoomScale="80" zoomScaleNormal="80" workbookViewId="0">
      <selection activeCell="A3" sqref="A3:M3"/>
    </sheetView>
  </sheetViews>
  <sheetFormatPr defaultRowHeight="15" x14ac:dyDescent="0.25"/>
  <cols>
    <col min="1" max="1" width="9.140625" style="339" customWidth="1"/>
    <col min="2" max="2" width="30.7109375" style="339" customWidth="1"/>
    <col min="3" max="17" width="9.140625" style="339" customWidth="1"/>
  </cols>
  <sheetData>
    <row r="3" spans="1:17" ht="18.75" customHeight="1" x14ac:dyDescent="0.25">
      <c r="A3" s="329" t="s">
        <v>0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40"/>
      <c r="O3" s="340"/>
      <c r="P3" s="340"/>
      <c r="Q3" s="340"/>
    </row>
    <row r="4" spans="1:17" ht="15.75" customHeight="1" x14ac:dyDescent="0.25">
      <c r="A4" s="330" t="s">
        <v>1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41"/>
      <c r="O4" s="341"/>
      <c r="P4" s="341"/>
      <c r="Q4" s="341"/>
    </row>
    <row r="8" spans="1:17" ht="15.75" customHeight="1" x14ac:dyDescent="0.25">
      <c r="B8" s="336" t="s">
        <v>2</v>
      </c>
      <c r="C8" s="336"/>
      <c r="D8" s="336"/>
      <c r="E8" s="336"/>
      <c r="F8" s="336"/>
      <c r="G8" s="336"/>
      <c r="H8" s="336"/>
      <c r="I8" s="336"/>
      <c r="J8" s="336"/>
      <c r="K8" s="336"/>
      <c r="L8" s="336"/>
    </row>
    <row r="9" spans="1:17" x14ac:dyDescent="0.25">
      <c r="B9" s="328"/>
      <c r="C9" s="328"/>
      <c r="D9" s="328"/>
      <c r="E9" s="328"/>
      <c r="H9" s="333" t="s">
        <v>3</v>
      </c>
      <c r="I9" s="333"/>
      <c r="K9" s="333" t="s">
        <v>4</v>
      </c>
      <c r="L9" s="333"/>
    </row>
    <row r="10" spans="1:17" x14ac:dyDescent="0.25">
      <c r="B10" s="332" t="s">
        <v>5</v>
      </c>
      <c r="C10" s="332"/>
      <c r="D10" s="332"/>
      <c r="E10" s="332"/>
    </row>
    <row r="11" spans="1:17" x14ac:dyDescent="0.25">
      <c r="B11" s="334" t="s">
        <v>6</v>
      </c>
      <c r="C11" s="334"/>
      <c r="D11" s="334"/>
      <c r="E11" s="334"/>
      <c r="H11" s="338">
        <v>6.9999000000000006E-2</v>
      </c>
      <c r="I11" s="337"/>
      <c r="K11" s="338">
        <v>6.9998000000000005E-2</v>
      </c>
      <c r="L11" s="337"/>
    </row>
    <row r="12" spans="1:17" x14ac:dyDescent="0.25">
      <c r="B12" s="334" t="s">
        <v>7</v>
      </c>
      <c r="C12" s="334"/>
      <c r="D12" s="334"/>
      <c r="E12" s="334"/>
      <c r="H12" s="338">
        <v>6.0699999999999997E-2</v>
      </c>
      <c r="I12" s="337"/>
      <c r="K12" s="338">
        <v>5.1400000000000001E-2</v>
      </c>
      <c r="L12" s="337"/>
    </row>
    <row r="13" spans="1:17" x14ac:dyDescent="0.25">
      <c r="B13" s="339" t="s">
        <v>8</v>
      </c>
      <c r="G13" s="345"/>
      <c r="H13" s="338">
        <v>9.9989999999999992E-3</v>
      </c>
      <c r="I13" s="337"/>
      <c r="K13" s="338">
        <v>1.9997999999999998E-2</v>
      </c>
      <c r="L13" s="337"/>
    </row>
    <row r="14" spans="1:17" x14ac:dyDescent="0.25">
      <c r="B14" s="326"/>
      <c r="C14" s="326"/>
      <c r="D14" s="326"/>
      <c r="E14" s="326"/>
    </row>
    <row r="15" spans="1:17" x14ac:dyDescent="0.25">
      <c r="B15" s="332" t="s">
        <v>9</v>
      </c>
      <c r="C15" s="332"/>
      <c r="D15" s="332"/>
      <c r="E15" s="332"/>
    </row>
    <row r="16" spans="1:17" x14ac:dyDescent="0.25">
      <c r="B16" s="334" t="s">
        <v>10</v>
      </c>
      <c r="C16" s="334"/>
      <c r="D16" s="334"/>
      <c r="E16" s="334"/>
      <c r="G16" s="345"/>
      <c r="H16" s="338">
        <v>0.01</v>
      </c>
      <c r="I16" s="337"/>
      <c r="K16" s="338">
        <v>0.02</v>
      </c>
      <c r="L16" s="337"/>
    </row>
    <row r="17" spans="2:12" ht="15.75" customHeight="1" thickBot="1" x14ac:dyDescent="0.3">
      <c r="B17" s="347"/>
      <c r="C17" s="347"/>
      <c r="D17" s="347"/>
      <c r="E17" s="347"/>
      <c r="F17" s="347"/>
      <c r="G17" s="347"/>
      <c r="H17" s="347"/>
      <c r="I17" s="347"/>
      <c r="J17" s="347"/>
      <c r="K17" s="347"/>
      <c r="L17" s="347"/>
    </row>
    <row r="19" spans="2:12" ht="15.75" customHeight="1" x14ac:dyDescent="0.25">
      <c r="B19" s="336" t="s">
        <v>11</v>
      </c>
      <c r="C19" s="336"/>
      <c r="D19" s="336"/>
      <c r="E19" s="336"/>
      <c r="F19" s="336"/>
      <c r="G19" s="336"/>
      <c r="H19" s="336"/>
      <c r="I19" s="336"/>
      <c r="J19" s="336"/>
      <c r="K19" s="336"/>
      <c r="L19" s="336"/>
    </row>
    <row r="20" spans="2:12" x14ac:dyDescent="0.25">
      <c r="B20" s="326"/>
      <c r="C20" s="326"/>
      <c r="D20" s="326"/>
      <c r="E20" s="326"/>
      <c r="F20" s="326"/>
      <c r="G20" s="326"/>
    </row>
    <row r="21" spans="2:12" x14ac:dyDescent="0.25">
      <c r="B21" s="334" t="s">
        <v>12</v>
      </c>
      <c r="C21" s="334"/>
      <c r="D21" s="334"/>
      <c r="E21" s="334"/>
      <c r="F21" s="334"/>
      <c r="G21" s="334"/>
      <c r="H21" s="331">
        <v>18</v>
      </c>
      <c r="I21" s="331"/>
    </row>
    <row r="22" spans="2:12" x14ac:dyDescent="0.25">
      <c r="B22" s="334" t="s">
        <v>13</v>
      </c>
      <c r="C22" s="334"/>
      <c r="D22" s="334"/>
      <c r="E22" s="334"/>
      <c r="F22" s="334"/>
      <c r="G22" s="334"/>
      <c r="H22" s="335">
        <v>558761597</v>
      </c>
      <c r="I22" s="335"/>
    </row>
    <row r="23" spans="2:12" x14ac:dyDescent="0.25">
      <c r="B23" s="325"/>
      <c r="C23" s="325"/>
      <c r="D23" s="325"/>
      <c r="E23" s="325"/>
      <c r="F23" s="325"/>
      <c r="G23" s="325"/>
    </row>
    <row r="24" spans="2:12" x14ac:dyDescent="0.25">
      <c r="B24" s="332" t="s">
        <v>14</v>
      </c>
      <c r="C24" s="332"/>
      <c r="D24" s="332"/>
      <c r="E24" s="332"/>
      <c r="F24" s="332"/>
      <c r="G24" s="332"/>
    </row>
    <row r="25" spans="2:12" x14ac:dyDescent="0.25">
      <c r="B25" s="334" t="s">
        <v>15</v>
      </c>
      <c r="C25" s="334"/>
      <c r="D25" s="334"/>
      <c r="E25" s="334"/>
      <c r="F25" s="334"/>
      <c r="G25" s="334"/>
      <c r="H25" s="331">
        <v>0</v>
      </c>
      <c r="I25" s="331"/>
    </row>
    <row r="26" spans="2:12" x14ac:dyDescent="0.25">
      <c r="B26" s="334" t="s">
        <v>16</v>
      </c>
      <c r="C26" s="334"/>
      <c r="D26" s="334"/>
      <c r="E26" s="334"/>
      <c r="F26" s="334"/>
      <c r="G26" s="334"/>
      <c r="H26" s="335">
        <v>0</v>
      </c>
      <c r="I26" s="335"/>
    </row>
    <row r="27" spans="2:12" x14ac:dyDescent="0.25">
      <c r="B27" s="334" t="s">
        <v>17</v>
      </c>
      <c r="C27" s="334"/>
      <c r="D27" s="334"/>
      <c r="E27" s="334"/>
      <c r="F27" s="334"/>
      <c r="G27" s="334"/>
      <c r="H27" s="335">
        <v>0</v>
      </c>
      <c r="I27" s="335"/>
    </row>
    <row r="29" spans="2:12" x14ac:dyDescent="0.25">
      <c r="B29" s="332" t="s">
        <v>18</v>
      </c>
      <c r="C29" s="332"/>
      <c r="D29" s="332"/>
      <c r="E29" s="332"/>
      <c r="F29" s="332"/>
      <c r="G29" s="332"/>
    </row>
    <row r="30" spans="2:12" x14ac:dyDescent="0.25">
      <c r="B30" s="334" t="s">
        <v>15</v>
      </c>
      <c r="C30" s="334"/>
      <c r="D30" s="334"/>
      <c r="E30" s="334"/>
      <c r="F30" s="334"/>
      <c r="G30" s="334"/>
      <c r="H30" s="331">
        <v>0</v>
      </c>
      <c r="I30" s="331"/>
    </row>
    <row r="31" spans="2:12" x14ac:dyDescent="0.25">
      <c r="B31" s="334" t="s">
        <v>16</v>
      </c>
      <c r="C31" s="334"/>
      <c r="D31" s="334"/>
      <c r="E31" s="334"/>
      <c r="F31" s="334"/>
      <c r="G31" s="334"/>
      <c r="H31" s="335">
        <v>0</v>
      </c>
      <c r="I31" s="335"/>
    </row>
    <row r="32" spans="2:12" ht="15.75" customHeight="1" thickBot="1" x14ac:dyDescent="0.3"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</row>
    <row r="34" spans="2:16" ht="15.75" customHeight="1" x14ac:dyDescent="0.25">
      <c r="B34" s="336" t="s">
        <v>19</v>
      </c>
      <c r="C34" s="336"/>
      <c r="D34" s="336"/>
      <c r="E34" s="336"/>
      <c r="F34" s="336"/>
      <c r="G34" s="336"/>
      <c r="H34" s="336"/>
      <c r="I34" s="336"/>
      <c r="J34" s="336"/>
      <c r="K34" s="336"/>
      <c r="L34" s="336"/>
    </row>
    <row r="35" spans="2:16" ht="15.75" customHeight="1" x14ac:dyDescent="0.25">
      <c r="B35" s="350"/>
      <c r="C35" s="350"/>
      <c r="D35" s="350"/>
      <c r="E35" s="350"/>
      <c r="H35" s="333" t="s">
        <v>3</v>
      </c>
      <c r="I35" s="333"/>
      <c r="K35" s="333" t="s">
        <v>4</v>
      </c>
      <c r="L35" s="333"/>
    </row>
    <row r="36" spans="2:16" x14ac:dyDescent="0.25">
      <c r="B36" s="332" t="s">
        <v>20</v>
      </c>
      <c r="C36" s="332"/>
      <c r="D36" s="332"/>
      <c r="E36" s="332"/>
      <c r="F36" s="332"/>
      <c r="G36" s="332"/>
    </row>
    <row r="37" spans="2:16" x14ac:dyDescent="0.25">
      <c r="B37" s="334" t="s">
        <v>21</v>
      </c>
      <c r="C37" s="334"/>
      <c r="D37" s="334"/>
      <c r="E37" s="334"/>
      <c r="F37" s="334"/>
      <c r="G37" s="334"/>
      <c r="H37" s="331">
        <v>61</v>
      </c>
      <c r="I37" s="331"/>
      <c r="K37" s="331">
        <v>61</v>
      </c>
      <c r="L37" s="331"/>
    </row>
    <row r="38" spans="2:16" x14ac:dyDescent="0.25">
      <c r="B38" s="334" t="s">
        <v>22</v>
      </c>
      <c r="C38" s="334"/>
      <c r="D38" s="334"/>
      <c r="E38" s="334"/>
      <c r="F38" s="334"/>
      <c r="G38" s="334"/>
      <c r="H38" s="335">
        <v>501327109</v>
      </c>
      <c r="I38" s="335"/>
      <c r="K38" s="335">
        <v>515522640</v>
      </c>
      <c r="L38" s="335"/>
    </row>
    <row r="39" spans="2:16" x14ac:dyDescent="0.25">
      <c r="B39" s="344"/>
      <c r="C39" s="344"/>
      <c r="D39" s="344"/>
      <c r="E39" s="344"/>
      <c r="F39" s="344"/>
      <c r="G39" s="344"/>
      <c r="H39" s="348"/>
      <c r="I39" s="348"/>
      <c r="K39" s="348"/>
      <c r="L39" s="348"/>
    </row>
    <row r="40" spans="2:16" x14ac:dyDescent="0.25">
      <c r="B40" s="327" t="s">
        <v>23</v>
      </c>
      <c r="C40" s="327"/>
      <c r="D40" s="327"/>
      <c r="E40" s="327"/>
      <c r="F40" s="327"/>
      <c r="G40" s="327"/>
    </row>
    <row r="41" spans="2:16" x14ac:dyDescent="0.25">
      <c r="B41" s="334" t="s">
        <v>21</v>
      </c>
      <c r="C41" s="334"/>
      <c r="D41" s="334"/>
      <c r="E41" s="334"/>
      <c r="F41" s="334"/>
      <c r="G41" s="334"/>
      <c r="H41" s="331">
        <v>51</v>
      </c>
      <c r="I41" s="331"/>
      <c r="K41" s="331">
        <v>51</v>
      </c>
      <c r="L41" s="331"/>
    </row>
    <row r="42" spans="2:16" x14ac:dyDescent="0.25">
      <c r="B42" s="334" t="s">
        <v>22</v>
      </c>
      <c r="C42" s="334"/>
      <c r="D42" s="334"/>
      <c r="E42" s="334"/>
      <c r="F42" s="334"/>
      <c r="G42" s="334"/>
      <c r="H42" s="335">
        <v>469420331</v>
      </c>
      <c r="I42" s="335"/>
      <c r="K42" s="335">
        <v>484155802</v>
      </c>
      <c r="L42" s="335"/>
    </row>
    <row r="43" spans="2:16" ht="15.75" customHeight="1" thickBot="1" x14ac:dyDescent="0.3">
      <c r="B43" s="347"/>
      <c r="C43" s="347"/>
      <c r="D43" s="347"/>
      <c r="E43" s="347"/>
      <c r="F43" s="347"/>
      <c r="G43" s="347"/>
      <c r="H43" s="347"/>
      <c r="I43" s="347"/>
      <c r="J43" s="347"/>
      <c r="K43" s="347"/>
      <c r="L43" s="347"/>
    </row>
    <row r="45" spans="2:16" ht="15.75" customHeight="1" x14ac:dyDescent="0.25">
      <c r="B45" s="336" t="s">
        <v>24</v>
      </c>
      <c r="C45" s="336"/>
      <c r="D45" s="336"/>
      <c r="E45" s="336"/>
      <c r="F45" s="336"/>
      <c r="G45" s="336"/>
      <c r="H45" s="336"/>
      <c r="I45" s="336"/>
      <c r="J45" s="336"/>
      <c r="K45" s="336"/>
      <c r="L45" s="336"/>
    </row>
    <row r="46" spans="2:16" x14ac:dyDescent="0.25">
      <c r="B46" s="332"/>
      <c r="C46" s="332"/>
      <c r="D46" s="332"/>
      <c r="E46" s="332"/>
      <c r="F46" s="332"/>
      <c r="G46" s="332"/>
      <c r="H46" s="333" t="s">
        <v>3</v>
      </c>
      <c r="I46" s="333"/>
      <c r="K46" s="333" t="s">
        <v>4</v>
      </c>
      <c r="L46" s="333"/>
    </row>
    <row r="47" spans="2:16" x14ac:dyDescent="0.25">
      <c r="B47" s="343"/>
      <c r="C47" s="343"/>
      <c r="D47" s="343"/>
      <c r="E47" s="343"/>
      <c r="F47" s="343"/>
      <c r="G47" s="343"/>
      <c r="H47" s="342"/>
      <c r="I47" s="342"/>
      <c r="K47" s="342"/>
      <c r="L47" s="342"/>
    </row>
    <row r="48" spans="2:16" ht="15" customHeight="1" x14ac:dyDescent="0.25">
      <c r="B48" s="334" t="s">
        <v>25</v>
      </c>
      <c r="C48" s="334"/>
      <c r="D48" s="334"/>
      <c r="E48" s="334"/>
      <c r="F48" s="334"/>
      <c r="G48" s="334"/>
      <c r="H48" s="335">
        <v>50</v>
      </c>
      <c r="I48" s="335"/>
      <c r="K48" s="335">
        <v>50</v>
      </c>
      <c r="L48" s="335"/>
      <c r="M48" s="351"/>
      <c r="N48" s="351"/>
      <c r="O48" s="351"/>
      <c r="P48" s="351"/>
    </row>
    <row r="49" spans="2:16" ht="15.75" customHeight="1" thickBot="1" x14ac:dyDescent="0.3">
      <c r="B49" s="347"/>
      <c r="C49" s="347"/>
      <c r="D49" s="347"/>
      <c r="E49" s="347"/>
      <c r="F49" s="347"/>
      <c r="G49" s="347"/>
      <c r="H49" s="347"/>
      <c r="I49" s="347"/>
      <c r="J49" s="347"/>
      <c r="K49" s="347"/>
      <c r="L49" s="347"/>
      <c r="M49" s="351"/>
      <c r="N49" s="351"/>
      <c r="O49" s="351"/>
      <c r="P49" s="351"/>
    </row>
    <row r="50" spans="2:16" x14ac:dyDescent="0.25">
      <c r="M50" s="351"/>
      <c r="N50" s="351"/>
      <c r="O50" s="351"/>
      <c r="P50" s="351"/>
    </row>
    <row r="51" spans="2:16" ht="15.75" customHeight="1" x14ac:dyDescent="0.25">
      <c r="B51" s="336" t="s">
        <v>26</v>
      </c>
      <c r="C51" s="336"/>
      <c r="D51" s="336"/>
      <c r="E51" s="336"/>
      <c r="F51" s="336"/>
      <c r="G51" s="336"/>
      <c r="H51" s="336"/>
      <c r="I51" s="336"/>
      <c r="J51" s="336"/>
      <c r="K51" s="336"/>
      <c r="L51" s="336"/>
      <c r="M51" s="351"/>
      <c r="N51" s="351"/>
      <c r="O51" s="351"/>
      <c r="P51" s="351"/>
    </row>
    <row r="52" spans="2:16" x14ac:dyDescent="0.25">
      <c r="B52" s="326"/>
      <c r="C52" s="326"/>
      <c r="D52" s="326"/>
      <c r="E52" s="326"/>
      <c r="F52" s="326"/>
      <c r="G52" s="326"/>
      <c r="M52" s="351"/>
      <c r="N52" s="351"/>
      <c r="O52" s="351"/>
      <c r="P52" s="351"/>
    </row>
    <row r="53" spans="2:16" x14ac:dyDescent="0.25">
      <c r="B53" s="334" t="s">
        <v>27</v>
      </c>
      <c r="C53" s="334"/>
      <c r="D53" s="334"/>
      <c r="E53" s="334"/>
      <c r="F53" s="334"/>
      <c r="G53" s="334"/>
      <c r="H53" s="338">
        <v>5.0000000000000001E-3</v>
      </c>
      <c r="I53" s="323"/>
      <c r="M53" s="351"/>
      <c r="N53" s="351"/>
      <c r="O53" s="351"/>
      <c r="P53" s="351"/>
    </row>
    <row r="54" spans="2:16" x14ac:dyDescent="0.25">
      <c r="B54" s="334" t="s">
        <v>28</v>
      </c>
      <c r="C54" s="334"/>
      <c r="D54" s="334"/>
      <c r="E54" s="334"/>
      <c r="F54" s="334"/>
      <c r="G54" s="334"/>
      <c r="H54" s="338">
        <v>5.0000000000000001E-3</v>
      </c>
      <c r="I54" s="323"/>
      <c r="M54" s="351"/>
      <c r="N54" s="351"/>
      <c r="O54" s="351"/>
      <c r="P54" s="351"/>
    </row>
    <row r="55" spans="2:16" ht="15.75" customHeight="1" thickBot="1" x14ac:dyDescent="0.3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51"/>
      <c r="N55" s="351"/>
      <c r="O55" s="351"/>
      <c r="P55" s="351"/>
    </row>
    <row r="56" spans="2:16" x14ac:dyDescent="0.25">
      <c r="M56" s="351"/>
      <c r="N56" s="351"/>
      <c r="O56" s="351"/>
      <c r="P56" s="351"/>
    </row>
    <row r="57" spans="2:16" x14ac:dyDescent="0.25">
      <c r="M57" s="351"/>
      <c r="N57" s="351"/>
      <c r="O57" s="351"/>
      <c r="P57" s="351"/>
    </row>
    <row r="58" spans="2:16" ht="15.75" customHeight="1" x14ac:dyDescent="0.25">
      <c r="B58" s="336" t="s">
        <v>29</v>
      </c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51"/>
      <c r="N58" s="351"/>
      <c r="O58" s="351"/>
      <c r="P58" s="351"/>
    </row>
    <row r="59" spans="2:16" x14ac:dyDescent="0.25">
      <c r="M59" s="351"/>
      <c r="N59" s="351"/>
      <c r="O59" s="351"/>
      <c r="P59" s="351"/>
    </row>
    <row r="60" spans="2:16" ht="15" customHeight="1" x14ac:dyDescent="0.25"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324"/>
      <c r="M60" s="351"/>
      <c r="N60" s="351"/>
      <c r="O60" s="351"/>
      <c r="P60" s="351"/>
    </row>
    <row r="61" spans="2:16" x14ac:dyDescent="0.25">
      <c r="B61" s="324"/>
      <c r="C61" s="324"/>
      <c r="D61" s="324"/>
      <c r="E61" s="324"/>
      <c r="F61" s="324"/>
      <c r="G61" s="324"/>
      <c r="H61" s="324"/>
      <c r="I61" s="324"/>
      <c r="J61" s="324"/>
      <c r="K61" s="324"/>
      <c r="L61" s="324"/>
      <c r="M61" s="351"/>
      <c r="N61" s="351"/>
      <c r="O61" s="351"/>
      <c r="P61" s="351"/>
    </row>
    <row r="62" spans="2:16" x14ac:dyDescent="0.25">
      <c r="B62" s="324"/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51"/>
      <c r="N62" s="351"/>
      <c r="O62" s="351"/>
      <c r="P62" s="351"/>
    </row>
    <row r="63" spans="2:16" x14ac:dyDescent="0.25"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51"/>
      <c r="N63" s="351"/>
      <c r="O63" s="351"/>
      <c r="P63" s="351"/>
    </row>
    <row r="64" spans="2:16" x14ac:dyDescent="0.25"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51"/>
      <c r="N64" s="351"/>
      <c r="O64" s="351"/>
      <c r="P64" s="351"/>
    </row>
    <row r="65" spans="2:16" x14ac:dyDescent="0.25">
      <c r="B65" s="324"/>
      <c r="C65" s="324"/>
      <c r="D65" s="324"/>
      <c r="E65" s="324"/>
      <c r="F65" s="324"/>
      <c r="G65" s="324"/>
      <c r="H65" s="324"/>
      <c r="I65" s="324"/>
      <c r="J65" s="324"/>
      <c r="K65" s="324"/>
      <c r="L65" s="324"/>
      <c r="M65" s="351"/>
      <c r="N65" s="351"/>
      <c r="O65" s="351"/>
      <c r="P65" s="351"/>
    </row>
    <row r="66" spans="2:16" x14ac:dyDescent="0.25"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51"/>
      <c r="N66" s="351"/>
      <c r="O66" s="351"/>
      <c r="P66" s="351"/>
    </row>
    <row r="67" spans="2:16" x14ac:dyDescent="0.25">
      <c r="B67" s="324"/>
      <c r="C67" s="324"/>
      <c r="D67" s="324"/>
      <c r="E67" s="324"/>
      <c r="F67" s="324"/>
      <c r="G67" s="324"/>
      <c r="H67" s="324"/>
      <c r="I67" s="324"/>
      <c r="J67" s="324"/>
      <c r="K67" s="324"/>
      <c r="L67" s="324"/>
      <c r="M67" s="351"/>
      <c r="N67" s="351"/>
      <c r="O67" s="351"/>
      <c r="P67" s="351"/>
    </row>
    <row r="68" spans="2:16" x14ac:dyDescent="0.25"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51"/>
      <c r="N68" s="351"/>
      <c r="O68" s="351"/>
      <c r="P68" s="351"/>
    </row>
    <row r="69" spans="2:16" x14ac:dyDescent="0.25">
      <c r="B69" s="324"/>
      <c r="C69" s="324"/>
      <c r="D69" s="324"/>
      <c r="E69" s="324"/>
      <c r="F69" s="324"/>
      <c r="G69" s="324"/>
      <c r="H69" s="324"/>
      <c r="I69" s="324"/>
      <c r="J69" s="324"/>
      <c r="K69" s="324"/>
      <c r="L69" s="324"/>
      <c r="M69" s="351"/>
      <c r="N69" s="351"/>
      <c r="O69" s="351"/>
      <c r="P69" s="351"/>
    </row>
    <row r="70" spans="2:16" x14ac:dyDescent="0.25">
      <c r="B70" s="324"/>
      <c r="C70" s="324"/>
      <c r="D70" s="324"/>
      <c r="E70" s="324"/>
      <c r="F70" s="324"/>
      <c r="G70" s="324"/>
      <c r="H70" s="324"/>
      <c r="I70" s="324"/>
      <c r="J70" s="324"/>
      <c r="K70" s="324"/>
      <c r="L70" s="324"/>
      <c r="M70" s="351"/>
      <c r="N70" s="351"/>
      <c r="O70" s="351"/>
      <c r="P70" s="351"/>
    </row>
    <row r="71" spans="2:16" x14ac:dyDescent="0.25">
      <c r="B71" s="324"/>
      <c r="C71" s="324"/>
      <c r="D71" s="324"/>
      <c r="E71" s="324"/>
      <c r="F71" s="324"/>
      <c r="G71" s="324"/>
      <c r="H71" s="324"/>
      <c r="I71" s="324"/>
      <c r="J71" s="324"/>
      <c r="K71" s="324"/>
      <c r="L71" s="324"/>
      <c r="M71" s="351"/>
      <c r="N71" s="351"/>
      <c r="O71" s="351"/>
      <c r="P71" s="351"/>
    </row>
    <row r="72" spans="2:16" x14ac:dyDescent="0.25">
      <c r="B72" s="324"/>
      <c r="C72" s="324"/>
      <c r="D72" s="324"/>
      <c r="E72" s="324"/>
      <c r="F72" s="324"/>
      <c r="G72" s="324"/>
      <c r="H72" s="324"/>
      <c r="I72" s="324"/>
      <c r="J72" s="324"/>
      <c r="K72" s="324"/>
      <c r="L72" s="324"/>
      <c r="M72" s="351"/>
      <c r="N72" s="351"/>
      <c r="O72" s="351"/>
      <c r="P72" s="351"/>
    </row>
    <row r="73" spans="2:16" x14ac:dyDescent="0.25">
      <c r="B73" s="324"/>
      <c r="C73" s="324"/>
      <c r="D73" s="324"/>
      <c r="E73" s="324"/>
      <c r="F73" s="324"/>
      <c r="G73" s="324"/>
      <c r="H73" s="324"/>
      <c r="I73" s="324"/>
      <c r="J73" s="324"/>
      <c r="K73" s="324"/>
      <c r="L73" s="324"/>
      <c r="M73" s="351"/>
      <c r="N73" s="351"/>
      <c r="O73" s="351"/>
      <c r="P73" s="351"/>
    </row>
    <row r="74" spans="2:16" x14ac:dyDescent="0.25">
      <c r="B74" s="324"/>
      <c r="C74" s="324"/>
      <c r="D74" s="324"/>
      <c r="E74" s="324"/>
      <c r="F74" s="324"/>
      <c r="G74" s="324"/>
      <c r="H74" s="324"/>
      <c r="I74" s="324"/>
      <c r="J74" s="324"/>
      <c r="K74" s="324"/>
      <c r="L74" s="324"/>
      <c r="M74" s="351"/>
      <c r="N74" s="351"/>
      <c r="O74" s="351"/>
      <c r="P74" s="351"/>
    </row>
    <row r="75" spans="2:16" x14ac:dyDescent="0.25">
      <c r="B75" s="324"/>
      <c r="C75" s="324"/>
      <c r="D75" s="324"/>
      <c r="E75" s="324"/>
      <c r="F75" s="324"/>
      <c r="G75" s="324"/>
      <c r="H75" s="324"/>
      <c r="I75" s="324"/>
      <c r="J75" s="324"/>
      <c r="K75" s="324"/>
      <c r="L75" s="324"/>
      <c r="M75" s="351"/>
      <c r="N75" s="351"/>
      <c r="O75" s="351"/>
      <c r="P75" s="351"/>
    </row>
    <row r="76" spans="2:16" x14ac:dyDescent="0.25">
      <c r="B76" s="324"/>
      <c r="C76" s="324"/>
      <c r="D76" s="324"/>
      <c r="E76" s="324"/>
      <c r="F76" s="324"/>
      <c r="G76" s="324"/>
      <c r="H76" s="324"/>
      <c r="I76" s="324"/>
      <c r="J76" s="324"/>
      <c r="K76" s="324"/>
      <c r="L76" s="324"/>
      <c r="M76" s="351"/>
      <c r="N76" s="351"/>
      <c r="O76" s="351"/>
      <c r="P76" s="351"/>
    </row>
    <row r="77" spans="2:16" x14ac:dyDescent="0.25">
      <c r="B77" s="324"/>
      <c r="C77" s="324"/>
      <c r="D77" s="324"/>
      <c r="E77" s="324"/>
      <c r="F77" s="324"/>
      <c r="G77" s="324"/>
      <c r="H77" s="324"/>
      <c r="I77" s="324"/>
      <c r="J77" s="324"/>
      <c r="K77" s="324"/>
      <c r="L77" s="324"/>
      <c r="M77" s="351"/>
      <c r="N77" s="351"/>
      <c r="O77" s="351"/>
      <c r="P77" s="351"/>
    </row>
    <row r="78" spans="2:16" x14ac:dyDescent="0.25">
      <c r="B78" s="324"/>
      <c r="C78" s="324"/>
      <c r="D78" s="324"/>
      <c r="E78" s="324"/>
      <c r="F78" s="324"/>
      <c r="G78" s="324"/>
      <c r="H78" s="324"/>
      <c r="I78" s="324"/>
      <c r="J78" s="324"/>
      <c r="K78" s="324"/>
      <c r="L78" s="324"/>
      <c r="M78" s="351"/>
      <c r="N78" s="351"/>
      <c r="O78" s="351"/>
      <c r="P78" s="351"/>
    </row>
    <row r="79" spans="2:16" x14ac:dyDescent="0.25">
      <c r="B79" s="324"/>
      <c r="C79" s="324"/>
      <c r="D79" s="324"/>
      <c r="E79" s="324"/>
      <c r="F79" s="324"/>
      <c r="G79" s="324"/>
      <c r="H79" s="324"/>
      <c r="I79" s="324"/>
      <c r="J79" s="324"/>
      <c r="K79" s="324"/>
      <c r="L79" s="324"/>
    </row>
    <row r="80" spans="2:16" x14ac:dyDescent="0.25"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324"/>
    </row>
    <row r="81" spans="2:12" x14ac:dyDescent="0.25">
      <c r="B81" s="324"/>
      <c r="C81" s="324"/>
      <c r="D81" s="324"/>
      <c r="E81" s="324"/>
      <c r="F81" s="324"/>
      <c r="G81" s="324"/>
      <c r="H81" s="324"/>
      <c r="I81" s="324"/>
      <c r="J81" s="324"/>
      <c r="K81" s="324"/>
      <c r="L81" s="324"/>
    </row>
    <row r="82" spans="2:12" x14ac:dyDescent="0.25">
      <c r="B82" s="324"/>
      <c r="C82" s="324"/>
      <c r="D82" s="324"/>
      <c r="E82" s="324"/>
      <c r="F82" s="324"/>
      <c r="G82" s="324"/>
      <c r="H82" s="324"/>
      <c r="I82" s="324"/>
      <c r="J82" s="324"/>
      <c r="K82" s="324"/>
      <c r="L82" s="324"/>
    </row>
    <row r="83" spans="2:12" x14ac:dyDescent="0.25">
      <c r="B83" s="324"/>
      <c r="C83" s="324"/>
      <c r="D83" s="324"/>
      <c r="E83" s="324"/>
      <c r="F83" s="324"/>
      <c r="G83" s="324"/>
      <c r="H83" s="324"/>
      <c r="I83" s="324"/>
      <c r="J83" s="324"/>
      <c r="K83" s="324"/>
      <c r="L83" s="324"/>
    </row>
    <row r="84" spans="2:12" x14ac:dyDescent="0.25">
      <c r="B84" s="351"/>
      <c r="C84" s="351"/>
      <c r="D84" s="351"/>
      <c r="E84" s="351"/>
      <c r="F84" s="351"/>
      <c r="G84" s="351"/>
      <c r="H84" s="351"/>
      <c r="I84" s="351"/>
      <c r="J84" s="351"/>
      <c r="K84" s="351"/>
      <c r="L84" s="351"/>
    </row>
    <row r="85" spans="2:12" x14ac:dyDescent="0.25">
      <c r="B85" s="351"/>
      <c r="C85" s="351"/>
      <c r="D85" s="351"/>
      <c r="E85" s="351"/>
      <c r="F85" s="351"/>
      <c r="G85" s="351"/>
      <c r="H85" s="351"/>
      <c r="I85" s="351"/>
      <c r="J85" s="351"/>
      <c r="K85" s="351"/>
      <c r="L85" s="351"/>
    </row>
    <row r="86" spans="2:12" x14ac:dyDescent="0.25">
      <c r="B86" s="351"/>
      <c r="C86" s="351"/>
      <c r="D86" s="351"/>
      <c r="E86" s="351"/>
      <c r="F86" s="351"/>
      <c r="G86" s="351"/>
      <c r="H86" s="351"/>
      <c r="I86" s="351"/>
      <c r="J86" s="351"/>
      <c r="K86" s="351"/>
      <c r="L86" s="351"/>
    </row>
    <row r="87" spans="2:12" x14ac:dyDescent="0.25">
      <c r="B87" s="351"/>
      <c r="C87" s="351"/>
      <c r="D87" s="351"/>
      <c r="E87" s="351"/>
      <c r="F87" s="351"/>
      <c r="G87" s="351"/>
      <c r="H87" s="351"/>
      <c r="I87" s="351"/>
      <c r="J87" s="351"/>
      <c r="K87" s="351"/>
      <c r="L87" s="351"/>
    </row>
    <row r="88" spans="2:12" x14ac:dyDescent="0.25">
      <c r="B88" s="351"/>
      <c r="C88" s="351"/>
      <c r="D88" s="351"/>
      <c r="E88" s="351"/>
      <c r="F88" s="351"/>
      <c r="G88" s="351"/>
      <c r="H88" s="351"/>
      <c r="I88" s="351"/>
      <c r="J88" s="351"/>
      <c r="K88" s="351"/>
      <c r="L88" s="351"/>
    </row>
    <row r="89" spans="2:12" x14ac:dyDescent="0.25">
      <c r="B89" s="351"/>
      <c r="C89" s="351"/>
      <c r="D89" s="351"/>
      <c r="E89" s="351"/>
      <c r="F89" s="351"/>
      <c r="G89" s="351"/>
      <c r="H89" s="351"/>
      <c r="I89" s="351"/>
      <c r="J89" s="351"/>
      <c r="K89" s="351"/>
      <c r="L89" s="351"/>
    </row>
    <row r="90" spans="2:12" x14ac:dyDescent="0.25">
      <c r="B90" s="351"/>
      <c r="C90" s="351"/>
      <c r="D90" s="351"/>
      <c r="E90" s="351"/>
      <c r="F90" s="351"/>
      <c r="G90" s="351"/>
      <c r="H90" s="351"/>
      <c r="I90" s="351"/>
      <c r="J90" s="351"/>
      <c r="K90" s="351"/>
      <c r="L90" s="351"/>
    </row>
    <row r="91" spans="2:12" x14ac:dyDescent="0.25">
      <c r="B91" s="351"/>
      <c r="C91" s="351"/>
      <c r="D91" s="351"/>
      <c r="E91" s="351"/>
      <c r="F91" s="351"/>
      <c r="G91" s="351"/>
      <c r="H91" s="351"/>
      <c r="I91" s="351"/>
      <c r="J91" s="351"/>
      <c r="K91" s="351"/>
      <c r="L91" s="351"/>
    </row>
    <row r="92" spans="2:12" x14ac:dyDescent="0.25">
      <c r="B92" s="351"/>
      <c r="C92" s="351"/>
      <c r="D92" s="351"/>
      <c r="E92" s="351"/>
      <c r="F92" s="351"/>
      <c r="G92" s="351"/>
      <c r="H92" s="351"/>
      <c r="I92" s="351"/>
      <c r="J92" s="351"/>
      <c r="K92" s="351"/>
      <c r="L92" s="351"/>
    </row>
    <row r="93" spans="2:12" x14ac:dyDescent="0.25">
      <c r="B93" s="351"/>
      <c r="C93" s="351"/>
      <c r="D93" s="351"/>
      <c r="E93" s="351"/>
      <c r="F93" s="351"/>
      <c r="G93" s="351"/>
      <c r="H93" s="351"/>
      <c r="I93" s="351"/>
      <c r="J93" s="351"/>
      <c r="K93" s="351"/>
      <c r="L93" s="351"/>
    </row>
    <row r="94" spans="2:12" x14ac:dyDescent="0.25">
      <c r="B94" s="351"/>
      <c r="C94" s="351"/>
      <c r="D94" s="351"/>
      <c r="E94" s="351"/>
      <c r="F94" s="351"/>
      <c r="G94" s="351"/>
      <c r="H94" s="351"/>
      <c r="I94" s="351"/>
      <c r="J94" s="351"/>
      <c r="K94" s="351"/>
      <c r="L94" s="351"/>
    </row>
  </sheetData>
  <mergeCells count="71"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53"/>
  <sheetViews>
    <sheetView zoomScale="80" zoomScaleNormal="80" workbookViewId="0">
      <pane ySplit="8" topLeftCell="A9" activePane="bottomLeft" state="frozenSplit"/>
      <selection activeCell="B5" sqref="B5 A5:AP9"/>
      <selection pane="bottomLeft"/>
    </sheetView>
  </sheetViews>
  <sheetFormatPr defaultColWidth="16.7109375" defaultRowHeight="15" x14ac:dyDescent="0.25"/>
  <cols>
    <col min="1" max="1" width="64.7109375" style="339" customWidth="1"/>
    <col min="2" max="26" width="16.7109375" style="339" customWidth="1"/>
    <col min="27" max="27" width="16.7109375" style="339" hidden="1" customWidth="1"/>
  </cols>
  <sheetData>
    <row r="1" spans="1:27" ht="16.5" customHeight="1" thickBot="1" x14ac:dyDescent="0.3">
      <c r="A1" s="355" t="s">
        <v>172</v>
      </c>
      <c r="AA1" s="339" t="s">
        <v>173</v>
      </c>
    </row>
    <row r="2" spans="1:27" ht="16.5" customHeight="1" thickBot="1" x14ac:dyDescent="0.3">
      <c r="A2" s="356" t="s">
        <v>31</v>
      </c>
      <c r="J2" s="259" t="s">
        <v>52</v>
      </c>
      <c r="K2" s="258"/>
      <c r="L2" s="629"/>
      <c r="M2" s="629"/>
      <c r="AA2" s="339" t="s">
        <v>174</v>
      </c>
    </row>
    <row r="3" spans="1:27" ht="15.75" customHeight="1" x14ac:dyDescent="0.25">
      <c r="A3" s="356"/>
      <c r="J3" s="630" t="s">
        <v>175</v>
      </c>
      <c r="K3" s="631">
        <v>5.7500000000000002E-2</v>
      </c>
      <c r="L3" s="629"/>
      <c r="M3" s="346"/>
    </row>
    <row r="4" spans="1:27" ht="15.75" customHeight="1" thickBot="1" x14ac:dyDescent="0.3">
      <c r="A4" s="353" t="s">
        <v>176</v>
      </c>
      <c r="J4" s="632" t="s">
        <v>177</v>
      </c>
      <c r="K4" s="633">
        <v>20</v>
      </c>
      <c r="L4"/>
      <c r="M4"/>
    </row>
    <row r="5" spans="1:27" ht="15.75" customHeight="1" thickBot="1" x14ac:dyDescent="0.3">
      <c r="A5" s="353"/>
    </row>
    <row r="6" spans="1:27" ht="15" customHeight="1" thickBot="1" x14ac:dyDescent="0.3">
      <c r="A6" s="117" t="s">
        <v>178</v>
      </c>
      <c r="B6" s="116"/>
      <c r="C6" s="116"/>
      <c r="D6" s="116"/>
      <c r="E6" s="116"/>
      <c r="F6" s="116"/>
      <c r="G6" s="115"/>
      <c r="H6" s="114" t="s">
        <v>179</v>
      </c>
      <c r="I6" s="113"/>
      <c r="J6" s="150" t="s">
        <v>3</v>
      </c>
      <c r="K6" s="148"/>
      <c r="L6" s="149" t="s">
        <v>4</v>
      </c>
      <c r="M6" s="148"/>
    </row>
    <row r="7" spans="1:27" ht="22.5" customHeight="1" x14ac:dyDescent="0.25">
      <c r="A7" s="112" t="s">
        <v>180</v>
      </c>
      <c r="B7" s="110" t="s">
        <v>181</v>
      </c>
      <c r="C7" s="108" t="s">
        <v>182</v>
      </c>
      <c r="D7" s="110" t="s">
        <v>183</v>
      </c>
      <c r="E7" s="108" t="s">
        <v>184</v>
      </c>
      <c r="F7" s="108" t="s">
        <v>185</v>
      </c>
      <c r="G7" s="104" t="s">
        <v>186</v>
      </c>
      <c r="H7" s="102" t="s">
        <v>187</v>
      </c>
      <c r="I7" s="100" t="s">
        <v>188</v>
      </c>
      <c r="J7" s="106" t="s">
        <v>52</v>
      </c>
      <c r="K7" s="98" t="s">
        <v>189</v>
      </c>
      <c r="L7" s="106" t="s">
        <v>52</v>
      </c>
      <c r="M7" s="98" t="s">
        <v>189</v>
      </c>
    </row>
    <row r="8" spans="1:27" ht="24.75" customHeight="1" thickBot="1" x14ac:dyDescent="0.3">
      <c r="A8" s="111"/>
      <c r="B8" s="109"/>
      <c r="C8" s="107"/>
      <c r="D8" s="109"/>
      <c r="E8" s="107"/>
      <c r="F8" s="107"/>
      <c r="G8" s="103"/>
      <c r="H8" s="101"/>
      <c r="I8" s="99"/>
      <c r="J8" s="105"/>
      <c r="K8" s="97"/>
      <c r="L8" s="105"/>
      <c r="M8" s="97"/>
    </row>
    <row r="9" spans="1:27" ht="20.100000000000001" customHeight="1" x14ac:dyDescent="0.3">
      <c r="A9" s="635" t="s">
        <v>190</v>
      </c>
      <c r="B9" s="634"/>
      <c r="C9" s="634"/>
      <c r="D9" s="634"/>
      <c r="E9" s="634"/>
      <c r="F9" s="634"/>
      <c r="G9" s="634"/>
      <c r="H9" s="634"/>
      <c r="I9" s="634"/>
      <c r="J9" s="634"/>
      <c r="K9" s="634"/>
      <c r="L9" s="634"/>
      <c r="M9" s="634"/>
    </row>
    <row r="10" spans="1:27" ht="30" customHeight="1" x14ac:dyDescent="0.25">
      <c r="A10" s="339" t="s">
        <v>191</v>
      </c>
      <c r="B10" s="339" t="s">
        <v>192</v>
      </c>
      <c r="C10" s="339">
        <v>1</v>
      </c>
      <c r="D10" s="339" t="s">
        <v>174</v>
      </c>
      <c r="E10" s="339" t="s">
        <v>63</v>
      </c>
      <c r="F10" s="352">
        <v>124000000</v>
      </c>
      <c r="G10" s="352">
        <v>124000000</v>
      </c>
      <c r="H10" s="352">
        <v>0</v>
      </c>
    </row>
    <row r="11" spans="1:27" ht="30" customHeight="1" x14ac:dyDescent="0.25">
      <c r="A11" s="339" t="s">
        <v>193</v>
      </c>
      <c r="B11" s="339" t="s">
        <v>194</v>
      </c>
      <c r="C11" s="339">
        <v>2</v>
      </c>
      <c r="D11" s="339" t="s">
        <v>174</v>
      </c>
      <c r="E11" s="339" t="s">
        <v>61</v>
      </c>
      <c r="F11" s="352">
        <v>75000000</v>
      </c>
      <c r="G11" s="352">
        <v>75000000</v>
      </c>
      <c r="H11" s="352">
        <v>0</v>
      </c>
    </row>
    <row r="12" spans="1:27" ht="30" customHeight="1" x14ac:dyDescent="0.25">
      <c r="A12" s="339" t="s">
        <v>195</v>
      </c>
      <c r="B12" s="339" t="s">
        <v>196</v>
      </c>
      <c r="C12" s="339">
        <v>3</v>
      </c>
      <c r="D12" s="339" t="s">
        <v>174</v>
      </c>
      <c r="E12" s="339" t="s">
        <v>61</v>
      </c>
      <c r="F12" s="352">
        <v>15000000</v>
      </c>
      <c r="G12" s="352">
        <v>15000000</v>
      </c>
      <c r="H12" s="352">
        <v>0</v>
      </c>
    </row>
    <row r="13" spans="1:27" ht="30" customHeight="1" x14ac:dyDescent="0.25">
      <c r="A13" s="339" t="s">
        <v>197</v>
      </c>
      <c r="B13" s="339" t="s">
        <v>198</v>
      </c>
      <c r="C13" s="339">
        <v>4</v>
      </c>
      <c r="D13" s="339" t="s">
        <v>174</v>
      </c>
      <c r="E13" s="339" t="s">
        <v>58</v>
      </c>
      <c r="F13" s="352">
        <v>15000000</v>
      </c>
      <c r="G13" s="352">
        <v>15000000</v>
      </c>
      <c r="H13" s="352">
        <v>0</v>
      </c>
    </row>
    <row r="14" spans="1:27" ht="30" customHeight="1" x14ac:dyDescent="0.25">
      <c r="A14" s="339" t="s">
        <v>199</v>
      </c>
      <c r="B14" s="339" t="s">
        <v>200</v>
      </c>
      <c r="C14" s="339">
        <v>5</v>
      </c>
      <c r="D14" s="339" t="s">
        <v>174</v>
      </c>
      <c r="E14" s="339" t="s">
        <v>63</v>
      </c>
      <c r="F14" s="352">
        <v>3000000</v>
      </c>
      <c r="G14" s="352">
        <v>3000000</v>
      </c>
      <c r="H14" s="352">
        <v>0</v>
      </c>
    </row>
    <row r="15" spans="1:27" ht="20.100000000000001" customHeight="1" x14ac:dyDescent="0.3">
      <c r="A15" s="636" t="s">
        <v>201</v>
      </c>
      <c r="B15" s="637"/>
      <c r="C15" s="637"/>
      <c r="D15" s="637"/>
      <c r="E15" s="637"/>
      <c r="F15" s="638">
        <f>SUM(F10:F14)</f>
        <v>232000000</v>
      </c>
      <c r="G15" s="638">
        <f>SUM(G10:G14)</f>
        <v>232000000</v>
      </c>
      <c r="H15" s="95">
        <f>SUM(H10:H14)</f>
        <v>0</v>
      </c>
      <c r="I15" s="94"/>
      <c r="J15" s="638">
        <f>SUM(J10:J14)</f>
        <v>0</v>
      </c>
      <c r="K15" s="638">
        <f>SUM(K10:K14)</f>
        <v>0</v>
      </c>
      <c r="L15" s="638">
        <f>SUM(L10:L14)</f>
        <v>0</v>
      </c>
      <c r="M15" s="638">
        <f>SUM(M10:M14)</f>
        <v>0</v>
      </c>
    </row>
    <row r="16" spans="1:27" ht="20.100000000000001" customHeight="1" thickBot="1" x14ac:dyDescent="0.35">
      <c r="A16" s="635" t="s">
        <v>202</v>
      </c>
      <c r="B16" s="634"/>
      <c r="C16" s="634"/>
      <c r="D16" s="634"/>
      <c r="E16" s="634"/>
      <c r="F16" s="634"/>
      <c r="G16" s="634"/>
      <c r="H16" s="634"/>
      <c r="I16" s="634"/>
      <c r="J16" s="634"/>
      <c r="K16" s="634"/>
      <c r="L16" s="634"/>
      <c r="M16" s="634"/>
    </row>
    <row r="17" spans="1:13" ht="30" customHeight="1" thickTop="1" thickBot="1" x14ac:dyDescent="0.3">
      <c r="A17" s="339" t="s">
        <v>203</v>
      </c>
      <c r="B17" s="339" t="s">
        <v>204</v>
      </c>
      <c r="C17" s="339">
        <v>1</v>
      </c>
      <c r="D17" s="339" t="s">
        <v>174</v>
      </c>
      <c r="E17" s="339" t="s">
        <v>66</v>
      </c>
      <c r="F17" s="352">
        <v>80000000</v>
      </c>
      <c r="G17" s="352">
        <v>60000000</v>
      </c>
      <c r="H17" s="352">
        <v>0</v>
      </c>
    </row>
    <row r="18" spans="1:13" ht="30" customHeight="1" x14ac:dyDescent="0.25">
      <c r="A18" s="339" t="s">
        <v>205</v>
      </c>
      <c r="B18" s="339" t="s">
        <v>206</v>
      </c>
      <c r="C18" s="339">
        <v>2</v>
      </c>
      <c r="D18" s="339" t="s">
        <v>174</v>
      </c>
      <c r="E18" s="339" t="s">
        <v>69</v>
      </c>
      <c r="F18" s="352">
        <v>10000000</v>
      </c>
      <c r="G18" s="352">
        <v>10000000</v>
      </c>
      <c r="H18" s="352">
        <v>0</v>
      </c>
    </row>
    <row r="19" spans="1:13" ht="30" customHeight="1" x14ac:dyDescent="0.25">
      <c r="A19" s="339" t="s">
        <v>207</v>
      </c>
      <c r="B19" s="339" t="s">
        <v>208</v>
      </c>
      <c r="C19" s="339">
        <v>3</v>
      </c>
      <c r="D19" s="339" t="s">
        <v>174</v>
      </c>
      <c r="E19" s="339" t="s">
        <v>67</v>
      </c>
      <c r="F19" s="352">
        <v>9000000</v>
      </c>
      <c r="G19" s="352">
        <v>9000000</v>
      </c>
      <c r="H19" s="352">
        <v>0</v>
      </c>
    </row>
    <row r="20" spans="1:13" ht="20.100000000000001" customHeight="1" x14ac:dyDescent="0.3">
      <c r="A20" s="636" t="s">
        <v>209</v>
      </c>
      <c r="B20" s="637"/>
      <c r="C20" s="637"/>
      <c r="D20" s="637"/>
      <c r="E20" s="637"/>
      <c r="F20" s="638">
        <f>SUM(F17:F19)</f>
        <v>99000000</v>
      </c>
      <c r="G20" s="638">
        <f>SUM(G17:G19)</f>
        <v>79000000</v>
      </c>
      <c r="H20" s="95">
        <f>SUM(H17:H19)</f>
        <v>0</v>
      </c>
      <c r="I20" s="94"/>
      <c r="J20" s="638">
        <f>SUM(J17:J19)</f>
        <v>0</v>
      </c>
      <c r="K20" s="638">
        <f>SUM(K17:K19)</f>
        <v>0</v>
      </c>
      <c r="L20" s="638">
        <f>SUM(L17:L19)</f>
        <v>0</v>
      </c>
      <c r="M20" s="638">
        <f>SUM(M17:M19)</f>
        <v>0</v>
      </c>
    </row>
    <row r="21" spans="1:13" ht="20.100000000000001" customHeight="1" x14ac:dyDescent="0.3">
      <c r="A21" s="635" t="s">
        <v>210</v>
      </c>
      <c r="B21" s="634"/>
      <c r="C21" s="634"/>
      <c r="D21" s="634"/>
      <c r="E21" s="634"/>
      <c r="F21" s="634"/>
      <c r="G21" s="634"/>
      <c r="H21" s="634"/>
      <c r="I21" s="634"/>
      <c r="J21" s="634"/>
      <c r="K21" s="634"/>
      <c r="L21" s="634"/>
      <c r="M21" s="634"/>
    </row>
    <row r="22" spans="1:13" ht="30" customHeight="1" x14ac:dyDescent="0.25">
      <c r="A22" s="339" t="s">
        <v>211</v>
      </c>
      <c r="B22" s="339" t="s">
        <v>212</v>
      </c>
      <c r="C22" s="339">
        <v>1</v>
      </c>
      <c r="D22" s="339" t="s">
        <v>174</v>
      </c>
      <c r="E22" s="339" t="s">
        <v>72</v>
      </c>
      <c r="F22" s="352">
        <v>59900000</v>
      </c>
      <c r="G22" s="352">
        <v>59900000</v>
      </c>
      <c r="H22" s="352">
        <v>0</v>
      </c>
    </row>
    <row r="23" spans="1:13" ht="30" customHeight="1" x14ac:dyDescent="0.25">
      <c r="A23" s="339" t="s">
        <v>213</v>
      </c>
      <c r="B23" s="339" t="s">
        <v>214</v>
      </c>
      <c r="C23" s="339">
        <v>2</v>
      </c>
      <c r="D23" s="339" t="s">
        <v>174</v>
      </c>
      <c r="E23" s="339" t="s">
        <v>72</v>
      </c>
      <c r="F23" s="352">
        <v>19000000</v>
      </c>
      <c r="G23" s="352">
        <v>19000000</v>
      </c>
      <c r="H23" s="352">
        <v>0</v>
      </c>
    </row>
    <row r="24" spans="1:13" ht="20.100000000000001" customHeight="1" x14ac:dyDescent="0.3">
      <c r="A24" s="636" t="s">
        <v>215</v>
      </c>
      <c r="B24" s="637"/>
      <c r="C24" s="637"/>
      <c r="D24" s="637"/>
      <c r="E24" s="637"/>
      <c r="F24" s="638">
        <f>SUM(F22:F23)</f>
        <v>78900000</v>
      </c>
      <c r="G24" s="638">
        <f>SUM(G22:G23)</f>
        <v>78900000</v>
      </c>
      <c r="H24" s="95">
        <f>SUM(H22:H23)</f>
        <v>0</v>
      </c>
      <c r="I24" s="94"/>
      <c r="J24" s="638">
        <f>SUM(J22:J23)</f>
        <v>0</v>
      </c>
      <c r="K24" s="638">
        <f>SUM(K22:K23)</f>
        <v>0</v>
      </c>
      <c r="L24" s="638">
        <f>SUM(L22:L23)</f>
        <v>0</v>
      </c>
      <c r="M24" s="638">
        <f>SUM(M22:M23)</f>
        <v>0</v>
      </c>
    </row>
    <row r="25" spans="1:13" ht="20.100000000000001" customHeight="1" x14ac:dyDescent="0.3">
      <c r="A25" s="635" t="s">
        <v>216</v>
      </c>
      <c r="B25" s="634"/>
      <c r="C25" s="634"/>
      <c r="D25" s="634"/>
      <c r="E25" s="634"/>
      <c r="F25" s="634"/>
      <c r="G25" s="634"/>
      <c r="H25" s="634"/>
      <c r="I25" s="634"/>
      <c r="J25" s="634"/>
      <c r="K25" s="634"/>
      <c r="L25" s="634"/>
      <c r="M25" s="634"/>
    </row>
    <row r="26" spans="1:13" ht="30" customHeight="1" x14ac:dyDescent="0.25">
      <c r="A26" s="339" t="s">
        <v>217</v>
      </c>
      <c r="B26" s="339" t="s">
        <v>218</v>
      </c>
      <c r="C26" s="339">
        <v>1</v>
      </c>
      <c r="D26" s="339" t="s">
        <v>174</v>
      </c>
      <c r="E26" s="339" t="s">
        <v>73</v>
      </c>
      <c r="F26" s="352">
        <v>18400000</v>
      </c>
      <c r="G26" s="352">
        <v>18400000</v>
      </c>
      <c r="H26" s="352">
        <v>0</v>
      </c>
    </row>
    <row r="27" spans="1:13" ht="20.100000000000001" customHeight="1" x14ac:dyDescent="0.3">
      <c r="A27" s="636" t="s">
        <v>219</v>
      </c>
      <c r="B27" s="637"/>
      <c r="C27" s="637"/>
      <c r="D27" s="637"/>
      <c r="E27" s="637"/>
      <c r="F27" s="638">
        <f>SUM(F26:F26)</f>
        <v>18400000</v>
      </c>
      <c r="G27" s="638">
        <f>SUM(G26:G26)</f>
        <v>18400000</v>
      </c>
      <c r="H27" s="95">
        <f>SUM(H26:H26)</f>
        <v>0</v>
      </c>
      <c r="I27" s="94"/>
      <c r="J27" s="638">
        <f>SUM(J26:J26)</f>
        <v>0</v>
      </c>
      <c r="K27" s="638">
        <f>SUM(K26:K26)</f>
        <v>0</v>
      </c>
      <c r="L27" s="638">
        <f>SUM(L26:L26)</f>
        <v>0</v>
      </c>
      <c r="M27" s="638">
        <f>SUM(M26:M26)</f>
        <v>0</v>
      </c>
    </row>
    <row r="28" spans="1:13" ht="20.100000000000001" customHeight="1" x14ac:dyDescent="0.3">
      <c r="A28" s="635" t="s">
        <v>220</v>
      </c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</row>
    <row r="29" spans="1:13" ht="30" customHeight="1" x14ac:dyDescent="0.25">
      <c r="A29" s="339" t="s">
        <v>221</v>
      </c>
      <c r="B29" s="339" t="s">
        <v>222</v>
      </c>
      <c r="C29" s="339">
        <v>1</v>
      </c>
      <c r="D29" s="339" t="s">
        <v>174</v>
      </c>
      <c r="E29" s="339" t="s">
        <v>74</v>
      </c>
      <c r="F29" s="352">
        <v>51000000</v>
      </c>
      <c r="G29" s="352">
        <v>48000000</v>
      </c>
      <c r="H29" s="352">
        <v>0</v>
      </c>
    </row>
    <row r="30" spans="1:13" ht="20.100000000000001" customHeight="1" x14ac:dyDescent="0.3">
      <c r="A30" s="636" t="s">
        <v>223</v>
      </c>
      <c r="B30" s="637"/>
      <c r="C30" s="637"/>
      <c r="D30" s="637"/>
      <c r="E30" s="637"/>
      <c r="F30" s="638">
        <f>SUM(F29:F29)</f>
        <v>51000000</v>
      </c>
      <c r="G30" s="638">
        <f>SUM(G29:G29)</f>
        <v>48000000</v>
      </c>
      <c r="H30" s="95">
        <f>SUM(H29:H29)</f>
        <v>0</v>
      </c>
      <c r="I30" s="94"/>
      <c r="J30" s="638">
        <f>SUM(J29:J29)</f>
        <v>0</v>
      </c>
      <c r="K30" s="638">
        <f>SUM(K29:K29)</f>
        <v>0</v>
      </c>
      <c r="L30" s="638">
        <f>SUM(L29:L29)</f>
        <v>0</v>
      </c>
      <c r="M30" s="638">
        <f>SUM(M29:M29)</f>
        <v>0</v>
      </c>
    </row>
    <row r="31" spans="1:13" ht="20.100000000000001" customHeight="1" x14ac:dyDescent="0.3">
      <c r="A31" s="635" t="s">
        <v>224</v>
      </c>
      <c r="B31" s="634"/>
      <c r="C31" s="634"/>
      <c r="D31" s="634"/>
      <c r="E31" s="634"/>
      <c r="F31" s="634"/>
      <c r="G31" s="634"/>
      <c r="H31" s="634"/>
      <c r="I31" s="634"/>
      <c r="J31" s="634"/>
      <c r="K31" s="634"/>
      <c r="L31" s="634"/>
      <c r="M31" s="634"/>
    </row>
    <row r="32" spans="1:13" ht="30" customHeight="1" x14ac:dyDescent="0.25">
      <c r="A32" s="339" t="s">
        <v>225</v>
      </c>
      <c r="B32" s="339" t="s">
        <v>226</v>
      </c>
      <c r="C32" s="339">
        <v>1</v>
      </c>
      <c r="D32" s="339" t="s">
        <v>174</v>
      </c>
      <c r="E32" s="339" t="s">
        <v>75</v>
      </c>
      <c r="F32" s="352">
        <v>12000000</v>
      </c>
      <c r="G32" s="352">
        <v>12000000</v>
      </c>
      <c r="H32" s="352">
        <v>0</v>
      </c>
    </row>
    <row r="33" spans="1:13" ht="30" customHeight="1" x14ac:dyDescent="0.25">
      <c r="A33" s="339" t="s">
        <v>227</v>
      </c>
      <c r="B33" s="339" t="s">
        <v>228</v>
      </c>
      <c r="C33" s="339">
        <v>2</v>
      </c>
      <c r="D33" s="339" t="s">
        <v>174</v>
      </c>
      <c r="E33" s="339" t="s">
        <v>75</v>
      </c>
      <c r="F33" s="352">
        <v>10300000</v>
      </c>
      <c r="G33" s="352">
        <v>10300000</v>
      </c>
      <c r="H33" s="352">
        <v>0</v>
      </c>
    </row>
    <row r="34" spans="1:13" ht="30" customHeight="1" x14ac:dyDescent="0.25">
      <c r="A34" s="339" t="s">
        <v>229</v>
      </c>
      <c r="B34" s="339" t="s">
        <v>230</v>
      </c>
      <c r="C34" s="339">
        <v>3</v>
      </c>
      <c r="D34" s="339" t="s">
        <v>174</v>
      </c>
      <c r="E34" s="339" t="s">
        <v>75</v>
      </c>
      <c r="F34" s="352">
        <v>4000000</v>
      </c>
      <c r="G34" s="352">
        <v>4000000</v>
      </c>
      <c r="H34" s="352">
        <v>0</v>
      </c>
    </row>
    <row r="35" spans="1:13" ht="20.100000000000001" customHeight="1" x14ac:dyDescent="0.3">
      <c r="A35" s="636" t="s">
        <v>231</v>
      </c>
      <c r="B35" s="637"/>
      <c r="C35" s="637"/>
      <c r="D35" s="637"/>
      <c r="E35" s="637"/>
      <c r="F35" s="638">
        <f>SUM(F32:F34)</f>
        <v>26300000</v>
      </c>
      <c r="G35" s="638">
        <f>SUM(G32:G34)</f>
        <v>26300000</v>
      </c>
      <c r="H35" s="95">
        <f>SUM(H32:H34)</f>
        <v>0</v>
      </c>
      <c r="I35" s="94"/>
      <c r="J35" s="638">
        <f>SUM(J32:J34)</f>
        <v>0</v>
      </c>
      <c r="K35" s="638">
        <f>SUM(K32:K34)</f>
        <v>0</v>
      </c>
      <c r="L35" s="638">
        <f>SUM(L32:L34)</f>
        <v>0</v>
      </c>
      <c r="M35" s="638">
        <f>SUM(M32:M34)</f>
        <v>0</v>
      </c>
    </row>
    <row r="36" spans="1:13" ht="20.100000000000001" customHeight="1" x14ac:dyDescent="0.3">
      <c r="A36" s="635" t="s">
        <v>232</v>
      </c>
      <c r="B36" s="634"/>
      <c r="C36" s="634"/>
      <c r="D36" s="634"/>
      <c r="E36" s="634"/>
      <c r="F36" s="634"/>
      <c r="G36" s="634"/>
      <c r="H36" s="634"/>
      <c r="I36" s="634"/>
      <c r="J36" s="634"/>
      <c r="K36" s="634"/>
      <c r="L36" s="634"/>
      <c r="M36" s="634"/>
    </row>
    <row r="37" spans="1:13" ht="30" customHeight="1" x14ac:dyDescent="0.25">
      <c r="A37" s="339" t="s">
        <v>233</v>
      </c>
      <c r="B37" s="339" t="s">
        <v>234</v>
      </c>
      <c r="C37" s="339">
        <v>1</v>
      </c>
      <c r="D37" s="339" t="s">
        <v>174</v>
      </c>
      <c r="E37" s="339" t="s">
        <v>76</v>
      </c>
      <c r="F37" s="352">
        <v>29890000</v>
      </c>
      <c r="G37" s="352">
        <v>29890000</v>
      </c>
      <c r="H37" s="352">
        <v>0</v>
      </c>
    </row>
    <row r="38" spans="1:13" ht="30" customHeight="1" x14ac:dyDescent="0.25">
      <c r="A38" s="339" t="s">
        <v>235</v>
      </c>
      <c r="B38" s="339" t="s">
        <v>236</v>
      </c>
      <c r="C38" s="339">
        <v>2</v>
      </c>
      <c r="D38" s="339" t="s">
        <v>174</v>
      </c>
      <c r="E38" s="339" t="s">
        <v>76</v>
      </c>
      <c r="F38" s="352">
        <v>17390000</v>
      </c>
      <c r="G38" s="352">
        <v>17390000</v>
      </c>
      <c r="H38" s="352">
        <v>0</v>
      </c>
    </row>
    <row r="39" spans="1:13" ht="30" customHeight="1" x14ac:dyDescent="0.25">
      <c r="A39" s="339" t="s">
        <v>237</v>
      </c>
      <c r="B39" s="339" t="s">
        <v>238</v>
      </c>
      <c r="C39" s="339">
        <v>3</v>
      </c>
      <c r="D39" s="339" t="s">
        <v>174</v>
      </c>
      <c r="E39" s="339" t="s">
        <v>76</v>
      </c>
      <c r="F39" s="352">
        <v>28881597</v>
      </c>
      <c r="G39" s="352">
        <v>28881597</v>
      </c>
      <c r="H39" s="352">
        <v>0</v>
      </c>
    </row>
    <row r="40" spans="1:13" ht="20.100000000000001" customHeight="1" x14ac:dyDescent="0.3">
      <c r="A40" s="636" t="s">
        <v>239</v>
      </c>
      <c r="B40" s="637"/>
      <c r="C40" s="637"/>
      <c r="D40" s="637"/>
      <c r="E40" s="637"/>
      <c r="F40" s="638">
        <f>SUM(F37:F39)</f>
        <v>76161597</v>
      </c>
      <c r="G40" s="638">
        <f>SUM(G37:G39)</f>
        <v>76161597</v>
      </c>
      <c r="H40" s="95">
        <f>SUM(H37:H39)</f>
        <v>0</v>
      </c>
      <c r="I40" s="94"/>
      <c r="J40" s="638">
        <f>SUM(J37:J39)</f>
        <v>0</v>
      </c>
      <c r="K40" s="638">
        <f>SUM(K37:K39)</f>
        <v>0</v>
      </c>
      <c r="L40" s="638">
        <f>SUM(L37:L39)</f>
        <v>0</v>
      </c>
      <c r="M40" s="638">
        <f>SUM(M37:M39)</f>
        <v>0</v>
      </c>
    </row>
    <row r="41" spans="1:13" ht="20.100000000000001" customHeight="1" x14ac:dyDescent="0.3">
      <c r="A41" s="639" t="s">
        <v>240</v>
      </c>
      <c r="B41" s="640"/>
      <c r="C41" s="640"/>
      <c r="D41" s="640"/>
      <c r="E41" s="640"/>
      <c r="F41" s="641">
        <f>SUM(F15,F20,F24,F27,F30,F35,F40)</f>
        <v>581761597</v>
      </c>
      <c r="G41" s="641">
        <f>SUM(G15,G20,G24,G27,G30,G35,G40)</f>
        <v>558761597</v>
      </c>
      <c r="H41" s="93">
        <f>SUM(H15,H20,H24,H27,H30,H35,H40)</f>
        <v>0</v>
      </c>
      <c r="I41" s="92"/>
      <c r="J41" s="641">
        <f>SUM(J15,J20,J24,J27,J30,J35,J40)</f>
        <v>0</v>
      </c>
      <c r="K41" s="641">
        <f>SUM(K15,K20,K24,K27,K30,K35,K40)</f>
        <v>0</v>
      </c>
      <c r="L41" s="641">
        <f>SUM(L15,L20,L24,L27,L30,L35,L40)</f>
        <v>0</v>
      </c>
      <c r="M41" s="641">
        <f>SUM(M15,M20,M24,M27,M30,M35,M40)</f>
        <v>0</v>
      </c>
    </row>
    <row r="43" spans="1:13" ht="15.75" customHeight="1" thickBo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6.5" customHeight="1" thickTop="1" thickBo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70" spans="1:13" ht="15.75" customHeight="1" thickBo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6.5" customHeight="1" thickTop="1" thickBot="1" x14ac:dyDescent="0.3">
      <c r="A71"/>
      <c r="B71"/>
      <c r="C71"/>
      <c r="D71"/>
      <c r="E71"/>
      <c r="F71"/>
      <c r="G71"/>
      <c r="H71" s="96"/>
      <c r="I71" s="96"/>
      <c r="J71"/>
      <c r="K71"/>
      <c r="L71"/>
      <c r="M71"/>
    </row>
    <row r="97" spans="1:13" ht="15.75" customHeight="1" thickBo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6.5" customHeight="1" thickTop="1" thickBot="1" x14ac:dyDescent="0.3">
      <c r="A98"/>
      <c r="B98"/>
      <c r="C98"/>
      <c r="D98"/>
      <c r="E98"/>
      <c r="F98"/>
      <c r="G98"/>
      <c r="H98" s="96"/>
      <c r="I98" s="96"/>
      <c r="J98"/>
      <c r="K98"/>
      <c r="L98"/>
      <c r="M98"/>
    </row>
    <row r="124" spans="1:13" ht="15.75" customHeight="1" thickBo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6.5" customHeight="1" thickTop="1" thickBot="1" x14ac:dyDescent="0.3">
      <c r="A125"/>
      <c r="B125"/>
      <c r="C125"/>
      <c r="D125"/>
      <c r="E125"/>
      <c r="F125"/>
      <c r="G125"/>
      <c r="H125" s="96"/>
      <c r="I125" s="96"/>
      <c r="J125"/>
      <c r="K125"/>
      <c r="L125"/>
      <c r="M125"/>
    </row>
    <row r="151" spans="1:13" ht="15.75" customHeight="1" thickBo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6.5" customHeight="1" thickTop="1" thickBot="1" x14ac:dyDescent="0.3">
      <c r="A152"/>
      <c r="B152"/>
      <c r="C152"/>
      <c r="D152"/>
      <c r="E152"/>
      <c r="F152"/>
      <c r="G152"/>
      <c r="H152" s="96"/>
      <c r="I152" s="96"/>
      <c r="J152"/>
      <c r="K152"/>
      <c r="L152"/>
      <c r="M152"/>
    </row>
    <row r="153" spans="1:13" ht="15.75" customHeight="1" thickBot="1" x14ac:dyDescent="0.3">
      <c r="A153"/>
      <c r="B153"/>
      <c r="C153"/>
      <c r="D153"/>
      <c r="E153"/>
      <c r="F153"/>
      <c r="G153"/>
      <c r="H153" s="96"/>
      <c r="I153" s="96"/>
      <c r="J153"/>
      <c r="K153"/>
      <c r="L153"/>
      <c r="M153"/>
    </row>
  </sheetData>
  <dataConsolidate/>
  <mergeCells count="31">
    <mergeCell ref="H125:I125"/>
    <mergeCell ref="H152:I152"/>
    <mergeCell ref="H153:I153"/>
    <mergeCell ref="M7:M8"/>
    <mergeCell ref="J2:K2"/>
    <mergeCell ref="H71:I71"/>
    <mergeCell ref="H98:I98"/>
    <mergeCell ref="H15:I15"/>
    <mergeCell ref="H20:I20"/>
    <mergeCell ref="H24:I24"/>
    <mergeCell ref="H27:I27"/>
    <mergeCell ref="H30:I30"/>
    <mergeCell ref="H35:I35"/>
    <mergeCell ref="H40:I40"/>
    <mergeCell ref="H41:I41"/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</mergeCells>
  <dataValidations count="7">
    <dataValidation type="list" allowBlank="1" showInputMessage="1" showErrorMessage="1" sqref="I100:I124">
      <formula1>$AA$1:$AA$2</formula1>
    </dataValidation>
    <dataValidation type="list" allowBlank="1" showInputMessage="1" showErrorMessage="1" sqref="I9:I16">
      <formula1>$AA$1:$AA$2</formula1>
    </dataValidation>
    <dataValidation type="list" allowBlank="1" showInputMessage="1" showErrorMessage="1" sqref="I127:I151">
      <formula1>$AA$1:$AA$2</formula1>
    </dataValidation>
    <dataValidation type="list" allowBlank="1" showInputMessage="1" showErrorMessage="1" sqref="I73:I97">
      <formula1>$AA$1:$AA$2</formula1>
    </dataValidation>
    <dataValidation type="list" allowBlank="1" showInputMessage="1" showErrorMessage="1" sqref="I46:I70">
      <formula1>$AA$1:$AA$2</formula1>
    </dataValidation>
    <dataValidation type="list" allowBlank="1" showInputMessage="1" showErrorMessage="1" sqref="I19:I43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3"/>
  <sheetViews>
    <sheetView zoomScale="80" zoomScaleNormal="80" workbookViewId="0">
      <selection activeCell="B5" sqref="B5 A5:AP9"/>
    </sheetView>
  </sheetViews>
  <sheetFormatPr defaultRowHeight="15" x14ac:dyDescent="0.25"/>
  <cols>
    <col min="1" max="1" width="10.28515625" style="339" customWidth="1"/>
    <col min="2" max="2" width="16.5703125" style="352" hidden="1" customWidth="1"/>
    <col min="3" max="3" width="15.5703125" style="352" customWidth="1"/>
    <col min="4" max="4" width="20.42578125" style="354" customWidth="1"/>
    <col min="5" max="5" width="15.5703125" style="352" customWidth="1"/>
    <col min="6" max="6" width="16.5703125" style="352" hidden="1" customWidth="1"/>
    <col min="7" max="7" width="15.5703125" style="352" customWidth="1"/>
    <col min="8" max="8" width="7.140625" style="352" customWidth="1"/>
    <col min="9" max="9" width="11.42578125" style="352" customWidth="1"/>
    <col min="10" max="10" width="20.42578125" style="354" customWidth="1"/>
    <col min="11" max="11" width="21" style="354" customWidth="1"/>
    <col min="12" max="12" width="6.28515625" style="352" customWidth="1"/>
    <col min="13" max="13" width="8.5703125" style="354" customWidth="1"/>
    <col min="14" max="14" width="9.140625" style="352" customWidth="1"/>
    <col min="15" max="15" width="16.5703125" style="352" hidden="1" customWidth="1"/>
    <col min="16" max="16" width="15.5703125" style="352" customWidth="1"/>
    <col min="17" max="17" width="7.140625" style="352" customWidth="1"/>
    <col min="18" max="18" width="11.42578125" style="352" customWidth="1"/>
    <col min="19" max="19" width="20.42578125" style="354" customWidth="1"/>
    <col min="20" max="20" width="22.5703125" style="354" customWidth="1"/>
    <col min="21" max="21" width="6.28515625" style="352" customWidth="1"/>
    <col min="22" max="22" width="8.5703125" style="490" customWidth="1"/>
  </cols>
  <sheetData>
    <row r="1" spans="1:22" ht="15.75" customHeight="1" x14ac:dyDescent="0.25">
      <c r="A1" s="355" t="s">
        <v>241</v>
      </c>
    </row>
    <row r="2" spans="1:22" ht="15.75" customHeight="1" x14ac:dyDescent="0.25">
      <c r="A2" s="356" t="s">
        <v>31</v>
      </c>
    </row>
    <row r="3" spans="1:22" ht="15.75" customHeight="1" x14ac:dyDescent="0.25">
      <c r="A3" s="356"/>
    </row>
    <row r="4" spans="1:22" x14ac:dyDescent="0.25">
      <c r="A4" s="353" t="s">
        <v>242</v>
      </c>
    </row>
    <row r="5" spans="1:22" ht="15.75" customHeight="1" thickBot="1" x14ac:dyDescent="0.3"/>
    <row r="6" spans="1:22" ht="15" customHeight="1" thickBot="1" x14ac:dyDescent="0.3">
      <c r="A6" s="322"/>
      <c r="B6" s="257" t="s">
        <v>168</v>
      </c>
      <c r="C6" s="256"/>
      <c r="D6" s="88"/>
      <c r="E6" s="87"/>
      <c r="F6" s="317" t="s">
        <v>3</v>
      </c>
      <c r="G6" s="317"/>
      <c r="H6" s="317"/>
      <c r="I6" s="317"/>
      <c r="J6" s="91"/>
      <c r="K6" s="91"/>
      <c r="L6" s="317"/>
      <c r="M6" s="316"/>
      <c r="N6" s="642"/>
      <c r="O6" s="317" t="s">
        <v>4</v>
      </c>
      <c r="P6" s="317"/>
      <c r="Q6" s="317"/>
      <c r="R6" s="317"/>
      <c r="S6" s="91"/>
      <c r="T6" s="91"/>
      <c r="U6" s="317"/>
      <c r="V6" s="316"/>
    </row>
    <row r="7" spans="1:22" ht="15" customHeight="1" x14ac:dyDescent="0.25">
      <c r="A7" s="310"/>
      <c r="B7" s="86" t="s">
        <v>51</v>
      </c>
      <c r="C7" s="80" t="s">
        <v>243</v>
      </c>
      <c r="D7" s="84" t="s">
        <v>244</v>
      </c>
      <c r="E7" s="82" t="s">
        <v>189</v>
      </c>
      <c r="F7" s="74" t="s">
        <v>51</v>
      </c>
      <c r="G7" s="78" t="s">
        <v>52</v>
      </c>
      <c r="H7" s="77"/>
      <c r="I7" s="77"/>
      <c r="J7" s="76"/>
      <c r="K7" s="75"/>
      <c r="L7" s="90" t="s">
        <v>189</v>
      </c>
      <c r="M7" s="89"/>
      <c r="N7" s="643"/>
      <c r="O7" s="72" t="s">
        <v>51</v>
      </c>
      <c r="P7" s="78" t="s">
        <v>52</v>
      </c>
      <c r="Q7" s="77"/>
      <c r="R7" s="77"/>
      <c r="S7" s="76"/>
      <c r="T7" s="75"/>
      <c r="U7" s="90" t="s">
        <v>189</v>
      </c>
      <c r="V7" s="89"/>
    </row>
    <row r="8" spans="1:22" ht="45.75" customHeight="1" thickBot="1" x14ac:dyDescent="0.3">
      <c r="A8" s="321"/>
      <c r="B8" s="85"/>
      <c r="C8" s="79"/>
      <c r="D8" s="83"/>
      <c r="E8" s="81"/>
      <c r="F8" s="73"/>
      <c r="G8" s="644" t="s">
        <v>245</v>
      </c>
      <c r="H8" s="645" t="s">
        <v>246</v>
      </c>
      <c r="I8" s="645" t="s">
        <v>240</v>
      </c>
      <c r="J8" s="646" t="s">
        <v>244</v>
      </c>
      <c r="K8" s="647" t="s">
        <v>142</v>
      </c>
      <c r="L8" s="648" t="s">
        <v>240</v>
      </c>
      <c r="M8" s="649" t="s">
        <v>142</v>
      </c>
      <c r="N8" s="643"/>
      <c r="O8" s="71"/>
      <c r="P8" s="644" t="s">
        <v>245</v>
      </c>
      <c r="Q8" s="645" t="s">
        <v>246</v>
      </c>
      <c r="R8" s="645" t="s">
        <v>240</v>
      </c>
      <c r="S8" s="646" t="s">
        <v>244</v>
      </c>
      <c r="T8" s="647" t="s">
        <v>144</v>
      </c>
      <c r="U8" s="648" t="s">
        <v>240</v>
      </c>
      <c r="V8" s="649" t="s">
        <v>144</v>
      </c>
    </row>
    <row r="9" spans="1:22" x14ac:dyDescent="0.25">
      <c r="A9" s="583" t="s">
        <v>50</v>
      </c>
      <c r="B9" s="584">
        <v>200892690</v>
      </c>
      <c r="C9" s="650">
        <v>18714431</v>
      </c>
      <c r="D9" s="651">
        <f t="shared" ref="D9:D19" si="0">IF(B9 &gt; 0, C9/SUM(B9,C9), "")</f>
        <v>8.5217778525496904E-2</v>
      </c>
      <c r="E9" s="584">
        <v>0</v>
      </c>
      <c r="F9" s="652">
        <v>199005419</v>
      </c>
      <c r="G9" s="650">
        <v>21249074</v>
      </c>
      <c r="H9" s="653">
        <v>0</v>
      </c>
      <c r="I9" s="653">
        <f t="shared" ref="I9:I18" si="1">SUM(G9:H9)</f>
        <v>21249074</v>
      </c>
      <c r="J9" s="654">
        <f t="shared" ref="J9:J19" si="2">IF(F9 &gt; 0, I9/SUM(F9,I9), "")</f>
        <v>9.6475098921137564E-2</v>
      </c>
      <c r="K9" s="500">
        <f t="shared" ref="K9:K19" si="3">IF($C9 &gt; 0, (I9-$C9)/$C9, "")</f>
        <v>0.13543788747838501</v>
      </c>
      <c r="L9" s="650">
        <v>0</v>
      </c>
      <c r="M9" s="500" t="str">
        <f t="shared" ref="M9:M19" si="4">IF($E9 &gt; 0, (L9-$E9)/$E9, "")</f>
        <v/>
      </c>
      <c r="N9" s="655"/>
      <c r="O9" s="584">
        <v>200975929</v>
      </c>
      <c r="P9" s="650">
        <v>21656220</v>
      </c>
      <c r="Q9" s="653">
        <v>0</v>
      </c>
      <c r="R9" s="653">
        <f t="shared" ref="R9:R18" si="5">SUM(P9:Q9)</f>
        <v>21656220</v>
      </c>
      <c r="S9" s="654">
        <f t="shared" ref="S9:S19" si="6">IF(O9 &gt; 0, R9/SUM(O9,R9), "")</f>
        <v>9.7273552347554262E-2</v>
      </c>
      <c r="T9" s="500">
        <f t="shared" ref="T9:T19" si="7">IF($C9 &gt; 0, (R9-$C9)/$C9, "")</f>
        <v>0.15719361171066329</v>
      </c>
      <c r="U9" s="650">
        <v>0</v>
      </c>
      <c r="V9" s="500" t="str">
        <f t="shared" ref="V9:V19" si="8">IF($E9 &gt; 0, (U9-$E9)/$E9, "")</f>
        <v/>
      </c>
    </row>
    <row r="10" spans="1:22" x14ac:dyDescent="0.25">
      <c r="A10" s="587" t="s">
        <v>55</v>
      </c>
      <c r="B10" s="405">
        <v>11697093</v>
      </c>
      <c r="C10" s="408">
        <v>555970</v>
      </c>
      <c r="D10" s="504">
        <f t="shared" si="0"/>
        <v>4.5373960780255518E-2</v>
      </c>
      <c r="E10" s="405">
        <v>0</v>
      </c>
      <c r="F10" s="585">
        <v>13841702</v>
      </c>
      <c r="G10" s="408">
        <v>407783</v>
      </c>
      <c r="H10" s="503">
        <v>0</v>
      </c>
      <c r="I10" s="503">
        <f t="shared" si="1"/>
        <v>407783</v>
      </c>
      <c r="J10" s="656">
        <f t="shared" si="2"/>
        <v>2.861738511953239E-2</v>
      </c>
      <c r="K10" s="504">
        <f t="shared" si="3"/>
        <v>-0.2665377628289296</v>
      </c>
      <c r="L10" s="408">
        <v>0</v>
      </c>
      <c r="M10" s="504" t="str">
        <f t="shared" si="4"/>
        <v/>
      </c>
      <c r="N10" s="596"/>
      <c r="O10" s="405">
        <v>13978605</v>
      </c>
      <c r="P10" s="408">
        <v>404454</v>
      </c>
      <c r="Q10" s="503">
        <v>0</v>
      </c>
      <c r="R10" s="503">
        <f t="shared" si="5"/>
        <v>404454</v>
      </c>
      <c r="S10" s="656">
        <f t="shared" si="6"/>
        <v>2.8120165536413361E-2</v>
      </c>
      <c r="T10" s="504">
        <f t="shared" si="7"/>
        <v>-0.27252549597999892</v>
      </c>
      <c r="U10" s="408">
        <v>0</v>
      </c>
      <c r="V10" s="504" t="str">
        <f t="shared" si="8"/>
        <v/>
      </c>
    </row>
    <row r="11" spans="1:22" x14ac:dyDescent="0.25">
      <c r="A11" s="587" t="s">
        <v>56</v>
      </c>
      <c r="B11" s="405">
        <v>14013516</v>
      </c>
      <c r="C11" s="408">
        <v>1683433</v>
      </c>
      <c r="D11" s="504">
        <f t="shared" si="0"/>
        <v>0.10724587306743495</v>
      </c>
      <c r="E11" s="405">
        <v>0</v>
      </c>
      <c r="F11" s="585">
        <v>15824440</v>
      </c>
      <c r="G11" s="408">
        <v>1474005</v>
      </c>
      <c r="H11" s="503">
        <v>0</v>
      </c>
      <c r="I11" s="503">
        <f t="shared" si="1"/>
        <v>1474005</v>
      </c>
      <c r="J11" s="656">
        <f t="shared" si="2"/>
        <v>8.5210260228592807E-2</v>
      </c>
      <c r="K11" s="504">
        <f t="shared" si="3"/>
        <v>-0.12440530748773489</v>
      </c>
      <c r="L11" s="408">
        <v>0</v>
      </c>
      <c r="M11" s="504" t="str">
        <f t="shared" si="4"/>
        <v/>
      </c>
      <c r="N11" s="596"/>
      <c r="O11" s="405">
        <v>15980980</v>
      </c>
      <c r="P11" s="408">
        <v>1470030</v>
      </c>
      <c r="Q11" s="503">
        <v>0</v>
      </c>
      <c r="R11" s="503">
        <f t="shared" si="5"/>
        <v>1470030</v>
      </c>
      <c r="S11" s="656">
        <f t="shared" si="6"/>
        <v>8.4237531237446997E-2</v>
      </c>
      <c r="T11" s="504">
        <f t="shared" si="7"/>
        <v>-0.12676655382186283</v>
      </c>
      <c r="U11" s="408">
        <v>0</v>
      </c>
      <c r="V11" s="504" t="str">
        <f t="shared" si="8"/>
        <v/>
      </c>
    </row>
    <row r="12" spans="1:22" x14ac:dyDescent="0.25">
      <c r="A12" s="587" t="s">
        <v>57</v>
      </c>
      <c r="B12" s="405">
        <v>17635464</v>
      </c>
      <c r="C12" s="408">
        <v>5157768</v>
      </c>
      <c r="D12" s="504">
        <f t="shared" si="0"/>
        <v>0.22628506567212583</v>
      </c>
      <c r="E12" s="405">
        <v>0</v>
      </c>
      <c r="F12" s="585">
        <v>18594348</v>
      </c>
      <c r="G12" s="408">
        <v>4889573</v>
      </c>
      <c r="H12" s="503">
        <v>0</v>
      </c>
      <c r="I12" s="503">
        <f t="shared" si="1"/>
        <v>4889573</v>
      </c>
      <c r="J12" s="656">
        <f t="shared" si="2"/>
        <v>0.20820939569674077</v>
      </c>
      <c r="K12" s="504">
        <f t="shared" si="3"/>
        <v>-5.1998267467633287E-2</v>
      </c>
      <c r="L12" s="408">
        <v>0</v>
      </c>
      <c r="M12" s="504" t="str">
        <f t="shared" si="4"/>
        <v/>
      </c>
      <c r="N12" s="596"/>
      <c r="O12" s="405">
        <v>18778368</v>
      </c>
      <c r="P12" s="408">
        <v>4888275</v>
      </c>
      <c r="Q12" s="503">
        <v>0</v>
      </c>
      <c r="R12" s="503">
        <f t="shared" si="5"/>
        <v>4888275</v>
      </c>
      <c r="S12" s="656">
        <f t="shared" si="6"/>
        <v>0.20654703753295303</v>
      </c>
      <c r="T12" s="504">
        <f t="shared" si="7"/>
        <v>-5.2249926712484934E-2</v>
      </c>
      <c r="U12" s="408">
        <v>0</v>
      </c>
      <c r="V12" s="504" t="str">
        <f t="shared" si="8"/>
        <v/>
      </c>
    </row>
    <row r="13" spans="1:22" x14ac:dyDescent="0.25">
      <c r="A13" s="587" t="s">
        <v>58</v>
      </c>
      <c r="B13" s="405">
        <v>105869040</v>
      </c>
      <c r="C13" s="408">
        <v>6097304</v>
      </c>
      <c r="D13" s="504">
        <f t="shared" si="0"/>
        <v>5.4456578487549798E-2</v>
      </c>
      <c r="E13" s="405">
        <v>0</v>
      </c>
      <c r="F13" s="585">
        <v>109477462</v>
      </c>
      <c r="G13" s="408">
        <v>4481222</v>
      </c>
      <c r="H13" s="503">
        <v>0</v>
      </c>
      <c r="I13" s="503">
        <f t="shared" si="1"/>
        <v>4481222</v>
      </c>
      <c r="J13" s="656">
        <f t="shared" si="2"/>
        <v>3.9323216473787989E-2</v>
      </c>
      <c r="K13" s="504">
        <f t="shared" si="3"/>
        <v>-0.2650486182089658</v>
      </c>
      <c r="L13" s="408">
        <v>0</v>
      </c>
      <c r="M13" s="504" t="str">
        <f t="shared" si="4"/>
        <v/>
      </c>
      <c r="N13" s="596"/>
      <c r="O13" s="405">
        <v>110561301</v>
      </c>
      <c r="P13" s="408">
        <v>4473244</v>
      </c>
      <c r="Q13" s="503">
        <v>0</v>
      </c>
      <c r="R13" s="503">
        <f t="shared" si="5"/>
        <v>4473244</v>
      </c>
      <c r="S13" s="656">
        <f t="shared" si="6"/>
        <v>3.8886092868885606E-2</v>
      </c>
      <c r="T13" s="504">
        <f t="shared" si="7"/>
        <v>-0.26635706535216219</v>
      </c>
      <c r="U13" s="408">
        <v>0</v>
      </c>
      <c r="V13" s="504" t="str">
        <f t="shared" si="8"/>
        <v/>
      </c>
    </row>
    <row r="14" spans="1:22" x14ac:dyDescent="0.25">
      <c r="A14" s="587" t="s">
        <v>59</v>
      </c>
      <c r="B14" s="405">
        <v>23982670</v>
      </c>
      <c r="C14" s="408">
        <v>4086620</v>
      </c>
      <c r="D14" s="504">
        <f t="shared" si="0"/>
        <v>0.1455904299681253</v>
      </c>
      <c r="E14" s="405">
        <v>0</v>
      </c>
      <c r="F14" s="585">
        <v>24509706</v>
      </c>
      <c r="G14" s="408">
        <v>3725070</v>
      </c>
      <c r="H14" s="503">
        <v>0</v>
      </c>
      <c r="I14" s="503">
        <f t="shared" si="1"/>
        <v>3725070</v>
      </c>
      <c r="J14" s="656">
        <f t="shared" si="2"/>
        <v>0.13193198345189633</v>
      </c>
      <c r="K14" s="504">
        <f t="shared" si="3"/>
        <v>-8.8471646495147577E-2</v>
      </c>
      <c r="L14" s="408">
        <v>0</v>
      </c>
      <c r="M14" s="504" t="str">
        <f t="shared" si="4"/>
        <v/>
      </c>
      <c r="N14" s="596"/>
      <c r="O14" s="405">
        <v>24752314</v>
      </c>
      <c r="P14" s="408">
        <v>3720546</v>
      </c>
      <c r="Q14" s="503">
        <v>0</v>
      </c>
      <c r="R14" s="503">
        <f t="shared" si="5"/>
        <v>3720546</v>
      </c>
      <c r="S14" s="656">
        <f t="shared" si="6"/>
        <v>0.13066990811600943</v>
      </c>
      <c r="T14" s="504">
        <f t="shared" si="7"/>
        <v>-8.9578673818461227E-2</v>
      </c>
      <c r="U14" s="408">
        <v>0</v>
      </c>
      <c r="V14" s="504" t="str">
        <f t="shared" si="8"/>
        <v/>
      </c>
    </row>
    <row r="15" spans="1:22" x14ac:dyDescent="0.25">
      <c r="A15" s="587" t="s">
        <v>60</v>
      </c>
      <c r="B15" s="405">
        <v>20149938</v>
      </c>
      <c r="C15" s="408">
        <v>3329290</v>
      </c>
      <c r="D15" s="504">
        <f t="shared" si="0"/>
        <v>0.14179725159617684</v>
      </c>
      <c r="E15" s="405">
        <v>0</v>
      </c>
      <c r="F15" s="585">
        <v>20584996</v>
      </c>
      <c r="G15" s="408">
        <v>2378534</v>
      </c>
      <c r="H15" s="503">
        <v>0</v>
      </c>
      <c r="I15" s="503">
        <f t="shared" si="1"/>
        <v>2378534</v>
      </c>
      <c r="J15" s="656">
        <f t="shared" si="2"/>
        <v>0.10357876162767658</v>
      </c>
      <c r="K15" s="504">
        <f t="shared" si="3"/>
        <v>-0.28557320029195415</v>
      </c>
      <c r="L15" s="408">
        <v>0</v>
      </c>
      <c r="M15" s="504" t="str">
        <f t="shared" si="4"/>
        <v/>
      </c>
      <c r="N15" s="596"/>
      <c r="O15" s="405">
        <v>20788792</v>
      </c>
      <c r="P15" s="408">
        <v>2377458</v>
      </c>
      <c r="Q15" s="503">
        <v>0</v>
      </c>
      <c r="R15" s="503">
        <f t="shared" si="5"/>
        <v>2377458</v>
      </c>
      <c r="S15" s="656">
        <f t="shared" si="6"/>
        <v>0.10262593212108131</v>
      </c>
      <c r="T15" s="504">
        <f t="shared" si="7"/>
        <v>-0.28589639232388886</v>
      </c>
      <c r="U15" s="408">
        <v>0</v>
      </c>
      <c r="V15" s="504" t="str">
        <f t="shared" si="8"/>
        <v/>
      </c>
    </row>
    <row r="16" spans="1:22" x14ac:dyDescent="0.25">
      <c r="A16" s="587" t="s">
        <v>61</v>
      </c>
      <c r="B16" s="405">
        <v>119257437</v>
      </c>
      <c r="C16" s="408">
        <v>10475279</v>
      </c>
      <c r="D16" s="504">
        <f t="shared" si="0"/>
        <v>8.0745083607129606E-2</v>
      </c>
      <c r="E16" s="405">
        <v>0</v>
      </c>
      <c r="F16" s="585">
        <v>120450011</v>
      </c>
      <c r="G16" s="408">
        <v>9575738</v>
      </c>
      <c r="H16" s="503">
        <v>0</v>
      </c>
      <c r="I16" s="503">
        <f t="shared" si="1"/>
        <v>9575738</v>
      </c>
      <c r="J16" s="656">
        <f t="shared" si="2"/>
        <v>7.3644936281043835E-2</v>
      </c>
      <c r="K16" s="504">
        <f t="shared" si="3"/>
        <v>-8.5872748592185466E-2</v>
      </c>
      <c r="L16" s="408">
        <v>0</v>
      </c>
      <c r="M16" s="504" t="str">
        <f t="shared" si="4"/>
        <v/>
      </c>
      <c r="N16" s="596"/>
      <c r="O16" s="405">
        <v>121642586</v>
      </c>
      <c r="P16" s="408">
        <v>9582614</v>
      </c>
      <c r="Q16" s="503">
        <v>0</v>
      </c>
      <c r="R16" s="503">
        <f t="shared" si="5"/>
        <v>9582614</v>
      </c>
      <c r="S16" s="656">
        <f t="shared" si="6"/>
        <v>7.3024190475609874E-2</v>
      </c>
      <c r="T16" s="504">
        <f t="shared" si="7"/>
        <v>-8.5216346027633255E-2</v>
      </c>
      <c r="U16" s="408">
        <v>0</v>
      </c>
      <c r="V16" s="504" t="str">
        <f t="shared" si="8"/>
        <v/>
      </c>
    </row>
    <row r="17" spans="1:22" x14ac:dyDescent="0.25">
      <c r="A17" s="587" t="s">
        <v>62</v>
      </c>
      <c r="B17" s="405">
        <v>4850000</v>
      </c>
      <c r="C17" s="408">
        <v>0</v>
      </c>
      <c r="D17" s="504">
        <f t="shared" si="0"/>
        <v>0</v>
      </c>
      <c r="E17" s="405">
        <v>0</v>
      </c>
      <c r="F17" s="585">
        <v>4898500</v>
      </c>
      <c r="G17" s="408">
        <v>0</v>
      </c>
      <c r="H17" s="503">
        <v>0</v>
      </c>
      <c r="I17" s="503">
        <f t="shared" si="1"/>
        <v>0</v>
      </c>
      <c r="J17" s="656">
        <f t="shared" si="2"/>
        <v>0</v>
      </c>
      <c r="K17" s="504" t="str">
        <f t="shared" si="3"/>
        <v/>
      </c>
      <c r="L17" s="408">
        <v>0</v>
      </c>
      <c r="M17" s="504" t="str">
        <f t="shared" si="4"/>
        <v/>
      </c>
      <c r="N17" s="596"/>
      <c r="O17" s="405">
        <v>4947000</v>
      </c>
      <c r="P17" s="408">
        <v>0</v>
      </c>
      <c r="Q17" s="503">
        <v>0</v>
      </c>
      <c r="R17" s="503">
        <f t="shared" si="5"/>
        <v>0</v>
      </c>
      <c r="S17" s="656">
        <f t="shared" si="6"/>
        <v>0</v>
      </c>
      <c r="T17" s="504" t="str">
        <f t="shared" si="7"/>
        <v/>
      </c>
      <c r="U17" s="408">
        <v>0</v>
      </c>
      <c r="V17" s="504" t="str">
        <f t="shared" si="8"/>
        <v/>
      </c>
    </row>
    <row r="18" spans="1:22" ht="15.75" customHeight="1" thickBot="1" x14ac:dyDescent="0.3">
      <c r="A18" s="587" t="s">
        <v>63</v>
      </c>
      <c r="B18" s="405">
        <v>0</v>
      </c>
      <c r="C18" s="408">
        <v>0</v>
      </c>
      <c r="D18" s="504" t="str">
        <f t="shared" si="0"/>
        <v/>
      </c>
      <c r="E18" s="405">
        <v>6000000</v>
      </c>
      <c r="F18" s="585">
        <v>0</v>
      </c>
      <c r="G18" s="408">
        <v>0</v>
      </c>
      <c r="H18" s="503">
        <v>0</v>
      </c>
      <c r="I18" s="503">
        <f t="shared" si="1"/>
        <v>0</v>
      </c>
      <c r="J18" s="656" t="str">
        <f t="shared" si="2"/>
        <v/>
      </c>
      <c r="K18" s="504" t="str">
        <f t="shared" si="3"/>
        <v/>
      </c>
      <c r="L18" s="408">
        <v>0</v>
      </c>
      <c r="M18" s="504">
        <f t="shared" si="4"/>
        <v>-1</v>
      </c>
      <c r="N18" s="596"/>
      <c r="O18" s="405">
        <v>0</v>
      </c>
      <c r="P18" s="408">
        <v>0</v>
      </c>
      <c r="Q18" s="503">
        <v>0</v>
      </c>
      <c r="R18" s="503">
        <f t="shared" si="5"/>
        <v>0</v>
      </c>
      <c r="S18" s="656" t="str">
        <f t="shared" si="6"/>
        <v/>
      </c>
      <c r="T18" s="504" t="str">
        <f t="shared" si="7"/>
        <v/>
      </c>
      <c r="U18" s="408">
        <v>0</v>
      </c>
      <c r="V18" s="504">
        <f t="shared" si="8"/>
        <v>-1</v>
      </c>
    </row>
    <row r="19" spans="1:22" ht="15.75" customHeight="1" thickTop="1" x14ac:dyDescent="0.25">
      <c r="A19" s="588" t="s">
        <v>132</v>
      </c>
      <c r="B19" s="589">
        <f>SUM(B9:B18)</f>
        <v>518347848</v>
      </c>
      <c r="C19" s="590">
        <f>SUM(C9:C18)</f>
        <v>50100095</v>
      </c>
      <c r="D19" s="657">
        <f t="shared" si="0"/>
        <v>8.8134886610012772E-2</v>
      </c>
      <c r="E19" s="589">
        <f>SUM(E9:E18)</f>
        <v>6000000</v>
      </c>
      <c r="F19" s="591">
        <f>SUM(F9:F18)</f>
        <v>527186584</v>
      </c>
      <c r="G19" s="590">
        <f>SUM(G9:G18)</f>
        <v>48180999</v>
      </c>
      <c r="H19" s="592">
        <f>SUM(H9:H18)</f>
        <v>0</v>
      </c>
      <c r="I19" s="592">
        <f>SUM(I9:I18)</f>
        <v>48180999</v>
      </c>
      <c r="J19" s="658">
        <f t="shared" si="2"/>
        <v>8.3739509182601965E-2</v>
      </c>
      <c r="K19" s="657">
        <f t="shared" si="3"/>
        <v>-3.8305236746557066E-2</v>
      </c>
      <c r="L19" s="590">
        <f>SUM(L9:L18)</f>
        <v>0</v>
      </c>
      <c r="M19" s="657">
        <f t="shared" si="4"/>
        <v>-1</v>
      </c>
      <c r="N19" s="659"/>
      <c r="O19" s="589">
        <f>SUM(O9:O18)</f>
        <v>532405875</v>
      </c>
      <c r="P19" s="590">
        <f>SUM(P9:P18)</f>
        <v>48572841</v>
      </c>
      <c r="Q19" s="592">
        <f>SUM(Q9:Q18)</f>
        <v>0</v>
      </c>
      <c r="R19" s="592">
        <f>SUM(R9:R18)</f>
        <v>48572841</v>
      </c>
      <c r="S19" s="658">
        <f t="shared" si="6"/>
        <v>8.3605198714370804E-2</v>
      </c>
      <c r="T19" s="657">
        <f t="shared" si="7"/>
        <v>-3.0484053972352747E-2</v>
      </c>
      <c r="U19" s="590">
        <f>SUM(U9:U18)</f>
        <v>0</v>
      </c>
      <c r="V19" s="657">
        <f t="shared" si="8"/>
        <v>-1</v>
      </c>
    </row>
    <row r="20" spans="1:22" x14ac:dyDescent="0.25">
      <c r="A20" s="595"/>
      <c r="B20" s="596"/>
      <c r="C20" s="597"/>
      <c r="D20" s="660"/>
      <c r="E20" s="596"/>
      <c r="F20" s="602"/>
      <c r="G20" s="597"/>
      <c r="H20" s="599"/>
      <c r="I20" s="599"/>
      <c r="J20" s="661"/>
      <c r="K20" s="626"/>
      <c r="L20" s="597"/>
      <c r="M20" s="626"/>
      <c r="N20" s="596"/>
      <c r="O20" s="596"/>
      <c r="P20" s="597"/>
      <c r="Q20" s="599"/>
      <c r="R20" s="599"/>
      <c r="S20" s="661"/>
      <c r="T20" s="626"/>
      <c r="U20" s="597"/>
      <c r="V20" s="626"/>
    </row>
    <row r="21" spans="1:22" x14ac:dyDescent="0.25">
      <c r="A21" s="587" t="s">
        <v>66</v>
      </c>
      <c r="B21" s="405">
        <v>221894187</v>
      </c>
      <c r="C21" s="408">
        <v>24549128</v>
      </c>
      <c r="D21" s="504">
        <f t="shared" ref="D21:D26" si="9">IF(B21 &gt; 0, C21/SUM(B21,C21), "")</f>
        <v>9.9613690069053004E-2</v>
      </c>
      <c r="E21" s="405">
        <v>0</v>
      </c>
      <c r="F21" s="585">
        <v>219495611</v>
      </c>
      <c r="G21" s="408">
        <v>22627907</v>
      </c>
      <c r="H21" s="503">
        <v>0</v>
      </c>
      <c r="I21" s="503">
        <f>SUM(G21:H21)</f>
        <v>22627907</v>
      </c>
      <c r="J21" s="656">
        <f t="shared" ref="J21:J26" si="10">IF(F21 &gt; 0, I21/SUM(F21,I21), "")</f>
        <v>9.3456047503819931E-2</v>
      </c>
      <c r="K21" s="504">
        <f t="shared" ref="K21:K26" si="11">IF($C21 &gt; 0, (I21-$C21)/$C21, "")</f>
        <v>-7.8260254294979445E-2</v>
      </c>
      <c r="L21" s="408">
        <v>0</v>
      </c>
      <c r="M21" s="504" t="str">
        <f t="shared" ref="M21:M26" si="12">IF($E21 &gt; 0, (L21-$E21)/$E21, "")</f>
        <v/>
      </c>
      <c r="N21" s="596"/>
      <c r="O21" s="405">
        <v>221669061</v>
      </c>
      <c r="P21" s="408">
        <v>22416013</v>
      </c>
      <c r="Q21" s="503">
        <v>0</v>
      </c>
      <c r="R21" s="503">
        <f>SUM(P21:Q21)</f>
        <v>22416013</v>
      </c>
      <c r="S21" s="656">
        <f t="shared" ref="S21:S26" si="13">IF(O21 &gt; 0, R21/SUM(O21,R21), "")</f>
        <v>9.1836885527871323E-2</v>
      </c>
      <c r="T21" s="504">
        <f t="shared" ref="T21:T26" si="14">IF($C21 &gt; 0, (R21-$C21)/$C21, "")</f>
        <v>-8.6891681040564869E-2</v>
      </c>
      <c r="U21" s="408">
        <v>0</v>
      </c>
      <c r="V21" s="504" t="str">
        <f t="shared" ref="V21:V26" si="15">IF($E21 &gt; 0, (U21-$E21)/$E21, "")</f>
        <v/>
      </c>
    </row>
    <row r="22" spans="1:22" x14ac:dyDescent="0.25">
      <c r="A22" s="587" t="s">
        <v>67</v>
      </c>
      <c r="B22" s="405">
        <v>43654076</v>
      </c>
      <c r="C22" s="408">
        <v>4342908</v>
      </c>
      <c r="D22" s="504">
        <f t="shared" si="9"/>
        <v>9.0482935344437479E-2</v>
      </c>
      <c r="E22" s="405">
        <v>0</v>
      </c>
      <c r="F22" s="585">
        <v>46046256</v>
      </c>
      <c r="G22" s="408">
        <v>3893663</v>
      </c>
      <c r="H22" s="503">
        <v>0</v>
      </c>
      <c r="I22" s="503">
        <f>SUM(G22:H22)</f>
        <v>3893663</v>
      </c>
      <c r="J22" s="656">
        <f t="shared" si="10"/>
        <v>7.796694664242447E-2</v>
      </c>
      <c r="K22" s="504">
        <f t="shared" si="11"/>
        <v>-0.10344336099221996</v>
      </c>
      <c r="L22" s="408">
        <v>0</v>
      </c>
      <c r="M22" s="504" t="str">
        <f t="shared" si="12"/>
        <v/>
      </c>
      <c r="N22" s="596"/>
      <c r="O22" s="405">
        <v>46502085</v>
      </c>
      <c r="P22" s="408">
        <v>3893513</v>
      </c>
      <c r="Q22" s="503">
        <v>0</v>
      </c>
      <c r="R22" s="503">
        <f>SUM(P22:Q22)</f>
        <v>3893513</v>
      </c>
      <c r="S22" s="656">
        <f t="shared" si="13"/>
        <v>7.7258989961781974E-2</v>
      </c>
      <c r="T22" s="504">
        <f t="shared" si="14"/>
        <v>-0.10347790006143349</v>
      </c>
      <c r="U22" s="408">
        <v>0</v>
      </c>
      <c r="V22" s="504" t="str">
        <f t="shared" si="15"/>
        <v/>
      </c>
    </row>
    <row r="23" spans="1:22" x14ac:dyDescent="0.25">
      <c r="A23" s="587" t="s">
        <v>68</v>
      </c>
      <c r="B23" s="405">
        <v>17616120</v>
      </c>
      <c r="C23" s="408">
        <v>0</v>
      </c>
      <c r="D23" s="504">
        <f t="shared" si="9"/>
        <v>0</v>
      </c>
      <c r="E23" s="405">
        <v>0</v>
      </c>
      <c r="F23" s="585">
        <v>17792281</v>
      </c>
      <c r="G23" s="408">
        <v>0</v>
      </c>
      <c r="H23" s="503">
        <v>0</v>
      </c>
      <c r="I23" s="503">
        <f>SUM(G23:H23)</f>
        <v>0</v>
      </c>
      <c r="J23" s="656">
        <f t="shared" si="10"/>
        <v>0</v>
      </c>
      <c r="K23" s="504" t="str">
        <f t="shared" si="11"/>
        <v/>
      </c>
      <c r="L23" s="408">
        <v>0</v>
      </c>
      <c r="M23" s="504" t="str">
        <f t="shared" si="12"/>
        <v/>
      </c>
      <c r="N23" s="596"/>
      <c r="O23" s="405">
        <v>17968442</v>
      </c>
      <c r="P23" s="408">
        <v>0</v>
      </c>
      <c r="Q23" s="503">
        <v>0</v>
      </c>
      <c r="R23" s="503">
        <f>SUM(P23:Q23)</f>
        <v>0</v>
      </c>
      <c r="S23" s="656">
        <f t="shared" si="13"/>
        <v>0</v>
      </c>
      <c r="T23" s="504" t="str">
        <f t="shared" si="14"/>
        <v/>
      </c>
      <c r="U23" s="408">
        <v>0</v>
      </c>
      <c r="V23" s="504" t="str">
        <f t="shared" si="15"/>
        <v/>
      </c>
    </row>
    <row r="24" spans="1:22" x14ac:dyDescent="0.25">
      <c r="A24" s="587" t="s">
        <v>70</v>
      </c>
      <c r="B24" s="405">
        <v>0</v>
      </c>
      <c r="C24" s="408">
        <v>0</v>
      </c>
      <c r="D24" s="504" t="str">
        <f t="shared" si="9"/>
        <v/>
      </c>
      <c r="E24" s="405">
        <v>2000000</v>
      </c>
      <c r="F24" s="585">
        <v>0</v>
      </c>
      <c r="G24" s="408">
        <v>0</v>
      </c>
      <c r="H24" s="503">
        <v>0</v>
      </c>
      <c r="I24" s="503">
        <f>SUM(G24:H24)</f>
        <v>0</v>
      </c>
      <c r="J24" s="656" t="str">
        <f t="shared" si="10"/>
        <v/>
      </c>
      <c r="K24" s="504" t="str">
        <f t="shared" si="11"/>
        <v/>
      </c>
      <c r="L24" s="408">
        <v>0</v>
      </c>
      <c r="M24" s="504">
        <f t="shared" si="12"/>
        <v>-1</v>
      </c>
      <c r="N24" s="596"/>
      <c r="O24" s="405">
        <v>0</v>
      </c>
      <c r="P24" s="408">
        <v>0</v>
      </c>
      <c r="Q24" s="503">
        <v>0</v>
      </c>
      <c r="R24" s="503">
        <f>SUM(P24:Q24)</f>
        <v>0</v>
      </c>
      <c r="S24" s="656" t="str">
        <f t="shared" si="13"/>
        <v/>
      </c>
      <c r="T24" s="504" t="str">
        <f t="shared" si="14"/>
        <v/>
      </c>
      <c r="U24" s="408">
        <v>0</v>
      </c>
      <c r="V24" s="504">
        <f t="shared" si="15"/>
        <v>-1</v>
      </c>
    </row>
    <row r="25" spans="1:22" ht="15.75" customHeight="1" thickBot="1" x14ac:dyDescent="0.3">
      <c r="A25" s="587" t="s">
        <v>69</v>
      </c>
      <c r="B25" s="405">
        <v>42622390</v>
      </c>
      <c r="C25" s="408">
        <v>3386658</v>
      </c>
      <c r="D25" s="504">
        <f t="shared" si="9"/>
        <v>7.3608521523853304E-2</v>
      </c>
      <c r="E25" s="405">
        <v>0</v>
      </c>
      <c r="F25" s="585">
        <v>42824864</v>
      </c>
      <c r="G25" s="408">
        <v>3077265</v>
      </c>
      <c r="H25" s="503">
        <v>0</v>
      </c>
      <c r="I25" s="503">
        <f>SUM(G25:H25)</f>
        <v>3077265</v>
      </c>
      <c r="J25" s="656">
        <f t="shared" si="10"/>
        <v>6.7039700925418944E-2</v>
      </c>
      <c r="K25" s="504">
        <f t="shared" si="11"/>
        <v>-9.1356434573553039E-2</v>
      </c>
      <c r="L25" s="408">
        <v>0</v>
      </c>
      <c r="M25" s="504" t="str">
        <f t="shared" si="12"/>
        <v/>
      </c>
      <c r="N25" s="596"/>
      <c r="O25" s="405">
        <v>43248774</v>
      </c>
      <c r="P25" s="408">
        <v>3038000</v>
      </c>
      <c r="Q25" s="503">
        <v>0</v>
      </c>
      <c r="R25" s="503">
        <f>SUM(P25:Q25)</f>
        <v>3038000</v>
      </c>
      <c r="S25" s="656">
        <f t="shared" si="13"/>
        <v>6.5634299767791116E-2</v>
      </c>
      <c r="T25" s="504">
        <f t="shared" si="14"/>
        <v>-0.10295046030629607</v>
      </c>
      <c r="U25" s="408">
        <v>0</v>
      </c>
      <c r="V25" s="504" t="str">
        <f t="shared" si="15"/>
        <v/>
      </c>
    </row>
    <row r="26" spans="1:22" ht="15.75" customHeight="1" thickTop="1" x14ac:dyDescent="0.25">
      <c r="A26" s="588" t="s">
        <v>133</v>
      </c>
      <c r="B26" s="589">
        <f>SUM(B21:B25)</f>
        <v>325786773</v>
      </c>
      <c r="C26" s="590">
        <f>SUM(C21:C25)</f>
        <v>32278694</v>
      </c>
      <c r="D26" s="657">
        <f t="shared" si="9"/>
        <v>9.0147464569656471E-2</v>
      </c>
      <c r="E26" s="589">
        <f>SUM(E21:E25)</f>
        <v>2000000</v>
      </c>
      <c r="F26" s="591">
        <f>SUM(F21:F25)</f>
        <v>326159012</v>
      </c>
      <c r="G26" s="590">
        <f>SUM(G21:G25)</f>
        <v>29598835</v>
      </c>
      <c r="H26" s="592">
        <f>SUM(H21:H25)</f>
        <v>0</v>
      </c>
      <c r="I26" s="592">
        <f>SUM(I21:I25)</f>
        <v>29598835</v>
      </c>
      <c r="J26" s="658">
        <f t="shared" si="10"/>
        <v>8.3199387587928594E-2</v>
      </c>
      <c r="K26" s="657">
        <f t="shared" si="11"/>
        <v>-8.3022534926598945E-2</v>
      </c>
      <c r="L26" s="590">
        <f>SUM(L21:L25)</f>
        <v>0</v>
      </c>
      <c r="M26" s="657">
        <f t="shared" si="12"/>
        <v>-1</v>
      </c>
      <c r="N26" s="659"/>
      <c r="O26" s="589">
        <f>SUM(O21:O25)</f>
        <v>329388362</v>
      </c>
      <c r="P26" s="590">
        <f>SUM(P21:P25)</f>
        <v>29347526</v>
      </c>
      <c r="Q26" s="592">
        <f>SUM(Q21:Q25)</f>
        <v>0</v>
      </c>
      <c r="R26" s="592">
        <f>SUM(R21:R25)</f>
        <v>29347526</v>
      </c>
      <c r="S26" s="658">
        <f t="shared" si="13"/>
        <v>8.1808168576654919E-2</v>
      </c>
      <c r="T26" s="657">
        <f t="shared" si="14"/>
        <v>-9.0808134926400677E-2</v>
      </c>
      <c r="U26" s="590">
        <f>SUM(U21:U25)</f>
        <v>0</v>
      </c>
      <c r="V26" s="657">
        <f t="shared" si="15"/>
        <v>-1</v>
      </c>
    </row>
    <row r="27" spans="1:22" x14ac:dyDescent="0.25">
      <c r="A27" s="595"/>
      <c r="B27" s="596"/>
      <c r="C27" s="597"/>
      <c r="D27" s="660"/>
      <c r="E27" s="596"/>
      <c r="F27" s="602"/>
      <c r="G27" s="597"/>
      <c r="H27" s="599"/>
      <c r="I27" s="599"/>
      <c r="J27" s="661"/>
      <c r="K27" s="626"/>
      <c r="L27" s="597"/>
      <c r="M27" s="626"/>
      <c r="N27" s="596"/>
      <c r="O27" s="596"/>
      <c r="P27" s="597"/>
      <c r="Q27" s="599"/>
      <c r="R27" s="599"/>
      <c r="S27" s="661"/>
      <c r="T27" s="626"/>
      <c r="U27" s="597"/>
      <c r="V27" s="626"/>
    </row>
    <row r="28" spans="1:22" x14ac:dyDescent="0.25">
      <c r="A28" s="587" t="s">
        <v>72</v>
      </c>
      <c r="B28" s="405">
        <v>132521659</v>
      </c>
      <c r="C28" s="408">
        <v>16009763</v>
      </c>
      <c r="D28" s="504">
        <f t="shared" ref="D28:D33" si="16">IF(B28 &gt; 0, C28/SUM(B28,C28), "")</f>
        <v>0.10778704454872855</v>
      </c>
      <c r="E28" s="405">
        <v>0</v>
      </c>
      <c r="F28" s="585">
        <v>132441661</v>
      </c>
      <c r="G28" s="408">
        <v>22959363</v>
      </c>
      <c r="H28" s="503">
        <v>0</v>
      </c>
      <c r="I28" s="503">
        <f>SUM(G28:H28)</f>
        <v>22959363</v>
      </c>
      <c r="J28" s="656">
        <f t="shared" ref="J28:J33" si="17">IF(F28 &gt; 0, I28/SUM(F28,I28), "")</f>
        <v>0.14774267510618205</v>
      </c>
      <c r="K28" s="504">
        <f t="shared" ref="K28:K33" si="18">IF($C28 &gt; 0, (I28-$C28)/$C28, "")</f>
        <v>0.43408512668176286</v>
      </c>
      <c r="L28" s="408">
        <v>0</v>
      </c>
      <c r="M28" s="504" t="str">
        <f t="shared" ref="M28:M33" si="19">IF($E28 &gt; 0, (L28-$E28)/$E28, "")</f>
        <v/>
      </c>
      <c r="N28" s="596"/>
      <c r="O28" s="405">
        <v>133753011</v>
      </c>
      <c r="P28" s="408">
        <v>22972425</v>
      </c>
      <c r="Q28" s="503">
        <v>0</v>
      </c>
      <c r="R28" s="503">
        <f>SUM(P28:Q28)</f>
        <v>22972425</v>
      </c>
      <c r="S28" s="656">
        <f t="shared" ref="S28:S33" si="20">IF(O28 &gt; 0, R28/SUM(O28,R28), "")</f>
        <v>0.14657751534345709</v>
      </c>
      <c r="T28" s="504">
        <f t="shared" ref="T28:T33" si="21">IF($C28 &gt; 0, (R28-$C28)/$C28, "")</f>
        <v>0.4349010038437171</v>
      </c>
      <c r="U28" s="408">
        <v>0</v>
      </c>
      <c r="V28" s="504" t="str">
        <f t="shared" ref="V28:V33" si="22">IF($E28 &gt; 0, (U28-$E28)/$E28, "")</f>
        <v/>
      </c>
    </row>
    <row r="29" spans="1:22" x14ac:dyDescent="0.25">
      <c r="A29" s="587" t="s">
        <v>73</v>
      </c>
      <c r="B29" s="405">
        <v>67923788</v>
      </c>
      <c r="C29" s="408">
        <v>11950580</v>
      </c>
      <c r="D29" s="504">
        <f t="shared" si="16"/>
        <v>0.14961720886480129</v>
      </c>
      <c r="E29" s="405">
        <v>15000000</v>
      </c>
      <c r="F29" s="585">
        <v>71009278</v>
      </c>
      <c r="G29" s="408">
        <v>11574682</v>
      </c>
      <c r="H29" s="503">
        <v>0</v>
      </c>
      <c r="I29" s="503">
        <f>SUM(G29:H29)</f>
        <v>11574682</v>
      </c>
      <c r="J29" s="656">
        <f t="shared" si="17"/>
        <v>0.14015653887268181</v>
      </c>
      <c r="K29" s="504">
        <f t="shared" si="18"/>
        <v>-3.1454372925832891E-2</v>
      </c>
      <c r="L29" s="408">
        <v>0</v>
      </c>
      <c r="M29" s="504">
        <f t="shared" si="19"/>
        <v>-1</v>
      </c>
      <c r="N29" s="596"/>
      <c r="O29" s="405">
        <v>71712104</v>
      </c>
      <c r="P29" s="408">
        <v>13934387</v>
      </c>
      <c r="Q29" s="503">
        <v>0</v>
      </c>
      <c r="R29" s="503">
        <f>SUM(P29:Q29)</f>
        <v>13934387</v>
      </c>
      <c r="S29" s="656">
        <f t="shared" si="20"/>
        <v>0.16269653125660455</v>
      </c>
      <c r="T29" s="504">
        <f t="shared" si="21"/>
        <v>0.16600089702759196</v>
      </c>
      <c r="U29" s="408">
        <v>0</v>
      </c>
      <c r="V29" s="504">
        <f t="shared" si="22"/>
        <v>-1</v>
      </c>
    </row>
    <row r="30" spans="1:22" x14ac:dyDescent="0.25">
      <c r="A30" s="587" t="s">
        <v>74</v>
      </c>
      <c r="B30" s="405">
        <v>46529008</v>
      </c>
      <c r="C30" s="408">
        <v>10918470</v>
      </c>
      <c r="D30" s="504">
        <f t="shared" si="16"/>
        <v>0.19006004058176409</v>
      </c>
      <c r="E30" s="405">
        <v>0</v>
      </c>
      <c r="F30" s="585">
        <v>47504564</v>
      </c>
      <c r="G30" s="408">
        <v>11524725</v>
      </c>
      <c r="H30" s="503">
        <v>0</v>
      </c>
      <c r="I30" s="503">
        <f>SUM(G30:H30)</f>
        <v>11524725</v>
      </c>
      <c r="J30" s="656">
        <f t="shared" si="17"/>
        <v>0.19523740155501448</v>
      </c>
      <c r="K30" s="504">
        <f t="shared" si="18"/>
        <v>5.5525636833732198E-2</v>
      </c>
      <c r="L30" s="408">
        <v>0</v>
      </c>
      <c r="M30" s="504" t="str">
        <f t="shared" si="19"/>
        <v/>
      </c>
      <c r="N30" s="596"/>
      <c r="O30" s="405">
        <v>47974848</v>
      </c>
      <c r="P30" s="408">
        <v>12062142</v>
      </c>
      <c r="Q30" s="503">
        <v>0</v>
      </c>
      <c r="R30" s="503">
        <f>SUM(P30:Q30)</f>
        <v>12062142</v>
      </c>
      <c r="S30" s="656">
        <f t="shared" si="20"/>
        <v>0.20091183785196426</v>
      </c>
      <c r="T30" s="504">
        <f t="shared" si="21"/>
        <v>0.1047465441586596</v>
      </c>
      <c r="U30" s="408">
        <v>0</v>
      </c>
      <c r="V30" s="504" t="str">
        <f t="shared" si="22"/>
        <v/>
      </c>
    </row>
    <row r="31" spans="1:22" x14ac:dyDescent="0.25">
      <c r="A31" s="587" t="s">
        <v>75</v>
      </c>
      <c r="B31" s="405">
        <v>41117382</v>
      </c>
      <c r="C31" s="408">
        <v>6204492</v>
      </c>
      <c r="D31" s="504">
        <f t="shared" si="16"/>
        <v>0.13111255906729308</v>
      </c>
      <c r="E31" s="405">
        <v>12000000</v>
      </c>
      <c r="F31" s="585">
        <v>42924432</v>
      </c>
      <c r="G31" s="408">
        <v>6215488</v>
      </c>
      <c r="H31" s="503">
        <v>0</v>
      </c>
      <c r="I31" s="503">
        <f>SUM(G31:H31)</f>
        <v>6215488</v>
      </c>
      <c r="J31" s="656">
        <f t="shared" si="17"/>
        <v>0.1264855132039287</v>
      </c>
      <c r="K31" s="504">
        <f t="shared" si="18"/>
        <v>1.7722643529881254E-3</v>
      </c>
      <c r="L31" s="408">
        <v>0</v>
      </c>
      <c r="M31" s="504">
        <f t="shared" si="19"/>
        <v>-1</v>
      </c>
      <c r="N31" s="596"/>
      <c r="O31" s="405">
        <v>43349448</v>
      </c>
      <c r="P31" s="408">
        <v>6210108</v>
      </c>
      <c r="Q31" s="503">
        <v>0</v>
      </c>
      <c r="R31" s="503">
        <f>SUM(P31:Q31)</f>
        <v>6210108</v>
      </c>
      <c r="S31" s="656">
        <f t="shared" si="20"/>
        <v>0.12530596521082635</v>
      </c>
      <c r="T31" s="504">
        <f t="shared" si="21"/>
        <v>9.0515065536388801E-4</v>
      </c>
      <c r="U31" s="408">
        <v>0</v>
      </c>
      <c r="V31" s="504">
        <f t="shared" si="22"/>
        <v>-1</v>
      </c>
    </row>
    <row r="32" spans="1:22" ht="15.75" customHeight="1" thickBot="1" x14ac:dyDescent="0.3">
      <c r="A32" s="587" t="s">
        <v>76</v>
      </c>
      <c r="B32" s="405">
        <v>227928317</v>
      </c>
      <c r="C32" s="408">
        <v>34502751</v>
      </c>
      <c r="D32" s="504">
        <f t="shared" si="16"/>
        <v>0.13147357613923974</v>
      </c>
      <c r="E32" s="405">
        <v>0</v>
      </c>
      <c r="F32" s="585">
        <v>226529384</v>
      </c>
      <c r="G32" s="408">
        <v>32923190</v>
      </c>
      <c r="H32" s="503">
        <v>0</v>
      </c>
      <c r="I32" s="503">
        <f>SUM(G32:H32)</f>
        <v>32923190</v>
      </c>
      <c r="J32" s="656">
        <f t="shared" si="17"/>
        <v>0.12689482895629317</v>
      </c>
      <c r="K32" s="504">
        <f t="shared" si="18"/>
        <v>-4.5780726296288661E-2</v>
      </c>
      <c r="L32" s="408">
        <v>0</v>
      </c>
      <c r="M32" s="504" t="str">
        <f t="shared" si="19"/>
        <v/>
      </c>
      <c r="N32" s="596"/>
      <c r="O32" s="405">
        <v>228771737</v>
      </c>
      <c r="P32" s="408">
        <v>31479022</v>
      </c>
      <c r="Q32" s="503">
        <v>0</v>
      </c>
      <c r="R32" s="503">
        <f>SUM(P32:Q32)</f>
        <v>31479022</v>
      </c>
      <c r="S32" s="656">
        <f t="shared" si="20"/>
        <v>0.12095650410764028</v>
      </c>
      <c r="T32" s="504">
        <f t="shared" si="21"/>
        <v>-8.7637330716034786E-2</v>
      </c>
      <c r="U32" s="408">
        <v>0</v>
      </c>
      <c r="V32" s="504" t="str">
        <f t="shared" si="22"/>
        <v/>
      </c>
    </row>
    <row r="33" spans="1:22" ht="15.75" customHeight="1" thickBot="1" x14ac:dyDescent="0.3">
      <c r="A33" s="662" t="s">
        <v>47</v>
      </c>
      <c r="B33" s="606">
        <f>SUM(B19,B26,B28:B32)</f>
        <v>1360154775</v>
      </c>
      <c r="C33" s="446">
        <f>SUM(C19,C26,C28:C32)</f>
        <v>161964845</v>
      </c>
      <c r="D33" s="533">
        <f t="shared" si="16"/>
        <v>0.1064074353105047</v>
      </c>
      <c r="E33" s="606">
        <f>SUM(E19,E26,E28:E32)</f>
        <v>35000000</v>
      </c>
      <c r="F33" s="607">
        <f>SUM(F19,F26,F28:F32)</f>
        <v>1373754915</v>
      </c>
      <c r="G33" s="446">
        <f>SUM(G19,G26,G28:G32)</f>
        <v>162977282</v>
      </c>
      <c r="H33" s="608">
        <f>SUM(H19,H26,H28:H32)</f>
        <v>0</v>
      </c>
      <c r="I33" s="608">
        <f>SUM(I19,I26,I28:I32)</f>
        <v>162977282</v>
      </c>
      <c r="J33" s="663">
        <f t="shared" si="17"/>
        <v>0.10605444612806535</v>
      </c>
      <c r="K33" s="533">
        <f t="shared" si="18"/>
        <v>6.2509676096686286E-3</v>
      </c>
      <c r="L33" s="446">
        <f>SUM(L19,L26,L28:L32)</f>
        <v>0</v>
      </c>
      <c r="M33" s="533">
        <f t="shared" si="19"/>
        <v>-1</v>
      </c>
      <c r="N33" s="664"/>
      <c r="O33" s="606">
        <f>SUM(O19,O26,O28:O32)</f>
        <v>1387355385</v>
      </c>
      <c r="P33" s="446">
        <f>SUM(P19,P26,P28:P32)</f>
        <v>164578451</v>
      </c>
      <c r="Q33" s="608">
        <f>SUM(Q19,Q26,Q28:Q32)</f>
        <v>0</v>
      </c>
      <c r="R33" s="608">
        <f>SUM(R19,R26,R28:R32)</f>
        <v>164578451</v>
      </c>
      <c r="S33" s="663">
        <f t="shared" si="20"/>
        <v>0.10604733731702722</v>
      </c>
      <c r="T33" s="533">
        <f t="shared" si="21"/>
        <v>1.6136872171241851E-2</v>
      </c>
      <c r="U33" s="446">
        <f>SUM(U19,U26,U28:U32)</f>
        <v>0</v>
      </c>
      <c r="V33" s="533">
        <f t="shared" si="22"/>
        <v>-1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5" sqref="B5 A5:AP9"/>
      <selection pane="topRight"/>
      <selection pane="bottomLeft"/>
      <selection pane="bottomRight" activeCell="B15" sqref="B15"/>
    </sheetView>
  </sheetViews>
  <sheetFormatPr defaultRowHeight="15" x14ac:dyDescent="0.25"/>
  <cols>
    <col min="1" max="1" width="6.140625" style="339" customWidth="1"/>
    <col min="2" max="2" width="15.5703125" style="339" customWidth="1"/>
    <col min="3" max="3" width="5.5703125" style="339" customWidth="1"/>
    <col min="4" max="4" width="16.5703125" style="339" customWidth="1"/>
    <col min="5" max="5" width="5.5703125" style="339" customWidth="1"/>
    <col min="6" max="6" width="15.5703125" style="339" customWidth="1"/>
    <col min="7" max="7" width="5.5703125" style="339" customWidth="1"/>
    <col min="8" max="8" width="16.5703125" style="339" customWidth="1"/>
    <col min="9" max="9" width="5.5703125" style="339" customWidth="1"/>
    <col min="10" max="10" width="15.5703125" style="339" customWidth="1"/>
    <col min="11" max="11" width="5.5703125" style="339" customWidth="1"/>
    <col min="12" max="12" width="16.5703125" style="339" customWidth="1"/>
    <col min="13" max="13" width="5.5703125" style="339" customWidth="1"/>
    <col min="14" max="14" width="15.5703125" style="339" customWidth="1"/>
    <col min="15" max="15" width="5.5703125" style="339" customWidth="1"/>
    <col min="16" max="16" width="16.5703125" style="339" customWidth="1"/>
    <col min="17" max="17" width="5.5703125" style="339" customWidth="1"/>
    <col min="18" max="18" width="15.5703125" style="339" customWidth="1"/>
    <col min="19" max="19" width="5.5703125" style="339" customWidth="1"/>
    <col min="20" max="20" width="16.5703125" style="339" customWidth="1"/>
    <col min="21" max="21" width="5.5703125" style="339" customWidth="1"/>
    <col min="22" max="22" width="14.5703125" style="339" customWidth="1"/>
    <col min="23" max="23" width="5.5703125" style="339" customWidth="1"/>
    <col min="24" max="24" width="15.5703125" style="339" customWidth="1"/>
    <col min="25" max="25" width="5.5703125" style="339" customWidth="1"/>
    <col min="26" max="26" width="15.5703125" style="339" customWidth="1"/>
    <col min="27" max="27" width="5.5703125" style="339" customWidth="1"/>
    <col min="28" max="28" width="16.5703125" style="339" customWidth="1"/>
    <col min="29" max="29" width="5.5703125" style="339" customWidth="1"/>
    <col min="30" max="30" width="11.42578125" style="339" customWidth="1"/>
    <col min="31" max="31" width="2.85546875" style="339" customWidth="1"/>
    <col min="32" max="32" width="12.42578125" style="339" customWidth="1"/>
    <col min="33" max="33" width="2.85546875" style="339" customWidth="1"/>
    <col min="34" max="37" width="9.140625" style="339" customWidth="1"/>
    <col min="38" max="38" width="9.140625" style="339" hidden="1" customWidth="1"/>
  </cols>
  <sheetData>
    <row r="1" spans="1:38" ht="15.75" customHeight="1" x14ac:dyDescent="0.25">
      <c r="A1" s="355" t="s">
        <v>247</v>
      </c>
      <c r="B1"/>
      <c r="AL1" s="339" t="s">
        <v>173</v>
      </c>
    </row>
    <row r="2" spans="1:38" ht="15.75" customHeight="1" x14ac:dyDescent="0.25">
      <c r="A2" s="356" t="s">
        <v>31</v>
      </c>
      <c r="AL2" s="339" t="s">
        <v>174</v>
      </c>
    </row>
    <row r="3" spans="1:38" ht="15.75" customHeight="1" x14ac:dyDescent="0.25">
      <c r="A3" s="356"/>
    </row>
    <row r="4" spans="1:38" x14ac:dyDescent="0.25">
      <c r="A4" s="353" t="s">
        <v>248</v>
      </c>
    </row>
    <row r="5" spans="1:38" ht="15.75" customHeight="1" thickBot="1" x14ac:dyDescent="0.3"/>
    <row r="6" spans="1:38" ht="15.75" customHeight="1" thickBot="1" x14ac:dyDescent="0.3">
      <c r="B6" s="259" t="s">
        <v>249</v>
      </c>
      <c r="C6" s="258"/>
      <c r="D6" s="629"/>
      <c r="E6" s="629"/>
    </row>
    <row r="7" spans="1:38" x14ac:dyDescent="0.25">
      <c r="B7" s="630" t="s">
        <v>175</v>
      </c>
      <c r="C7" s="500">
        <v>5.7500000000000002E-2</v>
      </c>
      <c r="D7" s="629"/>
      <c r="E7" s="346"/>
    </row>
    <row r="8" spans="1:38" ht="15.75" customHeight="1" thickBot="1" x14ac:dyDescent="0.3">
      <c r="B8" s="632" t="s">
        <v>177</v>
      </c>
      <c r="C8" s="633">
        <v>20</v>
      </c>
      <c r="D8"/>
      <c r="E8"/>
    </row>
    <row r="9" spans="1:38" ht="15.75" customHeight="1" thickBot="1" x14ac:dyDescent="0.3"/>
    <row r="10" spans="1:38" x14ac:dyDescent="0.25">
      <c r="A10" s="66" t="s">
        <v>250</v>
      </c>
      <c r="B10" s="59" t="s">
        <v>190</v>
      </c>
      <c r="C10" s="58"/>
      <c r="D10" s="58"/>
      <c r="E10" s="57"/>
      <c r="F10" s="59" t="s">
        <v>202</v>
      </c>
      <c r="G10" s="58"/>
      <c r="H10" s="58"/>
      <c r="I10" s="57"/>
      <c r="J10" s="59" t="s">
        <v>210</v>
      </c>
      <c r="K10" s="58"/>
      <c r="L10" s="58"/>
      <c r="M10" s="57"/>
      <c r="N10" s="59" t="s">
        <v>216</v>
      </c>
      <c r="O10" s="58"/>
      <c r="P10" s="58"/>
      <c r="Q10" s="57"/>
      <c r="R10" s="59" t="s">
        <v>220</v>
      </c>
      <c r="S10" s="58"/>
      <c r="T10" s="58"/>
      <c r="U10" s="57"/>
      <c r="V10" s="59" t="s">
        <v>224</v>
      </c>
      <c r="W10" s="58"/>
      <c r="X10" s="58"/>
      <c r="Y10" s="57"/>
      <c r="Z10" s="59" t="s">
        <v>232</v>
      </c>
      <c r="AA10" s="58"/>
      <c r="AB10" s="58"/>
      <c r="AC10" s="57"/>
      <c r="AD10" s="54" t="s">
        <v>251</v>
      </c>
      <c r="AE10" s="53"/>
      <c r="AF10" s="53"/>
      <c r="AG10" s="52"/>
    </row>
    <row r="11" spans="1:38" x14ac:dyDescent="0.25">
      <c r="A11" s="65"/>
      <c r="B11" s="69" t="s">
        <v>252</v>
      </c>
      <c r="C11" s="68"/>
      <c r="D11" s="56" t="s">
        <v>253</v>
      </c>
      <c r="E11" s="55"/>
      <c r="F11" s="69" t="s">
        <v>252</v>
      </c>
      <c r="G11" s="68"/>
      <c r="H11" s="56" t="s">
        <v>253</v>
      </c>
      <c r="I11" s="55"/>
      <c r="J11" s="69" t="s">
        <v>252</v>
      </c>
      <c r="K11" s="68"/>
      <c r="L11" s="56" t="s">
        <v>253</v>
      </c>
      <c r="M11" s="55"/>
      <c r="N11" s="69" t="s">
        <v>252</v>
      </c>
      <c r="O11" s="68"/>
      <c r="P11" s="56" t="s">
        <v>253</v>
      </c>
      <c r="Q11" s="55"/>
      <c r="R11" s="69" t="s">
        <v>252</v>
      </c>
      <c r="S11" s="68"/>
      <c r="T11" s="56" t="s">
        <v>253</v>
      </c>
      <c r="U11" s="55"/>
      <c r="V11" s="69" t="s">
        <v>252</v>
      </c>
      <c r="W11" s="68"/>
      <c r="X11" s="56" t="s">
        <v>253</v>
      </c>
      <c r="Y11" s="55"/>
      <c r="Z11" s="69" t="s">
        <v>252</v>
      </c>
      <c r="AA11" s="68"/>
      <c r="AB11" s="56" t="s">
        <v>253</v>
      </c>
      <c r="AC11" s="55"/>
      <c r="AD11" s="665"/>
      <c r="AE11" s="666"/>
      <c r="AF11" s="666"/>
      <c r="AG11" s="667"/>
    </row>
    <row r="12" spans="1:38" ht="15.75" customHeight="1" thickBot="1" x14ac:dyDescent="0.3">
      <c r="A12" s="65"/>
      <c r="B12" s="67">
        <v>0</v>
      </c>
      <c r="C12" s="70"/>
      <c r="D12" s="70">
        <v>0</v>
      </c>
      <c r="E12" s="70"/>
      <c r="F12" s="67">
        <v>0</v>
      </c>
      <c r="G12" s="70"/>
      <c r="H12" s="70">
        <v>0</v>
      </c>
      <c r="I12" s="70"/>
      <c r="J12" s="67">
        <v>0</v>
      </c>
      <c r="K12" s="70"/>
      <c r="L12" s="70">
        <v>0</v>
      </c>
      <c r="M12" s="70"/>
      <c r="N12" s="67">
        <v>0</v>
      </c>
      <c r="O12" s="70"/>
      <c r="P12" s="70">
        <v>0</v>
      </c>
      <c r="Q12" s="70"/>
      <c r="R12" s="67">
        <v>0</v>
      </c>
      <c r="S12" s="70"/>
      <c r="T12" s="70">
        <v>0</v>
      </c>
      <c r="U12" s="70"/>
      <c r="V12" s="67">
        <v>0</v>
      </c>
      <c r="W12" s="70"/>
      <c r="X12" s="70">
        <v>0</v>
      </c>
      <c r="Y12" s="70"/>
      <c r="Z12" s="67">
        <v>0</v>
      </c>
      <c r="AA12" s="70"/>
      <c r="AB12" s="70">
        <v>0</v>
      </c>
      <c r="AC12" s="70"/>
      <c r="AD12" s="51">
        <f>SUM(B12,F12,J12,N12,R12,V12,Z12)</f>
        <v>0</v>
      </c>
      <c r="AE12" s="50"/>
      <c r="AF12" s="50"/>
      <c r="AG12" s="49"/>
    </row>
    <row r="13" spans="1:38" x14ac:dyDescent="0.25">
      <c r="A13" s="65"/>
      <c r="B13" s="63" t="s">
        <v>52</v>
      </c>
      <c r="C13" s="62"/>
      <c r="D13" s="61" t="s">
        <v>254</v>
      </c>
      <c r="E13" s="60"/>
      <c r="F13" s="63" t="s">
        <v>52</v>
      </c>
      <c r="G13" s="62"/>
      <c r="H13" s="61" t="s">
        <v>254</v>
      </c>
      <c r="I13" s="60"/>
      <c r="J13" s="63" t="s">
        <v>52</v>
      </c>
      <c r="K13" s="62"/>
      <c r="L13" s="61" t="s">
        <v>254</v>
      </c>
      <c r="M13" s="60"/>
      <c r="N13" s="63" t="s">
        <v>52</v>
      </c>
      <c r="O13" s="62"/>
      <c r="P13" s="61" t="s">
        <v>254</v>
      </c>
      <c r="Q13" s="60"/>
      <c r="R13" s="63" t="s">
        <v>52</v>
      </c>
      <c r="S13" s="62"/>
      <c r="T13" s="61" t="s">
        <v>254</v>
      </c>
      <c r="U13" s="60"/>
      <c r="V13" s="63" t="s">
        <v>52</v>
      </c>
      <c r="W13" s="62"/>
      <c r="X13" s="61" t="s">
        <v>254</v>
      </c>
      <c r="Y13" s="60"/>
      <c r="Z13" s="63" t="s">
        <v>52</v>
      </c>
      <c r="AA13" s="62"/>
      <c r="AB13" s="61" t="s">
        <v>254</v>
      </c>
      <c r="AC13" s="60"/>
      <c r="AD13" s="63" t="s">
        <v>52</v>
      </c>
      <c r="AE13" s="62"/>
      <c r="AF13" s="48" t="s">
        <v>254</v>
      </c>
      <c r="AG13" s="47"/>
    </row>
    <row r="14" spans="1:38" ht="15.75" customHeight="1" thickBot="1" x14ac:dyDescent="0.3">
      <c r="A14" s="64"/>
      <c r="B14" s="668" t="s">
        <v>245</v>
      </c>
      <c r="C14" s="669" t="s">
        <v>246</v>
      </c>
      <c r="D14" s="670" t="s">
        <v>245</v>
      </c>
      <c r="E14" s="671" t="s">
        <v>246</v>
      </c>
      <c r="F14" s="668" t="s">
        <v>245</v>
      </c>
      <c r="G14" s="669" t="s">
        <v>246</v>
      </c>
      <c r="H14" s="670" t="s">
        <v>245</v>
      </c>
      <c r="I14" s="671" t="s">
        <v>246</v>
      </c>
      <c r="J14" s="668" t="s">
        <v>245</v>
      </c>
      <c r="K14" s="669" t="s">
        <v>246</v>
      </c>
      <c r="L14" s="670" t="s">
        <v>245</v>
      </c>
      <c r="M14" s="671" t="s">
        <v>246</v>
      </c>
      <c r="N14" s="668" t="s">
        <v>245</v>
      </c>
      <c r="O14" s="669" t="s">
        <v>246</v>
      </c>
      <c r="P14" s="670" t="s">
        <v>245</v>
      </c>
      <c r="Q14" s="671" t="s">
        <v>246</v>
      </c>
      <c r="R14" s="668" t="s">
        <v>245</v>
      </c>
      <c r="S14" s="669" t="s">
        <v>246</v>
      </c>
      <c r="T14" s="670" t="s">
        <v>245</v>
      </c>
      <c r="U14" s="671" t="s">
        <v>246</v>
      </c>
      <c r="V14" s="668" t="s">
        <v>245</v>
      </c>
      <c r="W14" s="669" t="s">
        <v>246</v>
      </c>
      <c r="X14" s="670" t="s">
        <v>245</v>
      </c>
      <c r="Y14" s="671" t="s">
        <v>246</v>
      </c>
      <c r="Z14" s="668" t="s">
        <v>245</v>
      </c>
      <c r="AA14" s="669" t="s">
        <v>246</v>
      </c>
      <c r="AB14" s="670" t="s">
        <v>245</v>
      </c>
      <c r="AC14" s="671" t="s">
        <v>246</v>
      </c>
      <c r="AD14" s="668" t="s">
        <v>245</v>
      </c>
      <c r="AE14" s="669" t="s">
        <v>246</v>
      </c>
      <c r="AF14" s="670" t="s">
        <v>245</v>
      </c>
      <c r="AG14" s="671" t="s">
        <v>246</v>
      </c>
    </row>
    <row r="15" spans="1:38" x14ac:dyDescent="0.25">
      <c r="A15" s="672">
        <v>2019</v>
      </c>
      <c r="B15" s="673">
        <v>50100095</v>
      </c>
      <c r="C15" s="674">
        <v>0</v>
      </c>
      <c r="D15" s="348">
        <v>343280000</v>
      </c>
      <c r="E15" s="675">
        <v>0</v>
      </c>
      <c r="F15" s="673">
        <v>32278694</v>
      </c>
      <c r="G15" s="674">
        <v>0</v>
      </c>
      <c r="H15" s="348">
        <v>233618121</v>
      </c>
      <c r="I15" s="675">
        <v>0</v>
      </c>
      <c r="J15" s="673">
        <v>16009763</v>
      </c>
      <c r="K15" s="674">
        <v>0</v>
      </c>
      <c r="L15" s="348">
        <v>218175000</v>
      </c>
      <c r="M15" s="675">
        <v>0</v>
      </c>
      <c r="N15" s="673">
        <v>11950580</v>
      </c>
      <c r="O15" s="674">
        <v>0</v>
      </c>
      <c r="P15" s="348">
        <v>110199647</v>
      </c>
      <c r="Q15" s="675">
        <v>0</v>
      </c>
      <c r="R15" s="673">
        <v>10918470</v>
      </c>
      <c r="S15" s="674">
        <v>0</v>
      </c>
      <c r="T15" s="348">
        <v>106925000</v>
      </c>
      <c r="U15" s="675">
        <v>0</v>
      </c>
      <c r="V15" s="673">
        <v>6204492</v>
      </c>
      <c r="W15" s="674">
        <v>0</v>
      </c>
      <c r="X15" s="348">
        <v>42188069</v>
      </c>
      <c r="Y15" s="675">
        <v>0</v>
      </c>
      <c r="Z15" s="673">
        <v>34502751</v>
      </c>
      <c r="AA15" s="674">
        <v>0</v>
      </c>
      <c r="AB15" s="348">
        <v>256405000</v>
      </c>
      <c r="AC15" s="675">
        <v>0</v>
      </c>
      <c r="AD15" s="676">
        <f t="shared" ref="AD15:AD36" si="0">SUM(B15,F15,J15,N15,R15,V15,Z15)</f>
        <v>161964845</v>
      </c>
      <c r="AE15" s="677">
        <f t="shared" ref="AE15:AE36" si="1">SUM(C15,G15,K15,O15,S15,W15,AA15)</f>
        <v>0</v>
      </c>
      <c r="AF15" s="678">
        <f t="shared" ref="AF15:AF36" si="2">SUM(D15,H15,L15,P15,T15,X15,AB15)</f>
        <v>1310790837</v>
      </c>
      <c r="AG15" s="679">
        <f t="shared" ref="AG15:AG36" si="3">SUM(E15,I15,M15,Q15,U15,Y15,AC15)</f>
        <v>0</v>
      </c>
    </row>
    <row r="16" spans="1:38" s="339" customFormat="1" x14ac:dyDescent="0.25">
      <c r="A16" s="672">
        <v>2020</v>
      </c>
      <c r="B16" s="673">
        <v>48180999</v>
      </c>
      <c r="C16" s="674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348">
        <v>309455000</v>
      </c>
      <c r="E16" s="675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673">
        <v>29598835</v>
      </c>
      <c r="G16" s="674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348">
        <v>216555000</v>
      </c>
      <c r="I16" s="675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673">
        <v>22959363</v>
      </c>
      <c r="K16" s="674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348">
        <v>205584000</v>
      </c>
      <c r="M16" s="675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673">
        <v>11574682</v>
      </c>
      <c r="O16" s="674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348">
        <v>103404706</v>
      </c>
      <c r="Q16" s="675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673">
        <v>11524725</v>
      </c>
      <c r="S16" s="674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348">
        <v>98625427</v>
      </c>
      <c r="U16" s="675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673">
        <v>6215488</v>
      </c>
      <c r="W16" s="674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348">
        <v>37435304</v>
      </c>
      <c r="Y16" s="675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673">
        <v>32923190</v>
      </c>
      <c r="AA16" s="674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348">
        <v>234590000</v>
      </c>
      <c r="AC16" s="675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676">
        <f t="shared" si="0"/>
        <v>162977282</v>
      </c>
      <c r="AE16" s="677">
        <f t="shared" si="1"/>
        <v>0</v>
      </c>
      <c r="AF16" s="678">
        <f t="shared" si="2"/>
        <v>1205649437</v>
      </c>
      <c r="AG16" s="679">
        <f t="shared" si="3"/>
        <v>0</v>
      </c>
    </row>
    <row r="17" spans="1:33" x14ac:dyDescent="0.25">
      <c r="A17" s="672">
        <v>2021</v>
      </c>
      <c r="B17" s="673">
        <v>48572841</v>
      </c>
      <c r="C17" s="674">
        <f t="shared" si="4"/>
        <v>0</v>
      </c>
      <c r="D17" s="348">
        <v>273875000</v>
      </c>
      <c r="E17" s="675">
        <f t="shared" si="5"/>
        <v>0</v>
      </c>
      <c r="F17" s="673">
        <v>29347526</v>
      </c>
      <c r="G17" s="674">
        <f t="shared" si="6"/>
        <v>0</v>
      </c>
      <c r="H17" s="348">
        <v>197620000</v>
      </c>
      <c r="I17" s="675">
        <f t="shared" si="7"/>
        <v>0</v>
      </c>
      <c r="J17" s="673">
        <v>22972425</v>
      </c>
      <c r="K17" s="674">
        <f t="shared" si="8"/>
        <v>0</v>
      </c>
      <c r="L17" s="348">
        <v>192365000</v>
      </c>
      <c r="M17" s="675">
        <f t="shared" si="9"/>
        <v>0</v>
      </c>
      <c r="N17" s="673">
        <v>13934387</v>
      </c>
      <c r="O17" s="674">
        <f t="shared" si="10"/>
        <v>0</v>
      </c>
      <c r="P17" s="348">
        <v>93899340</v>
      </c>
      <c r="Q17" s="675">
        <f t="shared" si="11"/>
        <v>0</v>
      </c>
      <c r="R17" s="673">
        <v>12062142</v>
      </c>
      <c r="S17" s="674">
        <f t="shared" si="12"/>
        <v>0</v>
      </c>
      <c r="T17" s="348">
        <v>90459867</v>
      </c>
      <c r="U17" s="675">
        <f t="shared" si="13"/>
        <v>0</v>
      </c>
      <c r="V17" s="673">
        <v>6210108</v>
      </c>
      <c r="W17" s="674">
        <f t="shared" si="14"/>
        <v>0</v>
      </c>
      <c r="X17" s="348">
        <v>32500556</v>
      </c>
      <c r="Y17" s="675">
        <f t="shared" si="15"/>
        <v>0</v>
      </c>
      <c r="Z17" s="673">
        <v>31479022</v>
      </c>
      <c r="AA17" s="674">
        <f t="shared" si="16"/>
        <v>0</v>
      </c>
      <c r="AB17" s="348">
        <v>213270000</v>
      </c>
      <c r="AC17" s="675">
        <f t="shared" si="17"/>
        <v>0</v>
      </c>
      <c r="AD17" s="676">
        <f t="shared" si="0"/>
        <v>164578451</v>
      </c>
      <c r="AE17" s="677">
        <f t="shared" si="1"/>
        <v>0</v>
      </c>
      <c r="AF17" s="678">
        <f t="shared" si="2"/>
        <v>1093989763</v>
      </c>
      <c r="AG17" s="679">
        <f t="shared" si="3"/>
        <v>0</v>
      </c>
    </row>
    <row r="18" spans="1:33" x14ac:dyDescent="0.25">
      <c r="A18" s="672">
        <v>2022</v>
      </c>
      <c r="B18" s="673">
        <v>38246807</v>
      </c>
      <c r="C18" s="674">
        <f t="shared" si="4"/>
        <v>0</v>
      </c>
      <c r="D18" s="348">
        <v>247329999</v>
      </c>
      <c r="E18" s="675">
        <f t="shared" si="5"/>
        <v>0</v>
      </c>
      <c r="F18" s="673">
        <v>29373688</v>
      </c>
      <c r="G18" s="674">
        <f t="shared" si="6"/>
        <v>0</v>
      </c>
      <c r="H18" s="348">
        <v>177705000</v>
      </c>
      <c r="I18" s="675">
        <f t="shared" si="7"/>
        <v>0</v>
      </c>
      <c r="J18" s="673">
        <v>21450225</v>
      </c>
      <c r="K18" s="674">
        <f t="shared" si="8"/>
        <v>0</v>
      </c>
      <c r="L18" s="348">
        <v>180028000</v>
      </c>
      <c r="M18" s="675">
        <f t="shared" si="9"/>
        <v>0</v>
      </c>
      <c r="N18" s="673">
        <v>9927255</v>
      </c>
      <c r="O18" s="674">
        <f t="shared" si="10"/>
        <v>0</v>
      </c>
      <c r="P18" s="348">
        <v>88068548</v>
      </c>
      <c r="Q18" s="675">
        <f t="shared" si="11"/>
        <v>0</v>
      </c>
      <c r="R18" s="673">
        <v>12052200</v>
      </c>
      <c r="S18" s="674">
        <f t="shared" si="12"/>
        <v>0</v>
      </c>
      <c r="T18" s="348">
        <v>81517539</v>
      </c>
      <c r="U18" s="675">
        <f t="shared" si="13"/>
        <v>0</v>
      </c>
      <c r="V18" s="673">
        <v>6204550</v>
      </c>
      <c r="W18" s="674">
        <f t="shared" si="14"/>
        <v>0</v>
      </c>
      <c r="X18" s="348">
        <v>27368147</v>
      </c>
      <c r="Y18" s="675">
        <f t="shared" si="15"/>
        <v>0</v>
      </c>
      <c r="Z18" s="673">
        <v>27890236</v>
      </c>
      <c r="AA18" s="674">
        <f t="shared" si="16"/>
        <v>0</v>
      </c>
      <c r="AB18" s="348">
        <v>194650000</v>
      </c>
      <c r="AC18" s="675">
        <f t="shared" si="17"/>
        <v>0</v>
      </c>
      <c r="AD18" s="676">
        <f t="shared" si="0"/>
        <v>145144961</v>
      </c>
      <c r="AE18" s="677">
        <f t="shared" si="1"/>
        <v>0</v>
      </c>
      <c r="AF18" s="678">
        <f t="shared" si="2"/>
        <v>996667233</v>
      </c>
      <c r="AG18" s="679">
        <f t="shared" si="3"/>
        <v>0</v>
      </c>
    </row>
    <row r="19" spans="1:33" x14ac:dyDescent="0.25">
      <c r="A19" s="672">
        <v>2023</v>
      </c>
      <c r="B19" s="673">
        <v>38131970</v>
      </c>
      <c r="C19" s="674">
        <f t="shared" si="4"/>
        <v>0</v>
      </c>
      <c r="D19" s="348">
        <v>219690000</v>
      </c>
      <c r="E19" s="675">
        <f t="shared" si="5"/>
        <v>0</v>
      </c>
      <c r="F19" s="673">
        <v>26215463</v>
      </c>
      <c r="G19" s="674">
        <f t="shared" si="6"/>
        <v>0</v>
      </c>
      <c r="H19" s="348">
        <v>159945000</v>
      </c>
      <c r="I19" s="675">
        <f t="shared" si="7"/>
        <v>0</v>
      </c>
      <c r="J19" s="673">
        <v>21449475</v>
      </c>
      <c r="K19" s="674">
        <f t="shared" si="8"/>
        <v>0</v>
      </c>
      <c r="L19" s="348">
        <v>167095000</v>
      </c>
      <c r="M19" s="675">
        <f t="shared" si="9"/>
        <v>0</v>
      </c>
      <c r="N19" s="673">
        <v>9933938</v>
      </c>
      <c r="O19" s="674">
        <f t="shared" si="10"/>
        <v>0</v>
      </c>
      <c r="P19" s="348">
        <v>81947331</v>
      </c>
      <c r="Q19" s="675">
        <f t="shared" si="11"/>
        <v>0</v>
      </c>
      <c r="R19" s="673">
        <v>9993247</v>
      </c>
      <c r="S19" s="674">
        <f t="shared" si="12"/>
        <v>0</v>
      </c>
      <c r="T19" s="348">
        <v>72352345</v>
      </c>
      <c r="U19" s="675">
        <f t="shared" si="13"/>
        <v>0</v>
      </c>
      <c r="V19" s="673">
        <v>5507270</v>
      </c>
      <c r="W19" s="674">
        <f t="shared" si="14"/>
        <v>0</v>
      </c>
      <c r="X19" s="348">
        <v>22720781</v>
      </c>
      <c r="Y19" s="675">
        <f t="shared" si="15"/>
        <v>0</v>
      </c>
      <c r="Z19" s="673">
        <v>27434913</v>
      </c>
      <c r="AA19" s="674">
        <f t="shared" si="16"/>
        <v>0</v>
      </c>
      <c r="AB19" s="348">
        <v>175620000</v>
      </c>
      <c r="AC19" s="675">
        <f t="shared" si="17"/>
        <v>0</v>
      </c>
      <c r="AD19" s="676">
        <f t="shared" si="0"/>
        <v>138666276</v>
      </c>
      <c r="AE19" s="677">
        <f t="shared" si="1"/>
        <v>0</v>
      </c>
      <c r="AF19" s="678">
        <f t="shared" si="2"/>
        <v>899370457</v>
      </c>
      <c r="AG19" s="679">
        <f t="shared" si="3"/>
        <v>0</v>
      </c>
    </row>
    <row r="20" spans="1:33" x14ac:dyDescent="0.25">
      <c r="A20" s="672">
        <v>2024</v>
      </c>
      <c r="B20" s="673">
        <v>32463608</v>
      </c>
      <c r="C20" s="674">
        <f t="shared" si="4"/>
        <v>0</v>
      </c>
      <c r="D20" s="348">
        <v>196565000</v>
      </c>
      <c r="E20" s="675">
        <f t="shared" si="5"/>
        <v>0</v>
      </c>
      <c r="F20" s="673">
        <v>25277463</v>
      </c>
      <c r="G20" s="674">
        <f t="shared" si="6"/>
        <v>0</v>
      </c>
      <c r="H20" s="348">
        <v>142235000</v>
      </c>
      <c r="I20" s="675">
        <f t="shared" si="7"/>
        <v>0</v>
      </c>
      <c r="J20" s="673">
        <v>21437925</v>
      </c>
      <c r="K20" s="674">
        <f t="shared" si="8"/>
        <v>0</v>
      </c>
      <c r="L20" s="348">
        <v>153548000</v>
      </c>
      <c r="M20" s="675">
        <f t="shared" si="9"/>
        <v>0</v>
      </c>
      <c r="N20" s="673">
        <v>9942458</v>
      </c>
      <c r="O20" s="674">
        <f t="shared" si="10"/>
        <v>0</v>
      </c>
      <c r="P20" s="348">
        <v>75515689</v>
      </c>
      <c r="Q20" s="675">
        <f t="shared" si="11"/>
        <v>0</v>
      </c>
      <c r="R20" s="673">
        <v>9992789</v>
      </c>
      <c r="S20" s="674">
        <f t="shared" si="12"/>
        <v>0</v>
      </c>
      <c r="T20" s="348">
        <v>65025891</v>
      </c>
      <c r="U20" s="675">
        <f t="shared" si="13"/>
        <v>0</v>
      </c>
      <c r="V20" s="673">
        <v>5493469</v>
      </c>
      <c r="W20" s="674">
        <f t="shared" si="14"/>
        <v>0</v>
      </c>
      <c r="X20" s="348">
        <v>17902742</v>
      </c>
      <c r="Y20" s="675">
        <f t="shared" si="15"/>
        <v>0</v>
      </c>
      <c r="Z20" s="673">
        <v>27428775</v>
      </c>
      <c r="AA20" s="674">
        <f t="shared" si="16"/>
        <v>0</v>
      </c>
      <c r="AB20" s="348">
        <v>155735000</v>
      </c>
      <c r="AC20" s="675">
        <f t="shared" si="17"/>
        <v>0</v>
      </c>
      <c r="AD20" s="676">
        <f t="shared" si="0"/>
        <v>132036487</v>
      </c>
      <c r="AE20" s="677">
        <f t="shared" si="1"/>
        <v>0</v>
      </c>
      <c r="AF20" s="678">
        <f t="shared" si="2"/>
        <v>806527322</v>
      </c>
      <c r="AG20" s="679">
        <f t="shared" si="3"/>
        <v>0</v>
      </c>
    </row>
    <row r="21" spans="1:33" x14ac:dyDescent="0.25">
      <c r="A21" s="672">
        <v>2025</v>
      </c>
      <c r="B21" s="673">
        <v>32438933</v>
      </c>
      <c r="C21" s="674">
        <f t="shared" si="4"/>
        <v>0</v>
      </c>
      <c r="D21" s="348">
        <v>172345000</v>
      </c>
      <c r="E21" s="675">
        <f t="shared" si="5"/>
        <v>0</v>
      </c>
      <c r="F21" s="673">
        <v>25276963</v>
      </c>
      <c r="G21" s="674">
        <f t="shared" si="6"/>
        <v>0</v>
      </c>
      <c r="H21" s="348">
        <v>123640000</v>
      </c>
      <c r="I21" s="675">
        <f t="shared" si="7"/>
        <v>0</v>
      </c>
      <c r="J21" s="673">
        <v>19761900</v>
      </c>
      <c r="K21" s="674">
        <f t="shared" si="8"/>
        <v>0</v>
      </c>
      <c r="L21" s="348">
        <v>141041000</v>
      </c>
      <c r="M21" s="675">
        <f t="shared" si="9"/>
        <v>0</v>
      </c>
      <c r="N21" s="673">
        <v>9944007</v>
      </c>
      <c r="O21" s="674">
        <f t="shared" si="10"/>
        <v>0</v>
      </c>
      <c r="P21" s="348">
        <v>68764765</v>
      </c>
      <c r="Q21" s="675">
        <f t="shared" si="11"/>
        <v>0</v>
      </c>
      <c r="R21" s="673">
        <v>7383973</v>
      </c>
      <c r="S21" s="674">
        <f t="shared" si="12"/>
        <v>0</v>
      </c>
      <c r="T21" s="348">
        <v>57489615</v>
      </c>
      <c r="U21" s="675">
        <f t="shared" si="13"/>
        <v>0</v>
      </c>
      <c r="V21" s="673">
        <v>3608741</v>
      </c>
      <c r="W21" s="674">
        <f t="shared" si="14"/>
        <v>0</v>
      </c>
      <c r="X21" s="348">
        <v>14797700</v>
      </c>
      <c r="Y21" s="675">
        <f t="shared" si="15"/>
        <v>0</v>
      </c>
      <c r="Z21" s="673">
        <v>27260288</v>
      </c>
      <c r="AA21" s="674">
        <f t="shared" si="16"/>
        <v>0</v>
      </c>
      <c r="AB21" s="348">
        <v>135140000</v>
      </c>
      <c r="AC21" s="675">
        <f t="shared" si="17"/>
        <v>0</v>
      </c>
      <c r="AD21" s="676">
        <f t="shared" si="0"/>
        <v>125674805</v>
      </c>
      <c r="AE21" s="677">
        <f t="shared" si="1"/>
        <v>0</v>
      </c>
      <c r="AF21" s="678">
        <f t="shared" si="2"/>
        <v>713218080</v>
      </c>
      <c r="AG21" s="679">
        <f t="shared" si="3"/>
        <v>0</v>
      </c>
    </row>
    <row r="22" spans="1:33" x14ac:dyDescent="0.25">
      <c r="A22" s="672">
        <v>2026</v>
      </c>
      <c r="B22" s="673">
        <v>30385247</v>
      </c>
      <c r="C22" s="674">
        <f t="shared" si="4"/>
        <v>0</v>
      </c>
      <c r="D22" s="348">
        <v>149045000</v>
      </c>
      <c r="E22" s="675">
        <f t="shared" si="5"/>
        <v>0</v>
      </c>
      <c r="F22" s="673">
        <v>24777213</v>
      </c>
      <c r="G22" s="674">
        <f t="shared" si="6"/>
        <v>0</v>
      </c>
      <c r="H22" s="348">
        <v>104615000</v>
      </c>
      <c r="I22" s="675">
        <f t="shared" si="7"/>
        <v>0</v>
      </c>
      <c r="J22" s="673">
        <v>19756150</v>
      </c>
      <c r="K22" s="674">
        <f t="shared" si="8"/>
        <v>0</v>
      </c>
      <c r="L22" s="348">
        <v>127925000</v>
      </c>
      <c r="M22" s="675">
        <f t="shared" si="9"/>
        <v>0</v>
      </c>
      <c r="N22" s="673">
        <v>9383520</v>
      </c>
      <c r="O22" s="674">
        <f t="shared" si="10"/>
        <v>0</v>
      </c>
      <c r="P22" s="348">
        <v>62281129</v>
      </c>
      <c r="Q22" s="675">
        <f t="shared" si="11"/>
        <v>0</v>
      </c>
      <c r="R22" s="673">
        <v>7387160</v>
      </c>
      <c r="S22" s="674">
        <f t="shared" si="12"/>
        <v>0</v>
      </c>
      <c r="T22" s="348">
        <v>52369774</v>
      </c>
      <c r="U22" s="675">
        <f t="shared" si="13"/>
        <v>0</v>
      </c>
      <c r="V22" s="673">
        <v>3605072</v>
      </c>
      <c r="W22" s="674">
        <f t="shared" si="14"/>
        <v>0</v>
      </c>
      <c r="X22" s="348">
        <v>11598302</v>
      </c>
      <c r="Y22" s="675">
        <f t="shared" si="15"/>
        <v>0</v>
      </c>
      <c r="Z22" s="673">
        <v>27537477</v>
      </c>
      <c r="AA22" s="674">
        <f t="shared" si="16"/>
        <v>0</v>
      </c>
      <c r="AB22" s="348">
        <v>113330000</v>
      </c>
      <c r="AC22" s="675">
        <f t="shared" si="17"/>
        <v>0</v>
      </c>
      <c r="AD22" s="676">
        <f t="shared" si="0"/>
        <v>122831839</v>
      </c>
      <c r="AE22" s="677">
        <f t="shared" si="1"/>
        <v>0</v>
      </c>
      <c r="AF22" s="678">
        <f t="shared" si="2"/>
        <v>621164205</v>
      </c>
      <c r="AG22" s="679">
        <f t="shared" si="3"/>
        <v>0</v>
      </c>
    </row>
    <row r="23" spans="1:33" x14ac:dyDescent="0.25">
      <c r="A23" s="672">
        <v>2027</v>
      </c>
      <c r="B23" s="673">
        <v>30384732</v>
      </c>
      <c r="C23" s="674">
        <f t="shared" si="4"/>
        <v>0</v>
      </c>
      <c r="D23" s="348">
        <v>124585000</v>
      </c>
      <c r="E23" s="675">
        <f t="shared" si="5"/>
        <v>0</v>
      </c>
      <c r="F23" s="673">
        <v>21295963</v>
      </c>
      <c r="G23" s="674">
        <f t="shared" si="6"/>
        <v>0</v>
      </c>
      <c r="H23" s="348">
        <v>88120000</v>
      </c>
      <c r="I23" s="675">
        <f t="shared" si="7"/>
        <v>0</v>
      </c>
      <c r="J23" s="673">
        <v>18240025</v>
      </c>
      <c r="K23" s="674">
        <f t="shared" si="8"/>
        <v>0</v>
      </c>
      <c r="L23" s="348">
        <v>115711000</v>
      </c>
      <c r="M23" s="675">
        <f t="shared" si="9"/>
        <v>0</v>
      </c>
      <c r="N23" s="673">
        <v>9479247</v>
      </c>
      <c r="O23" s="674">
        <f t="shared" si="10"/>
        <v>0</v>
      </c>
      <c r="P23" s="348">
        <v>55450924</v>
      </c>
      <c r="Q23" s="675">
        <f t="shared" si="11"/>
        <v>0</v>
      </c>
      <c r="R23" s="673">
        <v>7384559</v>
      </c>
      <c r="S23" s="674">
        <f t="shared" si="12"/>
        <v>0</v>
      </c>
      <c r="T23" s="348">
        <v>47072442</v>
      </c>
      <c r="U23" s="675">
        <f t="shared" si="13"/>
        <v>0</v>
      </c>
      <c r="V23" s="673">
        <v>3100022</v>
      </c>
      <c r="W23" s="674">
        <f t="shared" si="14"/>
        <v>0</v>
      </c>
      <c r="X23" s="348">
        <v>8802777</v>
      </c>
      <c r="Y23" s="675">
        <f t="shared" si="15"/>
        <v>0</v>
      </c>
      <c r="Z23" s="673">
        <v>27779877</v>
      </c>
      <c r="AA23" s="674">
        <f t="shared" si="16"/>
        <v>0</v>
      </c>
      <c r="AB23" s="348">
        <v>90285000</v>
      </c>
      <c r="AC23" s="675">
        <f t="shared" si="17"/>
        <v>0</v>
      </c>
      <c r="AD23" s="676">
        <f t="shared" si="0"/>
        <v>117664425</v>
      </c>
      <c r="AE23" s="677">
        <f t="shared" si="1"/>
        <v>0</v>
      </c>
      <c r="AF23" s="678">
        <f t="shared" si="2"/>
        <v>530027143</v>
      </c>
      <c r="AG23" s="679">
        <f t="shared" si="3"/>
        <v>0</v>
      </c>
    </row>
    <row r="24" spans="1:33" x14ac:dyDescent="0.25">
      <c r="A24" s="672">
        <v>2028</v>
      </c>
      <c r="B24" s="673">
        <v>20684182</v>
      </c>
      <c r="C24" s="674">
        <f t="shared" si="4"/>
        <v>0</v>
      </c>
      <c r="D24" s="348">
        <v>108900000</v>
      </c>
      <c r="E24" s="675">
        <f t="shared" si="5"/>
        <v>0</v>
      </c>
      <c r="F24" s="673">
        <v>16349913</v>
      </c>
      <c r="G24" s="674">
        <f t="shared" si="6"/>
        <v>0</v>
      </c>
      <c r="H24" s="348">
        <v>75975000</v>
      </c>
      <c r="I24" s="675">
        <f t="shared" si="7"/>
        <v>0</v>
      </c>
      <c r="J24" s="673">
        <v>18215969</v>
      </c>
      <c r="K24" s="674">
        <f t="shared" si="8"/>
        <v>0</v>
      </c>
      <c r="L24" s="348">
        <v>102911000</v>
      </c>
      <c r="M24" s="675">
        <f t="shared" si="9"/>
        <v>0</v>
      </c>
      <c r="N24" s="673">
        <v>7678826</v>
      </c>
      <c r="O24" s="674">
        <f t="shared" si="10"/>
        <v>0</v>
      </c>
      <c r="P24" s="348">
        <v>50170294</v>
      </c>
      <c r="Q24" s="675">
        <f t="shared" si="11"/>
        <v>0</v>
      </c>
      <c r="R24" s="673">
        <v>7382555</v>
      </c>
      <c r="S24" s="674">
        <f t="shared" si="12"/>
        <v>0</v>
      </c>
      <c r="T24" s="348">
        <v>41593493</v>
      </c>
      <c r="U24" s="675">
        <f t="shared" si="13"/>
        <v>0</v>
      </c>
      <c r="V24" s="673">
        <v>2402535</v>
      </c>
      <c r="W24" s="674">
        <f t="shared" si="14"/>
        <v>0</v>
      </c>
      <c r="X24" s="348">
        <v>6625335</v>
      </c>
      <c r="Y24" s="675">
        <f t="shared" si="15"/>
        <v>0</v>
      </c>
      <c r="Z24" s="673">
        <v>19674763</v>
      </c>
      <c r="AA24" s="674">
        <f t="shared" si="16"/>
        <v>0</v>
      </c>
      <c r="AB24" s="348">
        <v>74470000</v>
      </c>
      <c r="AC24" s="675">
        <f t="shared" si="17"/>
        <v>0</v>
      </c>
      <c r="AD24" s="676">
        <f t="shared" si="0"/>
        <v>92388743</v>
      </c>
      <c r="AE24" s="677">
        <f t="shared" si="1"/>
        <v>0</v>
      </c>
      <c r="AF24" s="678">
        <f t="shared" si="2"/>
        <v>460645122</v>
      </c>
      <c r="AG24" s="679">
        <f t="shared" si="3"/>
        <v>0</v>
      </c>
    </row>
    <row r="25" spans="1:33" x14ac:dyDescent="0.25">
      <c r="A25" s="672">
        <v>2029</v>
      </c>
      <c r="B25" s="673">
        <v>19416822</v>
      </c>
      <c r="C25" s="674">
        <f t="shared" si="4"/>
        <v>0</v>
      </c>
      <c r="D25" s="348">
        <v>93855000</v>
      </c>
      <c r="E25" s="675">
        <f t="shared" si="5"/>
        <v>0</v>
      </c>
      <c r="F25" s="673">
        <v>10852263</v>
      </c>
      <c r="G25" s="674">
        <f t="shared" si="6"/>
        <v>0</v>
      </c>
      <c r="H25" s="348">
        <v>68860000</v>
      </c>
      <c r="I25" s="675">
        <f t="shared" si="7"/>
        <v>0</v>
      </c>
      <c r="J25" s="673">
        <v>15133150</v>
      </c>
      <c r="K25" s="674">
        <f t="shared" si="8"/>
        <v>0</v>
      </c>
      <c r="L25" s="348">
        <v>92631000</v>
      </c>
      <c r="M25" s="675">
        <f t="shared" si="9"/>
        <v>0</v>
      </c>
      <c r="N25" s="673">
        <v>7676830</v>
      </c>
      <c r="O25" s="674">
        <f t="shared" si="10"/>
        <v>0</v>
      </c>
      <c r="P25" s="348">
        <v>44625382</v>
      </c>
      <c r="Q25" s="675">
        <f t="shared" si="11"/>
        <v>0</v>
      </c>
      <c r="R25" s="673">
        <v>7373968</v>
      </c>
      <c r="S25" s="674">
        <f t="shared" si="12"/>
        <v>0</v>
      </c>
      <c r="T25" s="348">
        <v>35918596</v>
      </c>
      <c r="U25" s="675">
        <f t="shared" si="13"/>
        <v>0</v>
      </c>
      <c r="V25" s="673">
        <v>1757270</v>
      </c>
      <c r="W25" s="674">
        <f t="shared" si="14"/>
        <v>0</v>
      </c>
      <c r="X25" s="348">
        <v>5032563</v>
      </c>
      <c r="Y25" s="675">
        <f t="shared" si="15"/>
        <v>0</v>
      </c>
      <c r="Z25" s="673">
        <v>16342956</v>
      </c>
      <c r="AA25" s="674">
        <f t="shared" si="16"/>
        <v>0</v>
      </c>
      <c r="AB25" s="348">
        <v>61325000</v>
      </c>
      <c r="AC25" s="675">
        <f t="shared" si="17"/>
        <v>0</v>
      </c>
      <c r="AD25" s="676">
        <f t="shared" si="0"/>
        <v>78553259</v>
      </c>
      <c r="AE25" s="677">
        <f t="shared" si="1"/>
        <v>0</v>
      </c>
      <c r="AF25" s="678">
        <f t="shared" si="2"/>
        <v>402247541</v>
      </c>
      <c r="AG25" s="679">
        <f t="shared" si="3"/>
        <v>0</v>
      </c>
    </row>
    <row r="26" spans="1:33" x14ac:dyDescent="0.25">
      <c r="A26" s="672">
        <v>2030</v>
      </c>
      <c r="B26" s="673">
        <v>19402355</v>
      </c>
      <c r="C26" s="674">
        <f t="shared" si="4"/>
        <v>0</v>
      </c>
      <c r="D26" s="348">
        <v>78220000</v>
      </c>
      <c r="E26" s="675">
        <f t="shared" si="5"/>
        <v>0</v>
      </c>
      <c r="F26" s="673">
        <v>10849813</v>
      </c>
      <c r="G26" s="674">
        <f t="shared" si="6"/>
        <v>0</v>
      </c>
      <c r="H26" s="348">
        <v>61405000</v>
      </c>
      <c r="I26" s="675">
        <f t="shared" si="7"/>
        <v>0</v>
      </c>
      <c r="J26" s="673">
        <v>15135206</v>
      </c>
      <c r="K26" s="674">
        <f t="shared" si="8"/>
        <v>0</v>
      </c>
      <c r="L26" s="348">
        <v>81831000</v>
      </c>
      <c r="M26" s="675">
        <f t="shared" si="9"/>
        <v>0</v>
      </c>
      <c r="N26" s="673">
        <v>7671557</v>
      </c>
      <c r="O26" s="674">
        <f t="shared" si="10"/>
        <v>0</v>
      </c>
      <c r="P26" s="348">
        <v>38806189</v>
      </c>
      <c r="Q26" s="675">
        <f t="shared" si="11"/>
        <v>0</v>
      </c>
      <c r="R26" s="673">
        <v>4564640</v>
      </c>
      <c r="S26" s="674">
        <f t="shared" si="12"/>
        <v>0</v>
      </c>
      <c r="T26" s="348">
        <v>30043205</v>
      </c>
      <c r="U26" s="675">
        <f t="shared" si="13"/>
        <v>0</v>
      </c>
      <c r="V26" s="673">
        <v>1451135</v>
      </c>
      <c r="W26" s="674">
        <f t="shared" si="14"/>
        <v>0</v>
      </c>
      <c r="X26" s="348">
        <v>3706632</v>
      </c>
      <c r="Y26" s="675">
        <f t="shared" si="15"/>
        <v>0</v>
      </c>
      <c r="Z26" s="673">
        <v>13648077</v>
      </c>
      <c r="AA26" s="674">
        <f t="shared" si="16"/>
        <v>0</v>
      </c>
      <c r="AB26" s="348">
        <v>50325000</v>
      </c>
      <c r="AC26" s="675">
        <f t="shared" si="17"/>
        <v>0</v>
      </c>
      <c r="AD26" s="676">
        <f t="shared" si="0"/>
        <v>72722783</v>
      </c>
      <c r="AE26" s="677">
        <f t="shared" si="1"/>
        <v>0</v>
      </c>
      <c r="AF26" s="678">
        <f t="shared" si="2"/>
        <v>344337026</v>
      </c>
      <c r="AG26" s="679">
        <f t="shared" si="3"/>
        <v>0</v>
      </c>
    </row>
    <row r="27" spans="1:33" x14ac:dyDescent="0.25">
      <c r="A27" s="672">
        <v>2031</v>
      </c>
      <c r="B27" s="673">
        <v>15498400</v>
      </c>
      <c r="C27" s="674">
        <f t="shared" si="4"/>
        <v>0</v>
      </c>
      <c r="D27" s="348">
        <v>65915000</v>
      </c>
      <c r="E27" s="675">
        <f t="shared" si="5"/>
        <v>0</v>
      </c>
      <c r="F27" s="673">
        <v>10848963</v>
      </c>
      <c r="G27" s="674">
        <f t="shared" si="6"/>
        <v>0</v>
      </c>
      <c r="H27" s="348">
        <v>53580000</v>
      </c>
      <c r="I27" s="675">
        <f t="shared" si="7"/>
        <v>0</v>
      </c>
      <c r="J27" s="673">
        <v>15125550</v>
      </c>
      <c r="K27" s="674">
        <f t="shared" si="8"/>
        <v>0</v>
      </c>
      <c r="L27" s="348">
        <v>70495000</v>
      </c>
      <c r="M27" s="675">
        <f t="shared" si="9"/>
        <v>0</v>
      </c>
      <c r="N27" s="673">
        <v>6985117</v>
      </c>
      <c r="O27" s="674">
        <f t="shared" si="10"/>
        <v>0</v>
      </c>
      <c r="P27" s="348">
        <v>33395001</v>
      </c>
      <c r="Q27" s="675">
        <f t="shared" si="11"/>
        <v>0</v>
      </c>
      <c r="R27" s="673">
        <v>4560393</v>
      </c>
      <c r="S27" s="674">
        <f t="shared" si="12"/>
        <v>0</v>
      </c>
      <c r="T27" s="348">
        <v>26797544</v>
      </c>
      <c r="U27" s="675">
        <f t="shared" si="13"/>
        <v>0</v>
      </c>
      <c r="V27" s="673">
        <v>1106193</v>
      </c>
      <c r="W27" s="674">
        <f t="shared" si="14"/>
        <v>0</v>
      </c>
      <c r="X27" s="348">
        <v>2690967</v>
      </c>
      <c r="Y27" s="675">
        <f t="shared" si="15"/>
        <v>0</v>
      </c>
      <c r="Z27" s="673">
        <v>10086120</v>
      </c>
      <c r="AA27" s="674">
        <f t="shared" si="16"/>
        <v>0</v>
      </c>
      <c r="AB27" s="348">
        <v>42460000</v>
      </c>
      <c r="AC27" s="675">
        <f t="shared" si="17"/>
        <v>0</v>
      </c>
      <c r="AD27" s="676">
        <f t="shared" si="0"/>
        <v>64210736</v>
      </c>
      <c r="AE27" s="677">
        <f t="shared" si="1"/>
        <v>0</v>
      </c>
      <c r="AF27" s="678">
        <f t="shared" si="2"/>
        <v>295333512</v>
      </c>
      <c r="AG27" s="679">
        <f t="shared" si="3"/>
        <v>0</v>
      </c>
    </row>
    <row r="28" spans="1:33" x14ac:dyDescent="0.25">
      <c r="A28" s="672">
        <v>2032</v>
      </c>
      <c r="B28" s="673">
        <v>15495225</v>
      </c>
      <c r="C28" s="674">
        <f t="shared" si="4"/>
        <v>0</v>
      </c>
      <c r="D28" s="348">
        <v>53070000</v>
      </c>
      <c r="E28" s="675">
        <f t="shared" si="5"/>
        <v>0</v>
      </c>
      <c r="F28" s="673">
        <v>10856513</v>
      </c>
      <c r="G28" s="674">
        <f t="shared" si="6"/>
        <v>0</v>
      </c>
      <c r="H28" s="348">
        <v>45380000</v>
      </c>
      <c r="I28" s="675">
        <f t="shared" si="7"/>
        <v>0</v>
      </c>
      <c r="J28" s="673">
        <v>12743688</v>
      </c>
      <c r="K28" s="674">
        <f t="shared" si="8"/>
        <v>0</v>
      </c>
      <c r="L28" s="348">
        <v>61028000</v>
      </c>
      <c r="M28" s="675">
        <f t="shared" si="9"/>
        <v>0</v>
      </c>
      <c r="N28" s="673">
        <v>6523275</v>
      </c>
      <c r="O28" s="674">
        <f t="shared" si="10"/>
        <v>0</v>
      </c>
      <c r="P28" s="348">
        <v>28180001</v>
      </c>
      <c r="Q28" s="675">
        <f t="shared" si="11"/>
        <v>0</v>
      </c>
      <c r="R28" s="673">
        <v>4559451</v>
      </c>
      <c r="S28" s="674">
        <f t="shared" si="12"/>
        <v>0</v>
      </c>
      <c r="T28" s="348">
        <v>23406600</v>
      </c>
      <c r="U28" s="675">
        <f t="shared" si="13"/>
        <v>0</v>
      </c>
      <c r="V28" s="673">
        <v>652182</v>
      </c>
      <c r="W28" s="674">
        <f t="shared" si="14"/>
        <v>0</v>
      </c>
      <c r="X28" s="348">
        <v>2108298</v>
      </c>
      <c r="Y28" s="675">
        <f t="shared" si="15"/>
        <v>0</v>
      </c>
      <c r="Z28" s="673">
        <v>10083233</v>
      </c>
      <c r="AA28" s="674">
        <f t="shared" si="16"/>
        <v>0</v>
      </c>
      <c r="AB28" s="348">
        <v>34240000</v>
      </c>
      <c r="AC28" s="675">
        <f t="shared" si="17"/>
        <v>0</v>
      </c>
      <c r="AD28" s="676">
        <f t="shared" si="0"/>
        <v>60913567</v>
      </c>
      <c r="AE28" s="677">
        <f t="shared" si="1"/>
        <v>0</v>
      </c>
      <c r="AF28" s="678">
        <f t="shared" si="2"/>
        <v>247412899</v>
      </c>
      <c r="AG28" s="679">
        <f t="shared" si="3"/>
        <v>0</v>
      </c>
    </row>
    <row r="29" spans="1:33" x14ac:dyDescent="0.25">
      <c r="A29" s="672">
        <v>2033</v>
      </c>
      <c r="B29" s="673">
        <v>13106625</v>
      </c>
      <c r="C29" s="674">
        <f t="shared" si="4"/>
        <v>0</v>
      </c>
      <c r="D29" s="348">
        <v>42095000</v>
      </c>
      <c r="E29" s="675">
        <f t="shared" si="5"/>
        <v>0</v>
      </c>
      <c r="F29" s="673">
        <v>10854000</v>
      </c>
      <c r="G29" s="674">
        <f t="shared" si="6"/>
        <v>0</v>
      </c>
      <c r="H29" s="348">
        <v>36795000</v>
      </c>
      <c r="I29" s="675">
        <f t="shared" si="7"/>
        <v>0</v>
      </c>
      <c r="J29" s="673">
        <v>12734175</v>
      </c>
      <c r="K29" s="674">
        <f t="shared" si="8"/>
        <v>0</v>
      </c>
      <c r="L29" s="348">
        <v>51093000</v>
      </c>
      <c r="M29" s="675">
        <f t="shared" si="9"/>
        <v>0</v>
      </c>
      <c r="N29" s="673">
        <v>6518850</v>
      </c>
      <c r="O29" s="674">
        <f t="shared" si="10"/>
        <v>0</v>
      </c>
      <c r="P29" s="348">
        <v>22720001</v>
      </c>
      <c r="Q29" s="675">
        <f t="shared" si="11"/>
        <v>0</v>
      </c>
      <c r="R29" s="673">
        <v>4556737</v>
      </c>
      <c r="S29" s="674">
        <f t="shared" si="12"/>
        <v>0</v>
      </c>
      <c r="T29" s="348">
        <v>19860109</v>
      </c>
      <c r="U29" s="675">
        <f t="shared" si="13"/>
        <v>0</v>
      </c>
      <c r="V29" s="673">
        <v>652182</v>
      </c>
      <c r="W29" s="674">
        <f t="shared" si="14"/>
        <v>0</v>
      </c>
      <c r="X29" s="348">
        <v>1509614</v>
      </c>
      <c r="Y29" s="675">
        <f t="shared" si="15"/>
        <v>0</v>
      </c>
      <c r="Z29" s="673">
        <v>9276285</v>
      </c>
      <c r="AA29" s="674">
        <f t="shared" si="16"/>
        <v>0</v>
      </c>
      <c r="AB29" s="348">
        <v>26465000</v>
      </c>
      <c r="AC29" s="675">
        <f t="shared" si="17"/>
        <v>0</v>
      </c>
      <c r="AD29" s="676">
        <f t="shared" si="0"/>
        <v>57698854</v>
      </c>
      <c r="AE29" s="677">
        <f t="shared" si="1"/>
        <v>0</v>
      </c>
      <c r="AF29" s="678">
        <f t="shared" si="2"/>
        <v>200537724</v>
      </c>
      <c r="AG29" s="679">
        <f t="shared" si="3"/>
        <v>0</v>
      </c>
    </row>
    <row r="30" spans="1:33" x14ac:dyDescent="0.25">
      <c r="A30" s="672">
        <v>2034</v>
      </c>
      <c r="B30" s="673">
        <v>13098600</v>
      </c>
      <c r="C30" s="674">
        <f t="shared" si="4"/>
        <v>0</v>
      </c>
      <c r="D30" s="348">
        <v>30635000</v>
      </c>
      <c r="E30" s="675">
        <f t="shared" si="5"/>
        <v>0</v>
      </c>
      <c r="F30" s="673">
        <v>9339750</v>
      </c>
      <c r="G30" s="674">
        <f t="shared" si="6"/>
        <v>0</v>
      </c>
      <c r="H30" s="348">
        <v>29295000</v>
      </c>
      <c r="I30" s="675">
        <f t="shared" si="7"/>
        <v>0</v>
      </c>
      <c r="J30" s="673">
        <v>11153175</v>
      </c>
      <c r="K30" s="674">
        <f t="shared" si="8"/>
        <v>0</v>
      </c>
      <c r="L30" s="348">
        <v>42274000</v>
      </c>
      <c r="M30" s="675">
        <f t="shared" si="9"/>
        <v>0</v>
      </c>
      <c r="N30" s="673">
        <v>6520350</v>
      </c>
      <c r="O30" s="674">
        <f t="shared" si="10"/>
        <v>0</v>
      </c>
      <c r="P30" s="348">
        <v>17015001</v>
      </c>
      <c r="Q30" s="675">
        <f t="shared" si="11"/>
        <v>0</v>
      </c>
      <c r="R30" s="673">
        <v>3733915</v>
      </c>
      <c r="S30" s="674">
        <f t="shared" si="12"/>
        <v>0</v>
      </c>
      <c r="T30" s="348">
        <v>16152543</v>
      </c>
      <c r="U30" s="675">
        <f t="shared" si="13"/>
        <v>0</v>
      </c>
      <c r="V30" s="673">
        <v>652182</v>
      </c>
      <c r="W30" s="674">
        <f t="shared" si="14"/>
        <v>0</v>
      </c>
      <c r="X30" s="348">
        <v>894474</v>
      </c>
      <c r="Y30" s="675">
        <f t="shared" si="15"/>
        <v>0</v>
      </c>
      <c r="Z30" s="673">
        <v>5101375</v>
      </c>
      <c r="AA30" s="674">
        <f t="shared" si="16"/>
        <v>0</v>
      </c>
      <c r="AB30" s="348">
        <v>22590000</v>
      </c>
      <c r="AC30" s="675">
        <f t="shared" si="17"/>
        <v>0</v>
      </c>
      <c r="AD30" s="676">
        <f t="shared" si="0"/>
        <v>49599347</v>
      </c>
      <c r="AE30" s="677">
        <f t="shared" si="1"/>
        <v>0</v>
      </c>
      <c r="AF30" s="678">
        <f t="shared" si="2"/>
        <v>158856018</v>
      </c>
      <c r="AG30" s="679">
        <f t="shared" si="3"/>
        <v>0</v>
      </c>
    </row>
    <row r="31" spans="1:33" x14ac:dyDescent="0.25">
      <c r="A31" s="672">
        <v>2035</v>
      </c>
      <c r="B31" s="673">
        <v>13074050</v>
      </c>
      <c r="C31" s="674">
        <f t="shared" si="4"/>
        <v>0</v>
      </c>
      <c r="D31" s="348">
        <v>18670000</v>
      </c>
      <c r="E31" s="675">
        <f t="shared" si="5"/>
        <v>0</v>
      </c>
      <c r="F31" s="673">
        <v>9344750</v>
      </c>
      <c r="G31" s="674">
        <f t="shared" si="6"/>
        <v>0</v>
      </c>
      <c r="H31" s="348">
        <v>21415000</v>
      </c>
      <c r="I31" s="675">
        <f t="shared" si="7"/>
        <v>0</v>
      </c>
      <c r="J31" s="673">
        <v>11143175</v>
      </c>
      <c r="K31" s="674">
        <f t="shared" si="8"/>
        <v>0</v>
      </c>
      <c r="L31" s="348">
        <v>33013000</v>
      </c>
      <c r="M31" s="675">
        <f t="shared" si="9"/>
        <v>0</v>
      </c>
      <c r="N31" s="673">
        <v>6525700</v>
      </c>
      <c r="O31" s="674">
        <f t="shared" si="10"/>
        <v>0</v>
      </c>
      <c r="P31" s="348">
        <v>11050000</v>
      </c>
      <c r="Q31" s="675">
        <f t="shared" si="11"/>
        <v>0</v>
      </c>
      <c r="R31" s="673">
        <v>3731578</v>
      </c>
      <c r="S31" s="674">
        <f t="shared" si="12"/>
        <v>0</v>
      </c>
      <c r="T31" s="348">
        <v>13113099</v>
      </c>
      <c r="U31" s="675">
        <f t="shared" si="13"/>
        <v>0</v>
      </c>
      <c r="V31" s="673">
        <v>652182</v>
      </c>
      <c r="W31" s="674">
        <f t="shared" si="14"/>
        <v>0</v>
      </c>
      <c r="X31" s="348">
        <v>262427</v>
      </c>
      <c r="Y31" s="675">
        <f t="shared" si="15"/>
        <v>0</v>
      </c>
      <c r="Z31" s="673">
        <v>5102625</v>
      </c>
      <c r="AA31" s="674">
        <f t="shared" si="16"/>
        <v>0</v>
      </c>
      <c r="AB31" s="348">
        <v>18515000</v>
      </c>
      <c r="AC31" s="675">
        <f t="shared" si="17"/>
        <v>0</v>
      </c>
      <c r="AD31" s="676">
        <f t="shared" si="0"/>
        <v>49574060</v>
      </c>
      <c r="AE31" s="677">
        <f t="shared" si="1"/>
        <v>0</v>
      </c>
      <c r="AF31" s="678">
        <f t="shared" si="2"/>
        <v>116038526</v>
      </c>
      <c r="AG31" s="679">
        <f t="shared" si="3"/>
        <v>0</v>
      </c>
    </row>
    <row r="32" spans="1:33" x14ac:dyDescent="0.25">
      <c r="A32" s="672">
        <v>2036</v>
      </c>
      <c r="B32" s="673">
        <v>8710050</v>
      </c>
      <c r="C32" s="674">
        <f t="shared" si="4"/>
        <v>0</v>
      </c>
      <c r="D32" s="348">
        <v>10615000</v>
      </c>
      <c r="E32" s="675">
        <f t="shared" si="5"/>
        <v>0</v>
      </c>
      <c r="F32" s="673">
        <v>9345750</v>
      </c>
      <c r="G32" s="674">
        <f t="shared" si="6"/>
        <v>0</v>
      </c>
      <c r="H32" s="348">
        <v>13140000</v>
      </c>
      <c r="I32" s="675">
        <f t="shared" si="7"/>
        <v>0</v>
      </c>
      <c r="J32" s="673">
        <v>11138375</v>
      </c>
      <c r="K32" s="674">
        <f t="shared" si="8"/>
        <v>0</v>
      </c>
      <c r="L32" s="348">
        <v>23282000</v>
      </c>
      <c r="M32" s="675">
        <f t="shared" si="9"/>
        <v>0</v>
      </c>
      <c r="N32" s="673">
        <v>6522050</v>
      </c>
      <c r="O32" s="674">
        <f t="shared" si="10"/>
        <v>0</v>
      </c>
      <c r="P32" s="348">
        <v>4840000</v>
      </c>
      <c r="Q32" s="675">
        <f t="shared" si="11"/>
        <v>0</v>
      </c>
      <c r="R32" s="673">
        <v>3728646</v>
      </c>
      <c r="S32" s="674">
        <f t="shared" si="12"/>
        <v>0</v>
      </c>
      <c r="T32" s="348">
        <v>9930683</v>
      </c>
      <c r="U32" s="675">
        <f t="shared" si="13"/>
        <v>0</v>
      </c>
      <c r="V32" s="673">
        <v>266009</v>
      </c>
      <c r="W32" s="674">
        <f t="shared" si="14"/>
        <v>0</v>
      </c>
      <c r="X32" s="348">
        <v>0</v>
      </c>
      <c r="Y32" s="675">
        <f t="shared" si="15"/>
        <v>0</v>
      </c>
      <c r="Z32" s="673">
        <v>5103625</v>
      </c>
      <c r="AA32" s="674">
        <f t="shared" si="16"/>
        <v>0</v>
      </c>
      <c r="AB32" s="348">
        <v>14230000</v>
      </c>
      <c r="AC32" s="675">
        <f t="shared" si="17"/>
        <v>0</v>
      </c>
      <c r="AD32" s="676">
        <f t="shared" si="0"/>
        <v>44814505</v>
      </c>
      <c r="AE32" s="677">
        <f t="shared" si="1"/>
        <v>0</v>
      </c>
      <c r="AF32" s="678">
        <f t="shared" si="2"/>
        <v>76037683</v>
      </c>
      <c r="AG32" s="679">
        <f t="shared" si="3"/>
        <v>0</v>
      </c>
    </row>
    <row r="33" spans="1:33" x14ac:dyDescent="0.25">
      <c r="A33" s="672">
        <v>2037</v>
      </c>
      <c r="B33" s="673">
        <v>5579600</v>
      </c>
      <c r="C33" s="674">
        <f t="shared" si="4"/>
        <v>0</v>
      </c>
      <c r="D33" s="348">
        <v>5410000</v>
      </c>
      <c r="E33" s="675">
        <f t="shared" si="5"/>
        <v>0</v>
      </c>
      <c r="F33" s="673">
        <v>7067000</v>
      </c>
      <c r="G33" s="674">
        <f t="shared" si="6"/>
        <v>0</v>
      </c>
      <c r="H33" s="348">
        <v>6730000</v>
      </c>
      <c r="I33" s="675">
        <f t="shared" si="7"/>
        <v>0</v>
      </c>
      <c r="J33" s="673">
        <v>11133475</v>
      </c>
      <c r="K33" s="674">
        <f t="shared" si="8"/>
        <v>0</v>
      </c>
      <c r="L33" s="348">
        <v>13057000</v>
      </c>
      <c r="M33" s="675">
        <f t="shared" si="9"/>
        <v>0</v>
      </c>
      <c r="N33" s="673">
        <v>2516200</v>
      </c>
      <c r="O33" s="674">
        <f t="shared" si="10"/>
        <v>0</v>
      </c>
      <c r="P33" s="348">
        <v>2470000</v>
      </c>
      <c r="Q33" s="675">
        <f t="shared" si="11"/>
        <v>0</v>
      </c>
      <c r="R33" s="673">
        <v>3725112</v>
      </c>
      <c r="S33" s="674">
        <f t="shared" si="12"/>
        <v>0</v>
      </c>
      <c r="T33" s="348">
        <v>6598896</v>
      </c>
      <c r="U33" s="675">
        <f t="shared" si="13"/>
        <v>0</v>
      </c>
      <c r="V33" s="673">
        <v>0</v>
      </c>
      <c r="W33" s="674">
        <f t="shared" si="14"/>
        <v>0</v>
      </c>
      <c r="X33" s="348">
        <v>0</v>
      </c>
      <c r="Y33" s="675">
        <f t="shared" si="15"/>
        <v>0</v>
      </c>
      <c r="Z33" s="673">
        <v>5103875</v>
      </c>
      <c r="AA33" s="674">
        <f t="shared" si="16"/>
        <v>0</v>
      </c>
      <c r="AB33" s="348">
        <v>9725000</v>
      </c>
      <c r="AC33" s="675">
        <f t="shared" si="17"/>
        <v>0</v>
      </c>
      <c r="AD33" s="676">
        <f t="shared" si="0"/>
        <v>35125262</v>
      </c>
      <c r="AE33" s="677">
        <f t="shared" si="1"/>
        <v>0</v>
      </c>
      <c r="AF33" s="678">
        <f t="shared" si="2"/>
        <v>43990896</v>
      </c>
      <c r="AG33" s="679">
        <f t="shared" si="3"/>
        <v>0</v>
      </c>
    </row>
    <row r="34" spans="1:33" x14ac:dyDescent="0.25">
      <c r="A34" s="672">
        <v>2038</v>
      </c>
      <c r="B34" s="673">
        <v>5545250</v>
      </c>
      <c r="C34" s="674">
        <f t="shared" si="4"/>
        <v>0</v>
      </c>
      <c r="D34" s="348">
        <v>0</v>
      </c>
      <c r="E34" s="675">
        <f t="shared" si="5"/>
        <v>0</v>
      </c>
      <c r="F34" s="673">
        <v>7066500</v>
      </c>
      <c r="G34" s="674">
        <f t="shared" si="6"/>
        <v>0</v>
      </c>
      <c r="H34" s="348">
        <v>0</v>
      </c>
      <c r="I34" s="675">
        <f t="shared" si="7"/>
        <v>0</v>
      </c>
      <c r="J34" s="673">
        <v>6861650</v>
      </c>
      <c r="K34" s="674">
        <f t="shared" si="8"/>
        <v>0</v>
      </c>
      <c r="L34" s="348">
        <v>6689000</v>
      </c>
      <c r="M34" s="675">
        <f t="shared" si="9"/>
        <v>0</v>
      </c>
      <c r="N34" s="673">
        <v>2519400</v>
      </c>
      <c r="O34" s="674">
        <f t="shared" si="10"/>
        <v>0</v>
      </c>
      <c r="P34" s="348">
        <v>0</v>
      </c>
      <c r="Q34" s="675">
        <f t="shared" si="11"/>
        <v>0</v>
      </c>
      <c r="R34" s="673">
        <v>3188796</v>
      </c>
      <c r="S34" s="674">
        <f t="shared" si="12"/>
        <v>0</v>
      </c>
      <c r="T34" s="348">
        <v>3111020</v>
      </c>
      <c r="U34" s="675">
        <f t="shared" si="13"/>
        <v>0</v>
      </c>
      <c r="V34" s="673">
        <v>0</v>
      </c>
      <c r="W34" s="674">
        <f t="shared" si="14"/>
        <v>0</v>
      </c>
      <c r="X34" s="348">
        <v>0</v>
      </c>
      <c r="Y34" s="675">
        <f t="shared" si="15"/>
        <v>0</v>
      </c>
      <c r="Z34" s="673">
        <v>5107750</v>
      </c>
      <c r="AA34" s="674">
        <f t="shared" si="16"/>
        <v>0</v>
      </c>
      <c r="AB34" s="348">
        <v>4985000</v>
      </c>
      <c r="AC34" s="675">
        <f t="shared" si="17"/>
        <v>0</v>
      </c>
      <c r="AD34" s="676">
        <f t="shared" si="0"/>
        <v>30289346</v>
      </c>
      <c r="AE34" s="677">
        <f t="shared" si="1"/>
        <v>0</v>
      </c>
      <c r="AF34" s="678">
        <f t="shared" si="2"/>
        <v>14785020</v>
      </c>
      <c r="AG34" s="679">
        <f t="shared" si="3"/>
        <v>0</v>
      </c>
    </row>
    <row r="35" spans="1:33" x14ac:dyDescent="0.25">
      <c r="A35" s="672">
        <v>2039</v>
      </c>
      <c r="B35" s="673">
        <v>0</v>
      </c>
      <c r="C35" s="674">
        <f t="shared" si="4"/>
        <v>0</v>
      </c>
      <c r="D35" s="348">
        <v>0</v>
      </c>
      <c r="E35" s="675">
        <f t="shared" si="5"/>
        <v>0</v>
      </c>
      <c r="F35" s="673">
        <v>0</v>
      </c>
      <c r="G35" s="674">
        <f t="shared" si="6"/>
        <v>0</v>
      </c>
      <c r="H35" s="348">
        <v>0</v>
      </c>
      <c r="I35" s="675">
        <f t="shared" si="7"/>
        <v>0</v>
      </c>
      <c r="J35" s="673">
        <v>6856225</v>
      </c>
      <c r="K35" s="674">
        <f t="shared" si="8"/>
        <v>0</v>
      </c>
      <c r="L35" s="348">
        <v>0</v>
      </c>
      <c r="M35" s="675">
        <f t="shared" si="9"/>
        <v>0</v>
      </c>
      <c r="N35" s="673">
        <v>0</v>
      </c>
      <c r="O35" s="674">
        <f t="shared" si="10"/>
        <v>0</v>
      </c>
      <c r="P35" s="348">
        <v>0</v>
      </c>
      <c r="Q35" s="675">
        <f t="shared" si="11"/>
        <v>0</v>
      </c>
      <c r="R35" s="673">
        <v>0</v>
      </c>
      <c r="S35" s="674">
        <f t="shared" si="12"/>
        <v>0</v>
      </c>
      <c r="T35" s="348">
        <v>0</v>
      </c>
      <c r="U35" s="675">
        <f t="shared" si="13"/>
        <v>0</v>
      </c>
      <c r="V35" s="673">
        <v>0</v>
      </c>
      <c r="W35" s="674">
        <f t="shared" si="14"/>
        <v>0</v>
      </c>
      <c r="X35" s="348">
        <v>0</v>
      </c>
      <c r="Y35" s="675">
        <f t="shared" si="15"/>
        <v>0</v>
      </c>
      <c r="Z35" s="673">
        <v>5109625</v>
      </c>
      <c r="AA35" s="674">
        <f t="shared" si="16"/>
        <v>0</v>
      </c>
      <c r="AB35" s="348">
        <v>0</v>
      </c>
      <c r="AC35" s="675">
        <f t="shared" si="17"/>
        <v>0</v>
      </c>
      <c r="AD35" s="676">
        <f t="shared" si="0"/>
        <v>11965850</v>
      </c>
      <c r="AE35" s="677">
        <f t="shared" si="1"/>
        <v>0</v>
      </c>
      <c r="AF35" s="678">
        <f t="shared" si="2"/>
        <v>0</v>
      </c>
      <c r="AG35" s="679">
        <f t="shared" si="3"/>
        <v>0</v>
      </c>
    </row>
    <row r="36" spans="1:33" s="347" customFormat="1" ht="15.75" customHeight="1" thickBot="1" x14ac:dyDescent="0.3">
      <c r="A36" s="680">
        <v>2040</v>
      </c>
      <c r="B36" s="681">
        <v>0</v>
      </c>
      <c r="C36" s="682">
        <f t="shared" si="4"/>
        <v>0</v>
      </c>
      <c r="D36" s="683">
        <v>0</v>
      </c>
      <c r="E36" s="684">
        <f t="shared" si="5"/>
        <v>0</v>
      </c>
      <c r="F36" s="681">
        <v>0</v>
      </c>
      <c r="G36" s="682">
        <f t="shared" si="6"/>
        <v>0</v>
      </c>
      <c r="H36" s="683">
        <v>0</v>
      </c>
      <c r="I36" s="684">
        <f t="shared" si="7"/>
        <v>0</v>
      </c>
      <c r="J36" s="681">
        <v>0</v>
      </c>
      <c r="K36" s="682">
        <f t="shared" si="8"/>
        <v>0</v>
      </c>
      <c r="L36" s="683">
        <v>0</v>
      </c>
      <c r="M36" s="684">
        <f t="shared" si="9"/>
        <v>0</v>
      </c>
      <c r="N36" s="681">
        <v>0</v>
      </c>
      <c r="O36" s="682">
        <f t="shared" si="10"/>
        <v>0</v>
      </c>
      <c r="P36" s="683">
        <v>0</v>
      </c>
      <c r="Q36" s="684">
        <f t="shared" si="11"/>
        <v>0</v>
      </c>
      <c r="R36" s="681">
        <v>0</v>
      </c>
      <c r="S36" s="682">
        <f t="shared" si="12"/>
        <v>0</v>
      </c>
      <c r="T36" s="683">
        <v>0</v>
      </c>
      <c r="U36" s="684">
        <f t="shared" si="13"/>
        <v>0</v>
      </c>
      <c r="V36" s="681">
        <v>0</v>
      </c>
      <c r="W36" s="682">
        <f t="shared" si="14"/>
        <v>0</v>
      </c>
      <c r="X36" s="683">
        <v>0</v>
      </c>
      <c r="Y36" s="684">
        <f t="shared" si="15"/>
        <v>0</v>
      </c>
      <c r="Z36" s="681">
        <v>0</v>
      </c>
      <c r="AA36" s="682">
        <f t="shared" si="16"/>
        <v>0</v>
      </c>
      <c r="AB36" s="683">
        <v>0</v>
      </c>
      <c r="AC36" s="684">
        <f t="shared" si="17"/>
        <v>0</v>
      </c>
      <c r="AD36" s="685">
        <f t="shared" si="0"/>
        <v>0</v>
      </c>
      <c r="AE36" s="686">
        <f t="shared" si="1"/>
        <v>0</v>
      </c>
      <c r="AF36" s="687">
        <f t="shared" si="2"/>
        <v>0</v>
      </c>
      <c r="AG36" s="688">
        <f t="shared" si="3"/>
        <v>0</v>
      </c>
    </row>
  </sheetData>
  <mergeCells count="55"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</mergeCells>
  <dataValidations disablePrompts="1"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4" manualBreakCount="4">
    <brk id="13" max="34" man="1"/>
    <brk id="25" max="34" man="1"/>
    <brk id="13" max="16384" man="1"/>
    <brk id="25" max="16384" man="1"/>
    <brk id="13" max="16384" man="1"/>
    <brk id="25" max="1638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219"/>
  <sheetViews>
    <sheetView tabSelected="1" zoomScale="80" zoomScaleNormal="80" workbookViewId="0">
      <pane ySplit="8" topLeftCell="A21" activePane="bottomLeft" state="frozenSplit"/>
      <selection activeCell="B5" sqref="B5 A5:AP9"/>
      <selection pane="bottomLeft" activeCell="G34" sqref="G34:G37"/>
    </sheetView>
  </sheetViews>
  <sheetFormatPr defaultColWidth="16.7109375" defaultRowHeight="15" x14ac:dyDescent="0.25"/>
  <cols>
    <col min="1" max="1" width="64.7109375" style="339" customWidth="1"/>
    <col min="2" max="21" width="16.7109375" style="339" customWidth="1"/>
  </cols>
  <sheetData>
    <row r="1" spans="1:21" ht="15.75" customHeight="1" x14ac:dyDescent="0.25">
      <c r="A1" s="355" t="s">
        <v>255</v>
      </c>
    </row>
    <row r="2" spans="1:21" ht="15.75" customHeight="1" x14ac:dyDescent="0.25">
      <c r="A2" s="356" t="s">
        <v>31</v>
      </c>
    </row>
    <row r="3" spans="1:21" ht="15.75" customHeight="1" x14ac:dyDescent="0.25">
      <c r="A3" s="356"/>
    </row>
    <row r="4" spans="1:21" x14ac:dyDescent="0.25">
      <c r="A4" s="353" t="s">
        <v>256</v>
      </c>
    </row>
    <row r="5" spans="1:21" ht="15.75" customHeight="1" thickBot="1" x14ac:dyDescent="0.3">
      <c r="A5" s="689" t="s">
        <v>257</v>
      </c>
    </row>
    <row r="6" spans="1:21" s="339" customFormat="1" ht="15" customHeight="1" thickBot="1" x14ac:dyDescent="0.3">
      <c r="A6" s="46"/>
      <c r="B6" s="38" t="s">
        <v>168</v>
      </c>
      <c r="C6" s="37"/>
      <c r="D6" s="150" t="s">
        <v>3</v>
      </c>
      <c r="E6" s="36"/>
      <c r="F6" s="36"/>
      <c r="G6" s="36"/>
      <c r="H6" s="36"/>
      <c r="I6" s="35"/>
      <c r="J6" s="690"/>
      <c r="K6" s="150" t="s">
        <v>4</v>
      </c>
      <c r="L6" s="36"/>
      <c r="M6" s="36"/>
      <c r="N6" s="36"/>
      <c r="O6" s="36"/>
      <c r="P6" s="35"/>
    </row>
    <row r="7" spans="1:21" s="339" customFormat="1" ht="15" customHeight="1" x14ac:dyDescent="0.25">
      <c r="A7" s="45"/>
      <c r="B7" s="43" t="s">
        <v>258</v>
      </c>
      <c r="C7" s="41" t="s">
        <v>45</v>
      </c>
      <c r="D7" s="34" t="s">
        <v>258</v>
      </c>
      <c r="E7" s="33"/>
      <c r="F7" s="32"/>
      <c r="G7" s="31" t="s">
        <v>45</v>
      </c>
      <c r="H7" s="30"/>
      <c r="I7" s="29"/>
      <c r="J7" s="691"/>
      <c r="K7" s="34" t="s">
        <v>258</v>
      </c>
      <c r="L7" s="33"/>
      <c r="M7" s="32"/>
      <c r="N7" s="31" t="s">
        <v>45</v>
      </c>
      <c r="O7" s="30"/>
      <c r="P7" s="29"/>
      <c r="Q7" s="39"/>
      <c r="R7" s="39"/>
      <c r="S7" s="39"/>
      <c r="T7" s="39"/>
      <c r="U7" s="39"/>
    </row>
    <row r="8" spans="1:21" s="339" customFormat="1" ht="49.5" customHeight="1" thickBot="1" x14ac:dyDescent="0.3">
      <c r="A8" s="44"/>
      <c r="B8" s="42"/>
      <c r="C8" s="40"/>
      <c r="D8" s="697" t="s">
        <v>259</v>
      </c>
      <c r="E8" s="696" t="s">
        <v>179</v>
      </c>
      <c r="F8" s="695" t="s">
        <v>142</v>
      </c>
      <c r="G8" s="694" t="s">
        <v>259</v>
      </c>
      <c r="H8" s="693" t="s">
        <v>179</v>
      </c>
      <c r="I8" s="692" t="s">
        <v>142</v>
      </c>
      <c r="J8" s="698"/>
      <c r="K8" s="697" t="s">
        <v>259</v>
      </c>
      <c r="L8" s="696" t="s">
        <v>179</v>
      </c>
      <c r="M8" s="695" t="s">
        <v>144</v>
      </c>
      <c r="N8" s="694" t="s">
        <v>259</v>
      </c>
      <c r="O8" s="693" t="s">
        <v>179</v>
      </c>
      <c r="P8" s="692" t="s">
        <v>144</v>
      </c>
    </row>
    <row r="9" spans="1:21" ht="20.100000000000001" customHeight="1" x14ac:dyDescent="0.3">
      <c r="A9" s="635" t="s">
        <v>190</v>
      </c>
      <c r="B9" s="634"/>
      <c r="C9" s="634"/>
      <c r="D9" s="634"/>
      <c r="E9" s="634"/>
      <c r="F9" s="634"/>
      <c r="G9" s="634"/>
      <c r="H9" s="634"/>
      <c r="I9" s="634"/>
      <c r="J9" s="634"/>
      <c r="K9" s="634"/>
      <c r="L9" s="634"/>
      <c r="M9" s="634"/>
      <c r="N9" s="634"/>
      <c r="O9" s="634"/>
      <c r="P9" s="634"/>
    </row>
    <row r="10" spans="1:21" ht="20.100000000000001" customHeight="1" x14ac:dyDescent="0.25">
      <c r="A10" s="339" t="s">
        <v>260</v>
      </c>
      <c r="B10" s="352">
        <v>721861</v>
      </c>
      <c r="C10" s="352">
        <v>0</v>
      </c>
      <c r="D10" s="352">
        <v>739908</v>
      </c>
      <c r="E10" s="352">
        <v>721861</v>
      </c>
      <c r="F10" s="354">
        <f t="shared" ref="F10:F21" si="0">IF($B10&gt;0, (E10-$B10)/$B10, )</f>
        <v>0</v>
      </c>
      <c r="G10" s="352">
        <v>0</v>
      </c>
      <c r="H10" s="352">
        <v>0</v>
      </c>
      <c r="I10" s="354">
        <f t="shared" ref="I10:I21" si="1">IF($C10&gt;0, (H10-$C10)/$C10, )</f>
        <v>0</v>
      </c>
      <c r="K10" s="352">
        <v>758405</v>
      </c>
      <c r="L10" s="352">
        <v>721861</v>
      </c>
      <c r="M10" s="354">
        <f t="shared" ref="M10:M21" si="2">IF($B10&gt;0, (L10-$B10)/$B10, )</f>
        <v>0</v>
      </c>
      <c r="N10" s="352">
        <v>0</v>
      </c>
      <c r="O10" s="352">
        <v>0</v>
      </c>
      <c r="P10" s="354">
        <f t="shared" ref="P10:P21" si="3">IF($C10&gt;0, (O10-$C10)/$C10, )</f>
        <v>0</v>
      </c>
    </row>
    <row r="11" spans="1:21" ht="20.100000000000001" customHeight="1" x14ac:dyDescent="0.25">
      <c r="A11" s="339" t="s">
        <v>261</v>
      </c>
      <c r="B11" s="352">
        <v>2500000</v>
      </c>
      <c r="C11" s="352">
        <v>0</v>
      </c>
      <c r="D11" s="352">
        <v>2562500</v>
      </c>
      <c r="E11" s="352">
        <v>2500000</v>
      </c>
      <c r="F11" s="354">
        <f t="shared" si="0"/>
        <v>0</v>
      </c>
      <c r="G11" s="352">
        <v>0</v>
      </c>
      <c r="H11" s="352">
        <v>0</v>
      </c>
      <c r="I11" s="354">
        <f t="shared" si="1"/>
        <v>0</v>
      </c>
      <c r="K11" s="352">
        <v>2626563</v>
      </c>
      <c r="L11" s="352">
        <v>2500000</v>
      </c>
      <c r="M11" s="354">
        <f t="shared" si="2"/>
        <v>0</v>
      </c>
      <c r="N11" s="352">
        <v>0</v>
      </c>
      <c r="O11" s="352">
        <v>0</v>
      </c>
      <c r="P11" s="354">
        <f t="shared" si="3"/>
        <v>0</v>
      </c>
    </row>
    <row r="12" spans="1:21" ht="20.100000000000001" customHeight="1" x14ac:dyDescent="0.25">
      <c r="A12" s="339" t="s">
        <v>262</v>
      </c>
      <c r="B12" s="352">
        <v>2620300</v>
      </c>
      <c r="C12" s="352">
        <v>0</v>
      </c>
      <c r="D12" s="352">
        <v>2620300</v>
      </c>
      <c r="E12" s="352">
        <v>2620300</v>
      </c>
      <c r="F12" s="354">
        <f t="shared" si="0"/>
        <v>0</v>
      </c>
      <c r="G12" s="352">
        <v>0</v>
      </c>
      <c r="H12" s="352">
        <v>0</v>
      </c>
      <c r="I12" s="354">
        <f t="shared" si="1"/>
        <v>0</v>
      </c>
      <c r="K12" s="352">
        <v>2620300</v>
      </c>
      <c r="L12" s="352">
        <v>2620300</v>
      </c>
      <c r="M12" s="354">
        <f t="shared" si="2"/>
        <v>0</v>
      </c>
      <c r="N12" s="352">
        <v>0</v>
      </c>
      <c r="O12" s="352">
        <v>0</v>
      </c>
      <c r="P12" s="354">
        <f t="shared" si="3"/>
        <v>0</v>
      </c>
    </row>
    <row r="13" spans="1:21" ht="20.100000000000001" customHeight="1" x14ac:dyDescent="0.25">
      <c r="A13" s="339" t="s">
        <v>263</v>
      </c>
      <c r="B13" s="352">
        <v>2783782</v>
      </c>
      <c r="C13" s="352">
        <v>0</v>
      </c>
      <c r="D13" s="352">
        <v>2853377</v>
      </c>
      <c r="E13" s="352">
        <v>2783782</v>
      </c>
      <c r="F13" s="354">
        <f t="shared" si="0"/>
        <v>0</v>
      </c>
      <c r="G13" s="352">
        <v>0</v>
      </c>
      <c r="H13" s="352">
        <v>0</v>
      </c>
      <c r="I13" s="354">
        <f t="shared" si="1"/>
        <v>0</v>
      </c>
      <c r="K13" s="352">
        <v>2924711</v>
      </c>
      <c r="L13" s="352">
        <v>2783782</v>
      </c>
      <c r="M13" s="354">
        <f t="shared" si="2"/>
        <v>0</v>
      </c>
      <c r="N13" s="352">
        <v>0</v>
      </c>
      <c r="O13" s="352">
        <v>0</v>
      </c>
      <c r="P13" s="354">
        <f t="shared" si="3"/>
        <v>0</v>
      </c>
    </row>
    <row r="14" spans="1:21" ht="20.100000000000001" customHeight="1" x14ac:dyDescent="0.25">
      <c r="A14" s="339" t="s">
        <v>264</v>
      </c>
      <c r="B14" s="352">
        <v>0</v>
      </c>
      <c r="C14" s="352">
        <v>1508628</v>
      </c>
      <c r="D14" s="352">
        <v>1546345</v>
      </c>
      <c r="E14" s="352">
        <v>1508628</v>
      </c>
      <c r="F14" s="354">
        <f t="shared" si="0"/>
        <v>0</v>
      </c>
      <c r="G14" s="352">
        <v>0</v>
      </c>
      <c r="H14" s="352">
        <v>0</v>
      </c>
      <c r="I14" s="354">
        <f t="shared" si="1"/>
        <v>-1</v>
      </c>
      <c r="K14" s="352">
        <v>1585000</v>
      </c>
      <c r="L14" s="352">
        <v>1508628</v>
      </c>
      <c r="M14" s="354">
        <f t="shared" si="2"/>
        <v>0</v>
      </c>
      <c r="N14" s="352">
        <v>0</v>
      </c>
      <c r="O14" s="352">
        <v>0</v>
      </c>
      <c r="P14" s="354">
        <f t="shared" si="3"/>
        <v>-1</v>
      </c>
    </row>
    <row r="15" spans="1:21" ht="20.100000000000001" customHeight="1" x14ac:dyDescent="0.25">
      <c r="A15" s="339" t="s">
        <v>265</v>
      </c>
      <c r="B15" s="352">
        <v>0</v>
      </c>
      <c r="C15" s="352">
        <v>672562</v>
      </c>
      <c r="D15" s="352">
        <v>689375</v>
      </c>
      <c r="E15" s="352">
        <v>672562</v>
      </c>
      <c r="F15" s="354">
        <f t="shared" si="0"/>
        <v>0</v>
      </c>
      <c r="G15" s="352">
        <v>0</v>
      </c>
      <c r="H15" s="352">
        <v>0</v>
      </c>
      <c r="I15" s="354">
        <f t="shared" si="1"/>
        <v>-1</v>
      </c>
      <c r="K15" s="352">
        <v>706610</v>
      </c>
      <c r="L15" s="352">
        <v>672562</v>
      </c>
      <c r="M15" s="354">
        <f t="shared" si="2"/>
        <v>0</v>
      </c>
      <c r="N15" s="352">
        <v>0</v>
      </c>
      <c r="O15" s="352">
        <v>0</v>
      </c>
      <c r="P15" s="354">
        <f t="shared" si="3"/>
        <v>-1</v>
      </c>
    </row>
    <row r="16" spans="1:21" ht="20.100000000000001" customHeight="1" x14ac:dyDescent="0.25">
      <c r="A16" s="339" t="s">
        <v>266</v>
      </c>
      <c r="B16" s="352">
        <v>2105824</v>
      </c>
      <c r="C16" s="352">
        <v>0</v>
      </c>
      <c r="D16" s="352">
        <v>2158470</v>
      </c>
      <c r="E16" s="352">
        <v>2105824</v>
      </c>
      <c r="F16" s="354">
        <f t="shared" si="0"/>
        <v>0</v>
      </c>
      <c r="G16" s="352">
        <v>0</v>
      </c>
      <c r="H16" s="352">
        <v>0</v>
      </c>
      <c r="I16" s="354">
        <f t="shared" si="1"/>
        <v>0</v>
      </c>
      <c r="K16" s="352">
        <v>2212431</v>
      </c>
      <c r="L16" s="352">
        <v>2105824</v>
      </c>
      <c r="M16" s="354">
        <f t="shared" si="2"/>
        <v>0</v>
      </c>
      <c r="N16" s="352">
        <v>0</v>
      </c>
      <c r="O16" s="352">
        <v>0</v>
      </c>
      <c r="P16" s="354">
        <f t="shared" si="3"/>
        <v>0</v>
      </c>
    </row>
    <row r="17" spans="1:16" ht="20.100000000000001" customHeight="1" x14ac:dyDescent="0.25">
      <c r="A17" s="339" t="s">
        <v>267</v>
      </c>
      <c r="B17" s="352">
        <v>553429</v>
      </c>
      <c r="C17" s="352">
        <v>0</v>
      </c>
      <c r="D17" s="352">
        <v>567265</v>
      </c>
      <c r="E17" s="352">
        <v>553429</v>
      </c>
      <c r="F17" s="354">
        <f t="shared" si="0"/>
        <v>0</v>
      </c>
      <c r="G17" s="352">
        <v>0</v>
      </c>
      <c r="H17" s="352">
        <v>0</v>
      </c>
      <c r="I17" s="354">
        <f t="shared" si="1"/>
        <v>0</v>
      </c>
      <c r="K17" s="352">
        <v>581447</v>
      </c>
      <c r="L17" s="352">
        <v>553429</v>
      </c>
      <c r="M17" s="354">
        <f t="shared" si="2"/>
        <v>0</v>
      </c>
      <c r="N17" s="352">
        <v>0</v>
      </c>
      <c r="O17" s="352">
        <v>0</v>
      </c>
      <c r="P17" s="354">
        <f t="shared" si="3"/>
        <v>0</v>
      </c>
    </row>
    <row r="18" spans="1:16" ht="20.100000000000001" customHeight="1" x14ac:dyDescent="0.25">
      <c r="A18" s="339" t="s">
        <v>268</v>
      </c>
      <c r="B18" s="352">
        <v>0</v>
      </c>
      <c r="C18" s="352">
        <v>0</v>
      </c>
      <c r="D18" s="352">
        <v>1250000</v>
      </c>
      <c r="E18" s="352">
        <v>0</v>
      </c>
      <c r="F18" s="354">
        <f t="shared" si="0"/>
        <v>0</v>
      </c>
      <c r="G18" s="352">
        <v>0</v>
      </c>
      <c r="H18" s="352">
        <v>0</v>
      </c>
      <c r="I18" s="354">
        <f t="shared" si="1"/>
        <v>0</v>
      </c>
      <c r="K18" s="352">
        <v>1250000</v>
      </c>
      <c r="L18" s="352">
        <v>0</v>
      </c>
      <c r="M18" s="354">
        <f t="shared" si="2"/>
        <v>0</v>
      </c>
      <c r="N18" s="352">
        <v>0</v>
      </c>
      <c r="O18" s="352">
        <v>0</v>
      </c>
      <c r="P18" s="354">
        <f t="shared" si="3"/>
        <v>0</v>
      </c>
    </row>
    <row r="19" spans="1:16" ht="20.100000000000001" customHeight="1" x14ac:dyDescent="0.25">
      <c r="A19" s="339" t="s">
        <v>269</v>
      </c>
      <c r="B19" s="352">
        <v>0</v>
      </c>
      <c r="C19" s="352">
        <v>0</v>
      </c>
      <c r="D19" s="352">
        <v>150000</v>
      </c>
      <c r="E19" s="352">
        <v>0</v>
      </c>
      <c r="F19" s="354">
        <f t="shared" si="0"/>
        <v>0</v>
      </c>
      <c r="G19" s="352">
        <v>0</v>
      </c>
      <c r="H19" s="352">
        <v>0</v>
      </c>
      <c r="I19" s="354">
        <f t="shared" si="1"/>
        <v>0</v>
      </c>
      <c r="K19" s="352">
        <v>150000</v>
      </c>
      <c r="L19" s="352">
        <v>0</v>
      </c>
      <c r="M19" s="354">
        <f t="shared" si="2"/>
        <v>0</v>
      </c>
      <c r="N19" s="352">
        <v>0</v>
      </c>
      <c r="O19" s="352">
        <v>0</v>
      </c>
      <c r="P19" s="354">
        <f t="shared" si="3"/>
        <v>0</v>
      </c>
    </row>
    <row r="20" spans="1:16" ht="20.100000000000001" customHeight="1" x14ac:dyDescent="0.25">
      <c r="A20" s="339" t="s">
        <v>270</v>
      </c>
      <c r="B20" s="352">
        <v>0</v>
      </c>
      <c r="C20" s="352">
        <v>0</v>
      </c>
      <c r="D20" s="352">
        <v>1250000</v>
      </c>
      <c r="E20" s="352">
        <v>0</v>
      </c>
      <c r="F20" s="354">
        <f t="shared" si="0"/>
        <v>0</v>
      </c>
      <c r="G20" s="352">
        <v>0</v>
      </c>
      <c r="H20" s="352">
        <v>0</v>
      </c>
      <c r="I20" s="354">
        <f t="shared" si="1"/>
        <v>0</v>
      </c>
      <c r="K20" s="352">
        <v>1250000</v>
      </c>
      <c r="L20" s="352">
        <v>0</v>
      </c>
      <c r="M20" s="354">
        <f t="shared" si="2"/>
        <v>0</v>
      </c>
      <c r="N20" s="352">
        <v>0</v>
      </c>
      <c r="O20" s="352">
        <v>0</v>
      </c>
      <c r="P20" s="354">
        <f t="shared" si="3"/>
        <v>0</v>
      </c>
    </row>
    <row r="21" spans="1:16" ht="20.100000000000001" customHeight="1" x14ac:dyDescent="0.3">
      <c r="A21" s="636" t="s">
        <v>201</v>
      </c>
      <c r="B21" s="638">
        <f>SUM(B10:B20)</f>
        <v>11285196</v>
      </c>
      <c r="C21" s="638">
        <f>SUM(C10:C20)</f>
        <v>2181190</v>
      </c>
      <c r="D21" s="638">
        <f>SUM(D10:D20)</f>
        <v>16387540</v>
      </c>
      <c r="E21" s="638">
        <f>SUM(E10:E20)</f>
        <v>13466386</v>
      </c>
      <c r="F21" s="699">
        <f t="shared" si="0"/>
        <v>0.19327887614889452</v>
      </c>
      <c r="G21" s="638">
        <f>SUM(G10:G20)</f>
        <v>0</v>
      </c>
      <c r="H21" s="638">
        <f>SUM(H10:H20)</f>
        <v>0</v>
      </c>
      <c r="I21" s="699">
        <f t="shared" si="1"/>
        <v>-1</v>
      </c>
      <c r="J21" s="637"/>
      <c r="K21" s="638">
        <f>SUM(K10:K20)</f>
        <v>16665467</v>
      </c>
      <c r="L21" s="638">
        <f>SUM(L10:L20)</f>
        <v>13466386</v>
      </c>
      <c r="M21" s="699">
        <f t="shared" si="2"/>
        <v>0.19327887614889452</v>
      </c>
      <c r="N21" s="638">
        <f>SUM(N10:N20)</f>
        <v>0</v>
      </c>
      <c r="O21" s="638">
        <f>SUM(O10:O20)</f>
        <v>0</v>
      </c>
      <c r="P21" s="699">
        <f t="shared" si="3"/>
        <v>-1</v>
      </c>
    </row>
    <row r="22" spans="1:16" ht="20.100000000000001" customHeight="1" x14ac:dyDescent="0.3">
      <c r="A22" s="635" t="s">
        <v>202</v>
      </c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</row>
    <row r="23" spans="1:16" ht="20.100000000000001" customHeight="1" x14ac:dyDescent="0.25">
      <c r="A23" s="339" t="s">
        <v>271</v>
      </c>
      <c r="B23" s="352">
        <v>8492325</v>
      </c>
      <c r="C23" s="352">
        <v>0</v>
      </c>
      <c r="D23" s="352">
        <v>9520621</v>
      </c>
      <c r="E23" s="352">
        <v>8492325</v>
      </c>
      <c r="F23" s="354">
        <f t="shared" ref="F23:F38" si="4">IF($B23&gt;0, (E23-$B23)/$B23, )</f>
        <v>0</v>
      </c>
      <c r="G23" s="352">
        <v>0</v>
      </c>
      <c r="H23" s="352">
        <v>0</v>
      </c>
      <c r="I23" s="354">
        <f t="shared" ref="I23:I38" si="5">IF($C23&gt;0, (H23-$C23)/$C23, )</f>
        <v>0</v>
      </c>
      <c r="K23" s="352">
        <v>9755189</v>
      </c>
      <c r="L23" s="352">
        <v>8492325</v>
      </c>
      <c r="M23" s="354">
        <f t="shared" ref="M23:M38" si="6">IF($B23&gt;0, (L23-$B23)/$B23, )</f>
        <v>0</v>
      </c>
      <c r="N23" s="352">
        <v>0</v>
      </c>
      <c r="O23" s="352">
        <v>0</v>
      </c>
      <c r="P23" s="354">
        <f t="shared" ref="P23:P38" si="7">IF($C23&gt;0, (O23-$C23)/$C23, )</f>
        <v>0</v>
      </c>
    </row>
    <row r="24" spans="1:16" ht="20.100000000000001" customHeight="1" x14ac:dyDescent="0.25">
      <c r="A24" s="339" t="s">
        <v>272</v>
      </c>
      <c r="B24" s="352">
        <v>3711561</v>
      </c>
      <c r="C24" s="352">
        <v>0</v>
      </c>
      <c r="D24" s="352">
        <v>4130350</v>
      </c>
      <c r="E24" s="352">
        <v>5741561</v>
      </c>
      <c r="F24" s="354">
        <f t="shared" si="4"/>
        <v>0.54693968386886271</v>
      </c>
      <c r="G24" s="352">
        <v>0</v>
      </c>
      <c r="H24" s="352">
        <v>0</v>
      </c>
      <c r="I24" s="354">
        <f t="shared" si="5"/>
        <v>0</v>
      </c>
      <c r="K24" s="352">
        <v>4065133</v>
      </c>
      <c r="L24" s="352">
        <v>5741561</v>
      </c>
      <c r="M24" s="354">
        <f t="shared" si="6"/>
        <v>0.54693968386886271</v>
      </c>
      <c r="N24" s="352">
        <v>0</v>
      </c>
      <c r="O24" s="352">
        <v>0</v>
      </c>
      <c r="P24" s="354">
        <f t="shared" si="7"/>
        <v>0</v>
      </c>
    </row>
    <row r="25" spans="1:16" ht="20.100000000000001" customHeight="1" x14ac:dyDescent="0.25">
      <c r="A25" s="339" t="s">
        <v>273</v>
      </c>
      <c r="B25" s="352">
        <v>522558</v>
      </c>
      <c r="C25" s="352">
        <v>0</v>
      </c>
      <c r="D25" s="352">
        <v>539681</v>
      </c>
      <c r="E25" s="352">
        <v>522558</v>
      </c>
      <c r="F25" s="354">
        <f t="shared" si="4"/>
        <v>0</v>
      </c>
      <c r="G25" s="352">
        <v>0</v>
      </c>
      <c r="H25" s="352">
        <v>0</v>
      </c>
      <c r="I25" s="354">
        <f t="shared" si="5"/>
        <v>0</v>
      </c>
      <c r="K25" s="352">
        <v>557282</v>
      </c>
      <c r="L25" s="352">
        <v>522558</v>
      </c>
      <c r="M25" s="354">
        <f t="shared" si="6"/>
        <v>0</v>
      </c>
      <c r="N25" s="352">
        <v>0</v>
      </c>
      <c r="O25" s="352">
        <v>0</v>
      </c>
      <c r="P25" s="354">
        <f t="shared" si="7"/>
        <v>0</v>
      </c>
    </row>
    <row r="26" spans="1:16" ht="20.100000000000001" customHeight="1" thickBot="1" x14ac:dyDescent="0.3">
      <c r="A26" s="339" t="s">
        <v>274</v>
      </c>
      <c r="B26" s="352">
        <v>7487816</v>
      </c>
      <c r="C26" s="352">
        <v>0</v>
      </c>
      <c r="D26" s="352">
        <v>7735540</v>
      </c>
      <c r="E26" s="352">
        <v>7487816</v>
      </c>
      <c r="F26" s="354">
        <f t="shared" si="4"/>
        <v>0</v>
      </c>
      <c r="G26" s="352">
        <v>0</v>
      </c>
      <c r="H26" s="352">
        <v>0</v>
      </c>
      <c r="I26" s="354">
        <f t="shared" si="5"/>
        <v>0</v>
      </c>
      <c r="J26"/>
      <c r="K26" s="352">
        <v>7991480</v>
      </c>
      <c r="L26" s="352">
        <v>7487816</v>
      </c>
      <c r="M26" s="354">
        <f t="shared" si="6"/>
        <v>0</v>
      </c>
      <c r="N26" s="352">
        <v>0</v>
      </c>
      <c r="O26" s="352">
        <v>0</v>
      </c>
      <c r="P26" s="354">
        <f t="shared" si="7"/>
        <v>0</v>
      </c>
    </row>
    <row r="27" spans="1:16" ht="20.100000000000001" customHeight="1" thickTop="1" thickBot="1" x14ac:dyDescent="0.3">
      <c r="A27" s="339" t="s">
        <v>275</v>
      </c>
      <c r="B27" s="352">
        <v>2412600</v>
      </c>
      <c r="C27" s="352">
        <v>0</v>
      </c>
      <c r="D27" s="352">
        <v>2412600</v>
      </c>
      <c r="E27" s="352">
        <v>2412600</v>
      </c>
      <c r="F27" s="354">
        <f t="shared" si="4"/>
        <v>0</v>
      </c>
      <c r="G27" s="352">
        <v>0</v>
      </c>
      <c r="H27" s="352">
        <v>0</v>
      </c>
      <c r="I27" s="354">
        <f t="shared" si="5"/>
        <v>0</v>
      </c>
      <c r="J27"/>
      <c r="K27" s="352">
        <v>2412600</v>
      </c>
      <c r="L27" s="352">
        <v>2412600</v>
      </c>
      <c r="M27" s="354">
        <f t="shared" si="6"/>
        <v>0</v>
      </c>
      <c r="N27" s="352">
        <v>0</v>
      </c>
      <c r="O27" s="352">
        <v>0</v>
      </c>
      <c r="P27" s="354">
        <f t="shared" si="7"/>
        <v>0</v>
      </c>
    </row>
    <row r="28" spans="1:16" ht="20.100000000000001" customHeight="1" x14ac:dyDescent="0.25">
      <c r="A28" s="339" t="s">
        <v>276</v>
      </c>
      <c r="B28" s="352">
        <v>0</v>
      </c>
      <c r="C28" s="352">
        <v>0</v>
      </c>
      <c r="D28" s="352">
        <v>4430212</v>
      </c>
      <c r="E28" s="352">
        <v>4430212</v>
      </c>
      <c r="F28" s="354">
        <f t="shared" si="4"/>
        <v>0</v>
      </c>
      <c r="G28" s="352">
        <v>0</v>
      </c>
      <c r="H28" s="352">
        <v>0</v>
      </c>
      <c r="I28" s="354">
        <f t="shared" si="5"/>
        <v>0</v>
      </c>
      <c r="K28" s="352">
        <v>4430212</v>
      </c>
      <c r="L28" s="352">
        <v>4430212</v>
      </c>
      <c r="M28" s="354">
        <f t="shared" si="6"/>
        <v>0</v>
      </c>
      <c r="N28" s="352">
        <v>0</v>
      </c>
      <c r="O28" s="352">
        <v>0</v>
      </c>
      <c r="P28" s="354">
        <f t="shared" si="7"/>
        <v>0</v>
      </c>
    </row>
    <row r="29" spans="1:16" ht="20.100000000000001" customHeight="1" x14ac:dyDescent="0.25">
      <c r="A29" s="339" t="s">
        <v>277</v>
      </c>
      <c r="B29" s="352">
        <v>2500000</v>
      </c>
      <c r="C29" s="352">
        <v>0</v>
      </c>
      <c r="D29" s="352">
        <v>0</v>
      </c>
      <c r="E29" s="352">
        <v>0</v>
      </c>
      <c r="F29" s="354">
        <f t="shared" si="4"/>
        <v>-1</v>
      </c>
      <c r="G29" s="352">
        <v>0</v>
      </c>
      <c r="H29" s="352">
        <v>0</v>
      </c>
      <c r="I29" s="354">
        <f t="shared" si="5"/>
        <v>0</v>
      </c>
      <c r="K29" s="352">
        <v>0</v>
      </c>
      <c r="L29" s="352">
        <v>0</v>
      </c>
      <c r="M29" s="354">
        <f t="shared" si="6"/>
        <v>-1</v>
      </c>
      <c r="N29" s="352">
        <v>0</v>
      </c>
      <c r="O29" s="352">
        <v>0</v>
      </c>
      <c r="P29" s="354">
        <f t="shared" si="7"/>
        <v>0</v>
      </c>
    </row>
    <row r="30" spans="1:16" ht="20.100000000000001" customHeight="1" x14ac:dyDescent="0.25">
      <c r="A30" s="339" t="s">
        <v>278</v>
      </c>
      <c r="B30" s="352">
        <v>1000000</v>
      </c>
      <c r="C30" s="352">
        <v>0</v>
      </c>
      <c r="D30" s="352">
        <v>0</v>
      </c>
      <c r="E30" s="352">
        <v>0</v>
      </c>
      <c r="F30" s="354">
        <f t="shared" si="4"/>
        <v>-1</v>
      </c>
      <c r="G30" s="352">
        <v>0</v>
      </c>
      <c r="H30" s="352">
        <v>0</v>
      </c>
      <c r="I30" s="354">
        <f t="shared" si="5"/>
        <v>0</v>
      </c>
      <c r="K30" s="352">
        <v>0</v>
      </c>
      <c r="L30" s="352">
        <v>0</v>
      </c>
      <c r="M30" s="354">
        <f t="shared" si="6"/>
        <v>-1</v>
      </c>
      <c r="N30" s="352">
        <v>0</v>
      </c>
      <c r="O30" s="352">
        <v>0</v>
      </c>
      <c r="P30" s="354">
        <f t="shared" si="7"/>
        <v>0</v>
      </c>
    </row>
    <row r="31" spans="1:16" ht="20.100000000000001" customHeight="1" x14ac:dyDescent="0.25">
      <c r="A31" s="339" t="s">
        <v>279</v>
      </c>
      <c r="B31" s="352">
        <v>6695258</v>
      </c>
      <c r="C31" s="352">
        <v>0</v>
      </c>
      <c r="D31" s="352">
        <v>6963024</v>
      </c>
      <c r="E31" s="352">
        <v>6695258</v>
      </c>
      <c r="F31" s="354">
        <f t="shared" si="4"/>
        <v>0</v>
      </c>
      <c r="G31" s="352">
        <v>0</v>
      </c>
      <c r="H31" s="352">
        <v>0</v>
      </c>
      <c r="I31" s="354">
        <f t="shared" si="5"/>
        <v>0</v>
      </c>
      <c r="K31" s="352">
        <v>7237484</v>
      </c>
      <c r="L31" s="352">
        <v>6695258</v>
      </c>
      <c r="M31" s="354">
        <f t="shared" si="6"/>
        <v>0</v>
      </c>
      <c r="N31" s="352">
        <v>0</v>
      </c>
      <c r="O31" s="352">
        <v>0</v>
      </c>
      <c r="P31" s="354">
        <f t="shared" si="7"/>
        <v>0</v>
      </c>
    </row>
    <row r="32" spans="1:16" ht="20.100000000000001" customHeight="1" x14ac:dyDescent="0.25">
      <c r="A32" s="339" t="s">
        <v>280</v>
      </c>
      <c r="B32" s="352">
        <v>1500000</v>
      </c>
      <c r="C32" s="352">
        <v>0</v>
      </c>
      <c r="D32" s="352">
        <v>0</v>
      </c>
      <c r="E32" s="352">
        <v>0</v>
      </c>
      <c r="F32" s="354">
        <f t="shared" si="4"/>
        <v>-1</v>
      </c>
      <c r="G32" s="352">
        <v>0</v>
      </c>
      <c r="H32" s="352">
        <v>0</v>
      </c>
      <c r="I32" s="354">
        <f t="shared" si="5"/>
        <v>0</v>
      </c>
      <c r="K32" s="352">
        <v>0</v>
      </c>
      <c r="L32" s="352">
        <v>0</v>
      </c>
      <c r="M32" s="354">
        <f t="shared" si="6"/>
        <v>-1</v>
      </c>
      <c r="N32" s="352">
        <v>0</v>
      </c>
      <c r="O32" s="352">
        <v>0</v>
      </c>
      <c r="P32" s="354">
        <f t="shared" si="7"/>
        <v>0</v>
      </c>
    </row>
    <row r="33" spans="1:16" ht="20.100000000000001" customHeight="1" x14ac:dyDescent="0.25">
      <c r="A33" s="339" t="s">
        <v>281</v>
      </c>
      <c r="B33" s="352">
        <v>1930212</v>
      </c>
      <c r="C33" s="352">
        <v>0</v>
      </c>
      <c r="D33" s="352">
        <v>0</v>
      </c>
      <c r="E33" s="352">
        <v>0</v>
      </c>
      <c r="F33" s="354">
        <f t="shared" si="4"/>
        <v>-1</v>
      </c>
      <c r="G33" s="352">
        <v>0</v>
      </c>
      <c r="H33" s="352">
        <v>0</v>
      </c>
      <c r="I33" s="354">
        <f t="shared" si="5"/>
        <v>0</v>
      </c>
      <c r="K33" s="352">
        <v>0</v>
      </c>
      <c r="L33" s="352">
        <v>0</v>
      </c>
      <c r="M33" s="354">
        <f t="shared" si="6"/>
        <v>-1</v>
      </c>
      <c r="N33" s="352">
        <v>0</v>
      </c>
      <c r="O33" s="352">
        <v>0</v>
      </c>
      <c r="P33" s="354">
        <f t="shared" si="7"/>
        <v>0</v>
      </c>
    </row>
    <row r="34" spans="1:16" ht="20.100000000000001" customHeight="1" x14ac:dyDescent="0.25">
      <c r="A34" s="339" t="s">
        <v>282</v>
      </c>
      <c r="B34" s="352">
        <v>0</v>
      </c>
      <c r="C34" s="352">
        <v>0</v>
      </c>
      <c r="D34" s="352">
        <v>0</v>
      </c>
      <c r="E34" s="352">
        <v>0</v>
      </c>
      <c r="F34" s="354">
        <f t="shared" si="4"/>
        <v>0</v>
      </c>
      <c r="G34" s="352">
        <v>150000</v>
      </c>
      <c r="H34" s="352">
        <v>150000</v>
      </c>
      <c r="I34" s="354">
        <f t="shared" si="5"/>
        <v>0</v>
      </c>
      <c r="K34" s="352">
        <v>0</v>
      </c>
      <c r="L34" s="352">
        <v>0</v>
      </c>
      <c r="M34" s="354">
        <f t="shared" si="6"/>
        <v>0</v>
      </c>
      <c r="N34" s="352">
        <v>150000</v>
      </c>
      <c r="O34" s="352">
        <v>150000</v>
      </c>
      <c r="P34" s="354">
        <f t="shared" si="7"/>
        <v>0</v>
      </c>
    </row>
    <row r="35" spans="1:16" ht="20.100000000000001" customHeight="1" x14ac:dyDescent="0.25">
      <c r="A35" s="339" t="s">
        <v>283</v>
      </c>
      <c r="B35" s="352">
        <v>0</v>
      </c>
      <c r="C35" s="352">
        <v>0</v>
      </c>
      <c r="D35" s="352">
        <v>17616120</v>
      </c>
      <c r="E35" s="352">
        <v>0</v>
      </c>
      <c r="F35" s="354">
        <f t="shared" si="4"/>
        <v>0</v>
      </c>
      <c r="G35" s="352">
        <v>0</v>
      </c>
      <c r="H35" s="352">
        <v>0</v>
      </c>
      <c r="I35" s="354">
        <f t="shared" si="5"/>
        <v>0</v>
      </c>
      <c r="K35" s="352">
        <v>17616120</v>
      </c>
      <c r="L35" s="352">
        <v>0</v>
      </c>
      <c r="M35" s="354">
        <f t="shared" si="6"/>
        <v>0</v>
      </c>
      <c r="N35" s="352">
        <v>0</v>
      </c>
      <c r="O35" s="352">
        <v>0</v>
      </c>
      <c r="P35" s="354">
        <f t="shared" si="7"/>
        <v>0</v>
      </c>
    </row>
    <row r="36" spans="1:16" ht="20.100000000000001" customHeight="1" x14ac:dyDescent="0.25">
      <c r="A36" s="339" t="s">
        <v>284</v>
      </c>
      <c r="B36" s="352">
        <v>0</v>
      </c>
      <c r="C36" s="352">
        <v>0</v>
      </c>
      <c r="D36" s="352">
        <v>2000000</v>
      </c>
      <c r="E36" s="352">
        <v>0</v>
      </c>
      <c r="F36" s="354">
        <f t="shared" si="4"/>
        <v>0</v>
      </c>
      <c r="G36" s="352">
        <v>0</v>
      </c>
      <c r="H36" s="352">
        <v>0</v>
      </c>
      <c r="I36" s="354">
        <f t="shared" si="5"/>
        <v>0</v>
      </c>
      <c r="K36" s="352">
        <v>2000000</v>
      </c>
      <c r="L36" s="352">
        <v>0</v>
      </c>
      <c r="M36" s="354">
        <f t="shared" si="6"/>
        <v>0</v>
      </c>
      <c r="N36" s="352">
        <v>0</v>
      </c>
      <c r="O36" s="352">
        <v>0</v>
      </c>
      <c r="P36" s="354">
        <f t="shared" si="7"/>
        <v>0</v>
      </c>
    </row>
    <row r="37" spans="1:16" ht="20.100000000000001" customHeight="1" x14ac:dyDescent="0.25">
      <c r="A37" s="339" t="s">
        <v>285</v>
      </c>
      <c r="B37" s="352">
        <v>0</v>
      </c>
      <c r="C37" s="352">
        <v>0</v>
      </c>
      <c r="D37" s="352">
        <v>0</v>
      </c>
      <c r="E37" s="352">
        <v>0</v>
      </c>
      <c r="F37" s="354">
        <f t="shared" si="4"/>
        <v>0</v>
      </c>
      <c r="G37" s="352">
        <v>536934</v>
      </c>
      <c r="H37" s="352">
        <v>590000</v>
      </c>
      <c r="I37" s="354">
        <f t="shared" si="5"/>
        <v>0</v>
      </c>
      <c r="K37" s="352">
        <v>0</v>
      </c>
      <c r="L37" s="352">
        <v>0</v>
      </c>
      <c r="M37" s="354">
        <f t="shared" si="6"/>
        <v>0</v>
      </c>
      <c r="N37" s="352">
        <v>536934</v>
      </c>
      <c r="O37" s="352">
        <v>590000</v>
      </c>
      <c r="P37" s="354">
        <f t="shared" si="7"/>
        <v>0</v>
      </c>
    </row>
    <row r="38" spans="1:16" ht="20.100000000000001" customHeight="1" x14ac:dyDescent="0.3">
      <c r="A38" s="636" t="s">
        <v>209</v>
      </c>
      <c r="B38" s="638">
        <f>SUM(B23:B37)</f>
        <v>36252330</v>
      </c>
      <c r="C38" s="638">
        <f>SUM(C23:C37)</f>
        <v>0</v>
      </c>
      <c r="D38" s="638">
        <f>SUM(D23:D37)</f>
        <v>55348148</v>
      </c>
      <c r="E38" s="638">
        <f>SUM(E23:E37)</f>
        <v>35782330</v>
      </c>
      <c r="F38" s="699">
        <f t="shared" si="4"/>
        <v>-1.2964683925143571E-2</v>
      </c>
      <c r="G38" s="638">
        <f>SUM(G23:G37)</f>
        <v>686934</v>
      </c>
      <c r="H38" s="638">
        <f>SUM(H23:H37)</f>
        <v>740000</v>
      </c>
      <c r="I38" s="699">
        <f t="shared" si="5"/>
        <v>0</v>
      </c>
      <c r="J38" s="637"/>
      <c r="K38" s="638">
        <f>SUM(K23:K37)</f>
        <v>56065500</v>
      </c>
      <c r="L38" s="638">
        <f>SUM(L23:L37)</f>
        <v>35782330</v>
      </c>
      <c r="M38" s="699">
        <f t="shared" si="6"/>
        <v>-1.2964683925143571E-2</v>
      </c>
      <c r="N38" s="638">
        <f>SUM(N23:N37)</f>
        <v>686934</v>
      </c>
      <c r="O38" s="638">
        <f>SUM(O23:O37)</f>
        <v>740000</v>
      </c>
      <c r="P38" s="699">
        <f t="shared" si="7"/>
        <v>0</v>
      </c>
    </row>
    <row r="39" spans="1:16" ht="20.100000000000001" customHeight="1" x14ac:dyDescent="0.3">
      <c r="A39" s="635" t="s">
        <v>210</v>
      </c>
      <c r="B39" s="634"/>
      <c r="C39" s="634"/>
      <c r="D39" s="634"/>
      <c r="E39" s="634"/>
      <c r="F39" s="634"/>
      <c r="G39" s="634"/>
      <c r="H39" s="634"/>
      <c r="I39" s="634"/>
      <c r="J39" s="634"/>
      <c r="K39" s="634"/>
      <c r="L39" s="634"/>
      <c r="M39" s="634"/>
      <c r="N39" s="634"/>
      <c r="O39" s="634"/>
      <c r="P39" s="634"/>
    </row>
    <row r="40" spans="1:16" ht="20.100000000000001" customHeight="1" x14ac:dyDescent="0.25">
      <c r="A40" s="339" t="s">
        <v>286</v>
      </c>
      <c r="B40" s="352">
        <v>4384956</v>
      </c>
      <c r="C40" s="352">
        <v>0</v>
      </c>
      <c r="D40" s="352">
        <v>4473000</v>
      </c>
      <c r="E40" s="352">
        <v>4384956</v>
      </c>
      <c r="F40" s="354">
        <f>IF($B40&gt;0, (E40-$B40)/$B40, )</f>
        <v>0</v>
      </c>
      <c r="G40" s="352">
        <v>0</v>
      </c>
      <c r="H40" s="352">
        <v>0</v>
      </c>
      <c r="I40" s="354">
        <f>IF($C40&gt;0, (H40-$C40)/$C40, )</f>
        <v>0</v>
      </c>
      <c r="K40" s="352">
        <v>4473000</v>
      </c>
      <c r="L40" s="352">
        <v>4384956</v>
      </c>
      <c r="M40" s="354">
        <f>IF($B40&gt;0, (L40-$B40)/$B40, )</f>
        <v>0</v>
      </c>
      <c r="N40" s="352">
        <v>0</v>
      </c>
      <c r="O40" s="352">
        <v>0</v>
      </c>
      <c r="P40" s="354">
        <f>IF($C40&gt;0, (O40-$C40)/$C40, )</f>
        <v>0</v>
      </c>
    </row>
    <row r="41" spans="1:16" ht="20.100000000000001" customHeight="1" x14ac:dyDescent="0.25">
      <c r="A41" s="339" t="s">
        <v>287</v>
      </c>
      <c r="B41" s="352">
        <v>247550</v>
      </c>
      <c r="C41" s="352">
        <v>0</v>
      </c>
      <c r="D41" s="352">
        <v>247550</v>
      </c>
      <c r="E41" s="352">
        <v>247550</v>
      </c>
      <c r="F41" s="354">
        <f>IF($B41&gt;0, (E41-$B41)/$B41, )</f>
        <v>0</v>
      </c>
      <c r="G41" s="352">
        <v>0</v>
      </c>
      <c r="H41" s="352">
        <v>0</v>
      </c>
      <c r="I41" s="354">
        <f>IF($C41&gt;0, (H41-$C41)/$C41, )</f>
        <v>0</v>
      </c>
      <c r="K41" s="352">
        <v>247550</v>
      </c>
      <c r="L41" s="352">
        <v>247550</v>
      </c>
      <c r="M41" s="354">
        <f>IF($B41&gt;0, (L41-$B41)/$B41, )</f>
        <v>0</v>
      </c>
      <c r="N41" s="352">
        <v>0</v>
      </c>
      <c r="O41" s="352">
        <v>0</v>
      </c>
      <c r="P41" s="354">
        <f>IF($C41&gt;0, (O41-$C41)/$C41, )</f>
        <v>0</v>
      </c>
    </row>
    <row r="42" spans="1:16" ht="20.100000000000001" customHeight="1" x14ac:dyDescent="0.25">
      <c r="A42" s="339" t="s">
        <v>288</v>
      </c>
      <c r="B42" s="352">
        <v>2500000</v>
      </c>
      <c r="C42" s="352">
        <v>0</v>
      </c>
      <c r="D42" s="352">
        <v>4500000</v>
      </c>
      <c r="E42" s="352">
        <v>2500000</v>
      </c>
      <c r="F42" s="354">
        <f>IF($B42&gt;0, (E42-$B42)/$B42, )</f>
        <v>0</v>
      </c>
      <c r="G42" s="352">
        <v>0</v>
      </c>
      <c r="H42" s="352">
        <v>0</v>
      </c>
      <c r="I42" s="354">
        <f>IF($C42&gt;0, (H42-$C42)/$C42, )</f>
        <v>0</v>
      </c>
      <c r="K42" s="352">
        <v>4500000</v>
      </c>
      <c r="L42" s="352">
        <v>2500000</v>
      </c>
      <c r="M42" s="354">
        <f>IF($B42&gt;0, (L42-$B42)/$B42, )</f>
        <v>0</v>
      </c>
      <c r="N42" s="352">
        <v>0</v>
      </c>
      <c r="O42" s="352">
        <v>0</v>
      </c>
      <c r="P42" s="354">
        <f>IF($C42&gt;0, (O42-$C42)/$C42, )</f>
        <v>0</v>
      </c>
    </row>
    <row r="43" spans="1:16" ht="20.100000000000001" customHeight="1" x14ac:dyDescent="0.3">
      <c r="A43" s="636" t="s">
        <v>215</v>
      </c>
      <c r="B43" s="638">
        <f>SUM(B40:B42)</f>
        <v>7132506</v>
      </c>
      <c r="C43" s="638">
        <f>SUM(C40:C42)</f>
        <v>0</v>
      </c>
      <c r="D43" s="638">
        <f>SUM(D40:D42)</f>
        <v>9220550</v>
      </c>
      <c r="E43" s="638">
        <f>SUM(E40:E42)</f>
        <v>7132506</v>
      </c>
      <c r="F43" s="699">
        <f>IF($B43&gt;0, (E43-$B43)/$B43, )</f>
        <v>0</v>
      </c>
      <c r="G43" s="638">
        <f>SUM(G40:G42)</f>
        <v>0</v>
      </c>
      <c r="H43" s="638">
        <f>SUM(H40:H42)</f>
        <v>0</v>
      </c>
      <c r="I43" s="699">
        <f>IF($C43&gt;0, (H43-$C43)/$C43, )</f>
        <v>0</v>
      </c>
      <c r="J43" s="637"/>
      <c r="K43" s="638">
        <f>SUM(K40:K42)</f>
        <v>9220550</v>
      </c>
      <c r="L43" s="638">
        <f>SUM(L40:L42)</f>
        <v>7132506</v>
      </c>
      <c r="M43" s="699">
        <f>IF($B43&gt;0, (L43-$B43)/$B43, )</f>
        <v>0</v>
      </c>
      <c r="N43" s="638">
        <f>SUM(N40:N42)</f>
        <v>0</v>
      </c>
      <c r="O43" s="638">
        <f>SUM(O40:O42)</f>
        <v>0</v>
      </c>
      <c r="P43" s="699">
        <f>IF($C43&gt;0, (O43-$C43)/$C43, )</f>
        <v>0</v>
      </c>
    </row>
    <row r="44" spans="1:16" ht="20.100000000000001" customHeight="1" x14ac:dyDescent="0.3">
      <c r="A44" s="635" t="s">
        <v>216</v>
      </c>
      <c r="B44" s="634"/>
      <c r="C44" s="634"/>
      <c r="D44" s="634"/>
      <c r="E44" s="634"/>
      <c r="F44" s="634"/>
      <c r="G44" s="634"/>
      <c r="H44" s="634"/>
      <c r="I44" s="634"/>
      <c r="J44" s="634"/>
      <c r="K44" s="634"/>
      <c r="L44" s="634"/>
      <c r="M44" s="634"/>
      <c r="N44" s="634"/>
      <c r="O44" s="634"/>
      <c r="P44" s="634"/>
    </row>
    <row r="45" spans="1:16" ht="20.100000000000001" customHeight="1" x14ac:dyDescent="0.25">
      <c r="A45" s="339" t="s">
        <v>289</v>
      </c>
      <c r="B45" s="352">
        <v>0</v>
      </c>
      <c r="C45" s="352">
        <v>446438</v>
      </c>
      <c r="D45" s="352">
        <v>457600</v>
      </c>
      <c r="E45" s="352">
        <v>446438</v>
      </c>
      <c r="F45" s="354">
        <f t="shared" ref="F45:F50" si="8">IF($B45&gt;0, (E45-$B45)/$B45, )</f>
        <v>0</v>
      </c>
      <c r="G45" s="352">
        <v>0</v>
      </c>
      <c r="H45" s="352">
        <v>0</v>
      </c>
      <c r="I45" s="354">
        <f t="shared" ref="I45:I50" si="9">IF($C45&gt;0, (H45-$C45)/$C45, )</f>
        <v>-1</v>
      </c>
      <c r="K45" s="352">
        <v>457600</v>
      </c>
      <c r="L45" s="352">
        <v>446438</v>
      </c>
      <c r="M45" s="354">
        <f t="shared" ref="M45:M50" si="10">IF($B45&gt;0, (L45-$B45)/$B45, )</f>
        <v>0</v>
      </c>
      <c r="N45" s="352">
        <v>0</v>
      </c>
      <c r="O45" s="352">
        <v>0</v>
      </c>
      <c r="P45" s="354">
        <f t="shared" ref="P45:P50" si="11">IF($C45&gt;0, (O45-$C45)/$C45, )</f>
        <v>-1</v>
      </c>
    </row>
    <row r="46" spans="1:16" ht="20.100000000000001" customHeight="1" x14ac:dyDescent="0.25">
      <c r="A46" s="339" t="s">
        <v>290</v>
      </c>
      <c r="B46" s="352">
        <v>180750</v>
      </c>
      <c r="C46" s="352">
        <v>0</v>
      </c>
      <c r="D46" s="352">
        <v>180750</v>
      </c>
      <c r="E46" s="352">
        <v>180750</v>
      </c>
      <c r="F46" s="354">
        <f t="shared" si="8"/>
        <v>0</v>
      </c>
      <c r="G46" s="352">
        <v>0</v>
      </c>
      <c r="H46" s="352">
        <v>0</v>
      </c>
      <c r="I46" s="354">
        <f t="shared" si="9"/>
        <v>0</v>
      </c>
      <c r="K46" s="352">
        <v>180750</v>
      </c>
      <c r="L46" s="352">
        <v>180750</v>
      </c>
      <c r="M46" s="354">
        <f t="shared" si="10"/>
        <v>0</v>
      </c>
      <c r="N46" s="352">
        <v>0</v>
      </c>
      <c r="O46" s="352">
        <v>0</v>
      </c>
      <c r="P46" s="354">
        <f t="shared" si="11"/>
        <v>0</v>
      </c>
    </row>
    <row r="47" spans="1:16" ht="20.100000000000001" customHeight="1" x14ac:dyDescent="0.25">
      <c r="A47" s="339" t="s">
        <v>291</v>
      </c>
      <c r="B47" s="352">
        <v>204000</v>
      </c>
      <c r="C47" s="352">
        <v>0</v>
      </c>
      <c r="D47" s="352">
        <v>209100</v>
      </c>
      <c r="E47" s="352">
        <v>204000</v>
      </c>
      <c r="F47" s="354">
        <f t="shared" si="8"/>
        <v>0</v>
      </c>
      <c r="G47" s="352">
        <v>0</v>
      </c>
      <c r="H47" s="352">
        <v>0</v>
      </c>
      <c r="I47" s="354">
        <f t="shared" si="9"/>
        <v>0</v>
      </c>
      <c r="K47" s="352">
        <v>209100</v>
      </c>
      <c r="L47" s="352">
        <v>204000</v>
      </c>
      <c r="M47" s="354">
        <f t="shared" si="10"/>
        <v>0</v>
      </c>
      <c r="N47" s="352">
        <v>0</v>
      </c>
      <c r="O47" s="352">
        <v>0</v>
      </c>
      <c r="P47" s="354">
        <f t="shared" si="11"/>
        <v>0</v>
      </c>
    </row>
    <row r="48" spans="1:16" ht="20.100000000000001" customHeight="1" x14ac:dyDescent="0.25">
      <c r="A48" s="339" t="s">
        <v>292</v>
      </c>
      <c r="B48" s="352">
        <v>600000</v>
      </c>
      <c r="C48" s="352">
        <v>0</v>
      </c>
      <c r="D48" s="352">
        <v>615000</v>
      </c>
      <c r="E48" s="352">
        <v>600000</v>
      </c>
      <c r="F48" s="354">
        <f t="shared" si="8"/>
        <v>0</v>
      </c>
      <c r="G48" s="352">
        <v>0</v>
      </c>
      <c r="H48" s="352">
        <v>0</v>
      </c>
      <c r="I48" s="354">
        <f t="shared" si="9"/>
        <v>0</v>
      </c>
      <c r="K48" s="352">
        <v>615000</v>
      </c>
      <c r="L48" s="352">
        <v>600000</v>
      </c>
      <c r="M48" s="354">
        <f t="shared" si="10"/>
        <v>0</v>
      </c>
      <c r="N48" s="352">
        <v>0</v>
      </c>
      <c r="O48" s="352">
        <v>0</v>
      </c>
      <c r="P48" s="354">
        <f t="shared" si="11"/>
        <v>0</v>
      </c>
    </row>
    <row r="49" spans="1:16" ht="20.100000000000001" customHeight="1" x14ac:dyDescent="0.25">
      <c r="A49" s="339" t="s">
        <v>293</v>
      </c>
      <c r="B49" s="352">
        <v>2350000</v>
      </c>
      <c r="C49" s="352">
        <v>0</v>
      </c>
      <c r="D49" s="352">
        <v>0</v>
      </c>
      <c r="E49" s="352">
        <v>0</v>
      </c>
      <c r="F49" s="354">
        <f t="shared" si="8"/>
        <v>-1</v>
      </c>
      <c r="G49" s="352">
        <v>0</v>
      </c>
      <c r="H49" s="352">
        <v>0</v>
      </c>
      <c r="I49" s="354">
        <f t="shared" si="9"/>
        <v>0</v>
      </c>
      <c r="K49" s="352">
        <v>0</v>
      </c>
      <c r="L49" s="352">
        <v>0</v>
      </c>
      <c r="M49" s="354">
        <f t="shared" si="10"/>
        <v>-1</v>
      </c>
      <c r="N49" s="352">
        <v>0</v>
      </c>
      <c r="O49" s="352">
        <v>0</v>
      </c>
      <c r="P49" s="354">
        <f t="shared" si="11"/>
        <v>0</v>
      </c>
    </row>
    <row r="50" spans="1:16" ht="20.100000000000001" customHeight="1" x14ac:dyDescent="0.3">
      <c r="A50" s="636" t="s">
        <v>219</v>
      </c>
      <c r="B50" s="638">
        <f>SUM(B45:B49)</f>
        <v>3334750</v>
      </c>
      <c r="C50" s="638">
        <f>SUM(C45:C49)</f>
        <v>446438</v>
      </c>
      <c r="D50" s="638">
        <f>SUM(D45:D49)</f>
        <v>1462450</v>
      </c>
      <c r="E50" s="638">
        <f>SUM(E45:E49)</f>
        <v>1431188</v>
      </c>
      <c r="F50" s="699">
        <f t="shared" si="8"/>
        <v>-0.57082599895044606</v>
      </c>
      <c r="G50" s="638">
        <f>SUM(G45:G49)</f>
        <v>0</v>
      </c>
      <c r="H50" s="638">
        <f>SUM(H45:H49)</f>
        <v>0</v>
      </c>
      <c r="I50" s="699">
        <f t="shared" si="9"/>
        <v>-1</v>
      </c>
      <c r="J50" s="637"/>
      <c r="K50" s="638">
        <f>SUM(K45:K49)</f>
        <v>1462450</v>
      </c>
      <c r="L50" s="638">
        <f>SUM(L45:L49)</f>
        <v>1431188</v>
      </c>
      <c r="M50" s="699">
        <f t="shared" si="10"/>
        <v>-0.57082599895044606</v>
      </c>
      <c r="N50" s="638">
        <f>SUM(N45:N49)</f>
        <v>0</v>
      </c>
      <c r="O50" s="638">
        <f>SUM(O45:O49)</f>
        <v>0</v>
      </c>
      <c r="P50" s="699">
        <f t="shared" si="11"/>
        <v>-1</v>
      </c>
    </row>
    <row r="51" spans="1:16" ht="20.100000000000001" customHeight="1" x14ac:dyDescent="0.3">
      <c r="A51" s="635" t="s">
        <v>220</v>
      </c>
      <c r="B51" s="634"/>
      <c r="C51" s="634"/>
      <c r="D51" s="634"/>
      <c r="E51" s="634"/>
      <c r="F51" s="634"/>
      <c r="G51" s="634"/>
      <c r="H51" s="634"/>
      <c r="I51" s="634"/>
      <c r="J51" s="634"/>
      <c r="K51" s="634"/>
      <c r="L51" s="634"/>
      <c r="M51" s="634"/>
      <c r="N51" s="634"/>
      <c r="O51" s="634"/>
      <c r="P51" s="634"/>
    </row>
    <row r="52" spans="1:16" ht="20.100000000000001" customHeight="1" x14ac:dyDescent="0.25">
      <c r="A52" s="339" t="s">
        <v>294</v>
      </c>
      <c r="B52" s="352">
        <v>302550</v>
      </c>
      <c r="C52" s="352">
        <v>0</v>
      </c>
      <c r="D52" s="352">
        <v>302550</v>
      </c>
      <c r="E52" s="352">
        <v>302550</v>
      </c>
      <c r="F52" s="354">
        <f t="shared" ref="F52:F57" si="12">IF($B52&gt;0, (E52-$B52)/$B52, )</f>
        <v>0</v>
      </c>
      <c r="G52" s="352">
        <v>0</v>
      </c>
      <c r="H52" s="352">
        <v>0</v>
      </c>
      <c r="I52" s="354">
        <f t="shared" ref="I52:I57" si="13">IF($C52&gt;0, (H52-$C52)/$C52, )</f>
        <v>0</v>
      </c>
      <c r="K52" s="352">
        <v>302550</v>
      </c>
      <c r="L52" s="352">
        <v>302550</v>
      </c>
      <c r="M52" s="354">
        <f t="shared" ref="M52:M57" si="14">IF($B52&gt;0, (L52-$B52)/$B52, )</f>
        <v>0</v>
      </c>
      <c r="N52" s="352">
        <v>0</v>
      </c>
      <c r="O52" s="352">
        <v>0</v>
      </c>
      <c r="P52" s="354">
        <f t="shared" ref="P52:P57" si="15">IF($C52&gt;0, (O52-$C52)/$C52, )</f>
        <v>0</v>
      </c>
    </row>
    <row r="53" spans="1:16" ht="20.100000000000001" customHeight="1" thickBot="1" x14ac:dyDescent="0.3">
      <c r="A53" s="339" t="s">
        <v>295</v>
      </c>
      <c r="B53" s="352">
        <v>486878</v>
      </c>
      <c r="C53" s="352">
        <v>0</v>
      </c>
      <c r="D53" s="352">
        <v>530697</v>
      </c>
      <c r="E53" s="352">
        <v>486878</v>
      </c>
      <c r="F53" s="354">
        <f t="shared" si="12"/>
        <v>0</v>
      </c>
      <c r="G53" s="352">
        <v>0</v>
      </c>
      <c r="H53" s="352">
        <v>0</v>
      </c>
      <c r="I53" s="354">
        <f t="shared" si="13"/>
        <v>0</v>
      </c>
      <c r="J53"/>
      <c r="K53" s="352">
        <v>576488</v>
      </c>
      <c r="L53" s="352">
        <v>486878</v>
      </c>
      <c r="M53" s="354">
        <f t="shared" si="14"/>
        <v>0</v>
      </c>
      <c r="N53" s="352">
        <v>0</v>
      </c>
      <c r="O53" s="352">
        <v>0</v>
      </c>
      <c r="P53" s="354">
        <f t="shared" si="15"/>
        <v>0</v>
      </c>
    </row>
    <row r="54" spans="1:16" ht="20.100000000000001" customHeight="1" thickTop="1" thickBot="1" x14ac:dyDescent="0.3">
      <c r="A54" s="339" t="s">
        <v>296</v>
      </c>
      <c r="B54" s="352">
        <v>750000</v>
      </c>
      <c r="C54" s="352">
        <v>0</v>
      </c>
      <c r="D54" s="352">
        <v>750000</v>
      </c>
      <c r="E54" s="352">
        <v>0</v>
      </c>
      <c r="F54" s="354">
        <f t="shared" si="12"/>
        <v>-1</v>
      </c>
      <c r="G54" s="352">
        <v>0</v>
      </c>
      <c r="H54" s="352">
        <v>0</v>
      </c>
      <c r="I54" s="354">
        <f t="shared" si="13"/>
        <v>0</v>
      </c>
      <c r="J54"/>
      <c r="K54" s="352">
        <v>750000</v>
      </c>
      <c r="L54" s="352">
        <v>0</v>
      </c>
      <c r="M54" s="354">
        <f t="shared" si="14"/>
        <v>-1</v>
      </c>
      <c r="N54" s="352">
        <v>0</v>
      </c>
      <c r="O54" s="352">
        <v>0</v>
      </c>
      <c r="P54" s="354">
        <f t="shared" si="15"/>
        <v>0</v>
      </c>
    </row>
    <row r="55" spans="1:16" ht="20.100000000000001" customHeight="1" x14ac:dyDescent="0.25">
      <c r="A55" s="339" t="s">
        <v>297</v>
      </c>
      <c r="B55" s="352">
        <v>500000</v>
      </c>
      <c r="C55" s="352">
        <v>0</v>
      </c>
      <c r="D55" s="352">
        <v>500000</v>
      </c>
      <c r="E55" s="352">
        <v>0</v>
      </c>
      <c r="F55" s="354">
        <f t="shared" si="12"/>
        <v>-1</v>
      </c>
      <c r="G55" s="352">
        <v>0</v>
      </c>
      <c r="H55" s="352">
        <v>0</v>
      </c>
      <c r="I55" s="354">
        <f t="shared" si="13"/>
        <v>0</v>
      </c>
      <c r="K55" s="352">
        <v>500000</v>
      </c>
      <c r="L55" s="352">
        <v>0</v>
      </c>
      <c r="M55" s="354">
        <f t="shared" si="14"/>
        <v>-1</v>
      </c>
      <c r="N55" s="352">
        <v>0</v>
      </c>
      <c r="O55" s="352">
        <v>0</v>
      </c>
      <c r="P55" s="354">
        <f t="shared" si="15"/>
        <v>0</v>
      </c>
    </row>
    <row r="56" spans="1:16" ht="20.100000000000001" customHeight="1" x14ac:dyDescent="0.25">
      <c r="A56" s="339" t="s">
        <v>298</v>
      </c>
      <c r="B56" s="352">
        <v>0</v>
      </c>
      <c r="C56" s="352">
        <v>0</v>
      </c>
      <c r="D56" s="352">
        <v>250000</v>
      </c>
      <c r="E56" s="352">
        <v>0</v>
      </c>
      <c r="F56" s="354">
        <f t="shared" si="12"/>
        <v>0</v>
      </c>
      <c r="G56" s="352">
        <v>0</v>
      </c>
      <c r="H56" s="352">
        <v>0</v>
      </c>
      <c r="I56" s="354">
        <f t="shared" si="13"/>
        <v>0</v>
      </c>
      <c r="K56" s="352">
        <v>250000</v>
      </c>
      <c r="L56" s="352">
        <v>0</v>
      </c>
      <c r="M56" s="354">
        <f t="shared" si="14"/>
        <v>0</v>
      </c>
      <c r="N56" s="352">
        <v>0</v>
      </c>
      <c r="O56" s="352">
        <v>0</v>
      </c>
      <c r="P56" s="354">
        <f t="shared" si="15"/>
        <v>0</v>
      </c>
    </row>
    <row r="57" spans="1:16" ht="20.100000000000001" customHeight="1" x14ac:dyDescent="0.3">
      <c r="A57" s="636" t="s">
        <v>223</v>
      </c>
      <c r="B57" s="638">
        <f>SUM(B52:B56)</f>
        <v>2039428</v>
      </c>
      <c r="C57" s="638">
        <f>SUM(C52:C56)</f>
        <v>0</v>
      </c>
      <c r="D57" s="638">
        <f>SUM(D52:D56)</f>
        <v>2333247</v>
      </c>
      <c r="E57" s="638">
        <f>SUM(E52:E56)</f>
        <v>789428</v>
      </c>
      <c r="F57" s="699">
        <f t="shared" si="12"/>
        <v>-0.61291695514624689</v>
      </c>
      <c r="G57" s="638">
        <f>SUM(G52:G56)</f>
        <v>0</v>
      </c>
      <c r="H57" s="638">
        <f>SUM(H52:H56)</f>
        <v>0</v>
      </c>
      <c r="I57" s="699">
        <f t="shared" si="13"/>
        <v>0</v>
      </c>
      <c r="J57" s="637"/>
      <c r="K57" s="638">
        <f>SUM(K52:K56)</f>
        <v>2379038</v>
      </c>
      <c r="L57" s="638">
        <f>SUM(L52:L56)</f>
        <v>789428</v>
      </c>
      <c r="M57" s="699">
        <f t="shared" si="14"/>
        <v>-0.61291695514624689</v>
      </c>
      <c r="N57" s="638">
        <f>SUM(N52:N56)</f>
        <v>0</v>
      </c>
      <c r="O57" s="638">
        <f>SUM(O52:O56)</f>
        <v>0</v>
      </c>
      <c r="P57" s="699">
        <f t="shared" si="15"/>
        <v>0</v>
      </c>
    </row>
    <row r="58" spans="1:16" ht="20.100000000000001" customHeight="1" x14ac:dyDescent="0.3">
      <c r="A58" s="635" t="s">
        <v>224</v>
      </c>
      <c r="B58" s="634"/>
      <c r="C58" s="634"/>
      <c r="D58" s="634"/>
      <c r="E58" s="634"/>
      <c r="F58" s="634"/>
      <c r="G58" s="634"/>
      <c r="H58" s="634"/>
      <c r="I58" s="634"/>
      <c r="J58" s="634"/>
      <c r="K58" s="634"/>
      <c r="L58" s="634"/>
      <c r="M58" s="634"/>
      <c r="N58" s="634"/>
      <c r="O58" s="634"/>
      <c r="P58" s="634"/>
    </row>
    <row r="59" spans="1:16" ht="20.100000000000001" customHeight="1" x14ac:dyDescent="0.25">
      <c r="A59" s="339" t="s">
        <v>299</v>
      </c>
      <c r="B59" s="352">
        <v>3000000</v>
      </c>
      <c r="C59" s="352">
        <v>0</v>
      </c>
      <c r="D59" s="352">
        <v>5000000</v>
      </c>
      <c r="E59" s="352">
        <v>3000000</v>
      </c>
      <c r="F59" s="354">
        <f>IF($B59&gt;0, (E59-$B59)/$B59, )</f>
        <v>0</v>
      </c>
      <c r="G59" s="352">
        <v>0</v>
      </c>
      <c r="H59" s="352">
        <v>0</v>
      </c>
      <c r="I59" s="354">
        <f>IF($C59&gt;0, (H59-$C59)/$C59, )</f>
        <v>0</v>
      </c>
      <c r="K59" s="352">
        <v>5000000</v>
      </c>
      <c r="L59" s="352">
        <v>3000000</v>
      </c>
      <c r="M59" s="354">
        <f>IF($B59&gt;0, (L59-$B59)/$B59, )</f>
        <v>0</v>
      </c>
      <c r="N59" s="352">
        <v>0</v>
      </c>
      <c r="O59" s="352">
        <v>0</v>
      </c>
      <c r="P59" s="354">
        <f>IF($C59&gt;0, (O59-$C59)/$C59, )</f>
        <v>0</v>
      </c>
    </row>
    <row r="60" spans="1:16" ht="20.100000000000001" customHeight="1" x14ac:dyDescent="0.25">
      <c r="A60" s="339" t="s">
        <v>300</v>
      </c>
      <c r="B60" s="352">
        <v>3933800</v>
      </c>
      <c r="C60" s="352">
        <v>0</v>
      </c>
      <c r="D60" s="352">
        <v>3933800</v>
      </c>
      <c r="E60" s="352">
        <v>3933800</v>
      </c>
      <c r="F60" s="354">
        <f>IF($B60&gt;0, (E60-$B60)/$B60, )</f>
        <v>0</v>
      </c>
      <c r="G60" s="352">
        <v>0</v>
      </c>
      <c r="H60" s="352">
        <v>0</v>
      </c>
      <c r="I60" s="354">
        <f>IF($C60&gt;0, (H60-$C60)/$C60, )</f>
        <v>0</v>
      </c>
      <c r="K60" s="352">
        <v>3933800</v>
      </c>
      <c r="L60" s="352">
        <v>3933800</v>
      </c>
      <c r="M60" s="354">
        <f>IF($B60&gt;0, (L60-$B60)/$B60, )</f>
        <v>0</v>
      </c>
      <c r="N60" s="352">
        <v>0</v>
      </c>
      <c r="O60" s="352">
        <v>0</v>
      </c>
      <c r="P60" s="354">
        <f>IF($C60&gt;0, (O60-$C60)/$C60, )</f>
        <v>0</v>
      </c>
    </row>
    <row r="61" spans="1:16" ht="20.100000000000001" customHeight="1" x14ac:dyDescent="0.3">
      <c r="A61" s="636" t="s">
        <v>231</v>
      </c>
      <c r="B61" s="638">
        <f>SUM(B59:B60)</f>
        <v>6933800</v>
      </c>
      <c r="C61" s="638">
        <f>SUM(C59:C60)</f>
        <v>0</v>
      </c>
      <c r="D61" s="638">
        <f>SUM(D59:D60)</f>
        <v>8933800</v>
      </c>
      <c r="E61" s="638">
        <f>SUM(E59:E60)</f>
        <v>6933800</v>
      </c>
      <c r="F61" s="699">
        <f>IF($B61&gt;0, (E61-$B61)/$B61, )</f>
        <v>0</v>
      </c>
      <c r="G61" s="638">
        <f>SUM(G59:G60)</f>
        <v>0</v>
      </c>
      <c r="H61" s="638">
        <f>SUM(H59:H60)</f>
        <v>0</v>
      </c>
      <c r="I61" s="699">
        <f>IF($C61&gt;0, (H61-$C61)/$C61, )</f>
        <v>0</v>
      </c>
      <c r="J61" s="637"/>
      <c r="K61" s="638">
        <f>SUM(K59:K60)</f>
        <v>8933800</v>
      </c>
      <c r="L61" s="638">
        <f>SUM(L59:L60)</f>
        <v>6933800</v>
      </c>
      <c r="M61" s="699">
        <f>IF($B61&gt;0, (L61-$B61)/$B61, )</f>
        <v>0</v>
      </c>
      <c r="N61" s="638">
        <f>SUM(N59:N60)</f>
        <v>0</v>
      </c>
      <c r="O61" s="638">
        <f>SUM(O59:O60)</f>
        <v>0</v>
      </c>
      <c r="P61" s="699">
        <f>IF($C61&gt;0, (O61-$C61)/$C61, )</f>
        <v>0</v>
      </c>
    </row>
    <row r="62" spans="1:16" ht="20.100000000000001" customHeight="1" x14ac:dyDescent="0.3">
      <c r="A62" s="635" t="s">
        <v>232</v>
      </c>
      <c r="B62" s="634"/>
      <c r="C62" s="634"/>
      <c r="D62" s="634"/>
      <c r="E62" s="634"/>
      <c r="F62" s="634"/>
      <c r="G62" s="634"/>
      <c r="H62" s="634"/>
      <c r="I62" s="634"/>
      <c r="J62" s="634"/>
      <c r="K62" s="634"/>
      <c r="L62" s="634"/>
      <c r="M62" s="634"/>
      <c r="N62" s="634"/>
      <c r="O62" s="634"/>
      <c r="P62" s="634"/>
    </row>
    <row r="63" spans="1:16" ht="20.100000000000001" customHeight="1" x14ac:dyDescent="0.25">
      <c r="A63" s="339" t="s">
        <v>301</v>
      </c>
      <c r="B63" s="352">
        <v>12989150</v>
      </c>
      <c r="C63" s="352">
        <v>0</v>
      </c>
      <c r="D63" s="352">
        <v>12989150</v>
      </c>
      <c r="E63" s="352">
        <v>12989150</v>
      </c>
      <c r="F63" s="354">
        <f t="shared" ref="F63:F69" si="16">IF($B63&gt;0, (E63-$B63)/$B63, )</f>
        <v>0</v>
      </c>
      <c r="G63" s="352">
        <v>0</v>
      </c>
      <c r="H63" s="352">
        <v>0</v>
      </c>
      <c r="I63" s="354">
        <f t="shared" ref="I63:I69" si="17">IF($C63&gt;0, (H63-$C63)/$C63, )</f>
        <v>0</v>
      </c>
      <c r="K63" s="352">
        <v>12989150</v>
      </c>
      <c r="L63" s="352">
        <v>12989150</v>
      </c>
      <c r="M63" s="354">
        <f t="shared" ref="M63:M69" si="18">IF($B63&gt;0, (L63-$B63)/$B63, )</f>
        <v>0</v>
      </c>
      <c r="N63" s="352">
        <v>0</v>
      </c>
      <c r="O63" s="352">
        <v>0</v>
      </c>
      <c r="P63" s="354">
        <f t="shared" ref="P63:P69" si="19">IF($C63&gt;0, (O63-$C63)/$C63, )</f>
        <v>0</v>
      </c>
    </row>
    <row r="64" spans="1:16" ht="20.100000000000001" customHeight="1" x14ac:dyDescent="0.25">
      <c r="A64" s="339" t="s">
        <v>302</v>
      </c>
      <c r="B64" s="352">
        <v>1000000</v>
      </c>
      <c r="C64" s="352">
        <v>0</v>
      </c>
      <c r="D64" s="352">
        <v>1000000</v>
      </c>
      <c r="E64" s="352">
        <v>1000000</v>
      </c>
      <c r="F64" s="354">
        <f t="shared" si="16"/>
        <v>0</v>
      </c>
      <c r="G64" s="352">
        <v>0</v>
      </c>
      <c r="H64" s="352">
        <v>0</v>
      </c>
      <c r="I64" s="354">
        <f t="shared" si="17"/>
        <v>0</v>
      </c>
      <c r="K64" s="352">
        <v>1000000</v>
      </c>
      <c r="L64" s="352">
        <v>1000000</v>
      </c>
      <c r="M64" s="354">
        <f t="shared" si="18"/>
        <v>0</v>
      </c>
      <c r="N64" s="352">
        <v>0</v>
      </c>
      <c r="O64" s="352">
        <v>0</v>
      </c>
      <c r="P64" s="354">
        <f t="shared" si="19"/>
        <v>0</v>
      </c>
    </row>
    <row r="65" spans="1:16" ht="20.100000000000001" customHeight="1" x14ac:dyDescent="0.25">
      <c r="A65" s="339" t="s">
        <v>303</v>
      </c>
      <c r="B65" s="352">
        <v>0</v>
      </c>
      <c r="C65" s="352">
        <v>1057738</v>
      </c>
      <c r="D65" s="352">
        <v>1057738</v>
      </c>
      <c r="E65" s="352">
        <v>1057738</v>
      </c>
      <c r="F65" s="354">
        <f t="shared" si="16"/>
        <v>0</v>
      </c>
      <c r="G65" s="352">
        <v>0</v>
      </c>
      <c r="H65" s="352">
        <v>0</v>
      </c>
      <c r="I65" s="354">
        <f t="shared" si="17"/>
        <v>-1</v>
      </c>
      <c r="K65" s="352">
        <v>1057738</v>
      </c>
      <c r="L65" s="352">
        <v>1057738</v>
      </c>
      <c r="M65" s="354">
        <f t="shared" si="18"/>
        <v>0</v>
      </c>
      <c r="N65" s="352">
        <v>0</v>
      </c>
      <c r="O65" s="352">
        <v>0</v>
      </c>
      <c r="P65" s="354">
        <f t="shared" si="19"/>
        <v>-1</v>
      </c>
    </row>
    <row r="66" spans="1:16" ht="20.100000000000001" customHeight="1" x14ac:dyDescent="0.25">
      <c r="A66" s="339" t="s">
        <v>304</v>
      </c>
      <c r="B66" s="352">
        <v>85411</v>
      </c>
      <c r="C66" s="352">
        <v>0</v>
      </c>
      <c r="D66" s="352">
        <v>1000000</v>
      </c>
      <c r="E66" s="352">
        <v>85411</v>
      </c>
      <c r="F66" s="354">
        <f t="shared" si="16"/>
        <v>0</v>
      </c>
      <c r="G66" s="352">
        <v>0</v>
      </c>
      <c r="H66" s="352">
        <v>0</v>
      </c>
      <c r="I66" s="354">
        <f t="shared" si="17"/>
        <v>0</v>
      </c>
      <c r="K66" s="352">
        <v>1000000</v>
      </c>
      <c r="L66" s="352">
        <v>85411</v>
      </c>
      <c r="M66" s="354">
        <f t="shared" si="18"/>
        <v>0</v>
      </c>
      <c r="N66" s="352">
        <v>0</v>
      </c>
      <c r="O66" s="352">
        <v>0</v>
      </c>
      <c r="P66" s="354">
        <f t="shared" si="19"/>
        <v>0</v>
      </c>
    </row>
    <row r="67" spans="1:16" ht="20.100000000000001" customHeight="1" x14ac:dyDescent="0.25">
      <c r="A67" s="339" t="s">
        <v>305</v>
      </c>
      <c r="B67" s="352">
        <v>0</v>
      </c>
      <c r="C67" s="352">
        <v>710810</v>
      </c>
      <c r="D67" s="352">
        <v>710810</v>
      </c>
      <c r="E67" s="352">
        <v>710810</v>
      </c>
      <c r="F67" s="354">
        <f t="shared" si="16"/>
        <v>0</v>
      </c>
      <c r="G67" s="352">
        <v>0</v>
      </c>
      <c r="H67" s="352">
        <v>0</v>
      </c>
      <c r="I67" s="354">
        <f t="shared" si="17"/>
        <v>-1</v>
      </c>
      <c r="K67" s="352">
        <v>710810</v>
      </c>
      <c r="L67" s="352">
        <v>710810</v>
      </c>
      <c r="M67" s="354">
        <f t="shared" si="18"/>
        <v>0</v>
      </c>
      <c r="N67" s="352">
        <v>0</v>
      </c>
      <c r="O67" s="352">
        <v>0</v>
      </c>
      <c r="P67" s="354">
        <f t="shared" si="19"/>
        <v>-1</v>
      </c>
    </row>
    <row r="68" spans="1:16" ht="20.100000000000001" customHeight="1" x14ac:dyDescent="0.25">
      <c r="A68" s="339" t="s">
        <v>306</v>
      </c>
      <c r="B68" s="352">
        <v>0</v>
      </c>
      <c r="C68" s="352">
        <v>0</v>
      </c>
      <c r="D68" s="352">
        <v>4000000</v>
      </c>
      <c r="E68" s="352">
        <v>0</v>
      </c>
      <c r="F68" s="354">
        <f t="shared" si="16"/>
        <v>0</v>
      </c>
      <c r="G68" s="352">
        <v>0</v>
      </c>
      <c r="H68" s="352">
        <v>0</v>
      </c>
      <c r="I68" s="354">
        <f t="shared" si="17"/>
        <v>0</v>
      </c>
      <c r="K68" s="352">
        <v>4000000</v>
      </c>
      <c r="L68" s="352">
        <v>0</v>
      </c>
      <c r="M68" s="354">
        <f t="shared" si="18"/>
        <v>0</v>
      </c>
      <c r="N68" s="352">
        <v>0</v>
      </c>
      <c r="O68" s="352">
        <v>0</v>
      </c>
      <c r="P68" s="354">
        <f t="shared" si="19"/>
        <v>0</v>
      </c>
    </row>
    <row r="69" spans="1:16" ht="20.100000000000001" customHeight="1" x14ac:dyDescent="0.3">
      <c r="A69" s="636" t="s">
        <v>239</v>
      </c>
      <c r="B69" s="638">
        <f>SUM(B63:B68)</f>
        <v>14074561</v>
      </c>
      <c r="C69" s="638">
        <f>SUM(C63:C68)</f>
        <v>1768548</v>
      </c>
      <c r="D69" s="638">
        <f>SUM(D63:D68)</f>
        <v>20757698</v>
      </c>
      <c r="E69" s="638">
        <f>SUM(E63:E68)</f>
        <v>15843109</v>
      </c>
      <c r="F69" s="699">
        <f t="shared" si="16"/>
        <v>0.12565564211913963</v>
      </c>
      <c r="G69" s="638">
        <f>SUM(G63:G68)</f>
        <v>0</v>
      </c>
      <c r="H69" s="638">
        <f>SUM(H63:H68)</f>
        <v>0</v>
      </c>
      <c r="I69" s="699">
        <f t="shared" si="17"/>
        <v>-1</v>
      </c>
      <c r="J69" s="637"/>
      <c r="K69" s="638">
        <f>SUM(K63:K68)</f>
        <v>20757698</v>
      </c>
      <c r="L69" s="638">
        <f>SUM(L63:L68)</f>
        <v>15843109</v>
      </c>
      <c r="M69" s="699">
        <f t="shared" si="18"/>
        <v>0.12565564211913963</v>
      </c>
      <c r="N69" s="638">
        <f>SUM(N63:N68)</f>
        <v>0</v>
      </c>
      <c r="O69" s="638">
        <f>SUM(O63:O68)</f>
        <v>0</v>
      </c>
      <c r="P69" s="699">
        <f t="shared" si="19"/>
        <v>-1</v>
      </c>
    </row>
    <row r="70" spans="1:16" ht="20.100000000000001" customHeight="1" x14ac:dyDescent="0.3">
      <c r="A70" s="635" t="s">
        <v>307</v>
      </c>
      <c r="B70" s="634"/>
      <c r="C70" s="634"/>
      <c r="D70" s="634"/>
      <c r="E70" s="634"/>
      <c r="F70" s="634"/>
      <c r="G70" s="634"/>
      <c r="H70" s="634"/>
      <c r="I70" s="634"/>
      <c r="J70" s="634"/>
      <c r="K70" s="634"/>
      <c r="L70" s="634"/>
      <c r="M70" s="634"/>
      <c r="N70" s="634"/>
      <c r="O70" s="634"/>
      <c r="P70" s="634"/>
    </row>
    <row r="71" spans="1:16" ht="20.100000000000001" customHeight="1" x14ac:dyDescent="0.25">
      <c r="A71" s="339" t="s">
        <v>308</v>
      </c>
      <c r="B71" s="352">
        <v>5421000</v>
      </c>
      <c r="C71" s="352">
        <v>0</v>
      </c>
      <c r="D71" s="352">
        <v>5421000</v>
      </c>
      <c r="E71" s="352">
        <v>5312000</v>
      </c>
      <c r="F71" s="354">
        <f>IF($B71&gt;0, (E71-$B71)/$B71, )</f>
        <v>-2.0106991330012914E-2</v>
      </c>
      <c r="G71" s="352">
        <v>0</v>
      </c>
      <c r="H71" s="352">
        <v>0</v>
      </c>
      <c r="I71" s="354">
        <f>IF($C71&gt;0, (H71-$C71)/$C71, )</f>
        <v>0</v>
      </c>
      <c r="K71" s="352">
        <v>5421000</v>
      </c>
      <c r="L71" s="352">
        <v>5312000</v>
      </c>
      <c r="M71" s="354">
        <f>IF($B71&gt;0, (L71-$B71)/$B71, )</f>
        <v>-2.0106991330012914E-2</v>
      </c>
      <c r="N71" s="352">
        <v>0</v>
      </c>
      <c r="O71" s="352">
        <v>0</v>
      </c>
      <c r="P71" s="354">
        <f>IF($C71&gt;0, (O71-$C71)/$C71, )</f>
        <v>0</v>
      </c>
    </row>
    <row r="72" spans="1:16" ht="20.100000000000001" customHeight="1" x14ac:dyDescent="0.3">
      <c r="A72" s="636" t="s">
        <v>309</v>
      </c>
      <c r="B72" s="638">
        <f>SUM(B71:B71)</f>
        <v>5421000</v>
      </c>
      <c r="C72" s="638">
        <f>SUM(C71:C71)</f>
        <v>0</v>
      </c>
      <c r="D72" s="638">
        <f>SUM(D71:D71)</f>
        <v>5421000</v>
      </c>
      <c r="E72" s="638">
        <f>SUM(E71:E71)</f>
        <v>5312000</v>
      </c>
      <c r="F72" s="699">
        <f>IF($B72&gt;0, (E72-$B72)/$B72, )</f>
        <v>-2.0106991330012914E-2</v>
      </c>
      <c r="G72" s="638">
        <f>SUM(G71:G71)</f>
        <v>0</v>
      </c>
      <c r="H72" s="638">
        <f>SUM(H71:H71)</f>
        <v>0</v>
      </c>
      <c r="I72" s="699">
        <f>IF($C72&gt;0, (H72-$C72)/$C72, )</f>
        <v>0</v>
      </c>
      <c r="J72" s="637"/>
      <c r="K72" s="638">
        <f>SUM(K71:K71)</f>
        <v>5421000</v>
      </c>
      <c r="L72" s="638">
        <f>SUM(L71:L71)</f>
        <v>5312000</v>
      </c>
      <c r="M72" s="699">
        <f>IF($B72&gt;0, (L72-$B72)/$B72, )</f>
        <v>-2.0106991330012914E-2</v>
      </c>
      <c r="N72" s="638">
        <f>SUM(N71:N71)</f>
        <v>0</v>
      </c>
      <c r="O72" s="638">
        <f>SUM(O71:O71)</f>
        <v>0</v>
      </c>
      <c r="P72" s="699">
        <f>IF($C72&gt;0, (O72-$C72)/$C72, )</f>
        <v>0</v>
      </c>
    </row>
    <row r="73" spans="1:16" ht="20.100000000000001" customHeight="1" x14ac:dyDescent="0.3">
      <c r="A73" s="635" t="s">
        <v>310</v>
      </c>
      <c r="B73" s="634"/>
      <c r="C73" s="634"/>
      <c r="D73" s="634"/>
      <c r="E73" s="634"/>
      <c r="F73" s="634"/>
      <c r="G73" s="634"/>
      <c r="H73" s="634"/>
      <c r="I73" s="634"/>
      <c r="J73" s="634"/>
      <c r="K73" s="634"/>
      <c r="L73" s="634"/>
      <c r="M73" s="634"/>
      <c r="N73" s="634"/>
      <c r="O73" s="634"/>
      <c r="P73" s="634"/>
    </row>
    <row r="74" spans="1:16" ht="20.100000000000001" customHeight="1" x14ac:dyDescent="0.25">
      <c r="A74" s="339" t="s">
        <v>310</v>
      </c>
      <c r="B74" s="352">
        <v>0</v>
      </c>
      <c r="C74" s="352">
        <v>1852698</v>
      </c>
      <c r="D74" s="352">
        <v>0</v>
      </c>
      <c r="E74" s="352">
        <v>0</v>
      </c>
      <c r="F74" s="354">
        <f>IF($B74&gt;0, (E74-$B74)/$B74, )</f>
        <v>0</v>
      </c>
      <c r="G74" s="352">
        <v>1913837</v>
      </c>
      <c r="H74" s="352">
        <v>1852698</v>
      </c>
      <c r="I74" s="354">
        <f>IF($C74&gt;0, (H74-$C74)/$C74, )</f>
        <v>0</v>
      </c>
      <c r="K74" s="352">
        <v>0</v>
      </c>
      <c r="L74" s="352">
        <v>0</v>
      </c>
      <c r="M74" s="354">
        <f>IF($B74&gt;0, (L74-$B74)/$B74, )</f>
        <v>0</v>
      </c>
      <c r="N74" s="352">
        <v>1976994</v>
      </c>
      <c r="O74" s="352">
        <v>1852698</v>
      </c>
      <c r="P74" s="354">
        <f>IF($C74&gt;0, (O74-$C74)/$C74, )</f>
        <v>0</v>
      </c>
    </row>
    <row r="75" spans="1:16" ht="20.100000000000001" customHeight="1" x14ac:dyDescent="0.3">
      <c r="A75" s="636" t="s">
        <v>311</v>
      </c>
      <c r="B75" s="638">
        <f>SUM(B74:B74)</f>
        <v>0</v>
      </c>
      <c r="C75" s="638">
        <f>SUM(C74:C74)</f>
        <v>1852698</v>
      </c>
      <c r="D75" s="638">
        <f>SUM(D74:D74)</f>
        <v>0</v>
      </c>
      <c r="E75" s="638">
        <f>SUM(E74:E74)</f>
        <v>0</v>
      </c>
      <c r="F75" s="699">
        <f>IF($B75&gt;0, (E75-$B75)/$B75, )</f>
        <v>0</v>
      </c>
      <c r="G75" s="638">
        <f>SUM(G74:G74)</f>
        <v>1913837</v>
      </c>
      <c r="H75" s="638">
        <f>SUM(H74:H74)</f>
        <v>1852698</v>
      </c>
      <c r="I75" s="699">
        <f>IF($C75&gt;0, (H75-$C75)/$C75, )</f>
        <v>0</v>
      </c>
      <c r="J75" s="637"/>
      <c r="K75" s="638">
        <f>SUM(K74:K74)</f>
        <v>0</v>
      </c>
      <c r="L75" s="638">
        <f>SUM(L74:L74)</f>
        <v>0</v>
      </c>
      <c r="M75" s="699">
        <f>IF($B75&gt;0, (L75-$B75)/$B75, )</f>
        <v>0</v>
      </c>
      <c r="N75" s="638">
        <f>SUM(N74:N74)</f>
        <v>1976994</v>
      </c>
      <c r="O75" s="638">
        <f>SUM(O74:O74)</f>
        <v>1852698</v>
      </c>
      <c r="P75" s="699">
        <f>IF($C75&gt;0, (O75-$C75)/$C75, )</f>
        <v>0</v>
      </c>
    </row>
    <row r="76" spans="1:16" ht="20.100000000000001" customHeight="1" x14ac:dyDescent="0.3">
      <c r="A76" s="635" t="s">
        <v>312</v>
      </c>
      <c r="B76" s="634"/>
      <c r="C76" s="634"/>
      <c r="D76" s="634"/>
      <c r="E76" s="634"/>
      <c r="F76" s="634"/>
      <c r="G76" s="634"/>
      <c r="H76" s="634"/>
      <c r="I76" s="634"/>
      <c r="J76" s="634"/>
      <c r="K76" s="634"/>
      <c r="L76" s="634"/>
      <c r="M76" s="634"/>
      <c r="N76" s="634"/>
      <c r="O76" s="634"/>
      <c r="P76" s="634"/>
    </row>
    <row r="77" spans="1:16" ht="20.100000000000001" customHeight="1" x14ac:dyDescent="0.25">
      <c r="A77" s="339" t="s">
        <v>313</v>
      </c>
      <c r="B77" s="352">
        <v>1842862</v>
      </c>
      <c r="C77" s="352">
        <v>0</v>
      </c>
      <c r="D77" s="352">
        <v>1828638</v>
      </c>
      <c r="E77" s="352">
        <v>1828638</v>
      </c>
      <c r="F77" s="354">
        <f t="shared" ref="F77:F92" si="20">IF($B77&gt;0, (E77-$B77)/$B77, )</f>
        <v>-7.7184292692561891E-3</v>
      </c>
      <c r="G77" s="352">
        <v>0</v>
      </c>
      <c r="H77" s="352">
        <v>0</v>
      </c>
      <c r="I77" s="354">
        <f t="shared" ref="I77:I92" si="21">IF($C77&gt;0, (H77-$C77)/$C77, )</f>
        <v>0</v>
      </c>
      <c r="K77" s="352">
        <v>1828638</v>
      </c>
      <c r="L77" s="352">
        <v>1828638</v>
      </c>
      <c r="M77" s="354">
        <f t="shared" ref="M77:M92" si="22">IF($B77&gt;0, (L77-$B77)/$B77, )</f>
        <v>-7.7184292692561891E-3</v>
      </c>
      <c r="N77" s="352">
        <v>0</v>
      </c>
      <c r="O77" s="352">
        <v>0</v>
      </c>
      <c r="P77" s="354">
        <f t="shared" ref="P77:P92" si="23">IF($C77&gt;0, (O77-$C77)/$C77, )</f>
        <v>0</v>
      </c>
    </row>
    <row r="78" spans="1:16" ht="20.100000000000001" customHeight="1" x14ac:dyDescent="0.25">
      <c r="A78" s="339" t="s">
        <v>314</v>
      </c>
      <c r="B78" s="352">
        <v>144501004</v>
      </c>
      <c r="C78" s="352">
        <v>0</v>
      </c>
      <c r="D78" s="352">
        <v>173685938</v>
      </c>
      <c r="E78" s="352">
        <v>173685938</v>
      </c>
      <c r="F78" s="354">
        <f t="shared" si="20"/>
        <v>0.2019704582813833</v>
      </c>
      <c r="G78" s="352">
        <v>0</v>
      </c>
      <c r="H78" s="352">
        <v>0</v>
      </c>
      <c r="I78" s="354">
        <f t="shared" si="21"/>
        <v>0</v>
      </c>
      <c r="K78" s="352">
        <v>166270623</v>
      </c>
      <c r="L78" s="352">
        <v>166270623</v>
      </c>
      <c r="M78" s="354">
        <f t="shared" si="22"/>
        <v>0.15065375601127312</v>
      </c>
      <c r="N78" s="352">
        <v>0</v>
      </c>
      <c r="O78" s="352">
        <v>0</v>
      </c>
      <c r="P78" s="354">
        <f t="shared" si="23"/>
        <v>0</v>
      </c>
    </row>
    <row r="79" spans="1:16" ht="20.100000000000001" customHeight="1" x14ac:dyDescent="0.25">
      <c r="A79" s="339" t="s">
        <v>315</v>
      </c>
      <c r="B79" s="352">
        <v>606099</v>
      </c>
      <c r="C79" s="352">
        <v>0</v>
      </c>
      <c r="D79" s="352">
        <v>606099</v>
      </c>
      <c r="E79" s="352">
        <v>606099</v>
      </c>
      <c r="F79" s="354">
        <f t="shared" si="20"/>
        <v>0</v>
      </c>
      <c r="G79" s="352">
        <v>0</v>
      </c>
      <c r="H79" s="352">
        <v>0</v>
      </c>
      <c r="I79" s="354">
        <f t="shared" si="21"/>
        <v>0</v>
      </c>
      <c r="K79" s="352">
        <v>606099</v>
      </c>
      <c r="L79" s="352">
        <v>606099</v>
      </c>
      <c r="M79" s="354">
        <f t="shared" si="22"/>
        <v>0</v>
      </c>
      <c r="N79" s="352">
        <v>0</v>
      </c>
      <c r="O79" s="352">
        <v>0</v>
      </c>
      <c r="P79" s="354">
        <f t="shared" si="23"/>
        <v>0</v>
      </c>
    </row>
    <row r="80" spans="1:16" ht="20.100000000000001" customHeight="1" thickBot="1" x14ac:dyDescent="0.3">
      <c r="A80" s="339" t="s">
        <v>316</v>
      </c>
      <c r="B80" s="352">
        <v>52388418</v>
      </c>
      <c r="C80" s="352">
        <v>0</v>
      </c>
      <c r="D80" s="352">
        <v>57527595</v>
      </c>
      <c r="E80" s="352">
        <v>57527595</v>
      </c>
      <c r="F80" s="354">
        <f t="shared" si="20"/>
        <v>9.8097579506981863E-2</v>
      </c>
      <c r="G80" s="352">
        <v>0</v>
      </c>
      <c r="H80" s="352">
        <v>0</v>
      </c>
      <c r="I80" s="354">
        <f t="shared" si="21"/>
        <v>0</v>
      </c>
      <c r="J80"/>
      <c r="K80" s="352">
        <v>66225902</v>
      </c>
      <c r="L80" s="352">
        <v>66225902</v>
      </c>
      <c r="M80" s="354">
        <f t="shared" si="22"/>
        <v>0.26413250348578954</v>
      </c>
      <c r="N80" s="352">
        <v>0</v>
      </c>
      <c r="O80" s="352">
        <v>0</v>
      </c>
      <c r="P80" s="354">
        <f t="shared" si="23"/>
        <v>0</v>
      </c>
    </row>
    <row r="81" spans="1:16" ht="20.100000000000001" customHeight="1" thickTop="1" thickBot="1" x14ac:dyDescent="0.3">
      <c r="A81" s="339" t="s">
        <v>317</v>
      </c>
      <c r="B81" s="352">
        <v>450000</v>
      </c>
      <c r="C81" s="352">
        <v>0</v>
      </c>
      <c r="D81" s="352">
        <v>450000</v>
      </c>
      <c r="E81" s="352">
        <v>450000</v>
      </c>
      <c r="F81" s="354">
        <f t="shared" si="20"/>
        <v>0</v>
      </c>
      <c r="G81" s="352">
        <v>0</v>
      </c>
      <c r="H81" s="352">
        <v>0</v>
      </c>
      <c r="I81" s="354">
        <f t="shared" si="21"/>
        <v>0</v>
      </c>
      <c r="J81"/>
      <c r="K81" s="352">
        <v>450000</v>
      </c>
      <c r="L81" s="352">
        <v>450000</v>
      </c>
      <c r="M81" s="354">
        <f t="shared" si="22"/>
        <v>0</v>
      </c>
      <c r="N81" s="352">
        <v>0</v>
      </c>
      <c r="O81" s="352">
        <v>0</v>
      </c>
      <c r="P81" s="354">
        <f t="shared" si="23"/>
        <v>0</v>
      </c>
    </row>
    <row r="82" spans="1:16" ht="20.100000000000001" customHeight="1" x14ac:dyDescent="0.25">
      <c r="A82" s="339" t="s">
        <v>318</v>
      </c>
      <c r="B82" s="352">
        <v>93351582</v>
      </c>
      <c r="C82" s="352">
        <v>0</v>
      </c>
      <c r="D82" s="352">
        <v>89979060</v>
      </c>
      <c r="E82" s="352">
        <v>89979060</v>
      </c>
      <c r="F82" s="354">
        <f t="shared" si="20"/>
        <v>-3.6127100663382435E-2</v>
      </c>
      <c r="G82" s="352">
        <v>0</v>
      </c>
      <c r="H82" s="352">
        <v>0</v>
      </c>
      <c r="I82" s="354">
        <f t="shared" si="21"/>
        <v>0</v>
      </c>
      <c r="K82" s="352">
        <v>101425081</v>
      </c>
      <c r="L82" s="352">
        <v>101425081</v>
      </c>
      <c r="M82" s="354">
        <f t="shared" si="22"/>
        <v>8.6484865355575868E-2</v>
      </c>
      <c r="N82" s="352">
        <v>0</v>
      </c>
      <c r="O82" s="352">
        <v>0</v>
      </c>
      <c r="P82" s="354">
        <f t="shared" si="23"/>
        <v>0</v>
      </c>
    </row>
    <row r="83" spans="1:16" ht="20.100000000000001" customHeight="1" x14ac:dyDescent="0.25">
      <c r="A83" s="339" t="s">
        <v>319</v>
      </c>
      <c r="B83" s="352">
        <v>250000</v>
      </c>
      <c r="C83" s="352">
        <v>0</v>
      </c>
      <c r="D83" s="352">
        <v>250000</v>
      </c>
      <c r="E83" s="352">
        <v>250000</v>
      </c>
      <c r="F83" s="354">
        <f t="shared" si="20"/>
        <v>0</v>
      </c>
      <c r="G83" s="352">
        <v>0</v>
      </c>
      <c r="H83" s="352">
        <v>0</v>
      </c>
      <c r="I83" s="354">
        <f t="shared" si="21"/>
        <v>0</v>
      </c>
      <c r="K83" s="352">
        <v>250000</v>
      </c>
      <c r="L83" s="352">
        <v>250000</v>
      </c>
      <c r="M83" s="354">
        <f t="shared" si="22"/>
        <v>0</v>
      </c>
      <c r="N83" s="352">
        <v>0</v>
      </c>
      <c r="O83" s="352">
        <v>0</v>
      </c>
      <c r="P83" s="354">
        <f t="shared" si="23"/>
        <v>0</v>
      </c>
    </row>
    <row r="84" spans="1:16" ht="20.100000000000001" customHeight="1" x14ac:dyDescent="0.25">
      <c r="A84" s="339" t="s">
        <v>320</v>
      </c>
      <c r="B84" s="352">
        <v>2000000</v>
      </c>
      <c r="C84" s="352">
        <v>0</v>
      </c>
      <c r="D84" s="352">
        <v>2000000</v>
      </c>
      <c r="E84" s="352">
        <v>4000000</v>
      </c>
      <c r="F84" s="354">
        <f t="shared" si="20"/>
        <v>1</v>
      </c>
      <c r="G84" s="352">
        <v>0</v>
      </c>
      <c r="H84" s="352">
        <v>0</v>
      </c>
      <c r="I84" s="354">
        <f t="shared" si="21"/>
        <v>0</v>
      </c>
      <c r="K84" s="352">
        <v>2000000</v>
      </c>
      <c r="L84" s="352">
        <v>4000000</v>
      </c>
      <c r="M84" s="354">
        <f t="shared" si="22"/>
        <v>1</v>
      </c>
      <c r="N84" s="352">
        <v>0</v>
      </c>
      <c r="O84" s="352">
        <v>0</v>
      </c>
      <c r="P84" s="354">
        <f t="shared" si="23"/>
        <v>0</v>
      </c>
    </row>
    <row r="85" spans="1:16" ht="20.100000000000001" customHeight="1" x14ac:dyDescent="0.25">
      <c r="A85" s="339" t="s">
        <v>321</v>
      </c>
      <c r="B85" s="352">
        <v>50000</v>
      </c>
      <c r="C85" s="352">
        <v>0</v>
      </c>
      <c r="D85" s="352">
        <v>50000</v>
      </c>
      <c r="E85" s="352">
        <v>50000</v>
      </c>
      <c r="F85" s="354">
        <f t="shared" si="20"/>
        <v>0</v>
      </c>
      <c r="G85" s="352">
        <v>0</v>
      </c>
      <c r="H85" s="352">
        <v>0</v>
      </c>
      <c r="I85" s="354">
        <f t="shared" si="21"/>
        <v>0</v>
      </c>
      <c r="K85" s="352">
        <v>50000</v>
      </c>
      <c r="L85" s="352">
        <v>50000</v>
      </c>
      <c r="M85" s="354">
        <f t="shared" si="22"/>
        <v>0</v>
      </c>
      <c r="N85" s="352">
        <v>0</v>
      </c>
      <c r="O85" s="352">
        <v>0</v>
      </c>
      <c r="P85" s="354">
        <f t="shared" si="23"/>
        <v>0</v>
      </c>
    </row>
    <row r="86" spans="1:16" ht="20.100000000000001" customHeight="1" x14ac:dyDescent="0.25">
      <c r="A86" s="339" t="s">
        <v>322</v>
      </c>
      <c r="B86" s="352">
        <v>400000</v>
      </c>
      <c r="C86" s="352">
        <v>0</v>
      </c>
      <c r="D86" s="352">
        <v>400000</v>
      </c>
      <c r="E86" s="352">
        <v>400000</v>
      </c>
      <c r="F86" s="354">
        <f t="shared" si="20"/>
        <v>0</v>
      </c>
      <c r="G86" s="352">
        <v>0</v>
      </c>
      <c r="H86" s="352">
        <v>0</v>
      </c>
      <c r="I86" s="354">
        <f t="shared" si="21"/>
        <v>0</v>
      </c>
      <c r="K86" s="352">
        <v>400000</v>
      </c>
      <c r="L86" s="352">
        <v>400000</v>
      </c>
      <c r="M86" s="354">
        <f t="shared" si="22"/>
        <v>0</v>
      </c>
      <c r="N86" s="352">
        <v>0</v>
      </c>
      <c r="O86" s="352">
        <v>0</v>
      </c>
      <c r="P86" s="354">
        <f t="shared" si="23"/>
        <v>0</v>
      </c>
    </row>
    <row r="87" spans="1:16" ht="20.100000000000001" customHeight="1" x14ac:dyDescent="0.25">
      <c r="A87" s="339" t="s">
        <v>323</v>
      </c>
      <c r="B87" s="352">
        <v>3676240</v>
      </c>
      <c r="C87" s="352">
        <v>0</v>
      </c>
      <c r="D87" s="352">
        <v>3676240</v>
      </c>
      <c r="E87" s="352">
        <v>3676240</v>
      </c>
      <c r="F87" s="354">
        <f t="shared" si="20"/>
        <v>0</v>
      </c>
      <c r="G87" s="352">
        <v>0</v>
      </c>
      <c r="H87" s="352">
        <v>0</v>
      </c>
      <c r="I87" s="354">
        <f t="shared" si="21"/>
        <v>0</v>
      </c>
      <c r="K87" s="352">
        <v>3676240</v>
      </c>
      <c r="L87" s="352">
        <v>3676240</v>
      </c>
      <c r="M87" s="354">
        <f t="shared" si="22"/>
        <v>0</v>
      </c>
      <c r="N87" s="352">
        <v>0</v>
      </c>
      <c r="O87" s="352">
        <v>0</v>
      </c>
      <c r="P87" s="354">
        <f t="shared" si="23"/>
        <v>0</v>
      </c>
    </row>
    <row r="88" spans="1:16" ht="20.100000000000001" customHeight="1" x14ac:dyDescent="0.25">
      <c r="A88" s="339" t="s">
        <v>324</v>
      </c>
      <c r="B88" s="352">
        <v>0</v>
      </c>
      <c r="C88" s="352">
        <v>3082400</v>
      </c>
      <c r="D88" s="352">
        <v>1983092</v>
      </c>
      <c r="E88" s="352">
        <v>2000000</v>
      </c>
      <c r="F88" s="354">
        <f t="shared" si="20"/>
        <v>0</v>
      </c>
      <c r="G88" s="352">
        <v>2582400</v>
      </c>
      <c r="H88" s="352">
        <v>2582400</v>
      </c>
      <c r="I88" s="354">
        <f t="shared" si="21"/>
        <v>-0.16221126395016869</v>
      </c>
      <c r="K88" s="352">
        <v>1983092</v>
      </c>
      <c r="L88" s="352">
        <v>3081010</v>
      </c>
      <c r="M88" s="354">
        <f t="shared" si="22"/>
        <v>0</v>
      </c>
      <c r="N88" s="352">
        <v>4026390</v>
      </c>
      <c r="O88" s="352">
        <v>3001390</v>
      </c>
      <c r="P88" s="354">
        <f t="shared" si="23"/>
        <v>-2.6281468985206332E-2</v>
      </c>
    </row>
    <row r="89" spans="1:16" ht="20.100000000000001" customHeight="1" x14ac:dyDescent="0.25">
      <c r="A89" s="339" t="s">
        <v>325</v>
      </c>
      <c r="B89" s="352">
        <v>7579858</v>
      </c>
      <c r="C89" s="352">
        <v>0</v>
      </c>
      <c r="D89" s="352">
        <v>7579858</v>
      </c>
      <c r="E89" s="352">
        <v>7579858</v>
      </c>
      <c r="F89" s="354">
        <f t="shared" si="20"/>
        <v>0</v>
      </c>
      <c r="G89" s="352">
        <v>0</v>
      </c>
      <c r="H89" s="352">
        <v>0</v>
      </c>
      <c r="I89" s="354">
        <f t="shared" si="21"/>
        <v>0</v>
      </c>
      <c r="K89" s="352">
        <v>7579858</v>
      </c>
      <c r="L89" s="352">
        <v>7579858</v>
      </c>
      <c r="M89" s="354">
        <f t="shared" si="22"/>
        <v>0</v>
      </c>
      <c r="N89" s="352">
        <v>0</v>
      </c>
      <c r="O89" s="352">
        <v>0</v>
      </c>
      <c r="P89" s="354">
        <f t="shared" si="23"/>
        <v>0</v>
      </c>
    </row>
    <row r="90" spans="1:16" ht="20.100000000000001" customHeight="1" x14ac:dyDescent="0.25">
      <c r="A90" s="339" t="s">
        <v>326</v>
      </c>
      <c r="B90" s="352">
        <v>0</v>
      </c>
      <c r="C90" s="352">
        <v>2000000</v>
      </c>
      <c r="D90" s="352">
        <v>0</v>
      </c>
      <c r="E90" s="352">
        <v>0</v>
      </c>
      <c r="F90" s="354">
        <f t="shared" si="20"/>
        <v>0</v>
      </c>
      <c r="G90" s="352">
        <v>2000000</v>
      </c>
      <c r="H90" s="352">
        <v>2000000</v>
      </c>
      <c r="I90" s="354">
        <f t="shared" si="21"/>
        <v>0</v>
      </c>
      <c r="K90" s="352">
        <v>0</v>
      </c>
      <c r="L90" s="352">
        <v>0</v>
      </c>
      <c r="M90" s="354">
        <f t="shared" si="22"/>
        <v>0</v>
      </c>
      <c r="N90" s="352">
        <v>2000000</v>
      </c>
      <c r="O90" s="352">
        <v>2000000</v>
      </c>
      <c r="P90" s="354">
        <f t="shared" si="23"/>
        <v>0</v>
      </c>
    </row>
    <row r="91" spans="1:16" ht="20.100000000000001" customHeight="1" x14ac:dyDescent="0.25">
      <c r="A91" s="339" t="s">
        <v>327</v>
      </c>
      <c r="B91" s="352">
        <v>28701041</v>
      </c>
      <c r="C91" s="352">
        <v>0</v>
      </c>
      <c r="D91" s="352">
        <v>30848248</v>
      </c>
      <c r="E91" s="352">
        <v>30848248</v>
      </c>
      <c r="F91" s="354">
        <f t="shared" si="20"/>
        <v>7.4812861317469281E-2</v>
      </c>
      <c r="G91" s="352">
        <v>0</v>
      </c>
      <c r="H91" s="352">
        <v>0</v>
      </c>
      <c r="I91" s="354">
        <f t="shared" si="21"/>
        <v>0</v>
      </c>
      <c r="K91" s="352">
        <v>31773696</v>
      </c>
      <c r="L91" s="352">
        <v>31773696</v>
      </c>
      <c r="M91" s="354">
        <f t="shared" si="22"/>
        <v>0.10705726666848077</v>
      </c>
      <c r="N91" s="352">
        <v>0</v>
      </c>
      <c r="O91" s="352">
        <v>0</v>
      </c>
      <c r="P91" s="354">
        <f t="shared" si="23"/>
        <v>0</v>
      </c>
    </row>
    <row r="92" spans="1:16" ht="20.100000000000001" customHeight="1" x14ac:dyDescent="0.3">
      <c r="A92" s="636" t="s">
        <v>328</v>
      </c>
      <c r="B92" s="638">
        <f>SUM(B77:B91)</f>
        <v>335797104</v>
      </c>
      <c r="C92" s="638">
        <f>SUM(C77:C91)</f>
        <v>5082400</v>
      </c>
      <c r="D92" s="638">
        <f>SUM(D77:D91)</f>
        <v>370864768</v>
      </c>
      <c r="E92" s="638">
        <f>SUM(E77:E91)</f>
        <v>372881676</v>
      </c>
      <c r="F92" s="699">
        <f t="shared" si="20"/>
        <v>0.11043743843603845</v>
      </c>
      <c r="G92" s="638">
        <f>SUM(G77:G91)</f>
        <v>4582400</v>
      </c>
      <c r="H92" s="638">
        <f>SUM(H77:H91)</f>
        <v>4582400</v>
      </c>
      <c r="I92" s="699">
        <f t="shared" si="21"/>
        <v>-9.8378718715567443E-2</v>
      </c>
      <c r="J92" s="637"/>
      <c r="K92" s="638">
        <f>SUM(K77:K91)</f>
        <v>384519229</v>
      </c>
      <c r="L92" s="638">
        <f>SUM(L77:L91)</f>
        <v>387617147</v>
      </c>
      <c r="M92" s="699">
        <f t="shared" si="22"/>
        <v>0.15431950538799166</v>
      </c>
      <c r="N92" s="638">
        <f>SUM(N77:N91)</f>
        <v>6026390</v>
      </c>
      <c r="O92" s="638">
        <f>SUM(O77:O91)</f>
        <v>5001390</v>
      </c>
      <c r="P92" s="699">
        <f t="shared" si="23"/>
        <v>-1.5939320006296238E-2</v>
      </c>
    </row>
    <row r="93" spans="1:16" ht="20.100000000000001" customHeight="1" x14ac:dyDescent="0.3">
      <c r="A93" s="635" t="s">
        <v>329</v>
      </c>
      <c r="B93" s="634"/>
      <c r="C93" s="634"/>
      <c r="D93" s="634"/>
      <c r="E93" s="634"/>
      <c r="F93" s="634"/>
      <c r="G93" s="634"/>
      <c r="H93" s="634"/>
      <c r="I93" s="634"/>
      <c r="J93" s="634"/>
      <c r="K93" s="634"/>
      <c r="L93" s="634"/>
      <c r="M93" s="634"/>
      <c r="N93" s="634"/>
      <c r="O93" s="634"/>
      <c r="P93" s="634"/>
    </row>
    <row r="94" spans="1:16" ht="20.100000000000001" customHeight="1" x14ac:dyDescent="0.25">
      <c r="A94" s="339" t="s">
        <v>329</v>
      </c>
      <c r="B94" s="352">
        <v>3061771</v>
      </c>
      <c r="C94" s="352">
        <v>0</v>
      </c>
      <c r="D94" s="352">
        <v>3071177</v>
      </c>
      <c r="E94" s="352">
        <v>3071177</v>
      </c>
      <c r="F94" s="354">
        <f t="shared" ref="F94:F102" si="24">IF($B94&gt;0, (E94-$B94)/$B94, )</f>
        <v>3.0720782187825283E-3</v>
      </c>
      <c r="G94" s="352">
        <v>0</v>
      </c>
      <c r="H94" s="352">
        <v>0</v>
      </c>
      <c r="I94" s="354">
        <f t="shared" ref="I94:I102" si="25">IF($C94&gt;0, (H94-$C94)/$C94, )</f>
        <v>0</v>
      </c>
      <c r="K94" s="352">
        <v>3071177</v>
      </c>
      <c r="L94" s="352">
        <v>3071177</v>
      </c>
      <c r="M94" s="354">
        <f t="shared" ref="M94:M102" si="26">IF($B94&gt;0, (L94-$B94)/$B94, )</f>
        <v>3.0720782187825283E-3</v>
      </c>
      <c r="N94" s="352">
        <v>0</v>
      </c>
      <c r="O94" s="352">
        <v>0</v>
      </c>
      <c r="P94" s="354">
        <f t="shared" ref="P94:P102" si="27">IF($C94&gt;0, (O94-$C94)/$C94, )</f>
        <v>0</v>
      </c>
    </row>
    <row r="95" spans="1:16" ht="20.100000000000001" customHeight="1" x14ac:dyDescent="0.25">
      <c r="A95" s="339" t="s">
        <v>330</v>
      </c>
      <c r="B95" s="352">
        <v>0</v>
      </c>
      <c r="C95" s="352">
        <v>3000000</v>
      </c>
      <c r="D95" s="352">
        <v>0</v>
      </c>
      <c r="E95" s="352">
        <v>0</v>
      </c>
      <c r="F95" s="354">
        <f t="shared" si="24"/>
        <v>0</v>
      </c>
      <c r="G95" s="352">
        <v>4500000</v>
      </c>
      <c r="H95" s="352">
        <v>3000000</v>
      </c>
      <c r="I95" s="354">
        <f t="shared" si="25"/>
        <v>0</v>
      </c>
      <c r="K95" s="352">
        <v>0</v>
      </c>
      <c r="L95" s="352">
        <v>0</v>
      </c>
      <c r="M95" s="354">
        <f t="shared" si="26"/>
        <v>0</v>
      </c>
      <c r="N95" s="352">
        <v>4500000</v>
      </c>
      <c r="O95" s="352">
        <v>3000000</v>
      </c>
      <c r="P95" s="354">
        <f t="shared" si="27"/>
        <v>0</v>
      </c>
    </row>
    <row r="96" spans="1:16" ht="20.100000000000001" customHeight="1" x14ac:dyDescent="0.25">
      <c r="A96" s="339" t="s">
        <v>331</v>
      </c>
      <c r="B96" s="352">
        <v>703250</v>
      </c>
      <c r="C96" s="352">
        <v>0</v>
      </c>
      <c r="D96" s="352">
        <v>646994</v>
      </c>
      <c r="E96" s="352">
        <v>646994</v>
      </c>
      <c r="F96" s="354">
        <f t="shared" si="24"/>
        <v>-7.9994312122289371E-2</v>
      </c>
      <c r="G96" s="352">
        <v>0</v>
      </c>
      <c r="H96" s="352">
        <v>0</v>
      </c>
      <c r="I96" s="354">
        <f t="shared" si="25"/>
        <v>0</v>
      </c>
      <c r="K96" s="352">
        <v>646994</v>
      </c>
      <c r="L96" s="352">
        <v>646994</v>
      </c>
      <c r="M96" s="354">
        <f t="shared" si="26"/>
        <v>-7.9994312122289371E-2</v>
      </c>
      <c r="N96" s="352">
        <v>0</v>
      </c>
      <c r="O96" s="352">
        <v>0</v>
      </c>
      <c r="P96" s="354">
        <f t="shared" si="27"/>
        <v>0</v>
      </c>
    </row>
    <row r="97" spans="1:16" ht="20.100000000000001" customHeight="1" x14ac:dyDescent="0.25">
      <c r="A97" s="339" t="s">
        <v>332</v>
      </c>
      <c r="B97" s="352">
        <v>0</v>
      </c>
      <c r="C97" s="352">
        <v>115000</v>
      </c>
      <c r="D97" s="352">
        <v>115000</v>
      </c>
      <c r="E97" s="352">
        <v>115000</v>
      </c>
      <c r="F97" s="354">
        <f t="shared" si="24"/>
        <v>0</v>
      </c>
      <c r="G97" s="352">
        <v>0</v>
      </c>
      <c r="H97" s="352">
        <v>0</v>
      </c>
      <c r="I97" s="354">
        <f t="shared" si="25"/>
        <v>-1</v>
      </c>
      <c r="K97" s="352">
        <v>115000</v>
      </c>
      <c r="L97" s="352">
        <v>115000</v>
      </c>
      <c r="M97" s="354">
        <f t="shared" si="26"/>
        <v>0</v>
      </c>
      <c r="N97" s="352">
        <v>0</v>
      </c>
      <c r="O97" s="352">
        <v>0</v>
      </c>
      <c r="P97" s="354">
        <f t="shared" si="27"/>
        <v>-1</v>
      </c>
    </row>
    <row r="98" spans="1:16" ht="20.100000000000001" customHeight="1" x14ac:dyDescent="0.25">
      <c r="A98" s="339" t="s">
        <v>333</v>
      </c>
      <c r="B98" s="352">
        <v>0</v>
      </c>
      <c r="C98" s="352">
        <v>0</v>
      </c>
      <c r="D98" s="352">
        <v>0</v>
      </c>
      <c r="E98" s="352">
        <v>0</v>
      </c>
      <c r="F98" s="354">
        <f t="shared" si="24"/>
        <v>0</v>
      </c>
      <c r="G98" s="352">
        <v>0</v>
      </c>
      <c r="H98" s="352">
        <v>0</v>
      </c>
      <c r="I98" s="354">
        <f t="shared" si="25"/>
        <v>0</v>
      </c>
      <c r="K98" s="352">
        <v>0</v>
      </c>
      <c r="L98" s="352">
        <v>0</v>
      </c>
      <c r="M98" s="354">
        <f t="shared" si="26"/>
        <v>0</v>
      </c>
      <c r="N98" s="352">
        <v>0</v>
      </c>
      <c r="O98" s="352">
        <v>0</v>
      </c>
      <c r="P98" s="354">
        <f t="shared" si="27"/>
        <v>0</v>
      </c>
    </row>
    <row r="99" spans="1:16" ht="20.100000000000001" customHeight="1" x14ac:dyDescent="0.25">
      <c r="A99" s="339" t="s">
        <v>334</v>
      </c>
      <c r="B99" s="352">
        <v>1051787</v>
      </c>
      <c r="C99" s="352">
        <v>0</v>
      </c>
      <c r="D99" s="352">
        <v>1014737</v>
      </c>
      <c r="E99" s="352">
        <v>1014737</v>
      </c>
      <c r="F99" s="354">
        <f t="shared" si="24"/>
        <v>-3.5225763391256978E-2</v>
      </c>
      <c r="G99" s="352">
        <v>0</v>
      </c>
      <c r="H99" s="352">
        <v>0</v>
      </c>
      <c r="I99" s="354">
        <f t="shared" si="25"/>
        <v>0</v>
      </c>
      <c r="K99" s="352">
        <v>1014737</v>
      </c>
      <c r="L99" s="352">
        <v>1014737</v>
      </c>
      <c r="M99" s="354">
        <f t="shared" si="26"/>
        <v>-3.5225763391256978E-2</v>
      </c>
      <c r="N99" s="352">
        <v>0</v>
      </c>
      <c r="O99" s="352">
        <v>0</v>
      </c>
      <c r="P99" s="354">
        <f t="shared" si="27"/>
        <v>0</v>
      </c>
    </row>
    <row r="100" spans="1:16" ht="20.100000000000001" customHeight="1" x14ac:dyDescent="0.25">
      <c r="A100" s="339" t="s">
        <v>335</v>
      </c>
      <c r="B100" s="352">
        <v>5000000</v>
      </c>
      <c r="C100" s="352">
        <v>0</v>
      </c>
      <c r="D100" s="352">
        <v>5000000</v>
      </c>
      <c r="E100" s="352">
        <v>5000000</v>
      </c>
      <c r="F100" s="354">
        <f t="shared" si="24"/>
        <v>0</v>
      </c>
      <c r="G100" s="352">
        <v>0</v>
      </c>
      <c r="H100" s="352">
        <v>0</v>
      </c>
      <c r="I100" s="354">
        <f t="shared" si="25"/>
        <v>0</v>
      </c>
      <c r="K100" s="352">
        <v>5000000</v>
      </c>
      <c r="L100" s="352">
        <v>5000000</v>
      </c>
      <c r="M100" s="354">
        <f t="shared" si="26"/>
        <v>0</v>
      </c>
      <c r="N100" s="352">
        <v>0</v>
      </c>
      <c r="O100" s="352">
        <v>0</v>
      </c>
      <c r="P100" s="354">
        <f t="shared" si="27"/>
        <v>0</v>
      </c>
    </row>
    <row r="101" spans="1:16" ht="20.100000000000001" customHeight="1" x14ac:dyDescent="0.25">
      <c r="A101" s="339" t="s">
        <v>336</v>
      </c>
      <c r="B101" s="352">
        <v>0</v>
      </c>
      <c r="C101" s="352">
        <v>0</v>
      </c>
      <c r="D101" s="352">
        <v>750000</v>
      </c>
      <c r="E101" s="352">
        <v>0</v>
      </c>
      <c r="F101" s="354">
        <f t="shared" si="24"/>
        <v>0</v>
      </c>
      <c r="G101" s="352">
        <v>0</v>
      </c>
      <c r="H101" s="352">
        <v>0</v>
      </c>
      <c r="I101" s="354">
        <f t="shared" si="25"/>
        <v>0</v>
      </c>
      <c r="K101" s="352">
        <v>250000</v>
      </c>
      <c r="L101" s="352">
        <v>0</v>
      </c>
      <c r="M101" s="354">
        <f t="shared" si="26"/>
        <v>0</v>
      </c>
      <c r="N101" s="352">
        <v>0</v>
      </c>
      <c r="O101" s="352">
        <v>0</v>
      </c>
      <c r="P101" s="354">
        <f t="shared" si="27"/>
        <v>0</v>
      </c>
    </row>
    <row r="102" spans="1:16" ht="20.100000000000001" customHeight="1" x14ac:dyDescent="0.3">
      <c r="A102" s="636" t="s">
        <v>337</v>
      </c>
      <c r="B102" s="638">
        <f>SUM(B94:B101)</f>
        <v>9816808</v>
      </c>
      <c r="C102" s="638">
        <f>SUM(C94:C101)</f>
        <v>3115000</v>
      </c>
      <c r="D102" s="638">
        <f>SUM(D94:D101)</f>
        <v>10597908</v>
      </c>
      <c r="E102" s="638">
        <f>SUM(E94:E101)</f>
        <v>9847908</v>
      </c>
      <c r="F102" s="699">
        <f t="shared" si="24"/>
        <v>3.1680358829468806E-3</v>
      </c>
      <c r="G102" s="638">
        <f>SUM(G94:G101)</f>
        <v>4500000</v>
      </c>
      <c r="H102" s="638">
        <f>SUM(H94:H101)</f>
        <v>3000000</v>
      </c>
      <c r="I102" s="699">
        <f t="shared" si="25"/>
        <v>-3.691813804173355E-2</v>
      </c>
      <c r="J102" s="637"/>
      <c r="K102" s="638">
        <f>SUM(K94:K101)</f>
        <v>10097908</v>
      </c>
      <c r="L102" s="638">
        <f>SUM(L94:L101)</f>
        <v>9847908</v>
      </c>
      <c r="M102" s="699">
        <f t="shared" si="26"/>
        <v>3.1680358829468806E-3</v>
      </c>
      <c r="N102" s="638">
        <f>SUM(N94:N101)</f>
        <v>4500000</v>
      </c>
      <c r="O102" s="638">
        <f>SUM(O94:O101)</f>
        <v>3000000</v>
      </c>
      <c r="P102" s="699">
        <f t="shared" si="27"/>
        <v>-3.691813804173355E-2</v>
      </c>
    </row>
    <row r="103" spans="1:16" ht="20.100000000000001" customHeight="1" x14ac:dyDescent="0.3">
      <c r="A103" s="639" t="s">
        <v>338</v>
      </c>
      <c r="B103" s="641">
        <f>SUM(B21,B38,B43,B50,B57,B61,B69)</f>
        <v>81052571</v>
      </c>
      <c r="C103" s="641">
        <f>SUM(C21,C38,C43,C50,C57,C61,C69)</f>
        <v>4396176</v>
      </c>
      <c r="D103" s="641">
        <f>SUM(D21,D38,D43,D50,D57,D61,D69)</f>
        <v>114443433</v>
      </c>
      <c r="E103" s="641">
        <f>SUM(E21,E38,E43,E50,E57,E61,E69)</f>
        <v>81378747</v>
      </c>
      <c r="F103" s="640"/>
      <c r="G103" s="641">
        <f>SUM(G21,G38,G43,G50,G57,G61,G69)</f>
        <v>686934</v>
      </c>
      <c r="H103" s="641">
        <f>SUM(H21,H38,H43,H50,H57,H61,H69)</f>
        <v>740000</v>
      </c>
      <c r="I103" s="640"/>
      <c r="J103" s="640"/>
      <c r="K103" s="641">
        <f>SUM(K21,K38,K43,K50,K57,K61,K69)</f>
        <v>115484503</v>
      </c>
      <c r="L103" s="641">
        <f>SUM(L21,L38,L43,L50,L57,L61,L69)</f>
        <v>81378747</v>
      </c>
      <c r="M103" s="640"/>
      <c r="N103" s="641">
        <f>SUM(N21,N38,N43,N50,N57,N61,N69)</f>
        <v>686934</v>
      </c>
      <c r="O103" s="641">
        <f>SUM(O21,O38,O43,O50,O57,O61,O69)</f>
        <v>740000</v>
      </c>
      <c r="P103" s="640"/>
    </row>
    <row r="104" spans="1:16" ht="20.100000000000001" customHeight="1" x14ac:dyDescent="0.3">
      <c r="A104" s="639" t="s">
        <v>339</v>
      </c>
      <c r="B104" s="641">
        <f>SUM(B72,B75,B92,B102)</f>
        <v>351034912</v>
      </c>
      <c r="C104" s="641">
        <f>SUM(C72,C75,C92,C102)</f>
        <v>10050098</v>
      </c>
      <c r="D104" s="641">
        <f>SUM(D72,D75,D92,D102)</f>
        <v>386883676</v>
      </c>
      <c r="E104" s="641">
        <f>SUM(E72,E75,E92,E102)</f>
        <v>388041584</v>
      </c>
      <c r="F104" s="640"/>
      <c r="G104" s="641">
        <f>SUM(G72,G75,G92,G102)</f>
        <v>10996237</v>
      </c>
      <c r="H104" s="641">
        <f>SUM(H72,H75,H92,H102)</f>
        <v>9435098</v>
      </c>
      <c r="I104" s="640"/>
      <c r="J104" s="640"/>
      <c r="K104" s="641">
        <f>SUM(K72,K75,K92,K102)</f>
        <v>400038137</v>
      </c>
      <c r="L104" s="641">
        <f>SUM(L72,L75,L92,L102)</f>
        <v>402777055</v>
      </c>
      <c r="M104" s="640"/>
      <c r="N104" s="641">
        <f>SUM(N72,N75,N92,N102)</f>
        <v>12503384</v>
      </c>
      <c r="O104" s="641">
        <f>SUM(O72,O75,O92,O102)</f>
        <v>9854088</v>
      </c>
      <c r="P104" s="640"/>
    </row>
    <row r="105" spans="1:16" ht="20.100000000000001" customHeight="1" x14ac:dyDescent="0.3">
      <c r="A105" s="639" t="s">
        <v>340</v>
      </c>
      <c r="B105" s="641">
        <f>SUM(B103,B104)</f>
        <v>432087483</v>
      </c>
      <c r="C105" s="641">
        <f>SUM(C103,C104)</f>
        <v>14446274</v>
      </c>
      <c r="D105" s="641">
        <f>SUM(D103,D104)</f>
        <v>501327109</v>
      </c>
      <c r="E105" s="641">
        <f>SUM(E103,E104)</f>
        <v>469420331</v>
      </c>
      <c r="F105" s="640"/>
      <c r="G105" s="641">
        <f>SUM(G103,G104)</f>
        <v>11683171</v>
      </c>
      <c r="H105" s="641">
        <f>SUM(H103,H104)</f>
        <v>10175098</v>
      </c>
      <c r="I105" s="640"/>
      <c r="J105" s="640"/>
      <c r="K105" s="641">
        <f>SUM(K103,K104)</f>
        <v>515522640</v>
      </c>
      <c r="L105" s="641">
        <f>SUM(L103,L104)</f>
        <v>484155802</v>
      </c>
      <c r="M105" s="640"/>
      <c r="N105" s="641">
        <f>SUM(N103,N104)</f>
        <v>13190318</v>
      </c>
      <c r="O105" s="641">
        <f>SUM(O103,O104)</f>
        <v>10594088</v>
      </c>
      <c r="P105" s="640"/>
    </row>
    <row r="107" spans="1:16" ht="15.75" customHeight="1" thickBo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6.5" customHeight="1" thickTop="1" thickBo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34" spans="1:16" ht="15.75" customHeight="1" thickBo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6.5" customHeight="1" thickTop="1" thickBo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61" spans="1:16" ht="15.75" customHeight="1" thickBo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6.5" customHeight="1" thickTop="1" thickBo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88" spans="1:16" ht="15.75" customHeight="1" thickBo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6.5" customHeight="1" thickTop="1" thickBo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215" spans="1:16" ht="15.75" customHeight="1" thickBo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16.5" customHeight="1" thickTop="1" thickBo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21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5.75" customHeight="1" thickBo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ht="16.5" customHeight="1" thickTop="1" thickBo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</sheetData>
  <dataConsolidate/>
  <mergeCells count="12">
    <mergeCell ref="A6:A8"/>
    <mergeCell ref="B7:B8"/>
    <mergeCell ref="C7:C8"/>
    <mergeCell ref="Q7:S7"/>
    <mergeCell ref="T7:U7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32"/>
  <sheetViews>
    <sheetView zoomScale="80" zoomScaleNormal="80" workbookViewId="0">
      <selection activeCell="B5" sqref="B5 A5:AP9"/>
    </sheetView>
  </sheetViews>
  <sheetFormatPr defaultRowHeight="15" x14ac:dyDescent="0.25"/>
  <cols>
    <col min="1" max="1" width="164" style="339" customWidth="1"/>
    <col min="2" max="2" width="15.5703125" style="352" customWidth="1"/>
    <col min="3" max="3" width="12.85546875" style="352" customWidth="1"/>
    <col min="4" max="4" width="16" style="352" customWidth="1"/>
    <col min="5" max="5" width="2.85546875" style="354" customWidth="1"/>
    <col min="6" max="6" width="9.140625" style="339" customWidth="1"/>
    <col min="7" max="7" width="16" style="352" customWidth="1"/>
    <col min="8" max="8" width="2.85546875" style="490" customWidth="1"/>
  </cols>
  <sheetData>
    <row r="1" spans="1:8" ht="15.75" customHeight="1" x14ac:dyDescent="0.25">
      <c r="A1" s="355" t="s">
        <v>341</v>
      </c>
    </row>
    <row r="2" spans="1:8" ht="15.75" customHeight="1" x14ac:dyDescent="0.25">
      <c r="A2" s="356" t="s">
        <v>31</v>
      </c>
    </row>
    <row r="3" spans="1:8" ht="15.75" customHeight="1" x14ac:dyDescent="0.25">
      <c r="A3" s="356"/>
    </row>
    <row r="4" spans="1:8" x14ac:dyDescent="0.25">
      <c r="A4" s="353" t="s">
        <v>342</v>
      </c>
    </row>
    <row r="5" spans="1:8" ht="15.75" customHeight="1" thickBot="1" x14ac:dyDescent="0.3"/>
    <row r="6" spans="1:8" ht="15.6" customHeight="1" thickBot="1" x14ac:dyDescent="0.3">
      <c r="A6" s="314"/>
      <c r="B6" s="320" t="s">
        <v>343</v>
      </c>
      <c r="C6" s="86" t="s">
        <v>344</v>
      </c>
      <c r="D6" s="126" t="s">
        <v>3</v>
      </c>
      <c r="E6" s="311"/>
      <c r="F6" s="700"/>
      <c r="G6" s="126" t="s">
        <v>4</v>
      </c>
      <c r="H6" s="311"/>
    </row>
    <row r="7" spans="1:8" ht="24.95" customHeight="1" x14ac:dyDescent="0.25">
      <c r="A7" s="158"/>
      <c r="B7" s="315"/>
      <c r="C7" s="26"/>
      <c r="D7" s="701" t="s">
        <v>345</v>
      </c>
      <c r="E7" s="28" t="s">
        <v>142</v>
      </c>
      <c r="F7" s="702"/>
      <c r="G7" s="701" t="s">
        <v>345</v>
      </c>
      <c r="H7" s="28" t="s">
        <v>144</v>
      </c>
    </row>
    <row r="8" spans="1:8" ht="24.95" customHeight="1" thickBot="1" x14ac:dyDescent="0.3">
      <c r="A8" s="158"/>
      <c r="B8" s="319"/>
      <c r="C8" s="85"/>
      <c r="D8" s="703">
        <v>50</v>
      </c>
      <c r="E8" s="27"/>
      <c r="F8" s="704"/>
      <c r="G8" s="703">
        <v>50</v>
      </c>
      <c r="H8" s="27"/>
    </row>
    <row r="9" spans="1:8" x14ac:dyDescent="0.25">
      <c r="A9" s="583" t="s">
        <v>50</v>
      </c>
      <c r="B9" s="405">
        <v>1328550</v>
      </c>
      <c r="C9" s="705">
        <v>26571</v>
      </c>
      <c r="D9" s="408">
        <f t="shared" ref="D9:D15" si="0">ROUND($C9*D$8, 0)</f>
        <v>1328550</v>
      </c>
      <c r="E9" s="504">
        <f t="shared" ref="E9:E16" si="1">IF($B9 &gt; 0, (D9-$B9)/$B9, "")</f>
        <v>0</v>
      </c>
      <c r="F9" s="620"/>
      <c r="G9" s="408">
        <f t="shared" ref="G9:G15" si="2">ROUND($C9*G$8, 0)</f>
        <v>1328550</v>
      </c>
      <c r="H9" s="504">
        <f t="shared" ref="H9:H16" si="3">IF($B9 &gt; 0, (G9-$B9)/$B9, "")</f>
        <v>0</v>
      </c>
    </row>
    <row r="10" spans="1:8" x14ac:dyDescent="0.25">
      <c r="A10" s="587" t="s">
        <v>55</v>
      </c>
      <c r="B10" s="405">
        <v>211250</v>
      </c>
      <c r="C10" s="705">
        <v>4225</v>
      </c>
      <c r="D10" s="408">
        <f t="shared" si="0"/>
        <v>211250</v>
      </c>
      <c r="E10" s="504">
        <f t="shared" si="1"/>
        <v>0</v>
      </c>
      <c r="F10" s="620"/>
      <c r="G10" s="408">
        <f t="shared" si="2"/>
        <v>211250</v>
      </c>
      <c r="H10" s="504">
        <f t="shared" si="3"/>
        <v>0</v>
      </c>
    </row>
    <row r="11" spans="1:8" x14ac:dyDescent="0.25">
      <c r="A11" s="587" t="s">
        <v>56</v>
      </c>
      <c r="B11" s="405">
        <v>285950</v>
      </c>
      <c r="C11" s="705">
        <v>5719</v>
      </c>
      <c r="D11" s="408">
        <f t="shared" si="0"/>
        <v>285950</v>
      </c>
      <c r="E11" s="504">
        <f t="shared" si="1"/>
        <v>0</v>
      </c>
      <c r="F11" s="620"/>
      <c r="G11" s="408">
        <f t="shared" si="2"/>
        <v>285950</v>
      </c>
      <c r="H11" s="504">
        <f t="shared" si="3"/>
        <v>0</v>
      </c>
    </row>
    <row r="12" spans="1:8" x14ac:dyDescent="0.25">
      <c r="A12" s="587" t="s">
        <v>57</v>
      </c>
      <c r="B12" s="405">
        <v>209500</v>
      </c>
      <c r="C12" s="705">
        <v>4190</v>
      </c>
      <c r="D12" s="408">
        <f t="shared" si="0"/>
        <v>209500</v>
      </c>
      <c r="E12" s="504">
        <f t="shared" si="1"/>
        <v>0</v>
      </c>
      <c r="F12" s="620"/>
      <c r="G12" s="408">
        <f t="shared" si="2"/>
        <v>209500</v>
      </c>
      <c r="H12" s="504">
        <f t="shared" si="3"/>
        <v>0</v>
      </c>
    </row>
    <row r="13" spans="1:8" x14ac:dyDescent="0.25">
      <c r="A13" s="587" t="s">
        <v>58</v>
      </c>
      <c r="B13" s="405">
        <v>0</v>
      </c>
      <c r="C13" s="705">
        <v>0</v>
      </c>
      <c r="D13" s="408">
        <f t="shared" si="0"/>
        <v>0</v>
      </c>
      <c r="E13" s="504" t="str">
        <f t="shared" si="1"/>
        <v/>
      </c>
      <c r="F13" s="620"/>
      <c r="G13" s="408">
        <f t="shared" si="2"/>
        <v>0</v>
      </c>
      <c r="H13" s="504" t="str">
        <f t="shared" si="3"/>
        <v/>
      </c>
    </row>
    <row r="14" spans="1:8" x14ac:dyDescent="0.25">
      <c r="A14" s="587" t="s">
        <v>59</v>
      </c>
      <c r="B14" s="405">
        <v>518400</v>
      </c>
      <c r="C14" s="705">
        <v>10368</v>
      </c>
      <c r="D14" s="408">
        <f t="shared" si="0"/>
        <v>518400</v>
      </c>
      <c r="E14" s="504">
        <f t="shared" si="1"/>
        <v>0</v>
      </c>
      <c r="F14" s="620"/>
      <c r="G14" s="408">
        <f t="shared" si="2"/>
        <v>518400</v>
      </c>
      <c r="H14" s="504">
        <f t="shared" si="3"/>
        <v>0</v>
      </c>
    </row>
    <row r="15" spans="1:8" ht="15.75" customHeight="1" thickBot="1" x14ac:dyDescent="0.3">
      <c r="A15" s="587" t="s">
        <v>60</v>
      </c>
      <c r="B15" s="405">
        <v>66650</v>
      </c>
      <c r="C15" s="705">
        <v>1333</v>
      </c>
      <c r="D15" s="408">
        <f t="shared" si="0"/>
        <v>66650</v>
      </c>
      <c r="E15" s="504">
        <f t="shared" si="1"/>
        <v>0</v>
      </c>
      <c r="F15" s="620"/>
      <c r="G15" s="408">
        <f t="shared" si="2"/>
        <v>66650</v>
      </c>
      <c r="H15" s="504">
        <f t="shared" si="3"/>
        <v>0</v>
      </c>
    </row>
    <row r="16" spans="1:8" ht="15.75" customHeight="1" thickTop="1" x14ac:dyDescent="0.25">
      <c r="A16" s="588" t="s">
        <v>132</v>
      </c>
      <c r="B16" s="589">
        <f>SUM(B9:B15)</f>
        <v>2620300</v>
      </c>
      <c r="C16" s="706">
        <f>SUM(C9:C15)</f>
        <v>52406</v>
      </c>
      <c r="D16" s="590">
        <f>SUM(D9:D15)</f>
        <v>2620300</v>
      </c>
      <c r="E16" s="657">
        <f t="shared" si="1"/>
        <v>0</v>
      </c>
      <c r="F16" s="624"/>
      <c r="G16" s="590">
        <f>SUM(G9:G15)</f>
        <v>2620300</v>
      </c>
      <c r="H16" s="657">
        <f t="shared" si="3"/>
        <v>0</v>
      </c>
    </row>
    <row r="17" spans="1:8" x14ac:dyDescent="0.25">
      <c r="A17" s="595"/>
      <c r="B17" s="596"/>
      <c r="C17" s="707"/>
      <c r="D17" s="597"/>
      <c r="E17" s="626"/>
      <c r="F17" s="620"/>
      <c r="G17" s="597"/>
      <c r="H17" s="626"/>
    </row>
    <row r="18" spans="1:8" x14ac:dyDescent="0.25">
      <c r="A18" s="587" t="s">
        <v>66</v>
      </c>
      <c r="B18" s="405">
        <v>94200</v>
      </c>
      <c r="C18" s="705">
        <v>1884</v>
      </c>
      <c r="D18" s="408">
        <f>ROUND($C18*D$8, 0)</f>
        <v>94200</v>
      </c>
      <c r="E18" s="504">
        <f>IF($B18 &gt; 0, (D18-$B18)/$B18, "")</f>
        <v>0</v>
      </c>
      <c r="F18" s="620"/>
      <c r="G18" s="408">
        <f>ROUND($C18*G$8, 0)</f>
        <v>94200</v>
      </c>
      <c r="H18" s="504">
        <f>IF($B18 &gt; 0, (G18-$B18)/$B18, "")</f>
        <v>0</v>
      </c>
    </row>
    <row r="19" spans="1:8" x14ac:dyDescent="0.25">
      <c r="A19" s="587" t="s">
        <v>67</v>
      </c>
      <c r="B19" s="405">
        <v>1527900</v>
      </c>
      <c r="C19" s="705">
        <v>30558</v>
      </c>
      <c r="D19" s="408">
        <f>ROUND($C19*D$8, 0)</f>
        <v>1527900</v>
      </c>
      <c r="E19" s="504">
        <f>IF($B19 &gt; 0, (D19-$B19)/$B19, "")</f>
        <v>0</v>
      </c>
      <c r="F19" s="620"/>
      <c r="G19" s="408">
        <f>ROUND($C19*G$8, 0)</f>
        <v>1527900</v>
      </c>
      <c r="H19" s="504">
        <f>IF($B19 &gt; 0, (G19-$B19)/$B19, "")</f>
        <v>0</v>
      </c>
    </row>
    <row r="20" spans="1:8" ht="15.75" customHeight="1" thickBot="1" x14ac:dyDescent="0.3">
      <c r="A20" s="587" t="s">
        <v>69</v>
      </c>
      <c r="B20" s="405">
        <v>790500</v>
      </c>
      <c r="C20" s="705">
        <v>15810</v>
      </c>
      <c r="D20" s="408">
        <f>ROUND($C20*D$8, 0)</f>
        <v>790500</v>
      </c>
      <c r="E20" s="504">
        <f>IF($B20 &gt; 0, (D20-$B20)/$B20, "")</f>
        <v>0</v>
      </c>
      <c r="F20" s="620"/>
      <c r="G20" s="408">
        <f>ROUND($C20*G$8, 0)</f>
        <v>790500</v>
      </c>
      <c r="H20" s="504">
        <f>IF($B20 &gt; 0, (G20-$B20)/$B20, "")</f>
        <v>0</v>
      </c>
    </row>
    <row r="21" spans="1:8" ht="15.75" customHeight="1" thickTop="1" x14ac:dyDescent="0.25">
      <c r="A21" s="588" t="s">
        <v>133</v>
      </c>
      <c r="B21" s="589">
        <f>SUM(B18:B20)</f>
        <v>2412600</v>
      </c>
      <c r="C21" s="706">
        <f>SUM(C18:C20)</f>
        <v>48252</v>
      </c>
      <c r="D21" s="590">
        <f>SUM(D18:D20)</f>
        <v>2412600</v>
      </c>
      <c r="E21" s="657">
        <f>IF($B21 &gt; 0, (D21-$B21)/$B21, "")</f>
        <v>0</v>
      </c>
      <c r="F21" s="624"/>
      <c r="G21" s="590">
        <f>SUM(G18:G20)</f>
        <v>2412600</v>
      </c>
      <c r="H21" s="657">
        <f>IF($B21 &gt; 0, (G21-$B21)/$B21, "")</f>
        <v>0</v>
      </c>
    </row>
    <row r="22" spans="1:8" x14ac:dyDescent="0.25">
      <c r="A22" s="595"/>
      <c r="B22" s="596"/>
      <c r="C22" s="707"/>
      <c r="D22" s="597"/>
      <c r="E22" s="626"/>
      <c r="F22" s="620"/>
      <c r="G22" s="597"/>
      <c r="H22" s="626"/>
    </row>
    <row r="23" spans="1:8" x14ac:dyDescent="0.25">
      <c r="A23" s="587" t="s">
        <v>72</v>
      </c>
      <c r="B23" s="405">
        <v>247550</v>
      </c>
      <c r="C23" s="705">
        <v>4951</v>
      </c>
      <c r="D23" s="408">
        <f>ROUND($C23*D$8, 0)</f>
        <v>247550</v>
      </c>
      <c r="E23" s="504">
        <f t="shared" ref="E23:E28" si="4">IF($B23 &gt; 0, (D23-$B23)/$B23, "")</f>
        <v>0</v>
      </c>
      <c r="F23" s="620"/>
      <c r="G23" s="408">
        <f>ROUND($C23*G$8, 0)</f>
        <v>247550</v>
      </c>
      <c r="H23" s="504">
        <f t="shared" ref="H23:H28" si="5">IF($B23 &gt; 0, (G23-$B23)/$B23, "")</f>
        <v>0</v>
      </c>
    </row>
    <row r="24" spans="1:8" x14ac:dyDescent="0.25">
      <c r="A24" s="587" t="s">
        <v>73</v>
      </c>
      <c r="B24" s="405">
        <v>180750</v>
      </c>
      <c r="C24" s="705">
        <v>3615</v>
      </c>
      <c r="D24" s="408">
        <f>ROUND($C24*D$8, 0)</f>
        <v>180750</v>
      </c>
      <c r="E24" s="504">
        <f t="shared" si="4"/>
        <v>0</v>
      </c>
      <c r="F24" s="620"/>
      <c r="G24" s="408">
        <f>ROUND($C24*G$8, 0)</f>
        <v>180750</v>
      </c>
      <c r="H24" s="504">
        <f t="shared" si="5"/>
        <v>0</v>
      </c>
    </row>
    <row r="25" spans="1:8" x14ac:dyDescent="0.25">
      <c r="A25" s="587" t="s">
        <v>74</v>
      </c>
      <c r="B25" s="405">
        <v>302550</v>
      </c>
      <c r="C25" s="705">
        <v>6051</v>
      </c>
      <c r="D25" s="408">
        <f>ROUND($C25*D$8, 0)</f>
        <v>302550</v>
      </c>
      <c r="E25" s="504">
        <f t="shared" si="4"/>
        <v>0</v>
      </c>
      <c r="F25" s="620"/>
      <c r="G25" s="408">
        <f>ROUND($C25*G$8, 0)</f>
        <v>302550</v>
      </c>
      <c r="H25" s="504">
        <f t="shared" si="5"/>
        <v>0</v>
      </c>
    </row>
    <row r="26" spans="1:8" x14ac:dyDescent="0.25">
      <c r="A26" s="587" t="s">
        <v>75</v>
      </c>
      <c r="B26" s="405">
        <v>3933800</v>
      </c>
      <c r="C26" s="705">
        <v>78676</v>
      </c>
      <c r="D26" s="408">
        <f>ROUND($C26*D$8, 0)</f>
        <v>3933800</v>
      </c>
      <c r="E26" s="504">
        <f t="shared" si="4"/>
        <v>0</v>
      </c>
      <c r="F26" s="620"/>
      <c r="G26" s="408">
        <f>ROUND($C26*G$8, 0)</f>
        <v>3933800</v>
      </c>
      <c r="H26" s="504">
        <f t="shared" si="5"/>
        <v>0</v>
      </c>
    </row>
    <row r="27" spans="1:8" ht="15.75" customHeight="1" thickBot="1" x14ac:dyDescent="0.3">
      <c r="A27" s="587" t="s">
        <v>76</v>
      </c>
      <c r="B27" s="405">
        <v>12989150</v>
      </c>
      <c r="C27" s="705">
        <v>259783</v>
      </c>
      <c r="D27" s="408">
        <f>ROUND($C27*D$8, 0)</f>
        <v>12989150</v>
      </c>
      <c r="E27" s="504">
        <f t="shared" si="4"/>
        <v>0</v>
      </c>
      <c r="F27" s="620"/>
      <c r="G27" s="408">
        <f>ROUND($C27*G$8, 0)</f>
        <v>12989150</v>
      </c>
      <c r="H27" s="504">
        <f t="shared" si="5"/>
        <v>0</v>
      </c>
    </row>
    <row r="28" spans="1:8" ht="15.75" customHeight="1" thickBot="1" x14ac:dyDescent="0.3">
      <c r="A28" s="662" t="s">
        <v>47</v>
      </c>
      <c r="B28" s="606">
        <f>SUM(B16,B21,B23:B27)</f>
        <v>22686700</v>
      </c>
      <c r="C28" s="708">
        <f>SUM(C16,C21,C23:C27)</f>
        <v>453734</v>
      </c>
      <c r="D28" s="446">
        <f>SUM(D16,D21,D23:D27)</f>
        <v>22686700</v>
      </c>
      <c r="E28" s="533">
        <f t="shared" si="4"/>
        <v>0</v>
      </c>
      <c r="F28" s="628"/>
      <c r="G28" s="446">
        <f>SUM(G16,G21,G23:G27)</f>
        <v>22686700</v>
      </c>
      <c r="H28" s="533">
        <f t="shared" si="5"/>
        <v>0</v>
      </c>
    </row>
    <row r="31" spans="1:8" x14ac:dyDescent="0.25">
      <c r="A31" s="488" t="s">
        <v>113</v>
      </c>
    </row>
    <row r="32" spans="1:8" x14ac:dyDescent="0.25">
      <c r="A32" s="339" t="s">
        <v>346</v>
      </c>
    </row>
  </sheetData>
  <mergeCells count="7">
    <mergeCell ref="G6:H6"/>
    <mergeCell ref="H7:H8"/>
    <mergeCell ref="A6:A8"/>
    <mergeCell ref="B6:B8"/>
    <mergeCell ref="C6:C8"/>
    <mergeCell ref="E7:E8"/>
    <mergeCell ref="D6:E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23"/>
  <sheetViews>
    <sheetView zoomScale="80" zoomScaleNormal="80" workbookViewId="0">
      <selection activeCell="B5" sqref="B5 A5:AP9"/>
    </sheetView>
  </sheetViews>
  <sheetFormatPr defaultColWidth="9.140625" defaultRowHeight="15" x14ac:dyDescent="0.25"/>
  <cols>
    <col min="1" max="1" width="24" style="339" customWidth="1"/>
    <col min="2" max="2" width="16.5703125" style="352" customWidth="1"/>
    <col min="3" max="3" width="14.5703125" style="352" customWidth="1"/>
    <col min="4" max="4" width="16.5703125" style="352" customWidth="1"/>
    <col min="5" max="5" width="21" style="354" customWidth="1"/>
    <col min="6" max="6" width="14.5703125" style="352" customWidth="1"/>
    <col min="7" max="7" width="21" style="354" customWidth="1"/>
    <col min="8" max="8" width="9.140625" style="339" customWidth="1"/>
    <col min="9" max="9" width="16.5703125" style="352" customWidth="1"/>
    <col min="10" max="10" width="21" style="354" customWidth="1"/>
    <col min="11" max="11" width="14.5703125" style="352" customWidth="1"/>
    <col min="12" max="12" width="21" style="354" customWidth="1"/>
    <col min="13" max="13" width="9.140625" style="339" customWidth="1"/>
    <col min="14" max="16384" width="9.140625" style="339"/>
  </cols>
  <sheetData>
    <row r="1" spans="1:17" customFormat="1" ht="15.75" customHeight="1" x14ac:dyDescent="0.25">
      <c r="A1" s="355" t="s">
        <v>347</v>
      </c>
      <c r="M1" s="339"/>
      <c r="N1" s="339"/>
    </row>
    <row r="2" spans="1:17" customFormat="1" ht="15.75" customHeight="1" x14ac:dyDescent="0.25">
      <c r="A2" s="356" t="s">
        <v>31</v>
      </c>
      <c r="M2" s="339"/>
      <c r="N2" s="339"/>
    </row>
    <row r="3" spans="1:17" customFormat="1" ht="15.75" customHeight="1" x14ac:dyDescent="0.25">
      <c r="A3" s="356"/>
      <c r="M3" s="339"/>
      <c r="N3" s="339"/>
    </row>
    <row r="4" spans="1:17" x14ac:dyDescent="0.25">
      <c r="A4" s="353" t="s">
        <v>348</v>
      </c>
    </row>
    <row r="5" spans="1:17" customFormat="1" ht="15.75" customHeight="1" thickBot="1" x14ac:dyDescent="0.3">
      <c r="B5" s="352"/>
      <c r="M5" s="339"/>
      <c r="N5" s="339"/>
    </row>
    <row r="6" spans="1:17" customFormat="1" ht="15.75" customHeight="1" thickBot="1" x14ac:dyDescent="0.3">
      <c r="A6" s="314"/>
      <c r="B6" s="21" t="s">
        <v>168</v>
      </c>
      <c r="C6" s="20"/>
      <c r="D6" s="126" t="s">
        <v>3</v>
      </c>
      <c r="E6" s="19"/>
      <c r="F6" s="312"/>
      <c r="G6" s="19"/>
      <c r="H6" s="709"/>
      <c r="I6" s="126" t="s">
        <v>4</v>
      </c>
      <c r="J6" s="19"/>
      <c r="K6" s="312"/>
      <c r="L6" s="19"/>
      <c r="M6" s="339"/>
      <c r="N6" s="339"/>
    </row>
    <row r="7" spans="1:17" x14ac:dyDescent="0.25">
      <c r="A7" s="158"/>
      <c r="B7" s="25" t="s">
        <v>258</v>
      </c>
      <c r="C7" s="23" t="s">
        <v>45</v>
      </c>
      <c r="D7" s="18" t="s">
        <v>258</v>
      </c>
      <c r="E7" s="17"/>
      <c r="F7" s="16" t="s">
        <v>45</v>
      </c>
      <c r="G7" s="15"/>
      <c r="H7" s="710"/>
      <c r="I7" s="18" t="s">
        <v>258</v>
      </c>
      <c r="J7" s="17"/>
      <c r="K7" s="16" t="s">
        <v>45</v>
      </c>
      <c r="L7" s="15"/>
      <c r="N7" s="39"/>
      <c r="O7" s="39"/>
      <c r="P7" s="39"/>
      <c r="Q7" s="39"/>
    </row>
    <row r="8" spans="1:17" customFormat="1" ht="45.75" customHeight="1" thickBot="1" x14ac:dyDescent="0.3">
      <c r="A8" s="158"/>
      <c r="B8" s="24"/>
      <c r="C8" s="22"/>
      <c r="D8" s="714" t="s">
        <v>240</v>
      </c>
      <c r="E8" s="713" t="s">
        <v>142</v>
      </c>
      <c r="F8" s="712" t="s">
        <v>240</v>
      </c>
      <c r="G8" s="711" t="s">
        <v>142</v>
      </c>
      <c r="H8" s="715"/>
      <c r="I8" s="714" t="s">
        <v>240</v>
      </c>
      <c r="J8" s="713" t="s">
        <v>144</v>
      </c>
      <c r="K8" s="712" t="s">
        <v>240</v>
      </c>
      <c r="L8" s="711" t="s">
        <v>144</v>
      </c>
      <c r="M8" s="339"/>
      <c r="N8" s="339"/>
    </row>
    <row r="9" spans="1:17" x14ac:dyDescent="0.25">
      <c r="A9" s="583" t="s">
        <v>349</v>
      </c>
      <c r="B9" s="405">
        <v>11285196</v>
      </c>
      <c r="C9" s="585">
        <v>2181190</v>
      </c>
      <c r="D9" s="650">
        <v>13466386</v>
      </c>
      <c r="E9" s="504">
        <f t="shared" ref="E9:E16" si="0">IF($B9 &gt; 0, (D9-$B9)/$B9, "")</f>
        <v>0.19327887614889452</v>
      </c>
      <c r="F9" s="650">
        <v>0</v>
      </c>
      <c r="G9" s="504">
        <f t="shared" ref="G9:G16" si="1">IF($C9 &gt;0, (F9-$C9)/$C9, "")</f>
        <v>-1</v>
      </c>
      <c r="H9" s="357"/>
      <c r="I9" s="650">
        <v>13466386</v>
      </c>
      <c r="J9" s="504">
        <f t="shared" ref="J9:J16" si="2">IF($B9 &gt; 0, (I9-$B9)/$B9, "")</f>
        <v>0.19327887614889452</v>
      </c>
      <c r="K9" s="650">
        <v>0</v>
      </c>
      <c r="L9" s="504">
        <f t="shared" ref="L9:L16" si="3">IF($C9 &gt;0, (K9-$C9)/$C9, "")</f>
        <v>-1</v>
      </c>
    </row>
    <row r="10" spans="1:17" x14ac:dyDescent="0.25">
      <c r="A10" s="587" t="s">
        <v>350</v>
      </c>
      <c r="B10" s="405">
        <v>36252330</v>
      </c>
      <c r="C10" s="585">
        <v>0</v>
      </c>
      <c r="D10" s="408">
        <v>35782330</v>
      </c>
      <c r="E10" s="504">
        <f t="shared" si="0"/>
        <v>-1.2964683925143571E-2</v>
      </c>
      <c r="F10" s="408">
        <v>740000</v>
      </c>
      <c r="G10" s="504" t="str">
        <f t="shared" si="1"/>
        <v/>
      </c>
      <c r="H10" s="361"/>
      <c r="I10" s="408">
        <v>35782330</v>
      </c>
      <c r="J10" s="504">
        <f t="shared" si="2"/>
        <v>-1.2964683925143571E-2</v>
      </c>
      <c r="K10" s="408">
        <v>740000</v>
      </c>
      <c r="L10" s="504" t="str">
        <f t="shared" si="3"/>
        <v/>
      </c>
    </row>
    <row r="11" spans="1:17" x14ac:dyDescent="0.25">
      <c r="A11" s="587" t="s">
        <v>72</v>
      </c>
      <c r="B11" s="405">
        <v>7132506</v>
      </c>
      <c r="C11" s="585">
        <v>0</v>
      </c>
      <c r="D11" s="408">
        <v>7132506</v>
      </c>
      <c r="E11" s="504">
        <f t="shared" si="0"/>
        <v>0</v>
      </c>
      <c r="F11" s="408">
        <v>0</v>
      </c>
      <c r="G11" s="504" t="str">
        <f t="shared" si="1"/>
        <v/>
      </c>
      <c r="H11" s="361"/>
      <c r="I11" s="408">
        <v>7132506</v>
      </c>
      <c r="J11" s="504">
        <f t="shared" si="2"/>
        <v>0</v>
      </c>
      <c r="K11" s="408">
        <v>0</v>
      </c>
      <c r="L11" s="504" t="str">
        <f t="shared" si="3"/>
        <v/>
      </c>
    </row>
    <row r="12" spans="1:17" x14ac:dyDescent="0.25">
      <c r="A12" s="587" t="s">
        <v>73</v>
      </c>
      <c r="B12" s="405">
        <v>3334750</v>
      </c>
      <c r="C12" s="585">
        <v>446438</v>
      </c>
      <c r="D12" s="408">
        <v>1431188</v>
      </c>
      <c r="E12" s="504">
        <f t="shared" si="0"/>
        <v>-0.57082599895044606</v>
      </c>
      <c r="F12" s="408">
        <v>0</v>
      </c>
      <c r="G12" s="504">
        <f t="shared" si="1"/>
        <v>-1</v>
      </c>
      <c r="H12" s="361"/>
      <c r="I12" s="408">
        <v>1431188</v>
      </c>
      <c r="J12" s="504">
        <f t="shared" si="2"/>
        <v>-0.57082599895044606</v>
      </c>
      <c r="K12" s="408">
        <v>0</v>
      </c>
      <c r="L12" s="504">
        <f t="shared" si="3"/>
        <v>-1</v>
      </c>
    </row>
    <row r="13" spans="1:17" x14ac:dyDescent="0.25">
      <c r="A13" s="587" t="s">
        <v>74</v>
      </c>
      <c r="B13" s="405">
        <v>2039428</v>
      </c>
      <c r="C13" s="585">
        <v>0</v>
      </c>
      <c r="D13" s="408">
        <v>789428</v>
      </c>
      <c r="E13" s="504">
        <f t="shared" si="0"/>
        <v>-0.61291695514624689</v>
      </c>
      <c r="F13" s="408">
        <v>0</v>
      </c>
      <c r="G13" s="504" t="str">
        <f t="shared" si="1"/>
        <v/>
      </c>
      <c r="H13" s="361"/>
      <c r="I13" s="408">
        <v>789428</v>
      </c>
      <c r="J13" s="504">
        <f t="shared" si="2"/>
        <v>-0.61291695514624689</v>
      </c>
      <c r="K13" s="408">
        <v>0</v>
      </c>
      <c r="L13" s="504" t="str">
        <f t="shared" si="3"/>
        <v/>
      </c>
    </row>
    <row r="14" spans="1:17" x14ac:dyDescent="0.25">
      <c r="A14" s="587" t="s">
        <v>75</v>
      </c>
      <c r="B14" s="405">
        <v>6933800</v>
      </c>
      <c r="C14" s="585">
        <v>0</v>
      </c>
      <c r="D14" s="408">
        <v>6933800</v>
      </c>
      <c r="E14" s="504">
        <f t="shared" si="0"/>
        <v>0</v>
      </c>
      <c r="F14" s="408">
        <v>0</v>
      </c>
      <c r="G14" s="504" t="str">
        <f t="shared" si="1"/>
        <v/>
      </c>
      <c r="H14" s="361"/>
      <c r="I14" s="408">
        <v>6933800</v>
      </c>
      <c r="J14" s="504">
        <f t="shared" si="2"/>
        <v>0</v>
      </c>
      <c r="K14" s="408">
        <v>0</v>
      </c>
      <c r="L14" s="504" t="str">
        <f t="shared" si="3"/>
        <v/>
      </c>
    </row>
    <row r="15" spans="1:17" customFormat="1" ht="15.75" customHeight="1" thickBot="1" x14ac:dyDescent="0.3">
      <c r="A15" s="587" t="s">
        <v>76</v>
      </c>
      <c r="B15" s="405">
        <v>14074561</v>
      </c>
      <c r="C15" s="585">
        <v>1768548</v>
      </c>
      <c r="D15" s="408">
        <v>15843109</v>
      </c>
      <c r="E15" s="504">
        <f t="shared" si="0"/>
        <v>0.12565564211913963</v>
      </c>
      <c r="F15" s="408">
        <v>0</v>
      </c>
      <c r="G15" s="504">
        <f t="shared" si="1"/>
        <v>-1</v>
      </c>
      <c r="H15" s="361"/>
      <c r="I15" s="408">
        <v>15843109</v>
      </c>
      <c r="J15" s="504">
        <f t="shared" si="2"/>
        <v>0.12565564211913963</v>
      </c>
      <c r="K15" s="408">
        <v>0</v>
      </c>
      <c r="L15" s="504">
        <f t="shared" si="3"/>
        <v>-1</v>
      </c>
      <c r="M15" s="339"/>
      <c r="N15" s="339"/>
    </row>
    <row r="16" spans="1:17" customFormat="1" ht="15.75" customHeight="1" thickTop="1" x14ac:dyDescent="0.25">
      <c r="A16" s="588" t="s">
        <v>351</v>
      </c>
      <c r="B16" s="589">
        <f>SUM(B9:B15)</f>
        <v>81052571</v>
      </c>
      <c r="C16" s="591">
        <f>SUM(C9:C15)</f>
        <v>4396176</v>
      </c>
      <c r="D16" s="590">
        <f>SUM(D9:D15)</f>
        <v>81378747</v>
      </c>
      <c r="E16" s="657">
        <f t="shared" si="0"/>
        <v>4.024252358386016E-3</v>
      </c>
      <c r="F16" s="590">
        <f>SUM(F9:F15)</f>
        <v>740000</v>
      </c>
      <c r="G16" s="657">
        <f t="shared" si="1"/>
        <v>-0.83167188938750403</v>
      </c>
      <c r="H16" s="361"/>
      <c r="I16" s="590">
        <f>SUM(I9:I15)</f>
        <v>81378747</v>
      </c>
      <c r="J16" s="657">
        <f t="shared" si="2"/>
        <v>4.024252358386016E-3</v>
      </c>
      <c r="K16" s="590">
        <f>SUM(K9:K15)</f>
        <v>740000</v>
      </c>
      <c r="L16" s="657">
        <f t="shared" si="3"/>
        <v>-0.83167188938750403</v>
      </c>
      <c r="M16" s="339"/>
      <c r="N16" s="339"/>
    </row>
    <row r="17" spans="1:14" x14ac:dyDescent="0.25">
      <c r="A17" s="595"/>
      <c r="B17" s="596"/>
      <c r="C17" s="602"/>
      <c r="D17" s="597"/>
      <c r="E17" s="626"/>
      <c r="F17" s="597"/>
      <c r="G17" s="626"/>
      <c r="H17" s="361"/>
      <c r="I17" s="597"/>
      <c r="J17" s="626"/>
      <c r="K17" s="597"/>
      <c r="L17" s="626"/>
    </row>
    <row r="18" spans="1:14" x14ac:dyDescent="0.25">
      <c r="A18" s="587" t="s">
        <v>78</v>
      </c>
      <c r="B18" s="405">
        <v>5421000</v>
      </c>
      <c r="C18" s="585">
        <v>0</v>
      </c>
      <c r="D18" s="408">
        <v>5312000</v>
      </c>
      <c r="E18" s="504">
        <f t="shared" ref="E18:E23" si="4">IF($B18 &gt; 0, (D18-$B18)/$B18, "")</f>
        <v>-2.0106991330012914E-2</v>
      </c>
      <c r="F18" s="408">
        <v>0</v>
      </c>
      <c r="G18" s="504" t="str">
        <f t="shared" ref="G18:G23" si="5">IF($C18 &gt;0, (F18-$C18)/$C18, "")</f>
        <v/>
      </c>
      <c r="H18" s="361"/>
      <c r="I18" s="408">
        <v>5312000</v>
      </c>
      <c r="J18" s="504">
        <f t="shared" ref="J18:J23" si="6">IF($B18 &gt; 0, (I18-$B18)/$B18, "")</f>
        <v>-2.0106991330012914E-2</v>
      </c>
      <c r="K18" s="408">
        <v>0</v>
      </c>
      <c r="L18" s="504" t="str">
        <f t="shared" ref="L18:L23" si="7">IF($C18 &gt;0, (K18-$C18)/$C18, "")</f>
        <v/>
      </c>
    </row>
    <row r="19" spans="1:14" x14ac:dyDescent="0.25">
      <c r="A19" s="587" t="s">
        <v>352</v>
      </c>
      <c r="B19" s="405">
        <v>0</v>
      </c>
      <c r="C19" s="585">
        <v>1852698</v>
      </c>
      <c r="D19" s="408">
        <v>0</v>
      </c>
      <c r="E19" s="504" t="str">
        <f t="shared" si="4"/>
        <v/>
      </c>
      <c r="F19" s="408">
        <v>1852698</v>
      </c>
      <c r="G19" s="504">
        <f t="shared" si="5"/>
        <v>0</v>
      </c>
      <c r="H19" s="361"/>
      <c r="I19" s="408">
        <v>0</v>
      </c>
      <c r="J19" s="504" t="str">
        <f t="shared" si="6"/>
        <v/>
      </c>
      <c r="K19" s="408">
        <v>1852698</v>
      </c>
      <c r="L19" s="504">
        <f t="shared" si="7"/>
        <v>0</v>
      </c>
    </row>
    <row r="20" spans="1:14" x14ac:dyDescent="0.25">
      <c r="A20" s="587" t="s">
        <v>80</v>
      </c>
      <c r="B20" s="405">
        <v>335797104</v>
      </c>
      <c r="C20" s="585">
        <v>5082400</v>
      </c>
      <c r="D20" s="408">
        <v>372881676</v>
      </c>
      <c r="E20" s="504">
        <f t="shared" si="4"/>
        <v>0.11043743843603845</v>
      </c>
      <c r="F20" s="408">
        <v>4582400</v>
      </c>
      <c r="G20" s="504">
        <f t="shared" si="5"/>
        <v>-9.8378718715567443E-2</v>
      </c>
      <c r="H20" s="361"/>
      <c r="I20" s="408">
        <v>387617147</v>
      </c>
      <c r="J20" s="504">
        <f t="shared" si="6"/>
        <v>0.15431950538799166</v>
      </c>
      <c r="K20" s="408">
        <v>5001390</v>
      </c>
      <c r="L20" s="504">
        <f t="shared" si="7"/>
        <v>-1.5939320006296238E-2</v>
      </c>
    </row>
    <row r="21" spans="1:14" customFormat="1" ht="15.75" customHeight="1" thickBot="1" x14ac:dyDescent="0.3">
      <c r="A21" s="587" t="s">
        <v>81</v>
      </c>
      <c r="B21" s="405">
        <v>9816808</v>
      </c>
      <c r="C21" s="585">
        <v>3115000</v>
      </c>
      <c r="D21" s="408">
        <v>9847908</v>
      </c>
      <c r="E21" s="504">
        <f t="shared" si="4"/>
        <v>3.1680358829468806E-3</v>
      </c>
      <c r="F21" s="408">
        <v>3000000</v>
      </c>
      <c r="G21" s="504">
        <f t="shared" si="5"/>
        <v>-3.691813804173355E-2</v>
      </c>
      <c r="H21" s="361"/>
      <c r="I21" s="408">
        <v>9847908</v>
      </c>
      <c r="J21" s="504">
        <f t="shared" si="6"/>
        <v>3.1680358829468806E-3</v>
      </c>
      <c r="K21" s="408">
        <v>3000000</v>
      </c>
      <c r="L21" s="504">
        <f t="shared" si="7"/>
        <v>-3.691813804173355E-2</v>
      </c>
      <c r="M21" s="339"/>
      <c r="N21" s="339"/>
    </row>
    <row r="22" spans="1:14" customFormat="1" ht="16.5" customHeight="1" thickTop="1" thickBot="1" x14ac:dyDescent="0.3">
      <c r="A22" s="716" t="s">
        <v>353</v>
      </c>
      <c r="B22" s="717">
        <f>SUM(B18:B21)</f>
        <v>351034912</v>
      </c>
      <c r="C22" s="718">
        <f>SUM(C18:C21)</f>
        <v>10050098</v>
      </c>
      <c r="D22" s="507">
        <f>SUM(D18:D21)</f>
        <v>388041584</v>
      </c>
      <c r="E22" s="509">
        <f t="shared" si="4"/>
        <v>0.10542162826243334</v>
      </c>
      <c r="F22" s="507">
        <f>SUM(F18:F21)</f>
        <v>9435098</v>
      </c>
      <c r="G22" s="509">
        <f t="shared" si="5"/>
        <v>-6.1193433138661935E-2</v>
      </c>
      <c r="H22" s="361"/>
      <c r="I22" s="507">
        <f>SUM(I18:I21)</f>
        <v>402777055</v>
      </c>
      <c r="J22" s="509">
        <f t="shared" si="6"/>
        <v>0.14739885188399723</v>
      </c>
      <c r="K22" s="507">
        <f>SUM(K18:K21)</f>
        <v>9854088</v>
      </c>
      <c r="L22" s="509">
        <f t="shared" si="7"/>
        <v>-1.9503292405705894E-2</v>
      </c>
      <c r="M22" s="339"/>
      <c r="N22" s="339"/>
    </row>
    <row r="23" spans="1:14" customFormat="1" ht="15.75" customHeight="1" thickBot="1" x14ac:dyDescent="0.3">
      <c r="A23" s="662" t="s">
        <v>47</v>
      </c>
      <c r="B23" s="606">
        <f>SUM(B16,B22)</f>
        <v>432087483</v>
      </c>
      <c r="C23" s="607">
        <f>SUM(C16,C22)</f>
        <v>14446274</v>
      </c>
      <c r="D23" s="446">
        <f>SUM(D16,D22)</f>
        <v>469420331</v>
      </c>
      <c r="E23" s="533">
        <f t="shared" si="4"/>
        <v>8.6401132800229721E-2</v>
      </c>
      <c r="F23" s="446">
        <f>SUM(F16,F22)</f>
        <v>10175098</v>
      </c>
      <c r="G23" s="533">
        <f t="shared" si="5"/>
        <v>-0.29565935133169979</v>
      </c>
      <c r="H23" s="719"/>
      <c r="I23" s="446">
        <f>SUM(I16,I22)</f>
        <v>484155802</v>
      </c>
      <c r="J23" s="533">
        <f t="shared" si="6"/>
        <v>0.12050411328392958</v>
      </c>
      <c r="K23" s="446">
        <f>SUM(K16,K22)</f>
        <v>10594088</v>
      </c>
      <c r="L23" s="533">
        <f t="shared" si="7"/>
        <v>-0.26665602493764134</v>
      </c>
      <c r="M23" s="339"/>
      <c r="N23" s="339"/>
    </row>
  </sheetData>
  <mergeCells count="12">
    <mergeCell ref="A6:A8"/>
    <mergeCell ref="B7:B8"/>
    <mergeCell ref="C7:C8"/>
    <mergeCell ref="N7:O7"/>
    <mergeCell ref="P7:Q7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47"/>
  <sheetViews>
    <sheetView zoomScale="80" zoomScaleNormal="80" workbookViewId="0">
      <selection activeCell="B5" sqref="B5 A5:AP9"/>
    </sheetView>
  </sheetViews>
  <sheetFormatPr defaultRowHeight="15" x14ac:dyDescent="0.25"/>
  <cols>
    <col min="1" max="1" width="10.28515625" style="339" customWidth="1"/>
    <col min="2" max="2" width="14.5703125" style="352" customWidth="1"/>
    <col min="3" max="3" width="18.28515625" style="352" customWidth="1"/>
    <col min="4" max="4" width="16.5703125" style="352" customWidth="1"/>
    <col min="5" max="5" width="10.28515625" style="352" customWidth="1"/>
    <col min="6" max="6" width="13.85546875" style="352" customWidth="1"/>
    <col min="7" max="8" width="10.28515625" style="352" customWidth="1"/>
    <col min="9" max="9" width="20.42578125" style="354" customWidth="1"/>
    <col min="10" max="10" width="9.140625" style="339" customWidth="1"/>
    <col min="11" max="11" width="10.28515625" style="352" customWidth="1"/>
    <col min="12" max="12" width="20.42578125" style="490" customWidth="1"/>
  </cols>
  <sheetData>
    <row r="1" spans="1:12" ht="15.75" customHeight="1" x14ac:dyDescent="0.25">
      <c r="A1" s="355" t="s">
        <v>354</v>
      </c>
    </row>
    <row r="2" spans="1:12" ht="15.75" customHeight="1" x14ac:dyDescent="0.25">
      <c r="A2" s="356" t="s">
        <v>31</v>
      </c>
    </row>
    <row r="3" spans="1:12" ht="15.75" customHeight="1" x14ac:dyDescent="0.25">
      <c r="A3" s="356"/>
    </row>
    <row r="4" spans="1:12" x14ac:dyDescent="0.25">
      <c r="A4" s="353" t="s">
        <v>355</v>
      </c>
    </row>
    <row r="5" spans="1:12" ht="15.75" customHeight="1" thickBot="1" x14ac:dyDescent="0.3"/>
    <row r="6" spans="1:12" ht="15.75" customHeight="1" thickBot="1" x14ac:dyDescent="0.3">
      <c r="A6" s="314"/>
      <c r="B6" s="320" t="s">
        <v>343</v>
      </c>
      <c r="C6" s="14" t="s">
        <v>356</v>
      </c>
      <c r="D6" s="11" t="s">
        <v>357</v>
      </c>
      <c r="E6" s="5" t="s">
        <v>187</v>
      </c>
      <c r="F6" s="4"/>
      <c r="G6" s="3"/>
      <c r="H6" s="126" t="s">
        <v>3</v>
      </c>
      <c r="I6" s="311"/>
      <c r="J6" s="357"/>
      <c r="K6" s="126" t="s">
        <v>4</v>
      </c>
      <c r="L6" s="311"/>
    </row>
    <row r="7" spans="1:12" ht="21.75" customHeight="1" x14ac:dyDescent="0.25">
      <c r="A7" s="158"/>
      <c r="B7" s="315"/>
      <c r="C7" s="13"/>
      <c r="D7" s="10"/>
      <c r="E7" s="720" t="s">
        <v>358</v>
      </c>
      <c r="F7" s="721" t="s">
        <v>359</v>
      </c>
      <c r="G7" s="2" t="s">
        <v>240</v>
      </c>
      <c r="H7" s="8" t="s">
        <v>240</v>
      </c>
      <c r="I7" s="28" t="s">
        <v>142</v>
      </c>
      <c r="J7" s="361"/>
      <c r="K7" s="8" t="s">
        <v>240</v>
      </c>
      <c r="L7" s="28" t="s">
        <v>144</v>
      </c>
    </row>
    <row r="8" spans="1:12" ht="27.75" customHeight="1" thickBot="1" x14ac:dyDescent="0.3">
      <c r="A8" s="313"/>
      <c r="B8" s="319"/>
      <c r="C8" s="12"/>
      <c r="D8" s="9"/>
      <c r="E8" s="722">
        <v>5.0000000000000001E-3</v>
      </c>
      <c r="F8" s="723">
        <v>5.0000000000000001E-3</v>
      </c>
      <c r="G8" s="1"/>
      <c r="H8" s="7"/>
      <c r="I8" s="6"/>
      <c r="J8" s="361"/>
      <c r="K8" s="7"/>
      <c r="L8" s="6"/>
    </row>
    <row r="9" spans="1:12" x14ac:dyDescent="0.25">
      <c r="A9" s="587" t="s">
        <v>50</v>
      </c>
      <c r="B9" s="405">
        <v>6438883</v>
      </c>
      <c r="C9" s="408">
        <v>2466772503</v>
      </c>
      <c r="D9" s="585">
        <v>327692989</v>
      </c>
      <c r="E9" s="408">
        <f t="shared" ref="E9:F15" si="0">ROUND(E$8*C9 / 2, 0) * 2</f>
        <v>12333862</v>
      </c>
      <c r="F9" s="503">
        <f t="shared" si="0"/>
        <v>1638464</v>
      </c>
      <c r="G9" s="352">
        <f t="shared" ref="G9:G15" si="1">SUM(E9,F9)</f>
        <v>13972326</v>
      </c>
      <c r="H9" s="408">
        <f t="shared" ref="H9:H15" si="2">$G9/2</f>
        <v>6986163</v>
      </c>
      <c r="I9" s="504">
        <f t="shared" ref="I9:I16" si="3">IF($B9 &gt; 0, (H9-$B9)/$B9, "")</f>
        <v>8.4996108797131431E-2</v>
      </c>
      <c r="J9" s="361"/>
      <c r="K9" s="408">
        <f t="shared" ref="K9:K15" si="4">$G9/2</f>
        <v>6986163</v>
      </c>
      <c r="L9" s="504">
        <f t="shared" ref="L9:L16" si="5">IF($B9 &gt; 0, (K9-$B9)/$B9, "")</f>
        <v>8.4996108797131431E-2</v>
      </c>
    </row>
    <row r="10" spans="1:12" x14ac:dyDescent="0.25">
      <c r="A10" s="587" t="s">
        <v>55</v>
      </c>
      <c r="B10" s="405">
        <v>196115</v>
      </c>
      <c r="C10" s="408">
        <v>69941423</v>
      </c>
      <c r="D10" s="585">
        <v>9499793</v>
      </c>
      <c r="E10" s="408">
        <f t="shared" si="0"/>
        <v>349708</v>
      </c>
      <c r="F10" s="503">
        <f t="shared" si="0"/>
        <v>47498</v>
      </c>
      <c r="G10" s="352">
        <f t="shared" si="1"/>
        <v>397206</v>
      </c>
      <c r="H10" s="408">
        <f t="shared" si="2"/>
        <v>198603</v>
      </c>
      <c r="I10" s="504">
        <f t="shared" si="3"/>
        <v>1.2686433980062719E-2</v>
      </c>
      <c r="J10" s="361"/>
      <c r="K10" s="408">
        <f t="shared" si="4"/>
        <v>198603</v>
      </c>
      <c r="L10" s="504">
        <f t="shared" si="5"/>
        <v>1.2686433980062719E-2</v>
      </c>
    </row>
    <row r="11" spans="1:12" x14ac:dyDescent="0.25">
      <c r="A11" s="587" t="s">
        <v>56</v>
      </c>
      <c r="B11" s="405">
        <v>258758</v>
      </c>
      <c r="C11" s="408">
        <v>102161844</v>
      </c>
      <c r="D11" s="585">
        <v>7121172</v>
      </c>
      <c r="E11" s="408">
        <f t="shared" si="0"/>
        <v>510810</v>
      </c>
      <c r="F11" s="503">
        <f t="shared" si="0"/>
        <v>35606</v>
      </c>
      <c r="G11" s="352">
        <f t="shared" si="1"/>
        <v>546416</v>
      </c>
      <c r="H11" s="408">
        <f t="shared" si="2"/>
        <v>273208</v>
      </c>
      <c r="I11" s="504">
        <f t="shared" si="3"/>
        <v>5.5843684060009738E-2</v>
      </c>
      <c r="J11" s="361"/>
      <c r="K11" s="408">
        <f t="shared" si="4"/>
        <v>273208</v>
      </c>
      <c r="L11" s="504">
        <f t="shared" si="5"/>
        <v>5.5843684060009738E-2</v>
      </c>
    </row>
    <row r="12" spans="1:12" x14ac:dyDescent="0.25">
      <c r="A12" s="587" t="s">
        <v>57</v>
      </c>
      <c r="B12" s="405">
        <v>427617</v>
      </c>
      <c r="C12" s="408">
        <v>197126744</v>
      </c>
      <c r="D12" s="585">
        <v>15156658</v>
      </c>
      <c r="E12" s="408">
        <f t="shared" si="0"/>
        <v>985634</v>
      </c>
      <c r="F12" s="503">
        <f t="shared" si="0"/>
        <v>75784</v>
      </c>
      <c r="G12" s="352">
        <f t="shared" si="1"/>
        <v>1061418</v>
      </c>
      <c r="H12" s="408">
        <f t="shared" si="2"/>
        <v>530709</v>
      </c>
      <c r="I12" s="504">
        <f t="shared" si="3"/>
        <v>0.24108489606353348</v>
      </c>
      <c r="J12" s="361"/>
      <c r="K12" s="408">
        <f t="shared" si="4"/>
        <v>530709</v>
      </c>
      <c r="L12" s="504">
        <f t="shared" si="5"/>
        <v>0.24108489606353348</v>
      </c>
    </row>
    <row r="13" spans="1:12" x14ac:dyDescent="0.25">
      <c r="A13" s="587" t="s">
        <v>58</v>
      </c>
      <c r="B13" s="405">
        <v>4828083</v>
      </c>
      <c r="C13" s="408">
        <v>2037281769</v>
      </c>
      <c r="D13" s="585">
        <v>99304022</v>
      </c>
      <c r="E13" s="408">
        <f t="shared" si="0"/>
        <v>10186408</v>
      </c>
      <c r="F13" s="503">
        <f t="shared" si="0"/>
        <v>496520</v>
      </c>
      <c r="G13" s="352">
        <f t="shared" si="1"/>
        <v>10682928</v>
      </c>
      <c r="H13" s="408">
        <f t="shared" si="2"/>
        <v>5341464</v>
      </c>
      <c r="I13" s="504">
        <f t="shared" si="3"/>
        <v>0.10633226479329373</v>
      </c>
      <c r="J13" s="361"/>
      <c r="K13" s="408">
        <f t="shared" si="4"/>
        <v>5341464</v>
      </c>
      <c r="L13" s="504">
        <f t="shared" si="5"/>
        <v>0.10633226479329373</v>
      </c>
    </row>
    <row r="14" spans="1:12" x14ac:dyDescent="0.25">
      <c r="A14" s="587" t="s">
        <v>59</v>
      </c>
      <c r="B14" s="405">
        <v>507324</v>
      </c>
      <c r="C14" s="408">
        <v>195152921</v>
      </c>
      <c r="D14" s="585">
        <v>13653913</v>
      </c>
      <c r="E14" s="408">
        <f t="shared" si="0"/>
        <v>975764</v>
      </c>
      <c r="F14" s="503">
        <f t="shared" si="0"/>
        <v>68270</v>
      </c>
      <c r="G14" s="352">
        <f t="shared" si="1"/>
        <v>1044034</v>
      </c>
      <c r="H14" s="408">
        <f t="shared" si="2"/>
        <v>522017</v>
      </c>
      <c r="I14" s="504">
        <f t="shared" si="3"/>
        <v>2.8961768022013546E-2</v>
      </c>
      <c r="J14" s="361"/>
      <c r="K14" s="408">
        <f t="shared" si="4"/>
        <v>522017</v>
      </c>
      <c r="L14" s="504">
        <f t="shared" si="5"/>
        <v>2.8961768022013546E-2</v>
      </c>
    </row>
    <row r="15" spans="1:12" ht="15.75" customHeight="1" thickBot="1" x14ac:dyDescent="0.3">
      <c r="A15" s="587" t="s">
        <v>60</v>
      </c>
      <c r="B15" s="405">
        <v>471923</v>
      </c>
      <c r="C15" s="408">
        <v>176972436</v>
      </c>
      <c r="D15" s="585">
        <v>21801343</v>
      </c>
      <c r="E15" s="408">
        <f t="shared" si="0"/>
        <v>884862</v>
      </c>
      <c r="F15" s="503">
        <f t="shared" si="0"/>
        <v>109006</v>
      </c>
      <c r="G15" s="352">
        <f t="shared" si="1"/>
        <v>993868</v>
      </c>
      <c r="H15" s="408">
        <f t="shared" si="2"/>
        <v>496934</v>
      </c>
      <c r="I15" s="504">
        <f t="shared" si="3"/>
        <v>5.2998052648419343E-2</v>
      </c>
      <c r="J15" s="361"/>
      <c r="K15" s="408">
        <f t="shared" si="4"/>
        <v>496934</v>
      </c>
      <c r="L15" s="504">
        <f t="shared" si="5"/>
        <v>5.2998052648419343E-2</v>
      </c>
    </row>
    <row r="16" spans="1:12" ht="15.75" customHeight="1" thickTop="1" x14ac:dyDescent="0.25">
      <c r="A16" s="588" t="s">
        <v>132</v>
      </c>
      <c r="B16" s="589">
        <f t="shared" ref="B16:H16" si="6">SUM(B9:B15)</f>
        <v>13128703</v>
      </c>
      <c r="C16" s="590">
        <f t="shared" si="6"/>
        <v>5245409640</v>
      </c>
      <c r="D16" s="591">
        <f t="shared" si="6"/>
        <v>494229890</v>
      </c>
      <c r="E16" s="590">
        <f t="shared" si="6"/>
        <v>26227048</v>
      </c>
      <c r="F16" s="592">
        <f t="shared" si="6"/>
        <v>2471148</v>
      </c>
      <c r="G16" s="724">
        <f t="shared" si="6"/>
        <v>28698196</v>
      </c>
      <c r="H16" s="590">
        <f t="shared" si="6"/>
        <v>14349098</v>
      </c>
      <c r="I16" s="657">
        <f t="shared" si="3"/>
        <v>9.2956250133771776E-2</v>
      </c>
      <c r="J16" s="361"/>
      <c r="K16" s="590">
        <f>SUM(K9:K15)</f>
        <v>14349098</v>
      </c>
      <c r="L16" s="657">
        <f t="shared" si="5"/>
        <v>9.2956250133771776E-2</v>
      </c>
    </row>
    <row r="17" spans="1:12" x14ac:dyDescent="0.25">
      <c r="A17" s="595"/>
      <c r="B17" s="596"/>
      <c r="C17" s="597"/>
      <c r="D17" s="602"/>
      <c r="E17" s="597"/>
      <c r="F17" s="599"/>
      <c r="G17" s="598"/>
      <c r="H17" s="597"/>
      <c r="I17" s="626"/>
      <c r="J17" s="361"/>
      <c r="K17" s="597"/>
      <c r="L17" s="626"/>
    </row>
    <row r="18" spans="1:12" x14ac:dyDescent="0.25">
      <c r="A18" s="587" t="s">
        <v>66</v>
      </c>
      <c r="B18" s="405">
        <v>9208278</v>
      </c>
      <c r="C18" s="408">
        <v>3374650832</v>
      </c>
      <c r="D18" s="585">
        <v>649195815</v>
      </c>
      <c r="E18" s="408">
        <f t="shared" ref="E18:F20" si="7">ROUND(E$8*C18 / 2, 0) * 2</f>
        <v>16873254</v>
      </c>
      <c r="F18" s="503">
        <f t="shared" si="7"/>
        <v>3245980</v>
      </c>
      <c r="G18" s="352">
        <f>SUM(E18,F18)</f>
        <v>20119234</v>
      </c>
      <c r="H18" s="408">
        <f>$G18/2</f>
        <v>10059617</v>
      </c>
      <c r="I18" s="504">
        <f>IF($B18 &gt; 0, (H18-$B18)/$B18, "")</f>
        <v>9.2453659631040686E-2</v>
      </c>
      <c r="J18" s="361"/>
      <c r="K18" s="408">
        <f>$G18/2</f>
        <v>10059617</v>
      </c>
      <c r="L18" s="504">
        <f>IF($B18 &gt; 0, (K18-$B18)/$B18, "")</f>
        <v>9.2453659631040686E-2</v>
      </c>
    </row>
    <row r="19" spans="1:12" x14ac:dyDescent="0.25">
      <c r="A19" s="587" t="s">
        <v>67</v>
      </c>
      <c r="B19" s="405">
        <v>927728</v>
      </c>
      <c r="C19" s="408">
        <v>347961047</v>
      </c>
      <c r="D19" s="585">
        <v>53992808</v>
      </c>
      <c r="E19" s="408">
        <f t="shared" si="7"/>
        <v>1739806</v>
      </c>
      <c r="F19" s="503">
        <f t="shared" si="7"/>
        <v>269964</v>
      </c>
      <c r="G19" s="352">
        <f>SUM(E19,F19)</f>
        <v>2009770</v>
      </c>
      <c r="H19" s="408">
        <f>$G19/2</f>
        <v>1004885</v>
      </c>
      <c r="I19" s="504">
        <f>IF($B19 &gt; 0, (H19-$B19)/$B19, "")</f>
        <v>8.3167695703913219E-2</v>
      </c>
      <c r="J19" s="361"/>
      <c r="K19" s="408">
        <f>$G19/2</f>
        <v>1004885</v>
      </c>
      <c r="L19" s="504">
        <f>IF($B19 &gt; 0, (K19-$B19)/$B19, "")</f>
        <v>8.3167695703913219E-2</v>
      </c>
    </row>
    <row r="20" spans="1:12" ht="15.75" customHeight="1" thickBot="1" x14ac:dyDescent="0.3">
      <c r="A20" s="587" t="s">
        <v>69</v>
      </c>
      <c r="B20" s="405">
        <v>1115272</v>
      </c>
      <c r="C20" s="408">
        <v>422047416</v>
      </c>
      <c r="D20" s="585">
        <v>49013203</v>
      </c>
      <c r="E20" s="408">
        <f t="shared" si="7"/>
        <v>2110238</v>
      </c>
      <c r="F20" s="503">
        <f t="shared" si="7"/>
        <v>245066</v>
      </c>
      <c r="G20" s="352">
        <f>SUM(E20,F20)</f>
        <v>2355304</v>
      </c>
      <c r="H20" s="408">
        <f>$G20/2</f>
        <v>1177652</v>
      </c>
      <c r="I20" s="504">
        <f>IF($B20 &gt; 0, (H20-$B20)/$B20, "")</f>
        <v>5.5932543809940533E-2</v>
      </c>
      <c r="J20" s="361"/>
      <c r="K20" s="408">
        <f>$G20/2</f>
        <v>1177652</v>
      </c>
      <c r="L20" s="504">
        <f>IF($B20 &gt; 0, (K20-$B20)/$B20, "")</f>
        <v>5.5932543809940533E-2</v>
      </c>
    </row>
    <row r="21" spans="1:12" ht="15.75" customHeight="1" thickTop="1" x14ac:dyDescent="0.25">
      <c r="A21" s="588" t="s">
        <v>133</v>
      </c>
      <c r="B21" s="589">
        <f t="shared" ref="B21:H21" si="8">SUM(B18:B20)</f>
        <v>11251278</v>
      </c>
      <c r="C21" s="590">
        <f t="shared" si="8"/>
        <v>4144659295</v>
      </c>
      <c r="D21" s="591">
        <f t="shared" si="8"/>
        <v>752201826</v>
      </c>
      <c r="E21" s="590">
        <f t="shared" si="8"/>
        <v>20723298</v>
      </c>
      <c r="F21" s="592">
        <f t="shared" si="8"/>
        <v>3761010</v>
      </c>
      <c r="G21" s="724">
        <f t="shared" si="8"/>
        <v>24484308</v>
      </c>
      <c r="H21" s="590">
        <f t="shared" si="8"/>
        <v>12242154</v>
      </c>
      <c r="I21" s="657">
        <f>IF($B21 &gt; 0, (H21-$B21)/$B21, "")</f>
        <v>8.8067862157525573E-2</v>
      </c>
      <c r="J21" s="361"/>
      <c r="K21" s="590">
        <f>SUM(K18:K20)</f>
        <v>12242154</v>
      </c>
      <c r="L21" s="657">
        <f>IF($B21 &gt; 0, (K21-$B21)/$B21, "")</f>
        <v>8.8067862157525573E-2</v>
      </c>
    </row>
    <row r="22" spans="1:12" x14ac:dyDescent="0.25">
      <c r="A22" s="595"/>
      <c r="B22" s="596"/>
      <c r="C22" s="597"/>
      <c r="D22" s="602"/>
      <c r="E22" s="597"/>
      <c r="F22" s="599"/>
      <c r="G22" s="598"/>
      <c r="H22" s="597"/>
      <c r="I22" s="626"/>
      <c r="J22" s="361"/>
      <c r="K22" s="597"/>
      <c r="L22" s="626"/>
    </row>
    <row r="23" spans="1:12" x14ac:dyDescent="0.25">
      <c r="A23" s="587" t="s">
        <v>72</v>
      </c>
      <c r="B23" s="405">
        <v>2715486</v>
      </c>
      <c r="C23" s="408">
        <v>887655196</v>
      </c>
      <c r="D23" s="585">
        <v>279288418</v>
      </c>
      <c r="E23" s="408">
        <f t="shared" ref="E23:F27" si="9">ROUND(E$8*C23 / 2, 0) * 2</f>
        <v>4438276</v>
      </c>
      <c r="F23" s="503">
        <f t="shared" si="9"/>
        <v>1396442</v>
      </c>
      <c r="G23" s="352">
        <f>SUM(E23,F23)</f>
        <v>5834718</v>
      </c>
      <c r="H23" s="408">
        <f>$G23/2</f>
        <v>2917359</v>
      </c>
      <c r="I23" s="504">
        <f t="shared" ref="I23:I28" si="10">IF($B23 &gt; 0, (H23-$B23)/$B23, "")</f>
        <v>7.4341388613308995E-2</v>
      </c>
      <c r="J23" s="361"/>
      <c r="K23" s="408">
        <f>$G23/2</f>
        <v>2917359</v>
      </c>
      <c r="L23" s="504">
        <f t="shared" ref="L23:L28" si="11">IF($B23 &gt; 0, (K23-$B23)/$B23, "")</f>
        <v>7.4341388613308995E-2</v>
      </c>
    </row>
    <row r="24" spans="1:12" x14ac:dyDescent="0.25">
      <c r="A24" s="587" t="s">
        <v>73</v>
      </c>
      <c r="B24" s="405">
        <v>1391284</v>
      </c>
      <c r="C24" s="408">
        <v>504495782</v>
      </c>
      <c r="D24" s="585">
        <v>97220187</v>
      </c>
      <c r="E24" s="408">
        <f t="shared" si="9"/>
        <v>2522478</v>
      </c>
      <c r="F24" s="503">
        <f t="shared" si="9"/>
        <v>486100</v>
      </c>
      <c r="G24" s="352">
        <f>SUM(E24,F24)</f>
        <v>3008578</v>
      </c>
      <c r="H24" s="408">
        <f>$G24/2</f>
        <v>1504289</v>
      </c>
      <c r="I24" s="504">
        <f t="shared" si="10"/>
        <v>8.122353164415029E-2</v>
      </c>
      <c r="J24" s="361"/>
      <c r="K24" s="408">
        <f>$G24/2</f>
        <v>1504289</v>
      </c>
      <c r="L24" s="504">
        <f t="shared" si="11"/>
        <v>8.122353164415029E-2</v>
      </c>
    </row>
    <row r="25" spans="1:12" x14ac:dyDescent="0.25">
      <c r="A25" s="587" t="s">
        <v>74</v>
      </c>
      <c r="B25" s="405">
        <v>931336</v>
      </c>
      <c r="C25" s="408">
        <v>385037156</v>
      </c>
      <c r="D25" s="585">
        <v>60147541</v>
      </c>
      <c r="E25" s="408">
        <f t="shared" si="9"/>
        <v>1925186</v>
      </c>
      <c r="F25" s="503">
        <f t="shared" si="9"/>
        <v>300738</v>
      </c>
      <c r="G25" s="352">
        <f>SUM(E25,F25)</f>
        <v>2225924</v>
      </c>
      <c r="H25" s="408">
        <f>$G25/2</f>
        <v>1112962</v>
      </c>
      <c r="I25" s="504">
        <f t="shared" si="10"/>
        <v>0.19501662128383312</v>
      </c>
      <c r="J25" s="361"/>
      <c r="K25" s="408">
        <f>$G25/2</f>
        <v>1112962</v>
      </c>
      <c r="L25" s="504">
        <f t="shared" si="11"/>
        <v>0.19501662128383312</v>
      </c>
    </row>
    <row r="26" spans="1:12" x14ac:dyDescent="0.25">
      <c r="A26" s="587" t="s">
        <v>75</v>
      </c>
      <c r="B26" s="405">
        <v>906602</v>
      </c>
      <c r="C26" s="408">
        <v>369761733</v>
      </c>
      <c r="D26" s="585">
        <v>32352916</v>
      </c>
      <c r="E26" s="408">
        <f t="shared" si="9"/>
        <v>1848808</v>
      </c>
      <c r="F26" s="503">
        <f t="shared" si="9"/>
        <v>161764</v>
      </c>
      <c r="G26" s="352">
        <f>SUM(E26,F26)</f>
        <v>2010572</v>
      </c>
      <c r="H26" s="408">
        <f>$G26/2</f>
        <v>1005286</v>
      </c>
      <c r="I26" s="504">
        <f t="shared" si="10"/>
        <v>0.10885041065428931</v>
      </c>
      <c r="J26" s="361"/>
      <c r="K26" s="408">
        <f>$G26/2</f>
        <v>1005286</v>
      </c>
      <c r="L26" s="504">
        <f t="shared" si="11"/>
        <v>0.10885041065428931</v>
      </c>
    </row>
    <row r="27" spans="1:12" ht="15.75" customHeight="1" thickBot="1" x14ac:dyDescent="0.3">
      <c r="A27" s="587" t="s">
        <v>76</v>
      </c>
      <c r="B27" s="405">
        <v>3318653</v>
      </c>
      <c r="C27" s="408">
        <v>1322448472</v>
      </c>
      <c r="D27" s="585">
        <v>121782598</v>
      </c>
      <c r="E27" s="408">
        <f t="shared" si="9"/>
        <v>6612242</v>
      </c>
      <c r="F27" s="503">
        <f t="shared" si="9"/>
        <v>608912</v>
      </c>
      <c r="G27" s="352">
        <f>SUM(E27,F27)</f>
        <v>7221154</v>
      </c>
      <c r="H27" s="408">
        <f>$G27/2</f>
        <v>3610577</v>
      </c>
      <c r="I27" s="504">
        <f t="shared" si="10"/>
        <v>8.7964604916512812E-2</v>
      </c>
      <c r="J27" s="361"/>
      <c r="K27" s="408">
        <f>$G27/2</f>
        <v>3610577</v>
      </c>
      <c r="L27" s="504">
        <f t="shared" si="11"/>
        <v>8.7964604916512812E-2</v>
      </c>
    </row>
    <row r="28" spans="1:12" ht="15.75" customHeight="1" thickBot="1" x14ac:dyDescent="0.3">
      <c r="A28" s="662" t="s">
        <v>47</v>
      </c>
      <c r="B28" s="606">
        <f t="shared" ref="B28:H28" si="12">SUM(B16,B21,B23:B27)</f>
        <v>33643342</v>
      </c>
      <c r="C28" s="446">
        <f t="shared" si="12"/>
        <v>12859467274</v>
      </c>
      <c r="D28" s="607">
        <f t="shared" si="12"/>
        <v>1837223376</v>
      </c>
      <c r="E28" s="446">
        <f t="shared" si="12"/>
        <v>64297336</v>
      </c>
      <c r="F28" s="608">
        <f t="shared" si="12"/>
        <v>9186114</v>
      </c>
      <c r="G28" s="725">
        <f t="shared" si="12"/>
        <v>73483450</v>
      </c>
      <c r="H28" s="446">
        <f t="shared" si="12"/>
        <v>36741725</v>
      </c>
      <c r="I28" s="533">
        <f t="shared" si="10"/>
        <v>9.2094982716045271E-2</v>
      </c>
      <c r="J28" s="413"/>
      <c r="K28" s="446">
        <f>SUM(K16,K21,K23:K27)</f>
        <v>36741725</v>
      </c>
      <c r="L28" s="533">
        <f t="shared" si="11"/>
        <v>9.2094982716045271E-2</v>
      </c>
    </row>
    <row r="47" spans="1:11" ht="15.75" customHeight="1" x14ac:dyDescent="0.25">
      <c r="A47"/>
      <c r="B47"/>
      <c r="C47"/>
      <c r="D47"/>
      <c r="E47"/>
      <c r="F47"/>
      <c r="G47"/>
      <c r="H47"/>
      <c r="I47"/>
      <c r="J47"/>
      <c r="K47"/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9"/>
  <sheetViews>
    <sheetView zoomScale="80" zoomScaleNormal="80" workbookViewId="0">
      <selection activeCell="E17" sqref="E17"/>
    </sheetView>
  </sheetViews>
  <sheetFormatPr defaultRowHeight="15" x14ac:dyDescent="0.25"/>
  <cols>
    <col min="1" max="1" width="24.7109375" style="339" customWidth="1"/>
    <col min="2" max="3" width="18.28515625" style="352" customWidth="1"/>
    <col min="4" max="4" width="21.7109375" style="352" customWidth="1"/>
    <col min="5" max="5" width="22.28515625" style="354" customWidth="1"/>
    <col min="6" max="6" width="9.140625" style="339" customWidth="1"/>
    <col min="7" max="7" width="18.28515625" style="352" customWidth="1"/>
    <col min="8" max="8" width="21.7109375" style="352" customWidth="1"/>
    <col min="9" max="9" width="22.28515625" style="354" customWidth="1"/>
  </cols>
  <sheetData>
    <row r="1" spans="1:9" ht="15.75" customHeight="1" x14ac:dyDescent="0.25">
      <c r="A1" s="355" t="s">
        <v>30</v>
      </c>
    </row>
    <row r="2" spans="1:9" ht="15.75" customHeight="1" x14ac:dyDescent="0.25">
      <c r="A2" s="356" t="s">
        <v>31</v>
      </c>
    </row>
    <row r="3" spans="1:9" ht="15.75" customHeight="1" x14ac:dyDescent="0.25">
      <c r="A3" s="356"/>
    </row>
    <row r="4" spans="1:9" x14ac:dyDescent="0.25">
      <c r="A4" s="353" t="s">
        <v>32</v>
      </c>
    </row>
    <row r="5" spans="1:9" ht="15.75" customHeight="1" thickBot="1" x14ac:dyDescent="0.3">
      <c r="A5" s="353"/>
    </row>
    <row r="6" spans="1:9" ht="15.75" customHeight="1" thickBot="1" x14ac:dyDescent="0.3">
      <c r="A6" s="322"/>
      <c r="B6" s="320" t="s">
        <v>33</v>
      </c>
      <c r="C6" s="318" t="s">
        <v>3</v>
      </c>
      <c r="D6" s="317"/>
      <c r="E6" s="316"/>
      <c r="F6" s="357"/>
      <c r="G6" s="318" t="s">
        <v>4</v>
      </c>
      <c r="H6" s="317"/>
      <c r="I6" s="316"/>
    </row>
    <row r="7" spans="1:9" ht="30.75" customHeight="1" thickBot="1" x14ac:dyDescent="0.3">
      <c r="A7" s="321"/>
      <c r="B7" s="319"/>
      <c r="C7" s="358" t="s">
        <v>34</v>
      </c>
      <c r="D7" s="359" t="s">
        <v>35</v>
      </c>
      <c r="E7" s="360" t="s">
        <v>36</v>
      </c>
      <c r="F7" s="361"/>
      <c r="G7" s="358" t="s">
        <v>34</v>
      </c>
      <c r="H7" s="359" t="s">
        <v>35</v>
      </c>
      <c r="I7" s="360" t="s">
        <v>36</v>
      </c>
    </row>
    <row r="8" spans="1:9" ht="20.100000000000001" customHeight="1" x14ac:dyDescent="0.25">
      <c r="A8" s="362" t="s">
        <v>37</v>
      </c>
      <c r="B8" s="363">
        <v>1360154775</v>
      </c>
      <c r="C8" s="364">
        <v>1373754915</v>
      </c>
      <c r="D8" s="365">
        <f t="shared" ref="D8:D14" si="0">C8-$B8</f>
        <v>13600140</v>
      </c>
      <c r="E8" s="366">
        <f t="shared" ref="E8:E15" si="1">IF($B8&gt;0,D8/$B8, "")</f>
        <v>9.9989650074933569E-3</v>
      </c>
      <c r="F8" s="367"/>
      <c r="G8" s="364">
        <v>1387355385</v>
      </c>
      <c r="H8" s="365">
        <f t="shared" ref="H8:H14" si="2">G8-$B8</f>
        <v>27200610</v>
      </c>
      <c r="I8" s="366">
        <f t="shared" ref="I8:I15" si="3">IF($B8&gt;0,H8/$B8, "")</f>
        <v>1.9998172634434194E-2</v>
      </c>
    </row>
    <row r="9" spans="1:9" ht="20.100000000000001" customHeight="1" x14ac:dyDescent="0.25">
      <c r="A9" s="368" t="s">
        <v>38</v>
      </c>
      <c r="B9" s="363">
        <v>175391703</v>
      </c>
      <c r="C9" s="364">
        <v>162977282</v>
      </c>
      <c r="D9" s="365">
        <f t="shared" si="0"/>
        <v>-12414421</v>
      </c>
      <c r="E9" s="366">
        <f t="shared" si="1"/>
        <v>-7.0781118990560235E-2</v>
      </c>
      <c r="F9" s="367"/>
      <c r="G9" s="364">
        <v>164578451</v>
      </c>
      <c r="H9" s="365">
        <f t="shared" si="2"/>
        <v>-10813252</v>
      </c>
      <c r="I9" s="366">
        <f t="shared" si="3"/>
        <v>-6.1652015546026145E-2</v>
      </c>
    </row>
    <row r="10" spans="1:9" ht="20.100000000000001" customHeight="1" x14ac:dyDescent="0.25">
      <c r="A10" s="368" t="s">
        <v>39</v>
      </c>
      <c r="B10" s="363">
        <v>33643342</v>
      </c>
      <c r="C10" s="364">
        <v>36741725</v>
      </c>
      <c r="D10" s="365">
        <f t="shared" si="0"/>
        <v>3098383</v>
      </c>
      <c r="E10" s="366">
        <f t="shared" si="1"/>
        <v>9.2094982716045271E-2</v>
      </c>
      <c r="F10" s="367"/>
      <c r="G10" s="364">
        <v>36741725</v>
      </c>
      <c r="H10" s="365">
        <f t="shared" si="2"/>
        <v>3098383</v>
      </c>
      <c r="I10" s="366">
        <f t="shared" si="3"/>
        <v>9.2094982716045271E-2</v>
      </c>
    </row>
    <row r="11" spans="1:9" ht="20.100000000000001" customHeight="1" x14ac:dyDescent="0.25">
      <c r="A11" s="368" t="s">
        <v>40</v>
      </c>
      <c r="B11" s="363">
        <v>81052571</v>
      </c>
      <c r="C11" s="364">
        <v>81378747</v>
      </c>
      <c r="D11" s="365">
        <f t="shared" si="0"/>
        <v>326176</v>
      </c>
      <c r="E11" s="366">
        <f t="shared" si="1"/>
        <v>4.024252358386016E-3</v>
      </c>
      <c r="F11" s="367"/>
      <c r="G11" s="364">
        <v>81378747</v>
      </c>
      <c r="H11" s="365">
        <f t="shared" si="2"/>
        <v>326176</v>
      </c>
      <c r="I11" s="366">
        <f t="shared" si="3"/>
        <v>4.024252358386016E-3</v>
      </c>
    </row>
    <row r="12" spans="1:9" ht="20.100000000000001" customHeight="1" x14ac:dyDescent="0.25">
      <c r="A12" s="368" t="s">
        <v>41</v>
      </c>
      <c r="B12" s="363">
        <v>335797104</v>
      </c>
      <c r="C12" s="364">
        <v>372881676</v>
      </c>
      <c r="D12" s="365">
        <f t="shared" si="0"/>
        <v>37084572</v>
      </c>
      <c r="E12" s="366">
        <f t="shared" si="1"/>
        <v>0.11043743843603845</v>
      </c>
      <c r="F12" s="367"/>
      <c r="G12" s="364">
        <v>387617147</v>
      </c>
      <c r="H12" s="365">
        <f t="shared" si="2"/>
        <v>51820043</v>
      </c>
      <c r="I12" s="366">
        <f t="shared" si="3"/>
        <v>0.15431950538799166</v>
      </c>
    </row>
    <row r="13" spans="1:9" ht="20.100000000000001" customHeight="1" x14ac:dyDescent="0.25">
      <c r="A13" s="368" t="s">
        <v>42</v>
      </c>
      <c r="B13" s="363">
        <v>15237808</v>
      </c>
      <c r="C13" s="364">
        <v>15159908</v>
      </c>
      <c r="D13" s="365">
        <f t="shared" si="0"/>
        <v>-77900</v>
      </c>
      <c r="E13" s="366">
        <f t="shared" si="1"/>
        <v>-5.1122838665508845E-3</v>
      </c>
      <c r="F13" s="367"/>
      <c r="G13" s="364">
        <v>15159908</v>
      </c>
      <c r="H13" s="365">
        <f t="shared" si="2"/>
        <v>-77900</v>
      </c>
      <c r="I13" s="366">
        <f t="shared" si="3"/>
        <v>-5.1122838665508845E-3</v>
      </c>
    </row>
    <row r="14" spans="1:9" ht="20.100000000000001" customHeight="1" thickBot="1" x14ac:dyDescent="0.3">
      <c r="A14" s="368" t="s">
        <v>43</v>
      </c>
      <c r="B14" s="363">
        <v>35000000</v>
      </c>
      <c r="C14" s="364">
        <v>0</v>
      </c>
      <c r="D14" s="365">
        <f t="shared" si="0"/>
        <v>-35000000</v>
      </c>
      <c r="E14" s="366">
        <f t="shared" si="1"/>
        <v>-1</v>
      </c>
      <c r="F14" s="367"/>
      <c r="G14" s="364">
        <v>0</v>
      </c>
      <c r="H14" s="365">
        <f t="shared" si="2"/>
        <v>-35000000</v>
      </c>
      <c r="I14" s="366">
        <f t="shared" si="3"/>
        <v>-1</v>
      </c>
    </row>
    <row r="15" spans="1:9" ht="20.100000000000001" customHeight="1" thickTop="1" x14ac:dyDescent="0.25">
      <c r="A15" s="369" t="s">
        <v>44</v>
      </c>
      <c r="B15" s="370">
        <f>SUM(B8:B14)</f>
        <v>2036277303</v>
      </c>
      <c r="C15" s="371">
        <f>SUM(C8:C14)</f>
        <v>2042894253</v>
      </c>
      <c r="D15" s="372">
        <f>SUM(D8:D14)</f>
        <v>6616950</v>
      </c>
      <c r="E15" s="373">
        <f t="shared" si="1"/>
        <v>3.249532855987444E-3</v>
      </c>
      <c r="F15" s="374"/>
      <c r="G15" s="371">
        <f>SUM(G8:G14)</f>
        <v>2072831363</v>
      </c>
      <c r="H15" s="372">
        <f>SUM(H8:H14)</f>
        <v>36554060</v>
      </c>
      <c r="I15" s="373">
        <f t="shared" si="3"/>
        <v>1.7951415529773748E-2</v>
      </c>
    </row>
    <row r="16" spans="1:9" ht="15" customHeight="1" x14ac:dyDescent="0.25">
      <c r="A16" s="375"/>
      <c r="B16" s="367"/>
      <c r="C16" s="376"/>
      <c r="D16" s="377"/>
      <c r="E16" s="378"/>
      <c r="F16" s="367"/>
      <c r="G16" s="376"/>
      <c r="H16" s="377"/>
      <c r="I16" s="378"/>
    </row>
    <row r="17" spans="1:9" ht="20.100000000000001" customHeight="1" thickBot="1" x14ac:dyDescent="0.3">
      <c r="A17" s="368" t="s">
        <v>45</v>
      </c>
      <c r="B17" s="363">
        <v>14446274</v>
      </c>
      <c r="C17" s="364">
        <v>10175098</v>
      </c>
      <c r="D17" s="365">
        <f>C17-$B17</f>
        <v>-4271176</v>
      </c>
      <c r="E17" s="366">
        <f>IF($B17&gt;0,D17/$B17, "")</f>
        <v>-0.29565935133169979</v>
      </c>
      <c r="F17" s="367"/>
      <c r="G17" s="364">
        <v>10594088</v>
      </c>
      <c r="H17" s="365">
        <f>G17-$B17</f>
        <v>-3852186</v>
      </c>
      <c r="I17" s="366">
        <f>IF($B17&gt;0,H17/$B17, "")</f>
        <v>-0.26665602493764134</v>
      </c>
    </row>
    <row r="18" spans="1:9" ht="20.100000000000001" customHeight="1" thickBot="1" x14ac:dyDescent="0.3">
      <c r="A18" s="385" t="s">
        <v>46</v>
      </c>
      <c r="B18" s="386">
        <f>SUM(B17:B17)</f>
        <v>14446274</v>
      </c>
      <c r="C18" s="387">
        <f>SUM(C17:C17)</f>
        <v>10175098</v>
      </c>
      <c r="D18" s="388">
        <f>SUM(D17:D17)</f>
        <v>-4271176</v>
      </c>
      <c r="E18" s="389">
        <f>IF($B18&gt;0,D18/$B18, "")</f>
        <v>-0.29565935133169979</v>
      </c>
      <c r="F18" s="390"/>
      <c r="G18" s="387">
        <f>SUM(G17:G17)</f>
        <v>10594088</v>
      </c>
      <c r="H18" s="388">
        <f>SUM(H17:H17)</f>
        <v>-3852186</v>
      </c>
      <c r="I18" s="389">
        <f>IF($B18&gt;0,H18/$B18, "")</f>
        <v>-0.26665602493764134</v>
      </c>
    </row>
    <row r="19" spans="1:9" ht="20.100000000000001" customHeight="1" thickTop="1" thickBot="1" x14ac:dyDescent="0.3">
      <c r="A19" s="379" t="s">
        <v>47</v>
      </c>
      <c r="B19" s="380">
        <f>SUM(B15,B18)</f>
        <v>2050723577</v>
      </c>
      <c r="C19" s="381">
        <f>SUM(C15,C18)</f>
        <v>2053069351</v>
      </c>
      <c r="D19" s="382">
        <f>SUM(D15,D18)</f>
        <v>2345774</v>
      </c>
      <c r="E19" s="383">
        <f>IF($B19&gt;0,D19/$B19, "")</f>
        <v>1.1438762524160514E-3</v>
      </c>
      <c r="F19" s="384"/>
      <c r="G19" s="381">
        <f>SUM(G15,G18)</f>
        <v>2083425451</v>
      </c>
      <c r="H19" s="382">
        <f>SUM(H15,H18)</f>
        <v>32701874</v>
      </c>
      <c r="I19" s="383">
        <f>IF($B19&gt;0,H19/$B19, "")</f>
        <v>1.5946505110083883E-2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33"/>
  <sheetViews>
    <sheetView zoomScale="80" zoomScaleNormal="80" workbookViewId="0">
      <pane xSplit="1" ySplit="7" topLeftCell="B8" activePane="bottomRight" state="frozenSplit"/>
      <selection activeCell="B5" sqref="B5 A5:AP9"/>
      <selection pane="topRight"/>
      <selection pane="bottomLeft"/>
      <selection pane="bottomRight" activeCell="B8" sqref="B8"/>
    </sheetView>
  </sheetViews>
  <sheetFormatPr defaultRowHeight="15" x14ac:dyDescent="0.25"/>
  <cols>
    <col min="1" max="1" width="31.7109375" style="339" customWidth="1"/>
    <col min="2" max="3" width="16.5703125" style="352" customWidth="1"/>
    <col min="4" max="4" width="21.7109375" style="352" customWidth="1"/>
    <col min="5" max="5" width="22.28515625" style="354" customWidth="1"/>
    <col min="6" max="6" width="9.140625" style="339" customWidth="1"/>
    <col min="7" max="7" width="16.5703125" style="352" customWidth="1"/>
    <col min="8" max="8" width="21.7109375" style="352" customWidth="1"/>
    <col min="9" max="9" width="22.28515625" style="354" customWidth="1"/>
  </cols>
  <sheetData>
    <row r="1" spans="1:9" ht="15.75" customHeight="1" x14ac:dyDescent="0.25">
      <c r="A1" s="355" t="s">
        <v>48</v>
      </c>
      <c r="B1"/>
    </row>
    <row r="2" spans="1:9" ht="15.75" customHeight="1" x14ac:dyDescent="0.25">
      <c r="A2" s="356" t="s">
        <v>31</v>
      </c>
    </row>
    <row r="3" spans="1:9" ht="15.75" customHeight="1" x14ac:dyDescent="0.25">
      <c r="A3" s="356"/>
    </row>
    <row r="4" spans="1:9" x14ac:dyDescent="0.25">
      <c r="A4" s="353" t="s">
        <v>49</v>
      </c>
    </row>
    <row r="5" spans="1:9" ht="15.75" customHeight="1" thickBot="1" x14ac:dyDescent="0.3"/>
    <row r="6" spans="1:9" ht="15.75" customHeight="1" thickBot="1" x14ac:dyDescent="0.3">
      <c r="A6" s="314"/>
      <c r="B6" s="320" t="s">
        <v>33</v>
      </c>
      <c r="C6" s="312" t="s">
        <v>3</v>
      </c>
      <c r="D6" s="312"/>
      <c r="E6" s="311"/>
      <c r="F6" s="357"/>
      <c r="G6" s="317" t="s">
        <v>4</v>
      </c>
      <c r="H6" s="317"/>
      <c r="I6" s="316"/>
    </row>
    <row r="7" spans="1:9" ht="30.75" customHeight="1" thickBot="1" x14ac:dyDescent="0.3">
      <c r="A7" s="313"/>
      <c r="B7" s="315"/>
      <c r="C7" s="391" t="s">
        <v>34</v>
      </c>
      <c r="D7" s="392" t="s">
        <v>35</v>
      </c>
      <c r="E7" s="393" t="s">
        <v>36</v>
      </c>
      <c r="F7" s="361"/>
      <c r="G7" s="394" t="s">
        <v>34</v>
      </c>
      <c r="H7" s="395" t="s">
        <v>35</v>
      </c>
      <c r="I7" s="396" t="s">
        <v>36</v>
      </c>
    </row>
    <row r="8" spans="1:9" x14ac:dyDescent="0.25">
      <c r="A8" s="397" t="s">
        <v>50</v>
      </c>
      <c r="B8" s="398">
        <f>SUM(B9:B12)</f>
        <v>231107146</v>
      </c>
      <c r="C8" s="399">
        <f>SUM(C9:C12)</f>
        <v>227240656</v>
      </c>
      <c r="D8" s="400">
        <f t="shared" ref="D8:D39" si="0">C8-$B8</f>
        <v>-3866490</v>
      </c>
      <c r="E8" s="401">
        <f t="shared" ref="E8:E39" si="1">IF($B8&gt;0,D8/$B8, "")</f>
        <v>-1.6730291844805179E-2</v>
      </c>
      <c r="F8" s="402"/>
      <c r="G8" s="403">
        <f>SUM(G9:G12)</f>
        <v>229618312</v>
      </c>
      <c r="H8" s="400">
        <f t="shared" ref="H8:H13" si="2">G8-$B8</f>
        <v>-1488834</v>
      </c>
      <c r="I8" s="401">
        <f t="shared" ref="I8:I13" si="3">IF($B8&gt;0,H8/$B8, "")</f>
        <v>-6.4421807190678561E-3</v>
      </c>
    </row>
    <row r="9" spans="1:9" x14ac:dyDescent="0.25">
      <c r="A9" s="404" t="s">
        <v>51</v>
      </c>
      <c r="B9" s="405">
        <v>200892690</v>
      </c>
      <c r="C9" s="406">
        <v>199005419</v>
      </c>
      <c r="D9" s="365">
        <f t="shared" si="0"/>
        <v>-1887271</v>
      </c>
      <c r="E9" s="407">
        <f t="shared" si="1"/>
        <v>-9.3944234606047634E-3</v>
      </c>
      <c r="F9" s="361"/>
      <c r="G9" s="408">
        <v>200975929</v>
      </c>
      <c r="H9" s="365">
        <f t="shared" si="2"/>
        <v>83239</v>
      </c>
      <c r="I9" s="407">
        <f t="shared" si="3"/>
        <v>4.1434558917997466E-4</v>
      </c>
    </row>
    <row r="10" spans="1:9" x14ac:dyDescent="0.25">
      <c r="A10" s="404" t="s">
        <v>52</v>
      </c>
      <c r="B10" s="405">
        <v>23775573</v>
      </c>
      <c r="C10" s="406">
        <v>21249074</v>
      </c>
      <c r="D10" s="365">
        <f t="shared" si="0"/>
        <v>-2526499</v>
      </c>
      <c r="E10" s="407">
        <f t="shared" si="1"/>
        <v>-0.10626448414092901</v>
      </c>
      <c r="F10" s="361"/>
      <c r="G10" s="408">
        <v>21656220</v>
      </c>
      <c r="H10" s="365">
        <f t="shared" si="2"/>
        <v>-2119353</v>
      </c>
      <c r="I10" s="366">
        <f t="shared" si="3"/>
        <v>-8.9139933662166632E-2</v>
      </c>
    </row>
    <row r="11" spans="1:9" x14ac:dyDescent="0.25">
      <c r="A11" s="404" t="s">
        <v>53</v>
      </c>
      <c r="B11" s="405">
        <v>6438883</v>
      </c>
      <c r="C11" s="406">
        <v>6986163</v>
      </c>
      <c r="D11" s="365">
        <f t="shared" si="0"/>
        <v>547280</v>
      </c>
      <c r="E11" s="407">
        <f t="shared" si="1"/>
        <v>8.4996108797131431E-2</v>
      </c>
      <c r="F11" s="361"/>
      <c r="G11" s="408">
        <v>6986163</v>
      </c>
      <c r="H11" s="365">
        <f t="shared" si="2"/>
        <v>547280</v>
      </c>
      <c r="I11" s="407">
        <f t="shared" si="3"/>
        <v>8.4996108797131431E-2</v>
      </c>
    </row>
    <row r="12" spans="1:9" ht="15.75" customHeight="1" thickBot="1" x14ac:dyDescent="0.3">
      <c r="A12" s="409" t="s">
        <v>54</v>
      </c>
      <c r="B12" s="410">
        <v>0</v>
      </c>
      <c r="C12" s="411">
        <v>0</v>
      </c>
      <c r="D12" s="412">
        <f t="shared" si="0"/>
        <v>0</v>
      </c>
      <c r="E12" s="366" t="str">
        <f t="shared" si="1"/>
        <v/>
      </c>
      <c r="F12" s="413"/>
      <c r="G12" s="414">
        <v>0</v>
      </c>
      <c r="H12" s="365">
        <f t="shared" si="2"/>
        <v>0</v>
      </c>
      <c r="I12" s="366" t="str">
        <f t="shared" si="3"/>
        <v/>
      </c>
    </row>
    <row r="13" spans="1:9" x14ac:dyDescent="0.25">
      <c r="A13" s="397" t="s">
        <v>55</v>
      </c>
      <c r="B13" s="398">
        <f>SUM(B14:B17)</f>
        <v>12449178</v>
      </c>
      <c r="C13" s="399">
        <f>SUM(C14:C17)</f>
        <v>14448088</v>
      </c>
      <c r="D13" s="400">
        <f t="shared" si="0"/>
        <v>1998910</v>
      </c>
      <c r="E13" s="401">
        <f t="shared" si="1"/>
        <v>0.16056562128037691</v>
      </c>
      <c r="F13" s="402"/>
      <c r="G13" s="403">
        <f>SUM(G14:G17)</f>
        <v>14581662</v>
      </c>
      <c r="H13" s="400">
        <f t="shared" si="2"/>
        <v>2132484</v>
      </c>
      <c r="I13" s="401">
        <f t="shared" si="3"/>
        <v>0.17129516503017309</v>
      </c>
    </row>
    <row r="14" spans="1:9" x14ac:dyDescent="0.25">
      <c r="A14" s="404" t="s">
        <v>51</v>
      </c>
      <c r="B14" s="405">
        <v>11697093</v>
      </c>
      <c r="C14" s="406">
        <v>13841702</v>
      </c>
      <c r="D14" s="365">
        <f t="shared" si="0"/>
        <v>2144609</v>
      </c>
      <c r="E14" s="407">
        <f t="shared" si="1"/>
        <v>0.18334546882716929</v>
      </c>
      <c r="F14" s="361"/>
      <c r="G14" s="408">
        <v>13978605</v>
      </c>
      <c r="H14" s="365"/>
      <c r="I14" s="407"/>
    </row>
    <row r="15" spans="1:9" x14ac:dyDescent="0.25">
      <c r="A15" s="404" t="s">
        <v>52</v>
      </c>
      <c r="B15" s="405">
        <v>555970</v>
      </c>
      <c r="C15" s="406">
        <v>407783</v>
      </c>
      <c r="D15" s="365">
        <f t="shared" si="0"/>
        <v>-148187</v>
      </c>
      <c r="E15" s="407">
        <f t="shared" si="1"/>
        <v>-0.2665377628289296</v>
      </c>
      <c r="F15" s="361"/>
      <c r="G15" s="408">
        <v>404454</v>
      </c>
      <c r="H15" s="365"/>
      <c r="I15" s="366"/>
    </row>
    <row r="16" spans="1:9" x14ac:dyDescent="0.25">
      <c r="A16" s="404" t="s">
        <v>53</v>
      </c>
      <c r="B16" s="405">
        <v>196115</v>
      </c>
      <c r="C16" s="406">
        <v>198603</v>
      </c>
      <c r="D16" s="365">
        <f t="shared" si="0"/>
        <v>2488</v>
      </c>
      <c r="E16" s="407">
        <f t="shared" si="1"/>
        <v>1.2686433980062719E-2</v>
      </c>
      <c r="F16" s="361"/>
      <c r="G16" s="408">
        <v>198603</v>
      </c>
      <c r="H16" s="365"/>
      <c r="I16" s="407"/>
    </row>
    <row r="17" spans="1:9" ht="15.75" customHeight="1" thickBot="1" x14ac:dyDescent="0.3">
      <c r="A17" s="409" t="s">
        <v>54</v>
      </c>
      <c r="B17" s="410">
        <v>0</v>
      </c>
      <c r="C17" s="411">
        <v>0</v>
      </c>
      <c r="D17" s="412">
        <f t="shared" si="0"/>
        <v>0</v>
      </c>
      <c r="E17" s="366" t="str">
        <f t="shared" si="1"/>
        <v/>
      </c>
      <c r="F17" s="413"/>
      <c r="G17" s="414">
        <v>0</v>
      </c>
      <c r="H17" s="365"/>
      <c r="I17" s="366" t="str">
        <f t="shared" ref="I17:I61" si="4">IF($B17&gt;0,H17/$B17, "")</f>
        <v/>
      </c>
    </row>
    <row r="18" spans="1:9" x14ac:dyDescent="0.25">
      <c r="A18" s="397" t="s">
        <v>56</v>
      </c>
      <c r="B18" s="398">
        <f>SUM(B19:B22)</f>
        <v>15955707</v>
      </c>
      <c r="C18" s="399">
        <f>SUM(C19:C22)</f>
        <v>17571653</v>
      </c>
      <c r="D18" s="400">
        <f t="shared" si="0"/>
        <v>1615946</v>
      </c>
      <c r="E18" s="401">
        <f t="shared" si="1"/>
        <v>0.10127699136114746</v>
      </c>
      <c r="F18" s="402"/>
      <c r="G18" s="403">
        <f>SUM(G19:G22)</f>
        <v>17724218</v>
      </c>
      <c r="H18" s="400">
        <f t="shared" ref="H18:H61" si="5">G18-$B18</f>
        <v>1768511</v>
      </c>
      <c r="I18" s="401">
        <f t="shared" si="4"/>
        <v>0.11083877386317009</v>
      </c>
    </row>
    <row r="19" spans="1:9" x14ac:dyDescent="0.25">
      <c r="A19" s="404" t="s">
        <v>51</v>
      </c>
      <c r="B19" s="405">
        <v>14013516</v>
      </c>
      <c r="C19" s="406">
        <v>15824440</v>
      </c>
      <c r="D19" s="365">
        <f t="shared" si="0"/>
        <v>1810924</v>
      </c>
      <c r="E19" s="407">
        <f t="shared" si="1"/>
        <v>0.12922695489126354</v>
      </c>
      <c r="F19" s="361"/>
      <c r="G19" s="408">
        <v>15980980</v>
      </c>
      <c r="H19" s="365">
        <f t="shared" si="5"/>
        <v>1967464</v>
      </c>
      <c r="I19" s="407">
        <f t="shared" si="4"/>
        <v>0.14039759900370472</v>
      </c>
    </row>
    <row r="20" spans="1:9" x14ac:dyDescent="0.25">
      <c r="A20" s="404" t="s">
        <v>52</v>
      </c>
      <c r="B20" s="405">
        <v>1683433</v>
      </c>
      <c r="C20" s="406">
        <v>1474005</v>
      </c>
      <c r="D20" s="365">
        <f t="shared" si="0"/>
        <v>-209428</v>
      </c>
      <c r="E20" s="407">
        <f t="shared" si="1"/>
        <v>-0.12440530748773489</v>
      </c>
      <c r="F20" s="361"/>
      <c r="G20" s="408">
        <v>1470030</v>
      </c>
      <c r="H20" s="365">
        <f t="shared" si="5"/>
        <v>-213403</v>
      </c>
      <c r="I20" s="366">
        <f t="shared" si="4"/>
        <v>-0.12676655382186283</v>
      </c>
    </row>
    <row r="21" spans="1:9" x14ac:dyDescent="0.25">
      <c r="A21" s="404" t="s">
        <v>53</v>
      </c>
      <c r="B21" s="405">
        <v>258758</v>
      </c>
      <c r="C21" s="406">
        <v>273208</v>
      </c>
      <c r="D21" s="365">
        <f t="shared" si="0"/>
        <v>14450</v>
      </c>
      <c r="E21" s="407">
        <f t="shared" si="1"/>
        <v>5.5843684060009738E-2</v>
      </c>
      <c r="F21" s="361"/>
      <c r="G21" s="408">
        <v>273208</v>
      </c>
      <c r="H21" s="365">
        <f t="shared" si="5"/>
        <v>14450</v>
      </c>
      <c r="I21" s="407">
        <f t="shared" si="4"/>
        <v>5.5843684060009738E-2</v>
      </c>
    </row>
    <row r="22" spans="1:9" ht="15.75" customHeight="1" thickBot="1" x14ac:dyDescent="0.3">
      <c r="A22" s="409" t="s">
        <v>54</v>
      </c>
      <c r="B22" s="410">
        <v>0</v>
      </c>
      <c r="C22" s="411">
        <v>0</v>
      </c>
      <c r="D22" s="412">
        <f t="shared" si="0"/>
        <v>0</v>
      </c>
      <c r="E22" s="366" t="str">
        <f t="shared" si="1"/>
        <v/>
      </c>
      <c r="F22" s="413"/>
      <c r="G22" s="414">
        <v>0</v>
      </c>
      <c r="H22" s="365">
        <f t="shared" si="5"/>
        <v>0</v>
      </c>
      <c r="I22" s="366" t="str">
        <f t="shared" si="4"/>
        <v/>
      </c>
    </row>
    <row r="23" spans="1:9" x14ac:dyDescent="0.25">
      <c r="A23" s="397" t="s">
        <v>57</v>
      </c>
      <c r="B23" s="398">
        <f>SUM(B24:B27)</f>
        <v>23220849</v>
      </c>
      <c r="C23" s="399">
        <f>SUM(C24:C27)</f>
        <v>24014630</v>
      </c>
      <c r="D23" s="400">
        <f t="shared" si="0"/>
        <v>793781</v>
      </c>
      <c r="E23" s="401">
        <f t="shared" si="1"/>
        <v>3.4183978372194744E-2</v>
      </c>
      <c r="F23" s="402"/>
      <c r="G23" s="403">
        <f>SUM(G24:G27)</f>
        <v>24197352</v>
      </c>
      <c r="H23" s="400">
        <f t="shared" si="5"/>
        <v>976503</v>
      </c>
      <c r="I23" s="401">
        <f t="shared" si="4"/>
        <v>4.2052855173383197E-2</v>
      </c>
    </row>
    <row r="24" spans="1:9" x14ac:dyDescent="0.25">
      <c r="A24" s="404" t="s">
        <v>51</v>
      </c>
      <c r="B24" s="405">
        <v>17635464</v>
      </c>
      <c r="C24" s="406">
        <v>18594348</v>
      </c>
      <c r="D24" s="365">
        <f t="shared" si="0"/>
        <v>958884</v>
      </c>
      <c r="E24" s="407">
        <f t="shared" si="1"/>
        <v>5.4372484897477036E-2</v>
      </c>
      <c r="F24" s="361"/>
      <c r="G24" s="408">
        <v>18778368</v>
      </c>
      <c r="H24" s="365">
        <f t="shared" si="5"/>
        <v>1142904</v>
      </c>
      <c r="I24" s="407">
        <f t="shared" si="4"/>
        <v>6.4807140883846329E-2</v>
      </c>
    </row>
    <row r="25" spans="1:9" x14ac:dyDescent="0.25">
      <c r="A25" s="404" t="s">
        <v>52</v>
      </c>
      <c r="B25" s="405">
        <v>5157768</v>
      </c>
      <c r="C25" s="406">
        <v>4889573</v>
      </c>
      <c r="D25" s="365">
        <f t="shared" si="0"/>
        <v>-268195</v>
      </c>
      <c r="E25" s="407">
        <f t="shared" si="1"/>
        <v>-5.1998267467633287E-2</v>
      </c>
      <c r="F25" s="361"/>
      <c r="G25" s="408">
        <v>4888275</v>
      </c>
      <c r="H25" s="365">
        <f t="shared" si="5"/>
        <v>-269493</v>
      </c>
      <c r="I25" s="366">
        <f t="shared" si="4"/>
        <v>-5.2249926712484934E-2</v>
      </c>
    </row>
    <row r="26" spans="1:9" x14ac:dyDescent="0.25">
      <c r="A26" s="404" t="s">
        <v>53</v>
      </c>
      <c r="B26" s="405">
        <v>427617</v>
      </c>
      <c r="C26" s="406">
        <v>530709</v>
      </c>
      <c r="D26" s="365">
        <f t="shared" si="0"/>
        <v>103092</v>
      </c>
      <c r="E26" s="407">
        <f t="shared" si="1"/>
        <v>0.24108489606353348</v>
      </c>
      <c r="F26" s="361"/>
      <c r="G26" s="408">
        <v>530709</v>
      </c>
      <c r="H26" s="365">
        <f t="shared" si="5"/>
        <v>103092</v>
      </c>
      <c r="I26" s="407">
        <f t="shared" si="4"/>
        <v>0.24108489606353348</v>
      </c>
    </row>
    <row r="27" spans="1:9" ht="15.75" customHeight="1" thickBot="1" x14ac:dyDescent="0.3">
      <c r="A27" s="409" t="s">
        <v>54</v>
      </c>
      <c r="B27" s="410">
        <v>0</v>
      </c>
      <c r="C27" s="411">
        <v>0</v>
      </c>
      <c r="D27" s="412">
        <f t="shared" si="0"/>
        <v>0</v>
      </c>
      <c r="E27" s="366" t="str">
        <f t="shared" si="1"/>
        <v/>
      </c>
      <c r="F27" s="413"/>
      <c r="G27" s="414">
        <v>0</v>
      </c>
      <c r="H27" s="365">
        <f t="shared" si="5"/>
        <v>0</v>
      </c>
      <c r="I27" s="366" t="str">
        <f t="shared" si="4"/>
        <v/>
      </c>
    </row>
    <row r="28" spans="1:9" x14ac:dyDescent="0.25">
      <c r="A28" s="397" t="s">
        <v>58</v>
      </c>
      <c r="B28" s="398">
        <f>SUM(B29:B32)</f>
        <v>116794427</v>
      </c>
      <c r="C28" s="399">
        <f>SUM(C29:C32)</f>
        <v>119300148</v>
      </c>
      <c r="D28" s="400">
        <f t="shared" si="0"/>
        <v>2505721</v>
      </c>
      <c r="E28" s="401">
        <f t="shared" si="1"/>
        <v>2.1454114415921575E-2</v>
      </c>
      <c r="F28" s="402"/>
      <c r="G28" s="403">
        <f>SUM(G29:G32)</f>
        <v>120376009</v>
      </c>
      <c r="H28" s="400">
        <f t="shared" si="5"/>
        <v>3581582</v>
      </c>
      <c r="I28" s="401">
        <f t="shared" si="4"/>
        <v>3.0665692636173469E-2</v>
      </c>
    </row>
    <row r="29" spans="1:9" x14ac:dyDescent="0.25">
      <c r="A29" s="404" t="s">
        <v>51</v>
      </c>
      <c r="B29" s="405">
        <v>105869040</v>
      </c>
      <c r="C29" s="406">
        <v>109477462</v>
      </c>
      <c r="D29" s="365">
        <f t="shared" si="0"/>
        <v>3608422</v>
      </c>
      <c r="E29" s="407">
        <f t="shared" si="1"/>
        <v>3.40838265842403E-2</v>
      </c>
      <c r="F29" s="361"/>
      <c r="G29" s="408">
        <v>110561301</v>
      </c>
      <c r="H29" s="365">
        <f t="shared" si="5"/>
        <v>4692261</v>
      </c>
      <c r="I29" s="407">
        <f t="shared" si="4"/>
        <v>4.4321371007047951E-2</v>
      </c>
    </row>
    <row r="30" spans="1:9" x14ac:dyDescent="0.25">
      <c r="A30" s="404" t="s">
        <v>52</v>
      </c>
      <c r="B30" s="405">
        <v>6097304</v>
      </c>
      <c r="C30" s="406">
        <v>4481222</v>
      </c>
      <c r="D30" s="365">
        <f t="shared" si="0"/>
        <v>-1616082</v>
      </c>
      <c r="E30" s="407">
        <f t="shared" si="1"/>
        <v>-0.2650486182089658</v>
      </c>
      <c r="F30" s="361"/>
      <c r="G30" s="408">
        <v>4473244</v>
      </c>
      <c r="H30" s="365">
        <f t="shared" si="5"/>
        <v>-1624060</v>
      </c>
      <c r="I30" s="366">
        <f t="shared" si="4"/>
        <v>-0.26635706535216219</v>
      </c>
    </row>
    <row r="31" spans="1:9" x14ac:dyDescent="0.25">
      <c r="A31" s="404" t="s">
        <v>53</v>
      </c>
      <c r="B31" s="405">
        <v>4828083</v>
      </c>
      <c r="C31" s="406">
        <v>5341464</v>
      </c>
      <c r="D31" s="365">
        <f t="shared" si="0"/>
        <v>513381</v>
      </c>
      <c r="E31" s="407">
        <f t="shared" si="1"/>
        <v>0.10633226479329373</v>
      </c>
      <c r="F31" s="361"/>
      <c r="G31" s="408">
        <v>5341464</v>
      </c>
      <c r="H31" s="365">
        <f t="shared" si="5"/>
        <v>513381</v>
      </c>
      <c r="I31" s="407">
        <f t="shared" si="4"/>
        <v>0.10633226479329373</v>
      </c>
    </row>
    <row r="32" spans="1:9" ht="15.75" customHeight="1" thickBot="1" x14ac:dyDescent="0.3">
      <c r="A32" s="409" t="s">
        <v>54</v>
      </c>
      <c r="B32" s="410">
        <v>0</v>
      </c>
      <c r="C32" s="411">
        <v>0</v>
      </c>
      <c r="D32" s="412">
        <f t="shared" si="0"/>
        <v>0</v>
      </c>
      <c r="E32" s="366" t="str">
        <f t="shared" si="1"/>
        <v/>
      </c>
      <c r="F32" s="413"/>
      <c r="G32" s="414">
        <v>0</v>
      </c>
      <c r="H32" s="365">
        <f t="shared" si="5"/>
        <v>0</v>
      </c>
      <c r="I32" s="366" t="str">
        <f t="shared" si="4"/>
        <v/>
      </c>
    </row>
    <row r="33" spans="1:9" x14ac:dyDescent="0.25">
      <c r="A33" s="397" t="s">
        <v>59</v>
      </c>
      <c r="B33" s="398">
        <f>SUM(B34:B37)</f>
        <v>28576614</v>
      </c>
      <c r="C33" s="399">
        <f>SUM(C34:C37)</f>
        <v>28756793</v>
      </c>
      <c r="D33" s="400">
        <f t="shared" si="0"/>
        <v>180179</v>
      </c>
      <c r="E33" s="401">
        <f t="shared" si="1"/>
        <v>6.305120683647125E-3</v>
      </c>
      <c r="F33" s="402"/>
      <c r="G33" s="403">
        <f>SUM(G34:G37)</f>
        <v>28994877</v>
      </c>
      <c r="H33" s="400">
        <f t="shared" si="5"/>
        <v>418263</v>
      </c>
      <c r="I33" s="401">
        <f t="shared" si="4"/>
        <v>1.4636548612792264E-2</v>
      </c>
    </row>
    <row r="34" spans="1:9" x14ac:dyDescent="0.25">
      <c r="A34" s="404" t="s">
        <v>51</v>
      </c>
      <c r="B34" s="405">
        <v>23982670</v>
      </c>
      <c r="C34" s="406">
        <v>24509706</v>
      </c>
      <c r="D34" s="365">
        <f t="shared" si="0"/>
        <v>527036</v>
      </c>
      <c r="E34" s="407">
        <f t="shared" si="1"/>
        <v>2.1975701621212318E-2</v>
      </c>
      <c r="F34" s="361"/>
      <c r="G34" s="408">
        <v>24752314</v>
      </c>
      <c r="H34" s="365">
        <f t="shared" si="5"/>
        <v>769644</v>
      </c>
      <c r="I34" s="407">
        <f t="shared" si="4"/>
        <v>3.2091672862112515E-2</v>
      </c>
    </row>
    <row r="35" spans="1:9" x14ac:dyDescent="0.25">
      <c r="A35" s="404" t="s">
        <v>52</v>
      </c>
      <c r="B35" s="405">
        <v>4086620</v>
      </c>
      <c r="C35" s="406">
        <v>3725070</v>
      </c>
      <c r="D35" s="365">
        <f t="shared" si="0"/>
        <v>-361550</v>
      </c>
      <c r="E35" s="407">
        <f t="shared" si="1"/>
        <v>-8.8471646495147577E-2</v>
      </c>
      <c r="F35" s="361"/>
      <c r="G35" s="408">
        <v>3720546</v>
      </c>
      <c r="H35" s="365">
        <f t="shared" si="5"/>
        <v>-366074</v>
      </c>
      <c r="I35" s="366">
        <f t="shared" si="4"/>
        <v>-8.9578673818461227E-2</v>
      </c>
    </row>
    <row r="36" spans="1:9" x14ac:dyDescent="0.25">
      <c r="A36" s="404" t="s">
        <v>53</v>
      </c>
      <c r="B36" s="405">
        <v>507324</v>
      </c>
      <c r="C36" s="406">
        <v>522017</v>
      </c>
      <c r="D36" s="365">
        <f t="shared" si="0"/>
        <v>14693</v>
      </c>
      <c r="E36" s="407">
        <f t="shared" si="1"/>
        <v>2.8961768022013546E-2</v>
      </c>
      <c r="F36" s="361"/>
      <c r="G36" s="408">
        <v>522017</v>
      </c>
      <c r="H36" s="365">
        <f t="shared" si="5"/>
        <v>14693</v>
      </c>
      <c r="I36" s="407">
        <f t="shared" si="4"/>
        <v>2.8961768022013546E-2</v>
      </c>
    </row>
    <row r="37" spans="1:9" ht="15.75" customHeight="1" thickBot="1" x14ac:dyDescent="0.3">
      <c r="A37" s="409" t="s">
        <v>54</v>
      </c>
      <c r="B37" s="410">
        <v>0</v>
      </c>
      <c r="C37" s="411">
        <v>0</v>
      </c>
      <c r="D37" s="412">
        <f t="shared" si="0"/>
        <v>0</v>
      </c>
      <c r="E37" s="366" t="str">
        <f t="shared" si="1"/>
        <v/>
      </c>
      <c r="F37" s="413"/>
      <c r="G37" s="414">
        <v>0</v>
      </c>
      <c r="H37" s="365">
        <f t="shared" si="5"/>
        <v>0</v>
      </c>
      <c r="I37" s="366" t="str">
        <f t="shared" si="4"/>
        <v/>
      </c>
    </row>
    <row r="38" spans="1:9" x14ac:dyDescent="0.25">
      <c r="A38" s="397" t="s">
        <v>60</v>
      </c>
      <c r="B38" s="398">
        <f>SUM(B39:B42)</f>
        <v>23951151</v>
      </c>
      <c r="C38" s="399">
        <f>SUM(C39:C42)</f>
        <v>23460464</v>
      </c>
      <c r="D38" s="400">
        <f t="shared" si="0"/>
        <v>-490687</v>
      </c>
      <c r="E38" s="401">
        <f t="shared" si="1"/>
        <v>-2.0486990374700573E-2</v>
      </c>
      <c r="F38" s="402"/>
      <c r="G38" s="403">
        <f>SUM(G39:G42)</f>
        <v>23663184</v>
      </c>
      <c r="H38" s="400">
        <f t="shared" si="5"/>
        <v>-287967</v>
      </c>
      <c r="I38" s="401">
        <f t="shared" si="4"/>
        <v>-1.2023096510059162E-2</v>
      </c>
    </row>
    <row r="39" spans="1:9" x14ac:dyDescent="0.25">
      <c r="A39" s="404" t="s">
        <v>51</v>
      </c>
      <c r="B39" s="405">
        <v>20149938</v>
      </c>
      <c r="C39" s="406">
        <v>20584996</v>
      </c>
      <c r="D39" s="365">
        <f t="shared" si="0"/>
        <v>435058</v>
      </c>
      <c r="E39" s="407">
        <f t="shared" si="1"/>
        <v>2.1591034175886793E-2</v>
      </c>
      <c r="F39" s="361"/>
      <c r="G39" s="408">
        <v>20788792</v>
      </c>
      <c r="H39" s="365">
        <f t="shared" si="5"/>
        <v>638854</v>
      </c>
      <c r="I39" s="407">
        <f t="shared" si="4"/>
        <v>3.1705010705243855E-2</v>
      </c>
    </row>
    <row r="40" spans="1:9" x14ac:dyDescent="0.25">
      <c r="A40" s="404" t="s">
        <v>52</v>
      </c>
      <c r="B40" s="405">
        <v>3329290</v>
      </c>
      <c r="C40" s="406">
        <v>2378534</v>
      </c>
      <c r="D40" s="365">
        <f t="shared" ref="D40:D71" si="6">C40-$B40</f>
        <v>-950756</v>
      </c>
      <c r="E40" s="407">
        <f t="shared" ref="E40:E71" si="7">IF($B40&gt;0,D40/$B40, "")</f>
        <v>-0.28557320029195415</v>
      </c>
      <c r="F40" s="361"/>
      <c r="G40" s="408">
        <v>2377458</v>
      </c>
      <c r="H40" s="365">
        <f t="shared" si="5"/>
        <v>-951832</v>
      </c>
      <c r="I40" s="366">
        <f t="shared" si="4"/>
        <v>-0.28589639232388886</v>
      </c>
    </row>
    <row r="41" spans="1:9" x14ac:dyDescent="0.25">
      <c r="A41" s="404" t="s">
        <v>53</v>
      </c>
      <c r="B41" s="405">
        <v>471923</v>
      </c>
      <c r="C41" s="406">
        <v>496934</v>
      </c>
      <c r="D41" s="365">
        <f t="shared" si="6"/>
        <v>25011</v>
      </c>
      <c r="E41" s="407">
        <f t="shared" si="7"/>
        <v>5.2998052648419343E-2</v>
      </c>
      <c r="F41" s="361"/>
      <c r="G41" s="408">
        <v>496934</v>
      </c>
      <c r="H41" s="365">
        <f t="shared" si="5"/>
        <v>25011</v>
      </c>
      <c r="I41" s="407">
        <f t="shared" si="4"/>
        <v>5.2998052648419343E-2</v>
      </c>
    </row>
    <row r="42" spans="1:9" ht="15.75" customHeight="1" thickBot="1" x14ac:dyDescent="0.3">
      <c r="A42" s="409" t="s">
        <v>54</v>
      </c>
      <c r="B42" s="410">
        <v>0</v>
      </c>
      <c r="C42" s="411">
        <v>0</v>
      </c>
      <c r="D42" s="412">
        <f t="shared" si="6"/>
        <v>0</v>
      </c>
      <c r="E42" s="366" t="str">
        <f t="shared" si="7"/>
        <v/>
      </c>
      <c r="F42" s="413"/>
      <c r="G42" s="414">
        <v>0</v>
      </c>
      <c r="H42" s="365">
        <f t="shared" si="5"/>
        <v>0</v>
      </c>
      <c r="I42" s="366" t="str">
        <f t="shared" si="4"/>
        <v/>
      </c>
    </row>
    <row r="43" spans="1:9" x14ac:dyDescent="0.25">
      <c r="A43" s="397" t="s">
        <v>61</v>
      </c>
      <c r="B43" s="398">
        <f>SUM(B44:B47)</f>
        <v>129732716</v>
      </c>
      <c r="C43" s="399">
        <f>SUM(C44:C47)</f>
        <v>130025749</v>
      </c>
      <c r="D43" s="400">
        <f t="shared" si="6"/>
        <v>293033</v>
      </c>
      <c r="E43" s="401">
        <f t="shared" si="7"/>
        <v>2.2587440472609855E-3</v>
      </c>
      <c r="F43" s="402"/>
      <c r="G43" s="403">
        <f>SUM(G44:G47)</f>
        <v>131225200</v>
      </c>
      <c r="H43" s="400">
        <f t="shared" si="5"/>
        <v>1492484</v>
      </c>
      <c r="I43" s="401">
        <f t="shared" si="4"/>
        <v>1.1504299347282608E-2</v>
      </c>
    </row>
    <row r="44" spans="1:9" x14ac:dyDescent="0.25">
      <c r="A44" s="404" t="s">
        <v>51</v>
      </c>
      <c r="B44" s="405">
        <v>119257437</v>
      </c>
      <c r="C44" s="406">
        <v>120450011</v>
      </c>
      <c r="D44" s="365">
        <f t="shared" si="6"/>
        <v>1192574</v>
      </c>
      <c r="E44" s="407">
        <f t="shared" si="7"/>
        <v>9.9999968974681212E-3</v>
      </c>
      <c r="F44" s="361"/>
      <c r="G44" s="408">
        <v>121642586</v>
      </c>
      <c r="H44" s="365">
        <f t="shared" si="5"/>
        <v>2385149</v>
      </c>
      <c r="I44" s="407">
        <f t="shared" si="4"/>
        <v>2.0000002180157538E-2</v>
      </c>
    </row>
    <row r="45" spans="1:9" x14ac:dyDescent="0.25">
      <c r="A45" s="404" t="s">
        <v>52</v>
      </c>
      <c r="B45" s="405">
        <v>10475279</v>
      </c>
      <c r="C45" s="406">
        <v>9575738</v>
      </c>
      <c r="D45" s="365">
        <f t="shared" si="6"/>
        <v>-899541</v>
      </c>
      <c r="E45" s="407">
        <f t="shared" si="7"/>
        <v>-8.5872748592185466E-2</v>
      </c>
      <c r="F45" s="361"/>
      <c r="G45" s="408">
        <v>9582614</v>
      </c>
      <c r="H45" s="365">
        <f t="shared" si="5"/>
        <v>-892665</v>
      </c>
      <c r="I45" s="366">
        <f t="shared" si="4"/>
        <v>-8.5216346027633255E-2</v>
      </c>
    </row>
    <row r="46" spans="1:9" x14ac:dyDescent="0.25">
      <c r="A46" s="404" t="s">
        <v>53</v>
      </c>
      <c r="B46" s="405">
        <v>0</v>
      </c>
      <c r="C46" s="406">
        <v>0</v>
      </c>
      <c r="D46" s="365">
        <f t="shared" si="6"/>
        <v>0</v>
      </c>
      <c r="E46" s="407" t="str">
        <f t="shared" si="7"/>
        <v/>
      </c>
      <c r="F46" s="361"/>
      <c r="G46" s="408">
        <v>0</v>
      </c>
      <c r="H46" s="365">
        <f t="shared" si="5"/>
        <v>0</v>
      </c>
      <c r="I46" s="407" t="str">
        <f t="shared" si="4"/>
        <v/>
      </c>
    </row>
    <row r="47" spans="1:9" ht="15.75" customHeight="1" thickBot="1" x14ac:dyDescent="0.3">
      <c r="A47" s="409" t="s">
        <v>54</v>
      </c>
      <c r="B47" s="410">
        <v>0</v>
      </c>
      <c r="C47" s="411">
        <v>0</v>
      </c>
      <c r="D47" s="412">
        <f t="shared" si="6"/>
        <v>0</v>
      </c>
      <c r="E47" s="366" t="str">
        <f t="shared" si="7"/>
        <v/>
      </c>
      <c r="F47" s="413"/>
      <c r="G47" s="414">
        <v>0</v>
      </c>
      <c r="H47" s="365">
        <f t="shared" si="5"/>
        <v>0</v>
      </c>
      <c r="I47" s="366" t="str">
        <f t="shared" si="4"/>
        <v/>
      </c>
    </row>
    <row r="48" spans="1:9" x14ac:dyDescent="0.25">
      <c r="A48" s="397" t="s">
        <v>62</v>
      </c>
      <c r="B48" s="398">
        <f>SUM(B49:B52)</f>
        <v>4850000</v>
      </c>
      <c r="C48" s="399">
        <f>SUM(C49:C52)</f>
        <v>4898500</v>
      </c>
      <c r="D48" s="400">
        <f t="shared" si="6"/>
        <v>48500</v>
      </c>
      <c r="E48" s="401">
        <f t="shared" si="7"/>
        <v>0.01</v>
      </c>
      <c r="F48" s="402"/>
      <c r="G48" s="403">
        <f>SUM(G49:G52)</f>
        <v>4947000</v>
      </c>
      <c r="H48" s="400">
        <f t="shared" si="5"/>
        <v>97000</v>
      </c>
      <c r="I48" s="401">
        <f t="shared" si="4"/>
        <v>0.02</v>
      </c>
    </row>
    <row r="49" spans="1:9" x14ac:dyDescent="0.25">
      <c r="A49" s="404" t="s">
        <v>51</v>
      </c>
      <c r="B49" s="405">
        <v>4850000</v>
      </c>
      <c r="C49" s="406">
        <v>4898500</v>
      </c>
      <c r="D49" s="365">
        <f t="shared" si="6"/>
        <v>48500</v>
      </c>
      <c r="E49" s="407">
        <f t="shared" si="7"/>
        <v>0.01</v>
      </c>
      <c r="F49" s="361"/>
      <c r="G49" s="408">
        <v>4947000</v>
      </c>
      <c r="H49" s="365">
        <f t="shared" si="5"/>
        <v>97000</v>
      </c>
      <c r="I49" s="407">
        <f t="shared" si="4"/>
        <v>0.02</v>
      </c>
    </row>
    <row r="50" spans="1:9" x14ac:dyDescent="0.25">
      <c r="A50" s="404" t="s">
        <v>52</v>
      </c>
      <c r="B50" s="405">
        <v>0</v>
      </c>
      <c r="C50" s="406">
        <v>0</v>
      </c>
      <c r="D50" s="365">
        <f t="shared" si="6"/>
        <v>0</v>
      </c>
      <c r="E50" s="407" t="str">
        <f t="shared" si="7"/>
        <v/>
      </c>
      <c r="F50" s="361"/>
      <c r="G50" s="408">
        <v>0</v>
      </c>
      <c r="H50" s="365">
        <f t="shared" si="5"/>
        <v>0</v>
      </c>
      <c r="I50" s="366" t="str">
        <f t="shared" si="4"/>
        <v/>
      </c>
    </row>
    <row r="51" spans="1:9" x14ac:dyDescent="0.25">
      <c r="A51" s="404" t="s">
        <v>53</v>
      </c>
      <c r="B51" s="405">
        <v>0</v>
      </c>
      <c r="C51" s="406">
        <v>0</v>
      </c>
      <c r="D51" s="365">
        <f t="shared" si="6"/>
        <v>0</v>
      </c>
      <c r="E51" s="407" t="str">
        <f t="shared" si="7"/>
        <v/>
      </c>
      <c r="F51" s="361"/>
      <c r="G51" s="408">
        <v>0</v>
      </c>
      <c r="H51" s="365">
        <f t="shared" si="5"/>
        <v>0</v>
      </c>
      <c r="I51" s="407" t="str">
        <f t="shared" si="4"/>
        <v/>
      </c>
    </row>
    <row r="52" spans="1:9" ht="15.75" customHeight="1" thickBot="1" x14ac:dyDescent="0.3">
      <c r="A52" s="409" t="s">
        <v>54</v>
      </c>
      <c r="B52" s="410">
        <v>0</v>
      </c>
      <c r="C52" s="411">
        <v>0</v>
      </c>
      <c r="D52" s="412">
        <f t="shared" si="6"/>
        <v>0</v>
      </c>
      <c r="E52" s="366" t="str">
        <f t="shared" si="7"/>
        <v/>
      </c>
      <c r="F52" s="413"/>
      <c r="G52" s="414">
        <v>0</v>
      </c>
      <c r="H52" s="365">
        <f t="shared" si="5"/>
        <v>0</v>
      </c>
      <c r="I52" s="366" t="str">
        <f t="shared" si="4"/>
        <v/>
      </c>
    </row>
    <row r="53" spans="1:9" x14ac:dyDescent="0.25">
      <c r="A53" s="397" t="s">
        <v>63</v>
      </c>
      <c r="B53" s="398">
        <f>SUM(B54:B55)</f>
        <v>6000000</v>
      </c>
      <c r="C53" s="399">
        <f>SUM(C54:C55)</f>
        <v>0</v>
      </c>
      <c r="D53" s="400">
        <f t="shared" si="6"/>
        <v>-6000000</v>
      </c>
      <c r="E53" s="401">
        <f t="shared" si="7"/>
        <v>-1</v>
      </c>
      <c r="F53" s="402"/>
      <c r="G53" s="403">
        <f>SUM(G54:G55)</f>
        <v>0</v>
      </c>
      <c r="H53" s="400">
        <f t="shared" si="5"/>
        <v>-6000000</v>
      </c>
      <c r="I53" s="401">
        <f t="shared" si="4"/>
        <v>-1</v>
      </c>
    </row>
    <row r="54" spans="1:9" x14ac:dyDescent="0.25">
      <c r="A54" s="404" t="s">
        <v>52</v>
      </c>
      <c r="B54" s="405">
        <v>0</v>
      </c>
      <c r="C54" s="406">
        <v>0</v>
      </c>
      <c r="D54" s="365">
        <f t="shared" si="6"/>
        <v>0</v>
      </c>
      <c r="E54" s="407" t="str">
        <f t="shared" si="7"/>
        <v/>
      </c>
      <c r="F54" s="361"/>
      <c r="G54" s="408">
        <v>0</v>
      </c>
      <c r="H54" s="365">
        <f t="shared" si="5"/>
        <v>0</v>
      </c>
      <c r="I54" s="366" t="str">
        <f t="shared" si="4"/>
        <v/>
      </c>
    </row>
    <row r="55" spans="1:9" ht="15.75" customHeight="1" thickBot="1" x14ac:dyDescent="0.3">
      <c r="A55" s="404" t="s">
        <v>54</v>
      </c>
      <c r="B55" s="405">
        <v>6000000</v>
      </c>
      <c r="C55" s="406">
        <v>0</v>
      </c>
      <c r="D55" s="365">
        <f t="shared" si="6"/>
        <v>-6000000</v>
      </c>
      <c r="E55" s="407">
        <f t="shared" si="7"/>
        <v>-1</v>
      </c>
      <c r="F55" s="361"/>
      <c r="G55" s="408">
        <v>0</v>
      </c>
      <c r="H55" s="365">
        <f t="shared" si="5"/>
        <v>-6000000</v>
      </c>
      <c r="I55" s="407">
        <f t="shared" si="4"/>
        <v>-1</v>
      </c>
    </row>
    <row r="56" spans="1:9" ht="15.75" customHeight="1" thickTop="1" x14ac:dyDescent="0.25">
      <c r="A56" s="415" t="s">
        <v>64</v>
      </c>
      <c r="B56" s="416">
        <f>SUM(B57:B61)</f>
        <v>603922984</v>
      </c>
      <c r="C56" s="417">
        <f>SUM(C57:C61)</f>
        <v>603183067</v>
      </c>
      <c r="D56" s="418">
        <f t="shared" si="6"/>
        <v>-739917</v>
      </c>
      <c r="E56" s="419">
        <f t="shared" si="7"/>
        <v>-1.2251843688731012E-3</v>
      </c>
      <c r="F56" s="374"/>
      <c r="G56" s="420">
        <f>SUM(G57:G61)</f>
        <v>608794200</v>
      </c>
      <c r="H56" s="418">
        <f t="shared" si="5"/>
        <v>4871216</v>
      </c>
      <c r="I56" s="419">
        <f t="shared" si="4"/>
        <v>8.0659556417875967E-3</v>
      </c>
    </row>
    <row r="57" spans="1:9" x14ac:dyDescent="0.25">
      <c r="A57" s="421" t="s">
        <v>51</v>
      </c>
      <c r="B57" s="422">
        <f>SUM(B9,B14,B19,B24,B29,B34,B39,B44,B49)</f>
        <v>518347848</v>
      </c>
      <c r="C57" s="423">
        <f>SUM(C9,C14,C19,C24,C29,C34,C39,C44,C49)</f>
        <v>527186584</v>
      </c>
      <c r="D57" s="424">
        <f t="shared" si="6"/>
        <v>8838736</v>
      </c>
      <c r="E57" s="425">
        <f t="shared" si="7"/>
        <v>1.7051746301452765E-2</v>
      </c>
      <c r="F57" s="361"/>
      <c r="G57" s="423">
        <f>SUM(G9,G14,G19,G24,G29,G34,G39,G44,G49)</f>
        <v>532405875</v>
      </c>
      <c r="H57" s="424">
        <f t="shared" si="5"/>
        <v>14058027</v>
      </c>
      <c r="I57" s="425">
        <f t="shared" si="4"/>
        <v>2.7120836045218807E-2</v>
      </c>
    </row>
    <row r="58" spans="1:9" x14ac:dyDescent="0.25">
      <c r="A58" s="421" t="s">
        <v>52</v>
      </c>
      <c r="B58" s="422">
        <f>SUM(B10,B15,B20,B25,B30,B35,B40,B45,B50,B54)</f>
        <v>55161237</v>
      </c>
      <c r="C58" s="423">
        <f>SUM(C10,C15,C20,C25,C30,C35,C40,C45,C50,C54)</f>
        <v>48180999</v>
      </c>
      <c r="D58" s="424">
        <f t="shared" si="6"/>
        <v>-6980238</v>
      </c>
      <c r="E58" s="425">
        <f t="shared" si="7"/>
        <v>-0.12654244864015649</v>
      </c>
      <c r="F58" s="361"/>
      <c r="G58" s="423">
        <f>SUM(G10,G15,G20,G25,G30,G35,G40,G45,G50,G54)</f>
        <v>48572841</v>
      </c>
      <c r="H58" s="424">
        <f t="shared" si="5"/>
        <v>-6588396</v>
      </c>
      <c r="I58" s="426">
        <f t="shared" si="4"/>
        <v>-0.11943887335231441</v>
      </c>
    </row>
    <row r="59" spans="1:9" x14ac:dyDescent="0.25">
      <c r="A59" s="421" t="s">
        <v>53</v>
      </c>
      <c r="B59" s="422">
        <f>SUM(B11,B16,B21,B26,B31,B36,B41,B46,B51)</f>
        <v>13128703</v>
      </c>
      <c r="C59" s="423">
        <f>SUM(C11,C16,C21,C26,C31,C36,C41,C46,C51)</f>
        <v>14349098</v>
      </c>
      <c r="D59" s="424">
        <f t="shared" si="6"/>
        <v>1220395</v>
      </c>
      <c r="E59" s="425">
        <f t="shared" si="7"/>
        <v>9.2956250133771776E-2</v>
      </c>
      <c r="F59" s="361"/>
      <c r="G59" s="423">
        <f>SUM(G11,G16,G21,G26,G31,G36,G41,G46,G51)</f>
        <v>14349098</v>
      </c>
      <c r="H59" s="424">
        <f t="shared" si="5"/>
        <v>1220395</v>
      </c>
      <c r="I59" s="425">
        <f t="shared" si="4"/>
        <v>9.2956250133771776E-2</v>
      </c>
    </row>
    <row r="60" spans="1:9" x14ac:dyDescent="0.25">
      <c r="A60" s="421" t="s">
        <v>65</v>
      </c>
      <c r="B60" s="422">
        <v>11285196</v>
      </c>
      <c r="C60" s="423">
        <v>13466386</v>
      </c>
      <c r="D60" s="424">
        <f t="shared" si="6"/>
        <v>2181190</v>
      </c>
      <c r="E60" s="425">
        <f t="shared" si="7"/>
        <v>0.19327887614889452</v>
      </c>
      <c r="F60" s="361"/>
      <c r="G60" s="423">
        <v>13466386</v>
      </c>
      <c r="H60" s="424">
        <f t="shared" si="5"/>
        <v>2181190</v>
      </c>
      <c r="I60" s="426">
        <f t="shared" si="4"/>
        <v>0.19327887614889452</v>
      </c>
    </row>
    <row r="61" spans="1:9" ht="15.75" customHeight="1" thickBot="1" x14ac:dyDescent="0.3">
      <c r="A61" s="427" t="s">
        <v>54</v>
      </c>
      <c r="B61" s="428">
        <f>SUM(B12,B17,B22,B27,B32,B37,B42,B47,B52,B55)</f>
        <v>6000000</v>
      </c>
      <c r="C61" s="429"/>
      <c r="D61" s="430">
        <f t="shared" si="6"/>
        <v>-6000000</v>
      </c>
      <c r="E61" s="431">
        <f t="shared" si="7"/>
        <v>-1</v>
      </c>
      <c r="F61" s="413"/>
      <c r="G61" s="429">
        <f>SUM(G12,G17,G22,G27,G32,G37,G42,G47,G52,G55)</f>
        <v>0</v>
      </c>
      <c r="H61" s="432">
        <f t="shared" si="5"/>
        <v>-6000000</v>
      </c>
      <c r="I61" s="433">
        <f t="shared" si="4"/>
        <v>-1</v>
      </c>
    </row>
    <row r="62" spans="1:9" ht="15.75" customHeight="1" thickBot="1" x14ac:dyDescent="0.3">
      <c r="A62" s="434"/>
      <c r="B62" s="435"/>
      <c r="C62" s="436"/>
      <c r="D62" s="436"/>
      <c r="E62" s="437"/>
      <c r="F62" s="438"/>
      <c r="G62" s="436"/>
      <c r="H62" s="436"/>
      <c r="I62" s="439"/>
    </row>
    <row r="63" spans="1:9" x14ac:dyDescent="0.25">
      <c r="A63" s="397" t="s">
        <v>66</v>
      </c>
      <c r="B63" s="398">
        <f>SUM(B64:B67)</f>
        <v>255651642</v>
      </c>
      <c r="C63" s="399">
        <f>SUM(C64:C67)</f>
        <v>252183135</v>
      </c>
      <c r="D63" s="400">
        <f t="shared" ref="D63:D91" si="8">C63-$B63</f>
        <v>-3468507</v>
      </c>
      <c r="E63" s="401">
        <f t="shared" ref="E63:E91" si="9">IF($B63&gt;0,D63/$B63, "")</f>
        <v>-1.3567317514041236E-2</v>
      </c>
      <c r="F63" s="402"/>
      <c r="G63" s="403">
        <f>SUM(G64:G67)</f>
        <v>254144691</v>
      </c>
      <c r="H63" s="400">
        <f t="shared" ref="H63:H91" si="10">G63-$B63</f>
        <v>-1506951</v>
      </c>
      <c r="I63" s="401">
        <f t="shared" ref="I63:I91" si="11">IF($B63&gt;0,H63/$B63, "")</f>
        <v>-5.8945484887595601E-3</v>
      </c>
    </row>
    <row r="64" spans="1:9" x14ac:dyDescent="0.25">
      <c r="A64" s="404" t="s">
        <v>51</v>
      </c>
      <c r="B64" s="405">
        <v>221894187</v>
      </c>
      <c r="C64" s="406">
        <v>219495611</v>
      </c>
      <c r="D64" s="365">
        <f t="shared" si="8"/>
        <v>-2398576</v>
      </c>
      <c r="E64" s="407">
        <f t="shared" si="9"/>
        <v>-1.0809548607057471E-2</v>
      </c>
      <c r="F64" s="361"/>
      <c r="G64" s="408">
        <v>221669061</v>
      </c>
      <c r="H64" s="365">
        <f t="shared" si="10"/>
        <v>-225126</v>
      </c>
      <c r="I64" s="407">
        <f t="shared" si="11"/>
        <v>-1.0145646582440666E-3</v>
      </c>
    </row>
    <row r="65" spans="1:9" x14ac:dyDescent="0.25">
      <c r="A65" s="404" t="s">
        <v>52</v>
      </c>
      <c r="B65" s="405">
        <v>24549177</v>
      </c>
      <c r="C65" s="406">
        <v>22627907</v>
      </c>
      <c r="D65" s="365">
        <f t="shared" si="8"/>
        <v>-1921270</v>
      </c>
      <c r="E65" s="407">
        <f t="shared" si="9"/>
        <v>-7.8262094081606073E-2</v>
      </c>
      <c r="F65" s="361"/>
      <c r="G65" s="408">
        <v>22416013</v>
      </c>
      <c r="H65" s="365">
        <f t="shared" si="10"/>
        <v>-2133164</v>
      </c>
      <c r="I65" s="366">
        <f t="shared" si="11"/>
        <v>-8.6893503598919022E-2</v>
      </c>
    </row>
    <row r="66" spans="1:9" x14ac:dyDescent="0.25">
      <c r="A66" s="404" t="s">
        <v>53</v>
      </c>
      <c r="B66" s="405">
        <v>9208278</v>
      </c>
      <c r="C66" s="406">
        <v>10059617</v>
      </c>
      <c r="D66" s="365">
        <f t="shared" si="8"/>
        <v>851339</v>
      </c>
      <c r="E66" s="407">
        <f t="shared" si="9"/>
        <v>9.2453659631040686E-2</v>
      </c>
      <c r="F66" s="361"/>
      <c r="G66" s="408">
        <v>10059617</v>
      </c>
      <c r="H66" s="365">
        <f t="shared" si="10"/>
        <v>851339</v>
      </c>
      <c r="I66" s="407">
        <f t="shared" si="11"/>
        <v>9.2453659631040686E-2</v>
      </c>
    </row>
    <row r="67" spans="1:9" ht="15.75" customHeight="1" thickBot="1" x14ac:dyDescent="0.3">
      <c r="A67" s="409" t="s">
        <v>54</v>
      </c>
      <c r="B67" s="410">
        <v>0</v>
      </c>
      <c r="C67" s="411">
        <v>0</v>
      </c>
      <c r="D67" s="412">
        <f t="shared" si="8"/>
        <v>0</v>
      </c>
      <c r="E67" s="366" t="str">
        <f t="shared" si="9"/>
        <v/>
      </c>
      <c r="F67" s="413"/>
      <c r="G67" s="414">
        <v>0</v>
      </c>
      <c r="H67" s="365">
        <f t="shared" si="10"/>
        <v>0</v>
      </c>
      <c r="I67" s="366" t="str">
        <f t="shared" si="11"/>
        <v/>
      </c>
    </row>
    <row r="68" spans="1:9" x14ac:dyDescent="0.25">
      <c r="A68" s="397" t="s">
        <v>67</v>
      </c>
      <c r="B68" s="398">
        <f>SUM(B69:B72)</f>
        <v>48926398</v>
      </c>
      <c r="C68" s="399">
        <f>SUM(C69:C72)</f>
        <v>50944804</v>
      </c>
      <c r="D68" s="400">
        <f t="shared" si="8"/>
        <v>2018406</v>
      </c>
      <c r="E68" s="401">
        <f t="shared" si="9"/>
        <v>4.1253925948114965E-2</v>
      </c>
      <c r="F68" s="402"/>
      <c r="G68" s="403">
        <f>SUM(G69:G72)</f>
        <v>51400483</v>
      </c>
      <c r="H68" s="400">
        <f t="shared" si="10"/>
        <v>2474085</v>
      </c>
      <c r="I68" s="401">
        <f t="shared" si="11"/>
        <v>5.0567487105835994E-2</v>
      </c>
    </row>
    <row r="69" spans="1:9" x14ac:dyDescent="0.25">
      <c r="A69" s="404" t="s">
        <v>51</v>
      </c>
      <c r="B69" s="405">
        <v>43654076</v>
      </c>
      <c r="C69" s="406">
        <v>46046256</v>
      </c>
      <c r="D69" s="365">
        <f t="shared" si="8"/>
        <v>2392180</v>
      </c>
      <c r="E69" s="407">
        <f t="shared" si="9"/>
        <v>5.4798548479184396E-2</v>
      </c>
      <c r="F69" s="361"/>
      <c r="G69" s="408">
        <v>46502085</v>
      </c>
      <c r="H69" s="365">
        <f t="shared" si="10"/>
        <v>2848009</v>
      </c>
      <c r="I69" s="407">
        <f t="shared" si="11"/>
        <v>6.5240391298168818E-2</v>
      </c>
    </row>
    <row r="70" spans="1:9" x14ac:dyDescent="0.25">
      <c r="A70" s="404" t="s">
        <v>52</v>
      </c>
      <c r="B70" s="405">
        <v>4344594</v>
      </c>
      <c r="C70" s="406">
        <v>3893663</v>
      </c>
      <c r="D70" s="365">
        <f t="shared" si="8"/>
        <v>-450931</v>
      </c>
      <c r="E70" s="407">
        <f t="shared" si="9"/>
        <v>-0.1037912863664591</v>
      </c>
      <c r="F70" s="361"/>
      <c r="G70" s="408">
        <v>3893513</v>
      </c>
      <c r="H70" s="365">
        <f t="shared" si="10"/>
        <v>-451081</v>
      </c>
      <c r="I70" s="366">
        <f t="shared" si="11"/>
        <v>-0.10382581203214845</v>
      </c>
    </row>
    <row r="71" spans="1:9" x14ac:dyDescent="0.25">
      <c r="A71" s="404" t="s">
        <v>53</v>
      </c>
      <c r="B71" s="405">
        <v>927728</v>
      </c>
      <c r="C71" s="406">
        <v>1004885</v>
      </c>
      <c r="D71" s="365">
        <f t="shared" si="8"/>
        <v>77157</v>
      </c>
      <c r="E71" s="407">
        <f t="shared" si="9"/>
        <v>8.3167695703913219E-2</v>
      </c>
      <c r="F71" s="361"/>
      <c r="G71" s="408">
        <v>1004885</v>
      </c>
      <c r="H71" s="365">
        <f t="shared" si="10"/>
        <v>77157</v>
      </c>
      <c r="I71" s="407">
        <f t="shared" si="11"/>
        <v>8.3167695703913219E-2</v>
      </c>
    </row>
    <row r="72" spans="1:9" ht="15.75" customHeight="1" thickBot="1" x14ac:dyDescent="0.3">
      <c r="A72" s="409" t="s">
        <v>54</v>
      </c>
      <c r="B72" s="410">
        <v>0</v>
      </c>
      <c r="C72" s="411">
        <v>0</v>
      </c>
      <c r="D72" s="412">
        <f t="shared" si="8"/>
        <v>0</v>
      </c>
      <c r="E72" s="366" t="str">
        <f t="shared" si="9"/>
        <v/>
      </c>
      <c r="F72" s="413"/>
      <c r="G72" s="414">
        <v>0</v>
      </c>
      <c r="H72" s="365">
        <f t="shared" si="10"/>
        <v>0</v>
      </c>
      <c r="I72" s="366" t="str">
        <f t="shared" si="11"/>
        <v/>
      </c>
    </row>
    <row r="73" spans="1:9" x14ac:dyDescent="0.25">
      <c r="A73" s="397" t="s">
        <v>68</v>
      </c>
      <c r="B73" s="398">
        <f>SUM(B74:B77)</f>
        <v>17616120</v>
      </c>
      <c r="C73" s="399">
        <f>SUM(C74:C77)</f>
        <v>17792281</v>
      </c>
      <c r="D73" s="400">
        <f t="shared" si="8"/>
        <v>176161</v>
      </c>
      <c r="E73" s="401">
        <f t="shared" si="9"/>
        <v>9.9999886467621694E-3</v>
      </c>
      <c r="F73" s="402"/>
      <c r="G73" s="403">
        <f>SUM(G74:G77)</f>
        <v>17968442</v>
      </c>
      <c r="H73" s="400">
        <f t="shared" si="10"/>
        <v>352322</v>
      </c>
      <c r="I73" s="401">
        <f t="shared" si="11"/>
        <v>1.9999977293524339E-2</v>
      </c>
    </row>
    <row r="74" spans="1:9" x14ac:dyDescent="0.25">
      <c r="A74" s="404" t="s">
        <v>51</v>
      </c>
      <c r="B74" s="405">
        <v>17616120</v>
      </c>
      <c r="C74" s="406">
        <v>17792281</v>
      </c>
      <c r="D74" s="365">
        <f t="shared" si="8"/>
        <v>176161</v>
      </c>
      <c r="E74" s="407">
        <f t="shared" si="9"/>
        <v>9.9999886467621694E-3</v>
      </c>
      <c r="F74" s="361"/>
      <c r="G74" s="408">
        <v>17968442</v>
      </c>
      <c r="H74" s="365">
        <f t="shared" si="10"/>
        <v>352322</v>
      </c>
      <c r="I74" s="407">
        <f t="shared" si="11"/>
        <v>1.9999977293524339E-2</v>
      </c>
    </row>
    <row r="75" spans="1:9" x14ac:dyDescent="0.25">
      <c r="A75" s="404" t="s">
        <v>52</v>
      </c>
      <c r="B75" s="405">
        <v>0</v>
      </c>
      <c r="C75" s="406">
        <v>0</v>
      </c>
      <c r="D75" s="365">
        <f t="shared" si="8"/>
        <v>0</v>
      </c>
      <c r="E75" s="407" t="str">
        <f t="shared" si="9"/>
        <v/>
      </c>
      <c r="F75" s="361"/>
      <c r="G75" s="408">
        <v>0</v>
      </c>
      <c r="H75" s="365">
        <f t="shared" si="10"/>
        <v>0</v>
      </c>
      <c r="I75" s="366" t="str">
        <f t="shared" si="11"/>
        <v/>
      </c>
    </row>
    <row r="76" spans="1:9" x14ac:dyDescent="0.25">
      <c r="A76" s="404" t="s">
        <v>53</v>
      </c>
      <c r="B76" s="405">
        <v>0</v>
      </c>
      <c r="C76" s="406">
        <v>0</v>
      </c>
      <c r="D76" s="365">
        <f t="shared" si="8"/>
        <v>0</v>
      </c>
      <c r="E76" s="407" t="str">
        <f t="shared" si="9"/>
        <v/>
      </c>
      <c r="F76" s="361"/>
      <c r="G76" s="408">
        <v>0</v>
      </c>
      <c r="H76" s="365">
        <f t="shared" si="10"/>
        <v>0</v>
      </c>
      <c r="I76" s="407" t="str">
        <f t="shared" si="11"/>
        <v/>
      </c>
    </row>
    <row r="77" spans="1:9" ht="15.75" customHeight="1" thickBot="1" x14ac:dyDescent="0.3">
      <c r="A77" s="409" t="s">
        <v>54</v>
      </c>
      <c r="B77" s="410">
        <v>0</v>
      </c>
      <c r="C77" s="411">
        <v>0</v>
      </c>
      <c r="D77" s="412">
        <f t="shared" si="8"/>
        <v>0</v>
      </c>
      <c r="E77" s="366" t="str">
        <f t="shared" si="9"/>
        <v/>
      </c>
      <c r="F77" s="413"/>
      <c r="G77" s="414">
        <v>0</v>
      </c>
      <c r="H77" s="365">
        <f t="shared" si="10"/>
        <v>0</v>
      </c>
      <c r="I77" s="366" t="str">
        <f t="shared" si="11"/>
        <v/>
      </c>
    </row>
    <row r="78" spans="1:9" x14ac:dyDescent="0.25">
      <c r="A78" s="397" t="s">
        <v>69</v>
      </c>
      <c r="B78" s="398">
        <f>SUM(B79:B82)</f>
        <v>47124320</v>
      </c>
      <c r="C78" s="399">
        <f>SUM(C79:C82)</f>
        <v>47079781</v>
      </c>
      <c r="D78" s="400">
        <f t="shared" si="8"/>
        <v>-44539</v>
      </c>
      <c r="E78" s="401">
        <f t="shared" si="9"/>
        <v>-9.4513830650500637E-4</v>
      </c>
      <c r="F78" s="402"/>
      <c r="G78" s="403"/>
      <c r="H78" s="400">
        <f t="shared" si="10"/>
        <v>-47124320</v>
      </c>
      <c r="I78" s="401">
        <f t="shared" si="11"/>
        <v>-1</v>
      </c>
    </row>
    <row r="79" spans="1:9" x14ac:dyDescent="0.25">
      <c r="A79" s="404" t="s">
        <v>51</v>
      </c>
      <c r="B79" s="405">
        <v>42622390</v>
      </c>
      <c r="C79" s="406">
        <v>42824864</v>
      </c>
      <c r="D79" s="365">
        <f t="shared" si="8"/>
        <v>202474</v>
      </c>
      <c r="E79" s="407">
        <f t="shared" si="9"/>
        <v>4.7504140429478498E-3</v>
      </c>
      <c r="F79" s="361"/>
      <c r="G79" s="408">
        <v>43248774</v>
      </c>
      <c r="H79" s="365">
        <f t="shared" si="10"/>
        <v>626384</v>
      </c>
      <c r="I79" s="407">
        <f t="shared" si="11"/>
        <v>1.4696125674792051E-2</v>
      </c>
    </row>
    <row r="80" spans="1:9" x14ac:dyDescent="0.25">
      <c r="A80" s="404" t="s">
        <v>52</v>
      </c>
      <c r="B80" s="405">
        <v>3386658</v>
      </c>
      <c r="C80" s="406">
        <v>3077265</v>
      </c>
      <c r="D80" s="365">
        <f t="shared" si="8"/>
        <v>-309393</v>
      </c>
      <c r="E80" s="407">
        <f t="shared" si="9"/>
        <v>-9.1356434573553039E-2</v>
      </c>
      <c r="F80" s="361"/>
      <c r="G80" s="408">
        <v>3038000</v>
      </c>
      <c r="H80" s="365">
        <f t="shared" si="10"/>
        <v>-348658</v>
      </c>
      <c r="I80" s="366">
        <f t="shared" si="11"/>
        <v>-0.10295046030629607</v>
      </c>
    </row>
    <row r="81" spans="1:9" x14ac:dyDescent="0.25">
      <c r="A81" s="404" t="s">
        <v>53</v>
      </c>
      <c r="B81" s="405">
        <v>1115272</v>
      </c>
      <c r="C81" s="406">
        <v>1177652</v>
      </c>
      <c r="D81" s="365">
        <f t="shared" si="8"/>
        <v>62380</v>
      </c>
      <c r="E81" s="407">
        <f t="shared" si="9"/>
        <v>5.5932543809940533E-2</v>
      </c>
      <c r="F81" s="361"/>
      <c r="G81" s="408">
        <v>1177652</v>
      </c>
      <c r="H81" s="365">
        <f t="shared" si="10"/>
        <v>62380</v>
      </c>
      <c r="I81" s="407">
        <f t="shared" si="11"/>
        <v>5.5932543809940533E-2</v>
      </c>
    </row>
    <row r="82" spans="1:9" ht="15.75" customHeight="1" thickBot="1" x14ac:dyDescent="0.3">
      <c r="A82" s="409" t="s">
        <v>54</v>
      </c>
      <c r="B82" s="410">
        <v>0</v>
      </c>
      <c r="C82" s="411">
        <v>0</v>
      </c>
      <c r="D82" s="412">
        <f t="shared" si="8"/>
        <v>0</v>
      </c>
      <c r="E82" s="366" t="str">
        <f t="shared" si="9"/>
        <v/>
      </c>
      <c r="F82" s="413"/>
      <c r="G82" s="414">
        <v>0</v>
      </c>
      <c r="H82" s="365">
        <f t="shared" si="10"/>
        <v>0</v>
      </c>
      <c r="I82" s="366" t="str">
        <f t="shared" si="11"/>
        <v/>
      </c>
    </row>
    <row r="83" spans="1:9" x14ac:dyDescent="0.25">
      <c r="A83" s="397" t="s">
        <v>70</v>
      </c>
      <c r="B83" s="398">
        <f>SUM(B84:B85)</f>
        <v>2000000</v>
      </c>
      <c r="C83" s="399">
        <f>SUM(C84:C85)</f>
        <v>0</v>
      </c>
      <c r="D83" s="400">
        <f t="shared" si="8"/>
        <v>-2000000</v>
      </c>
      <c r="E83" s="401">
        <f t="shared" si="9"/>
        <v>-1</v>
      </c>
      <c r="F83" s="402"/>
      <c r="G83" s="403">
        <f>SUM(G84:G85)</f>
        <v>0</v>
      </c>
      <c r="H83" s="400">
        <f t="shared" si="10"/>
        <v>-2000000</v>
      </c>
      <c r="I83" s="401">
        <f t="shared" si="11"/>
        <v>-1</v>
      </c>
    </row>
    <row r="84" spans="1:9" x14ac:dyDescent="0.25">
      <c r="A84" s="404" t="s">
        <v>52</v>
      </c>
      <c r="B84" s="405">
        <v>0</v>
      </c>
      <c r="C84" s="406">
        <v>0</v>
      </c>
      <c r="D84" s="365">
        <f t="shared" si="8"/>
        <v>0</v>
      </c>
      <c r="E84" s="407" t="str">
        <f t="shared" si="9"/>
        <v/>
      </c>
      <c r="F84" s="361"/>
      <c r="G84" s="408">
        <v>0</v>
      </c>
      <c r="H84" s="365">
        <f t="shared" si="10"/>
        <v>0</v>
      </c>
      <c r="I84" s="366" t="str">
        <f t="shared" si="11"/>
        <v/>
      </c>
    </row>
    <row r="85" spans="1:9" ht="15.75" customHeight="1" thickBot="1" x14ac:dyDescent="0.3">
      <c r="A85" s="404" t="s">
        <v>54</v>
      </c>
      <c r="B85" s="405">
        <v>2000000</v>
      </c>
      <c r="C85" s="406">
        <v>0</v>
      </c>
      <c r="D85" s="365">
        <f t="shared" si="8"/>
        <v>-2000000</v>
      </c>
      <c r="E85" s="407">
        <f t="shared" si="9"/>
        <v>-1</v>
      </c>
      <c r="F85" s="361"/>
      <c r="G85" s="408">
        <v>0</v>
      </c>
      <c r="H85" s="365">
        <f t="shared" si="10"/>
        <v>-2000000</v>
      </c>
      <c r="I85" s="407">
        <f t="shared" si="11"/>
        <v>-1</v>
      </c>
    </row>
    <row r="86" spans="1:9" ht="15.75" customHeight="1" thickTop="1" x14ac:dyDescent="0.25">
      <c r="A86" s="415" t="s">
        <v>71</v>
      </c>
      <c r="B86" s="416">
        <f>SUM(B87:B91)</f>
        <v>407570810</v>
      </c>
      <c r="C86" s="417">
        <f>SUM(C87:C91)</f>
        <v>403782331</v>
      </c>
      <c r="D86" s="418">
        <f t="shared" si="8"/>
        <v>-3788479</v>
      </c>
      <c r="E86" s="419">
        <f t="shared" si="9"/>
        <v>-9.2952657723451779E-3</v>
      </c>
      <c r="F86" s="374"/>
      <c r="G86" s="420">
        <f>SUM(G87:G91)</f>
        <v>406760372</v>
      </c>
      <c r="H86" s="418">
        <f t="shared" si="10"/>
        <v>-810438</v>
      </c>
      <c r="I86" s="419">
        <f t="shared" si="11"/>
        <v>-1.9884593796106252E-3</v>
      </c>
    </row>
    <row r="87" spans="1:9" x14ac:dyDescent="0.25">
      <c r="A87" s="421" t="s">
        <v>51</v>
      </c>
      <c r="B87" s="422">
        <f>SUM(B64,B69,B74,B79)</f>
        <v>325786773</v>
      </c>
      <c r="C87" s="423">
        <f>SUM(C64,C69,C74,C79)</f>
        <v>326159012</v>
      </c>
      <c r="D87" s="424">
        <f t="shared" si="8"/>
        <v>372239</v>
      </c>
      <c r="E87" s="425">
        <f t="shared" si="9"/>
        <v>1.1425847543540387E-3</v>
      </c>
      <c r="F87" s="361"/>
      <c r="G87" s="440">
        <f>SUM(G64,G69,G74,G79)</f>
        <v>329388362</v>
      </c>
      <c r="H87" s="424">
        <f t="shared" si="10"/>
        <v>3601589</v>
      </c>
      <c r="I87" s="425">
        <f t="shared" si="11"/>
        <v>1.1055049800932219E-2</v>
      </c>
    </row>
    <row r="88" spans="1:9" x14ac:dyDescent="0.25">
      <c r="A88" s="421" t="s">
        <v>52</v>
      </c>
      <c r="B88" s="422">
        <f>SUM(B65,B70,B75, B80,B84)</f>
        <v>32280429</v>
      </c>
      <c r="C88" s="423">
        <f>SUM(C65,C70,C75,C80,C84)</f>
        <v>29598835</v>
      </c>
      <c r="D88" s="424">
        <f t="shared" si="8"/>
        <v>-2681594</v>
      </c>
      <c r="E88" s="425">
        <f t="shared" si="9"/>
        <v>-8.3071820389995443E-2</v>
      </c>
      <c r="F88" s="361"/>
      <c r="G88" s="440">
        <f>SUM(G65,G70,G75,G80,G84)</f>
        <v>29347526</v>
      </c>
      <c r="H88" s="424">
        <f t="shared" si="10"/>
        <v>-2932903</v>
      </c>
      <c r="I88" s="426">
        <f t="shared" si="11"/>
        <v>-9.0857001931417949E-2</v>
      </c>
    </row>
    <row r="89" spans="1:9" x14ac:dyDescent="0.25">
      <c r="A89" s="421" t="s">
        <v>53</v>
      </c>
      <c r="B89" s="422">
        <f>SUM(B66,B71,B76,B81)</f>
        <v>11251278</v>
      </c>
      <c r="C89" s="423">
        <f>SUM(C66,C71,C76,C81)</f>
        <v>12242154</v>
      </c>
      <c r="D89" s="424">
        <f t="shared" si="8"/>
        <v>990876</v>
      </c>
      <c r="E89" s="425">
        <f t="shared" si="9"/>
        <v>8.8067862157525573E-2</v>
      </c>
      <c r="F89" s="361"/>
      <c r="G89" s="440">
        <f>SUM(G66,G71,G76,G81)</f>
        <v>12242154</v>
      </c>
      <c r="H89" s="424">
        <f t="shared" si="10"/>
        <v>990876</v>
      </c>
      <c r="I89" s="425">
        <f t="shared" si="11"/>
        <v>8.8067862157525573E-2</v>
      </c>
    </row>
    <row r="90" spans="1:9" x14ac:dyDescent="0.25">
      <c r="A90" s="421" t="s">
        <v>65</v>
      </c>
      <c r="B90" s="422">
        <v>36252330</v>
      </c>
      <c r="C90" s="423">
        <v>35782330</v>
      </c>
      <c r="D90" s="424">
        <f t="shared" si="8"/>
        <v>-470000</v>
      </c>
      <c r="E90" s="425">
        <f t="shared" si="9"/>
        <v>-1.2964683925143571E-2</v>
      </c>
      <c r="F90" s="361"/>
      <c r="G90" s="440">
        <v>35782330</v>
      </c>
      <c r="H90" s="424">
        <f t="shared" si="10"/>
        <v>-470000</v>
      </c>
      <c r="I90" s="426">
        <f t="shared" si="11"/>
        <v>-1.2964683925143571E-2</v>
      </c>
    </row>
    <row r="91" spans="1:9" ht="15.75" customHeight="1" thickBot="1" x14ac:dyDescent="0.3">
      <c r="A91" s="427" t="s">
        <v>54</v>
      </c>
      <c r="B91" s="428">
        <f>SUM(B67,B72,B77,B82,B85)</f>
        <v>2000000</v>
      </c>
      <c r="C91" s="441">
        <f>SUM(C67,C72,C77,C82,C85)</f>
        <v>0</v>
      </c>
      <c r="D91" s="432">
        <f t="shared" si="8"/>
        <v>-2000000</v>
      </c>
      <c r="E91" s="431">
        <f t="shared" si="9"/>
        <v>-1</v>
      </c>
      <c r="F91" s="413"/>
      <c r="G91" s="429">
        <f>SUM(G67,G72,G77,G82,G85)</f>
        <v>0</v>
      </c>
      <c r="H91" s="432">
        <f t="shared" si="10"/>
        <v>-2000000</v>
      </c>
      <c r="I91" s="433">
        <f t="shared" si="11"/>
        <v>-1</v>
      </c>
    </row>
    <row r="92" spans="1:9" ht="15.75" customHeight="1" thickBot="1" x14ac:dyDescent="0.3">
      <c r="A92" s="434"/>
      <c r="B92" s="435"/>
      <c r="C92" s="436"/>
      <c r="D92" s="436"/>
      <c r="E92" s="437"/>
      <c r="F92" s="438"/>
      <c r="G92" s="436"/>
      <c r="H92" s="436"/>
      <c r="I92" s="439"/>
    </row>
    <row r="93" spans="1:9" x14ac:dyDescent="0.25">
      <c r="A93" s="397" t="s">
        <v>72</v>
      </c>
      <c r="B93" s="398">
        <f>SUM(B94:B98)</f>
        <v>165252580</v>
      </c>
      <c r="C93" s="399">
        <f>SUM(C94:C98)</f>
        <v>165450889</v>
      </c>
      <c r="D93" s="400">
        <f>C93-$B93</f>
        <v>198309</v>
      </c>
      <c r="E93" s="401">
        <f t="shared" ref="E93:E98" si="12">IF($B93&gt;0,D93/$B93, "")</f>
        <v>1.200035727127528E-3</v>
      </c>
      <c r="F93" s="402"/>
      <c r="G93" s="403">
        <f>SUM(G94:G98)</f>
        <v>166775301</v>
      </c>
      <c r="H93" s="400">
        <f t="shared" ref="H93:H98" si="13">G93-$B93</f>
        <v>1522721</v>
      </c>
      <c r="I93" s="401">
        <f t="shared" ref="I93:I98" si="14">IF($B93&gt;0,H93/$B93, "")</f>
        <v>9.2145066660986475E-3</v>
      </c>
    </row>
    <row r="94" spans="1:9" x14ac:dyDescent="0.25">
      <c r="A94" s="404" t="s">
        <v>51</v>
      </c>
      <c r="B94" s="405">
        <v>132521659</v>
      </c>
      <c r="C94" s="406">
        <v>132441661</v>
      </c>
      <c r="D94" s="365"/>
      <c r="E94" s="407">
        <f t="shared" si="12"/>
        <v>0</v>
      </c>
      <c r="F94" s="361"/>
      <c r="G94" s="408">
        <v>133753011</v>
      </c>
      <c r="H94" s="365">
        <f t="shared" si="13"/>
        <v>1231352</v>
      </c>
      <c r="I94" s="407">
        <f t="shared" si="14"/>
        <v>9.2917037810400487E-3</v>
      </c>
    </row>
    <row r="95" spans="1:9" x14ac:dyDescent="0.25">
      <c r="A95" s="404" t="s">
        <v>52</v>
      </c>
      <c r="B95" s="405">
        <v>22882929</v>
      </c>
      <c r="C95" s="406">
        <v>22959363</v>
      </c>
      <c r="D95" s="365">
        <f>C95-$B95</f>
        <v>76434</v>
      </c>
      <c r="E95" s="407">
        <f t="shared" si="12"/>
        <v>3.3402192525266326E-3</v>
      </c>
      <c r="F95" s="361"/>
      <c r="G95" s="408">
        <v>22972425</v>
      </c>
      <c r="H95" s="365">
        <f t="shared" si="13"/>
        <v>89496</v>
      </c>
      <c r="I95" s="366">
        <f t="shared" si="14"/>
        <v>3.9110377871643971E-3</v>
      </c>
    </row>
    <row r="96" spans="1:9" x14ac:dyDescent="0.25">
      <c r="A96" s="404" t="s">
        <v>53</v>
      </c>
      <c r="B96" s="405">
        <v>2715486</v>
      </c>
      <c r="C96" s="406">
        <v>2917359</v>
      </c>
      <c r="D96" s="365">
        <f>C96-$B96</f>
        <v>201873</v>
      </c>
      <c r="E96" s="407">
        <f t="shared" si="12"/>
        <v>7.4341388613308995E-2</v>
      </c>
      <c r="F96" s="361"/>
      <c r="G96" s="408">
        <v>2917359</v>
      </c>
      <c r="H96" s="365">
        <f t="shared" si="13"/>
        <v>201873</v>
      </c>
      <c r="I96" s="407">
        <f t="shared" si="14"/>
        <v>7.4341388613308995E-2</v>
      </c>
    </row>
    <row r="97" spans="1:9" x14ac:dyDescent="0.25">
      <c r="A97" s="404" t="s">
        <v>65</v>
      </c>
      <c r="B97" s="405">
        <v>7132506</v>
      </c>
      <c r="C97" s="406">
        <v>7132506</v>
      </c>
      <c r="D97" s="365">
        <f>C97-$B97</f>
        <v>0</v>
      </c>
      <c r="E97" s="366">
        <f t="shared" si="12"/>
        <v>0</v>
      </c>
      <c r="F97" s="361"/>
      <c r="G97" s="408">
        <v>7132506</v>
      </c>
      <c r="H97" s="365">
        <f t="shared" si="13"/>
        <v>0</v>
      </c>
      <c r="I97" s="366">
        <f t="shared" si="14"/>
        <v>0</v>
      </c>
    </row>
    <row r="98" spans="1:9" ht="15.75" customHeight="1" thickBot="1" x14ac:dyDescent="0.3">
      <c r="A98" s="409" t="s">
        <v>54</v>
      </c>
      <c r="B98" s="410">
        <v>0</v>
      </c>
      <c r="C98" s="411">
        <v>0</v>
      </c>
      <c r="D98" s="412">
        <f>C98-$B98</f>
        <v>0</v>
      </c>
      <c r="E98" s="442" t="str">
        <f t="shared" si="12"/>
        <v/>
      </c>
      <c r="F98" s="413"/>
      <c r="G98" s="414">
        <v>0</v>
      </c>
      <c r="H98" s="412">
        <f t="shared" si="13"/>
        <v>0</v>
      </c>
      <c r="I98" s="442" t="str">
        <f t="shared" si="14"/>
        <v/>
      </c>
    </row>
    <row r="99" spans="1:9" ht="15.75" customHeight="1" thickBot="1" x14ac:dyDescent="0.3">
      <c r="A99" s="434"/>
      <c r="B99" s="435"/>
      <c r="C99" s="436"/>
      <c r="D99" s="436"/>
      <c r="E99" s="437"/>
      <c r="F99" s="438"/>
      <c r="G99" s="436"/>
      <c r="H99" s="436"/>
      <c r="I99" s="439"/>
    </row>
    <row r="100" spans="1:9" x14ac:dyDescent="0.25">
      <c r="A100" s="397" t="s">
        <v>73</v>
      </c>
      <c r="B100" s="398">
        <f>SUM(B101:B105)</f>
        <v>99648596</v>
      </c>
      <c r="C100" s="399">
        <f>SUM(C101:C105)</f>
        <v>85519437</v>
      </c>
      <c r="D100" s="400">
        <f t="shared" ref="D100:D105" si="15">C100-$B100</f>
        <v>-14129159</v>
      </c>
      <c r="E100" s="401">
        <f t="shared" ref="E100:E105" si="16">IF($B100&gt;0,D100/$B100, "")</f>
        <v>-0.14178984518758297</v>
      </c>
      <c r="F100" s="402"/>
      <c r="G100" s="403">
        <f>SUM(G101:G105)</f>
        <v>88581968</v>
      </c>
      <c r="H100" s="400">
        <f t="shared" ref="H100:H105" si="17">G100-$B100</f>
        <v>-11066628</v>
      </c>
      <c r="I100" s="401">
        <f t="shared" ref="I100:I105" si="18">IF($B100&gt;0,H100/$B100, "")</f>
        <v>-0.11105653711367895</v>
      </c>
    </row>
    <row r="101" spans="1:9" x14ac:dyDescent="0.25">
      <c r="A101" s="404" t="s">
        <v>51</v>
      </c>
      <c r="B101" s="405">
        <v>67923788</v>
      </c>
      <c r="C101" s="406">
        <v>71009278</v>
      </c>
      <c r="D101" s="365">
        <f t="shared" si="15"/>
        <v>3085490</v>
      </c>
      <c r="E101" s="407">
        <f t="shared" si="16"/>
        <v>4.5425764534804805E-2</v>
      </c>
      <c r="F101" s="361"/>
      <c r="G101" s="408">
        <v>71712104</v>
      </c>
      <c r="H101" s="365">
        <f t="shared" si="17"/>
        <v>3788316</v>
      </c>
      <c r="I101" s="407">
        <f t="shared" si="18"/>
        <v>5.5773037864142679E-2</v>
      </c>
    </row>
    <row r="102" spans="1:9" x14ac:dyDescent="0.25">
      <c r="A102" s="404" t="s">
        <v>52</v>
      </c>
      <c r="B102" s="405">
        <v>11998774</v>
      </c>
      <c r="C102" s="406">
        <v>11574682</v>
      </c>
      <c r="D102" s="365">
        <f t="shared" si="15"/>
        <v>-424092</v>
      </c>
      <c r="E102" s="407">
        <f t="shared" si="16"/>
        <v>-3.5344611041094695E-2</v>
      </c>
      <c r="F102" s="361"/>
      <c r="G102" s="408">
        <v>13934387</v>
      </c>
      <c r="H102" s="365">
        <f t="shared" si="17"/>
        <v>1935613</v>
      </c>
      <c r="I102" s="366">
        <f t="shared" si="18"/>
        <v>0.16131756461118443</v>
      </c>
    </row>
    <row r="103" spans="1:9" x14ac:dyDescent="0.25">
      <c r="A103" s="404" t="s">
        <v>53</v>
      </c>
      <c r="B103" s="405">
        <v>1391284</v>
      </c>
      <c r="C103" s="406">
        <v>1504289</v>
      </c>
      <c r="D103" s="365">
        <f t="shared" si="15"/>
        <v>113005</v>
      </c>
      <c r="E103" s="407">
        <f t="shared" si="16"/>
        <v>8.122353164415029E-2</v>
      </c>
      <c r="F103" s="361"/>
      <c r="G103" s="408">
        <v>1504289</v>
      </c>
      <c r="H103" s="365">
        <f t="shared" si="17"/>
        <v>113005</v>
      </c>
      <c r="I103" s="407">
        <f t="shared" si="18"/>
        <v>8.122353164415029E-2</v>
      </c>
    </row>
    <row r="104" spans="1:9" x14ac:dyDescent="0.25">
      <c r="A104" s="404" t="s">
        <v>65</v>
      </c>
      <c r="B104" s="405">
        <v>3334750</v>
      </c>
      <c r="C104" s="406">
        <v>1431188</v>
      </c>
      <c r="D104" s="365">
        <f t="shared" si="15"/>
        <v>-1903562</v>
      </c>
      <c r="E104" s="366">
        <f t="shared" si="16"/>
        <v>-0.57082599895044606</v>
      </c>
      <c r="F104" s="361"/>
      <c r="G104" s="408">
        <v>1431188</v>
      </c>
      <c r="H104" s="365">
        <f t="shared" si="17"/>
        <v>-1903562</v>
      </c>
      <c r="I104" s="366">
        <f t="shared" si="18"/>
        <v>-0.57082599895044606</v>
      </c>
    </row>
    <row r="105" spans="1:9" ht="15.75" customHeight="1" thickBot="1" x14ac:dyDescent="0.3">
      <c r="A105" s="409" t="s">
        <v>54</v>
      </c>
      <c r="B105" s="410">
        <v>15000000</v>
      </c>
      <c r="C105" s="411">
        <v>0</v>
      </c>
      <c r="D105" s="412">
        <f t="shared" si="15"/>
        <v>-15000000</v>
      </c>
      <c r="E105" s="442">
        <f t="shared" si="16"/>
        <v>-1</v>
      </c>
      <c r="F105" s="413"/>
      <c r="G105" s="414">
        <v>0</v>
      </c>
      <c r="H105" s="412">
        <f t="shared" si="17"/>
        <v>-15000000</v>
      </c>
      <c r="I105" s="442">
        <f t="shared" si="18"/>
        <v>-1</v>
      </c>
    </row>
    <row r="106" spans="1:9" ht="15.75" customHeight="1" thickBot="1" x14ac:dyDescent="0.3">
      <c r="A106" s="434"/>
      <c r="B106" s="435"/>
      <c r="C106" s="436"/>
      <c r="D106" s="436"/>
      <c r="E106" s="437"/>
      <c r="F106" s="438"/>
      <c r="G106" s="436"/>
      <c r="H106" s="436"/>
      <c r="I106" s="439"/>
    </row>
    <row r="107" spans="1:9" x14ac:dyDescent="0.25">
      <c r="A107" s="397" t="s">
        <v>74</v>
      </c>
      <c r="B107" s="398">
        <f>SUM(B108:B112)</f>
        <v>61732700</v>
      </c>
      <c r="C107" s="399">
        <f>SUM(C108:C112)</f>
        <v>60931679</v>
      </c>
      <c r="D107" s="400">
        <f t="shared" ref="D107:D112" si="19">C107-$B107</f>
        <v>-801021</v>
      </c>
      <c r="E107" s="401">
        <f t="shared" ref="E107:E112" si="20">IF($B107&gt;0,D107/$B107, "")</f>
        <v>-1.2975635279195629E-2</v>
      </c>
      <c r="F107" s="402"/>
      <c r="G107" s="403">
        <f>SUM(G108:G112)</f>
        <v>61939380</v>
      </c>
      <c r="H107" s="400">
        <f t="shared" ref="H107:H112" si="21">G107-$B107</f>
        <v>206680</v>
      </c>
      <c r="I107" s="401">
        <f t="shared" ref="I107:I112" si="22">IF($B107&gt;0,H107/$B107, "")</f>
        <v>3.3479825116996343E-3</v>
      </c>
    </row>
    <row r="108" spans="1:9" x14ac:dyDescent="0.25">
      <c r="A108" s="404" t="s">
        <v>51</v>
      </c>
      <c r="B108" s="405">
        <v>46529008</v>
      </c>
      <c r="C108" s="406">
        <v>47504564</v>
      </c>
      <c r="D108" s="365">
        <f t="shared" si="19"/>
        <v>975556</v>
      </c>
      <c r="E108" s="407">
        <f t="shared" si="20"/>
        <v>2.0966619361409984E-2</v>
      </c>
      <c r="F108" s="361"/>
      <c r="G108" s="408">
        <v>47974848</v>
      </c>
      <c r="H108" s="365">
        <f t="shared" si="21"/>
        <v>1445840</v>
      </c>
      <c r="I108" s="407">
        <f t="shared" si="22"/>
        <v>3.1073948535502841E-2</v>
      </c>
    </row>
    <row r="109" spans="1:9" x14ac:dyDescent="0.25">
      <c r="A109" s="404" t="s">
        <v>52</v>
      </c>
      <c r="B109" s="405">
        <v>12232928</v>
      </c>
      <c r="C109" s="406">
        <v>11524725</v>
      </c>
      <c r="D109" s="365">
        <f t="shared" si="19"/>
        <v>-708203</v>
      </c>
      <c r="E109" s="407">
        <f t="shared" si="20"/>
        <v>-5.7893171610263708E-2</v>
      </c>
      <c r="F109" s="361"/>
      <c r="G109" s="408">
        <v>12062142</v>
      </c>
      <c r="H109" s="365">
        <f t="shared" si="21"/>
        <v>-170786</v>
      </c>
      <c r="I109" s="366">
        <f t="shared" si="22"/>
        <v>-1.3961171029536019E-2</v>
      </c>
    </row>
    <row r="110" spans="1:9" x14ac:dyDescent="0.25">
      <c r="A110" s="404" t="s">
        <v>53</v>
      </c>
      <c r="B110" s="405">
        <v>931336</v>
      </c>
      <c r="C110" s="406">
        <v>1112962</v>
      </c>
      <c r="D110" s="365">
        <f t="shared" si="19"/>
        <v>181626</v>
      </c>
      <c r="E110" s="407">
        <f t="shared" si="20"/>
        <v>0.19501662128383312</v>
      </c>
      <c r="F110" s="361"/>
      <c r="G110" s="408">
        <v>1112962</v>
      </c>
      <c r="H110" s="365">
        <f t="shared" si="21"/>
        <v>181626</v>
      </c>
      <c r="I110" s="407">
        <f t="shared" si="22"/>
        <v>0.19501662128383312</v>
      </c>
    </row>
    <row r="111" spans="1:9" x14ac:dyDescent="0.25">
      <c r="A111" s="404" t="s">
        <v>65</v>
      </c>
      <c r="B111" s="405">
        <v>2039428</v>
      </c>
      <c r="C111" s="406">
        <v>789428</v>
      </c>
      <c r="D111" s="365">
        <f t="shared" si="19"/>
        <v>-1250000</v>
      </c>
      <c r="E111" s="366">
        <f t="shared" si="20"/>
        <v>-0.61291695514624689</v>
      </c>
      <c r="F111" s="361"/>
      <c r="G111" s="408">
        <v>789428</v>
      </c>
      <c r="H111" s="365">
        <f t="shared" si="21"/>
        <v>-1250000</v>
      </c>
      <c r="I111" s="366">
        <f t="shared" si="22"/>
        <v>-0.61291695514624689</v>
      </c>
    </row>
    <row r="112" spans="1:9" ht="15.75" customHeight="1" thickBot="1" x14ac:dyDescent="0.3">
      <c r="A112" s="409" t="s">
        <v>54</v>
      </c>
      <c r="B112" s="410">
        <v>0</v>
      </c>
      <c r="C112" s="411">
        <v>0</v>
      </c>
      <c r="D112" s="412">
        <f t="shared" si="19"/>
        <v>0</v>
      </c>
      <c r="E112" s="442" t="str">
        <f t="shared" si="20"/>
        <v/>
      </c>
      <c r="F112" s="413"/>
      <c r="G112" s="414">
        <v>0</v>
      </c>
      <c r="H112" s="412">
        <f t="shared" si="21"/>
        <v>0</v>
      </c>
      <c r="I112" s="442" t="str">
        <f t="shared" si="22"/>
        <v/>
      </c>
    </row>
    <row r="113" spans="1:9" ht="15.75" customHeight="1" thickBot="1" x14ac:dyDescent="0.3">
      <c r="A113" s="434"/>
      <c r="B113" s="435"/>
      <c r="C113" s="436"/>
      <c r="D113" s="436"/>
      <c r="E113" s="437"/>
      <c r="F113" s="438"/>
      <c r="G113" s="436"/>
      <c r="H113" s="436"/>
      <c r="I113" s="439"/>
    </row>
    <row r="114" spans="1:9" x14ac:dyDescent="0.25">
      <c r="A114" s="397" t="s">
        <v>75</v>
      </c>
      <c r="B114" s="398">
        <f>SUM(B115:B119)</f>
        <v>67162276</v>
      </c>
      <c r="C114" s="399">
        <f>SUM(C115:C119)</f>
        <v>57079006</v>
      </c>
      <c r="D114" s="400">
        <f t="shared" ref="D114:D119" si="23">C114-$B114</f>
        <v>-10083270</v>
      </c>
      <c r="E114" s="401">
        <f t="shared" ref="E114:E119" si="24">IF($B114&gt;0,D114/$B114, "")</f>
        <v>-0.15013294070022284</v>
      </c>
      <c r="F114" s="402"/>
      <c r="G114" s="403">
        <f>SUM(G115:G119)</f>
        <v>57498642</v>
      </c>
      <c r="H114" s="400">
        <f t="shared" ref="H114:H119" si="25">G114-$B114</f>
        <v>-9663634</v>
      </c>
      <c r="I114" s="401">
        <f t="shared" ref="I114:I119" si="26">IF($B114&gt;0,H114/$B114, "")</f>
        <v>-0.14388484988209752</v>
      </c>
    </row>
    <row r="115" spans="1:9" x14ac:dyDescent="0.25">
      <c r="A115" s="404" t="s">
        <v>51</v>
      </c>
      <c r="B115" s="405">
        <v>41117382</v>
      </c>
      <c r="C115" s="406">
        <v>42924432</v>
      </c>
      <c r="D115" s="365">
        <f t="shared" si="23"/>
        <v>1807050</v>
      </c>
      <c r="E115" s="407">
        <f t="shared" si="24"/>
        <v>4.3948566569729564E-2</v>
      </c>
      <c r="F115" s="361"/>
      <c r="G115" s="408">
        <v>43349448</v>
      </c>
      <c r="H115" s="365">
        <f t="shared" si="25"/>
        <v>2232066</v>
      </c>
      <c r="I115" s="407">
        <f t="shared" si="26"/>
        <v>5.4285216894402473E-2</v>
      </c>
    </row>
    <row r="116" spans="1:9" x14ac:dyDescent="0.25">
      <c r="A116" s="404" t="s">
        <v>52</v>
      </c>
      <c r="B116" s="405">
        <v>6204492</v>
      </c>
      <c r="C116" s="406">
        <v>6215488</v>
      </c>
      <c r="D116" s="365">
        <f t="shared" si="23"/>
        <v>10996</v>
      </c>
      <c r="E116" s="407">
        <f t="shared" si="24"/>
        <v>1.7722643529881254E-3</v>
      </c>
      <c r="F116" s="361"/>
      <c r="G116" s="408">
        <v>6210108</v>
      </c>
      <c r="H116" s="365">
        <f t="shared" si="25"/>
        <v>5616</v>
      </c>
      <c r="I116" s="366">
        <f t="shared" si="26"/>
        <v>9.0515065536388801E-4</v>
      </c>
    </row>
    <row r="117" spans="1:9" x14ac:dyDescent="0.25">
      <c r="A117" s="404" t="s">
        <v>53</v>
      </c>
      <c r="B117" s="405">
        <v>906602</v>
      </c>
      <c r="C117" s="406">
        <v>1005286</v>
      </c>
      <c r="D117" s="365">
        <f t="shared" si="23"/>
        <v>98684</v>
      </c>
      <c r="E117" s="407">
        <f t="shared" si="24"/>
        <v>0.10885041065428931</v>
      </c>
      <c r="F117" s="361"/>
      <c r="G117" s="408">
        <v>1005286</v>
      </c>
      <c r="H117" s="365">
        <f t="shared" si="25"/>
        <v>98684</v>
      </c>
      <c r="I117" s="407">
        <f t="shared" si="26"/>
        <v>0.10885041065428931</v>
      </c>
    </row>
    <row r="118" spans="1:9" x14ac:dyDescent="0.25">
      <c r="A118" s="404" t="s">
        <v>65</v>
      </c>
      <c r="B118" s="405">
        <v>6933800</v>
      </c>
      <c r="C118" s="406">
        <v>6933800</v>
      </c>
      <c r="D118" s="365">
        <f t="shared" si="23"/>
        <v>0</v>
      </c>
      <c r="E118" s="366">
        <f t="shared" si="24"/>
        <v>0</v>
      </c>
      <c r="F118" s="361"/>
      <c r="G118" s="408">
        <v>6933800</v>
      </c>
      <c r="H118" s="365">
        <f t="shared" si="25"/>
        <v>0</v>
      </c>
      <c r="I118" s="366">
        <f t="shared" si="26"/>
        <v>0</v>
      </c>
    </row>
    <row r="119" spans="1:9" ht="15.75" customHeight="1" thickBot="1" x14ac:dyDescent="0.3">
      <c r="A119" s="409" t="s">
        <v>54</v>
      </c>
      <c r="B119" s="410">
        <v>12000000</v>
      </c>
      <c r="C119" s="411">
        <v>0</v>
      </c>
      <c r="D119" s="412">
        <f t="shared" si="23"/>
        <v>-12000000</v>
      </c>
      <c r="E119" s="442">
        <f t="shared" si="24"/>
        <v>-1</v>
      </c>
      <c r="F119" s="413"/>
      <c r="G119" s="414">
        <v>0</v>
      </c>
      <c r="H119" s="412">
        <f t="shared" si="25"/>
        <v>-12000000</v>
      </c>
      <c r="I119" s="442">
        <f t="shared" si="26"/>
        <v>-1</v>
      </c>
    </row>
    <row r="120" spans="1:9" ht="15.75" customHeight="1" thickBot="1" x14ac:dyDescent="0.3">
      <c r="A120" s="434"/>
      <c r="B120" s="435"/>
      <c r="C120" s="436"/>
      <c r="D120" s="436"/>
      <c r="E120" s="437"/>
      <c r="F120" s="438"/>
      <c r="G120" s="436"/>
      <c r="H120" s="436"/>
      <c r="I120" s="439"/>
    </row>
    <row r="121" spans="1:9" x14ac:dyDescent="0.25">
      <c r="A121" s="397" t="s">
        <v>76</v>
      </c>
      <c r="B121" s="398">
        <f>SUM(B122:B126)</f>
        <v>279952445</v>
      </c>
      <c r="C121" s="399">
        <f>SUM(C122:C126)</f>
        <v>278906260</v>
      </c>
      <c r="D121" s="400">
        <f t="shared" ref="D121:D126" si="27">C121-$B121</f>
        <v>-1046185</v>
      </c>
      <c r="E121" s="401">
        <f t="shared" ref="E121:E126" si="28">IF($B121&gt;0,D121/$B121, "")</f>
        <v>-3.7370096910566363E-3</v>
      </c>
      <c r="F121" s="402"/>
      <c r="G121" s="403">
        <f>SUM(G122:G126)</f>
        <v>279704445</v>
      </c>
      <c r="H121" s="400">
        <f t="shared" ref="H121:H126" si="29">G121-$B121</f>
        <v>-248000</v>
      </c>
      <c r="I121" s="401">
        <f t="shared" ref="I121:I126" si="30">IF($B121&gt;0,H121/$B121, "")</f>
        <v>-8.858647403490261E-4</v>
      </c>
    </row>
    <row r="122" spans="1:9" x14ac:dyDescent="0.25">
      <c r="A122" s="404" t="s">
        <v>51</v>
      </c>
      <c r="B122" s="405">
        <v>227928317</v>
      </c>
      <c r="C122" s="406">
        <v>226529384</v>
      </c>
      <c r="D122" s="365">
        <f t="shared" si="27"/>
        <v>-1398933</v>
      </c>
      <c r="E122" s="407">
        <f t="shared" si="28"/>
        <v>-6.1376007089106004E-3</v>
      </c>
      <c r="F122" s="361"/>
      <c r="G122" s="408">
        <v>228771737</v>
      </c>
      <c r="H122" s="365">
        <f t="shared" si="29"/>
        <v>843420</v>
      </c>
      <c r="I122" s="407">
        <f t="shared" si="30"/>
        <v>3.7003739206304936E-3</v>
      </c>
    </row>
    <row r="123" spans="1:9" x14ac:dyDescent="0.25">
      <c r="A123" s="404" t="s">
        <v>52</v>
      </c>
      <c r="B123" s="405">
        <v>34630914</v>
      </c>
      <c r="C123" s="406">
        <v>32923190</v>
      </c>
      <c r="D123" s="365">
        <f t="shared" si="27"/>
        <v>-1707724</v>
      </c>
      <c r="E123" s="407">
        <f t="shared" si="28"/>
        <v>-4.9312126154106128E-2</v>
      </c>
      <c r="F123" s="361"/>
      <c r="G123" s="408">
        <v>31479022</v>
      </c>
      <c r="H123" s="365">
        <f t="shared" si="29"/>
        <v>-3151892</v>
      </c>
      <c r="I123" s="366">
        <f t="shared" si="30"/>
        <v>-9.1013826548152904E-2</v>
      </c>
    </row>
    <row r="124" spans="1:9" x14ac:dyDescent="0.25">
      <c r="A124" s="404" t="s">
        <v>53</v>
      </c>
      <c r="B124" s="405">
        <v>3318653</v>
      </c>
      <c r="C124" s="406">
        <v>3610577</v>
      </c>
      <c r="D124" s="365">
        <f t="shared" si="27"/>
        <v>291924</v>
      </c>
      <c r="E124" s="407">
        <f t="shared" si="28"/>
        <v>8.7964604916512812E-2</v>
      </c>
      <c r="F124" s="361"/>
      <c r="G124" s="408">
        <v>3610577</v>
      </c>
      <c r="H124" s="365">
        <f t="shared" si="29"/>
        <v>291924</v>
      </c>
      <c r="I124" s="407">
        <f t="shared" si="30"/>
        <v>8.7964604916512812E-2</v>
      </c>
    </row>
    <row r="125" spans="1:9" x14ac:dyDescent="0.25">
      <c r="A125" s="404" t="s">
        <v>65</v>
      </c>
      <c r="B125" s="405">
        <v>14074561</v>
      </c>
      <c r="C125" s="406">
        <v>15843109</v>
      </c>
      <c r="D125" s="365">
        <f t="shared" si="27"/>
        <v>1768548</v>
      </c>
      <c r="E125" s="366">
        <f t="shared" si="28"/>
        <v>0.12565564211913963</v>
      </c>
      <c r="F125" s="361"/>
      <c r="G125" s="408">
        <v>15843109</v>
      </c>
      <c r="H125" s="365">
        <f t="shared" si="29"/>
        <v>1768548</v>
      </c>
      <c r="I125" s="366">
        <f t="shared" si="30"/>
        <v>0.12565564211913963</v>
      </c>
    </row>
    <row r="126" spans="1:9" ht="15.75" customHeight="1" thickBot="1" x14ac:dyDescent="0.3">
      <c r="A126" s="409" t="s">
        <v>54</v>
      </c>
      <c r="B126" s="410">
        <v>0</v>
      </c>
      <c r="C126" s="411">
        <v>0</v>
      </c>
      <c r="D126" s="412">
        <f t="shared" si="27"/>
        <v>0</v>
      </c>
      <c r="E126" s="442" t="str">
        <f t="shared" si="28"/>
        <v/>
      </c>
      <c r="F126" s="413"/>
      <c r="G126" s="414">
        <v>0</v>
      </c>
      <c r="H126" s="412">
        <f t="shared" si="29"/>
        <v>0</v>
      </c>
      <c r="I126" s="442" t="str">
        <f t="shared" si="30"/>
        <v/>
      </c>
    </row>
    <row r="127" spans="1:9" ht="15.75" customHeight="1" thickBot="1" x14ac:dyDescent="0.3">
      <c r="A127" s="434"/>
      <c r="B127" s="435"/>
      <c r="C127" s="436"/>
      <c r="D127" s="436"/>
      <c r="E127" s="437"/>
      <c r="F127" s="438"/>
      <c r="G127" s="436"/>
      <c r="H127" s="436"/>
      <c r="I127" s="439"/>
    </row>
    <row r="128" spans="1:9" x14ac:dyDescent="0.25">
      <c r="A128" s="397" t="s">
        <v>77</v>
      </c>
      <c r="B128" s="398">
        <f>SUM(B129:B132)</f>
        <v>351034912</v>
      </c>
      <c r="C128" s="399">
        <f>SUM(C129:C132)</f>
        <v>388041584</v>
      </c>
      <c r="D128" s="400">
        <f t="shared" ref="D128:D133" si="31">C128-$B128</f>
        <v>37006672</v>
      </c>
      <c r="E128" s="401">
        <f t="shared" ref="E128:E133" si="32">IF($B128&gt;0,D128/$B128, "")</f>
        <v>0.10542162826243334</v>
      </c>
      <c r="F128" s="402"/>
      <c r="G128" s="403">
        <f>SUM(G129:G132)</f>
        <v>402777055</v>
      </c>
      <c r="H128" s="400">
        <f t="shared" ref="H128:H133" si="33">G128-$B128</f>
        <v>51742143</v>
      </c>
      <c r="I128" s="401">
        <f t="shared" ref="I128:I133" si="34">IF($B128&gt;0,H128/$B128, "")</f>
        <v>0.14739885188399723</v>
      </c>
    </row>
    <row r="129" spans="1:9" x14ac:dyDescent="0.25">
      <c r="A129" s="404" t="s">
        <v>78</v>
      </c>
      <c r="B129" s="405">
        <v>5421000</v>
      </c>
      <c r="C129" s="406">
        <v>5312000</v>
      </c>
      <c r="D129" s="365">
        <f t="shared" si="31"/>
        <v>-109000</v>
      </c>
      <c r="E129" s="407">
        <f t="shared" si="32"/>
        <v>-2.0106991330012914E-2</v>
      </c>
      <c r="F129" s="361"/>
      <c r="G129" s="408">
        <v>5312000</v>
      </c>
      <c r="H129" s="365">
        <f t="shared" si="33"/>
        <v>-109000</v>
      </c>
      <c r="I129" s="407">
        <f t="shared" si="34"/>
        <v>-2.0106991330012914E-2</v>
      </c>
    </row>
    <row r="130" spans="1:9" x14ac:dyDescent="0.25">
      <c r="A130" s="404" t="s">
        <v>79</v>
      </c>
      <c r="B130" s="405">
        <v>0</v>
      </c>
      <c r="C130" s="406">
        <v>0</v>
      </c>
      <c r="D130" s="365">
        <f t="shared" si="31"/>
        <v>0</v>
      </c>
      <c r="E130" s="407" t="str">
        <f t="shared" si="32"/>
        <v/>
      </c>
      <c r="F130" s="361"/>
      <c r="G130" s="408">
        <v>0</v>
      </c>
      <c r="H130" s="365">
        <f t="shared" si="33"/>
        <v>0</v>
      </c>
      <c r="I130" s="366" t="str">
        <f t="shared" si="34"/>
        <v/>
      </c>
    </row>
    <row r="131" spans="1:9" x14ac:dyDescent="0.25">
      <c r="A131" s="404" t="s">
        <v>80</v>
      </c>
      <c r="B131" s="405">
        <v>335797104</v>
      </c>
      <c r="C131" s="406">
        <v>372881676</v>
      </c>
      <c r="D131" s="365">
        <f t="shared" si="31"/>
        <v>37084572</v>
      </c>
      <c r="E131" s="407">
        <f t="shared" si="32"/>
        <v>0.11043743843603845</v>
      </c>
      <c r="F131" s="361"/>
      <c r="G131" s="408">
        <v>387617147</v>
      </c>
      <c r="H131" s="365">
        <f t="shared" si="33"/>
        <v>51820043</v>
      </c>
      <c r="I131" s="407">
        <f t="shared" si="34"/>
        <v>0.15431950538799166</v>
      </c>
    </row>
    <row r="132" spans="1:9" ht="15.75" customHeight="1" thickBot="1" x14ac:dyDescent="0.3">
      <c r="A132" s="409" t="s">
        <v>81</v>
      </c>
      <c r="B132" s="410">
        <v>9816808</v>
      </c>
      <c r="C132" s="411">
        <v>9847908</v>
      </c>
      <c r="D132" s="412">
        <f t="shared" si="31"/>
        <v>31100</v>
      </c>
      <c r="E132" s="443">
        <f t="shared" si="32"/>
        <v>3.1680358829468806E-3</v>
      </c>
      <c r="F132" s="413"/>
      <c r="G132" s="414">
        <v>9847908</v>
      </c>
      <c r="H132" s="412">
        <f t="shared" si="33"/>
        <v>31100</v>
      </c>
      <c r="I132" s="443">
        <f t="shared" si="34"/>
        <v>3.1680358829468806E-3</v>
      </c>
    </row>
    <row r="133" spans="1:9" ht="15.75" customHeight="1" thickBot="1" x14ac:dyDescent="0.3">
      <c r="A133" s="444" t="s">
        <v>47</v>
      </c>
      <c r="B133" s="445">
        <f>SUM(B56,B86,B93,B100,B107,B114,B121,B128)</f>
        <v>2036277303</v>
      </c>
      <c r="C133" s="446">
        <f>SUM(C56,C86,C93,C100,C107,C114,C121,C128)</f>
        <v>2042894253</v>
      </c>
      <c r="D133" s="447">
        <f t="shared" si="31"/>
        <v>6616950</v>
      </c>
      <c r="E133" s="448">
        <f t="shared" si="32"/>
        <v>3.249532855987444E-3</v>
      </c>
      <c r="F133" s="449"/>
      <c r="G133" s="446">
        <f>SUM(G56,G86,G93,G100,G107,G114,G121,G128)</f>
        <v>2072831363</v>
      </c>
      <c r="H133" s="447">
        <f t="shared" si="33"/>
        <v>36554060</v>
      </c>
      <c r="I133" s="448">
        <f t="shared" si="34"/>
        <v>1.7951415529773748E-2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62" max="1048576" man="1"/>
    <brk id="92" max="1048576" man="1"/>
    <brk id="62" max="1048576" man="1"/>
    <brk id="92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J30"/>
  <sheetViews>
    <sheetView zoomScale="80" zoomScaleNormal="80" workbookViewId="0">
      <pane xSplit="1" topLeftCell="B1" activePane="topRight" state="frozenSplit"/>
      <selection activeCell="B5" sqref="B5 A5:AP9"/>
      <selection pane="topRight"/>
    </sheetView>
  </sheetViews>
  <sheetFormatPr defaultColWidth="18.7109375" defaultRowHeight="15" x14ac:dyDescent="0.25"/>
  <cols>
    <col min="1" max="36" width="18.7109375" style="339" customWidth="1"/>
  </cols>
  <sheetData>
    <row r="1" spans="1:36" ht="15.75" customHeight="1" x14ac:dyDescent="0.25">
      <c r="A1" s="355" t="s">
        <v>82</v>
      </c>
      <c r="B1" s="355"/>
      <c r="C1" s="355"/>
      <c r="D1" s="355"/>
    </row>
    <row r="2" spans="1:36" ht="15.75" customHeight="1" x14ac:dyDescent="0.25">
      <c r="A2" s="356" t="s">
        <v>31</v>
      </c>
    </row>
    <row r="3" spans="1:36" ht="15.75" customHeight="1" x14ac:dyDescent="0.25">
      <c r="A3" s="356"/>
    </row>
    <row r="4" spans="1:36" ht="15.75" customHeight="1" thickBot="1" x14ac:dyDescent="0.3">
      <c r="A4" s="353" t="s">
        <v>83</v>
      </c>
      <c r="B4"/>
      <c r="C4"/>
      <c r="D4"/>
      <c r="E4"/>
      <c r="F4"/>
      <c r="G4"/>
      <c r="H4"/>
      <c r="I4"/>
      <c r="J4"/>
      <c r="K4"/>
      <c r="AG4"/>
      <c r="AH4"/>
      <c r="AI4"/>
      <c r="AJ4"/>
    </row>
    <row r="5" spans="1:36" ht="15.75" customHeight="1" thickBot="1" x14ac:dyDescent="0.3">
      <c r="A5" s="322"/>
      <c r="B5" s="305" t="s">
        <v>84</v>
      </c>
      <c r="C5" s="304"/>
      <c r="D5" s="304"/>
      <c r="E5" s="304"/>
      <c r="F5" s="304"/>
      <c r="G5" s="303"/>
      <c r="H5" s="308" t="s">
        <v>85</v>
      </c>
      <c r="I5" s="307"/>
      <c r="J5" s="307"/>
      <c r="K5" s="307"/>
      <c r="L5" s="268" t="s">
        <v>86</v>
      </c>
      <c r="M5" s="267"/>
      <c r="N5" s="267"/>
      <c r="O5" s="267"/>
      <c r="P5" s="267"/>
      <c r="Q5" s="267"/>
      <c r="R5" s="267"/>
      <c r="S5" s="267"/>
      <c r="T5" s="266"/>
      <c r="U5" s="275" t="s">
        <v>87</v>
      </c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3"/>
      <c r="AG5" s="289" t="s">
        <v>88</v>
      </c>
      <c r="AH5" s="288"/>
      <c r="AI5" s="288"/>
      <c r="AJ5" s="287"/>
    </row>
    <row r="6" spans="1:36" ht="15.75" customHeight="1" x14ac:dyDescent="0.25">
      <c r="A6" s="310"/>
      <c r="B6" s="302"/>
      <c r="C6" s="301"/>
      <c r="D6" s="301"/>
      <c r="E6" s="301"/>
      <c r="F6" s="301"/>
      <c r="G6" s="300"/>
      <c r="H6" s="299" t="s">
        <v>89</v>
      </c>
      <c r="I6" s="299"/>
      <c r="J6" s="299"/>
      <c r="K6" s="299"/>
      <c r="L6" s="265"/>
      <c r="M6" s="264"/>
      <c r="N6" s="264"/>
      <c r="O6" s="264"/>
      <c r="P6" s="264"/>
      <c r="Q6" s="264"/>
      <c r="R6" s="264"/>
      <c r="S6" s="264"/>
      <c r="T6" s="263"/>
      <c r="U6" s="272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0"/>
      <c r="AG6" s="286"/>
      <c r="AH6" s="285"/>
      <c r="AI6" s="285"/>
      <c r="AJ6" s="284"/>
    </row>
    <row r="7" spans="1:36" ht="15" customHeight="1" thickBot="1" x14ac:dyDescent="0.3">
      <c r="A7" s="310"/>
      <c r="B7" s="450"/>
      <c r="C7" s="451"/>
      <c r="D7" s="306" t="s">
        <v>90</v>
      </c>
      <c r="E7" s="306"/>
      <c r="F7" s="451"/>
      <c r="G7" s="452"/>
      <c r="H7" s="298" t="s">
        <v>91</v>
      </c>
      <c r="I7" s="298"/>
      <c r="J7" s="298"/>
      <c r="K7" s="298"/>
      <c r="L7" s="292" t="s">
        <v>90</v>
      </c>
      <c r="M7" s="291"/>
      <c r="N7" s="291"/>
      <c r="O7" s="291"/>
      <c r="P7" s="291"/>
      <c r="Q7" s="291"/>
      <c r="R7" s="291"/>
      <c r="S7" s="291"/>
      <c r="T7" s="290"/>
      <c r="U7" s="278" t="s">
        <v>92</v>
      </c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6"/>
      <c r="AG7" s="295" t="s">
        <v>92</v>
      </c>
      <c r="AH7" s="294"/>
      <c r="AI7" s="294"/>
      <c r="AJ7" s="293"/>
    </row>
    <row r="8" spans="1:36" s="489" customFormat="1" ht="54.75" customHeight="1" thickBot="1" x14ac:dyDescent="0.3">
      <c r="A8" s="309"/>
      <c r="B8" s="453" t="s">
        <v>93</v>
      </c>
      <c r="C8" s="454" t="s">
        <v>94</v>
      </c>
      <c r="D8" s="455" t="s">
        <v>95</v>
      </c>
      <c r="E8" s="456" t="s">
        <v>96</v>
      </c>
      <c r="F8" s="456" t="s">
        <v>97</v>
      </c>
      <c r="G8" s="457" t="s">
        <v>98</v>
      </c>
      <c r="H8" s="458" t="s">
        <v>93</v>
      </c>
      <c r="I8" s="459" t="s">
        <v>94</v>
      </c>
      <c r="J8" s="460" t="s">
        <v>95</v>
      </c>
      <c r="K8" s="461" t="s">
        <v>96</v>
      </c>
      <c r="L8" s="462" t="s">
        <v>93</v>
      </c>
      <c r="M8" s="463" t="s">
        <v>94</v>
      </c>
      <c r="N8" s="464" t="s">
        <v>95</v>
      </c>
      <c r="O8" s="462" t="s">
        <v>99</v>
      </c>
      <c r="P8" s="463" t="s">
        <v>100</v>
      </c>
      <c r="Q8" s="464" t="s">
        <v>101</v>
      </c>
      <c r="R8" s="462" t="s">
        <v>102</v>
      </c>
      <c r="S8" s="463" t="s">
        <v>103</v>
      </c>
      <c r="T8" s="464" t="s">
        <v>104</v>
      </c>
      <c r="U8" s="269" t="s">
        <v>105</v>
      </c>
      <c r="V8" s="296"/>
      <c r="W8" s="297" t="s">
        <v>106</v>
      </c>
      <c r="X8" s="296"/>
      <c r="Y8" s="297" t="s">
        <v>107</v>
      </c>
      <c r="Z8" s="296"/>
      <c r="AA8" s="297" t="s">
        <v>108</v>
      </c>
      <c r="AB8" s="296"/>
      <c r="AC8" s="297" t="s">
        <v>109</v>
      </c>
      <c r="AD8" s="296"/>
      <c r="AE8" s="297" t="s">
        <v>110</v>
      </c>
      <c r="AF8" s="279"/>
      <c r="AG8" s="283" t="s">
        <v>111</v>
      </c>
      <c r="AH8" s="282"/>
      <c r="AI8" s="281" t="s">
        <v>112</v>
      </c>
      <c r="AJ8" s="280"/>
    </row>
    <row r="9" spans="1:36" x14ac:dyDescent="0.25">
      <c r="A9" s="465" t="s">
        <v>50</v>
      </c>
      <c r="B9" s="466"/>
      <c r="C9" s="467"/>
      <c r="D9" s="467"/>
      <c r="E9" s="467">
        <v>30</v>
      </c>
      <c r="F9" s="467">
        <v>-45</v>
      </c>
      <c r="G9" s="468">
        <v>4</v>
      </c>
      <c r="H9" s="466"/>
      <c r="I9" s="467"/>
      <c r="J9" s="467"/>
      <c r="K9" s="469">
        <v>98</v>
      </c>
      <c r="L9" s="466"/>
      <c r="M9" s="470"/>
      <c r="N9" s="468"/>
      <c r="O9" s="466"/>
      <c r="P9" s="470"/>
      <c r="Q9" s="468"/>
      <c r="R9" s="466">
        <v>160</v>
      </c>
      <c r="S9" s="470">
        <v>-4</v>
      </c>
      <c r="T9" s="468">
        <v>-5</v>
      </c>
      <c r="U9" s="469"/>
      <c r="V9" s="471"/>
      <c r="W9" s="472"/>
      <c r="X9" s="471"/>
      <c r="Y9" s="473"/>
      <c r="Z9" s="468"/>
      <c r="AA9" s="472"/>
      <c r="AB9" s="471"/>
      <c r="AC9" s="473"/>
      <c r="AD9" s="468"/>
      <c r="AE9" s="473"/>
      <c r="AF9" s="468"/>
      <c r="AG9" s="474"/>
      <c r="AH9" s="470"/>
      <c r="AI9" s="475">
        <v>5.9216999999999999E-2</v>
      </c>
      <c r="AJ9" s="468">
        <v>271</v>
      </c>
    </row>
    <row r="10" spans="1:36" x14ac:dyDescent="0.25">
      <c r="A10" s="465" t="s">
        <v>55</v>
      </c>
      <c r="B10" s="476"/>
      <c r="C10" s="477"/>
      <c r="D10" s="477"/>
      <c r="E10" s="477">
        <v>148</v>
      </c>
      <c r="F10" s="477">
        <v>6</v>
      </c>
      <c r="G10" s="468"/>
      <c r="H10" s="476"/>
      <c r="I10" s="477"/>
      <c r="J10" s="477"/>
      <c r="K10" s="469">
        <v>73</v>
      </c>
      <c r="L10" s="476"/>
      <c r="M10" s="471"/>
      <c r="N10" s="468"/>
      <c r="O10" s="476">
        <v>21</v>
      </c>
      <c r="P10" s="471"/>
      <c r="Q10" s="468"/>
      <c r="R10" s="476"/>
      <c r="S10" s="471"/>
      <c r="T10" s="468"/>
      <c r="U10" s="469"/>
      <c r="V10" s="471"/>
      <c r="W10" s="472"/>
      <c r="X10" s="471"/>
      <c r="Y10" s="473">
        <v>0.124599</v>
      </c>
      <c r="Z10" s="468">
        <v>39</v>
      </c>
      <c r="AA10" s="472"/>
      <c r="AB10" s="471"/>
      <c r="AC10" s="473">
        <v>0.13089799999999999</v>
      </c>
      <c r="AD10" s="468">
        <v>42</v>
      </c>
      <c r="AE10" s="473">
        <v>0.12081</v>
      </c>
      <c r="AF10" s="468">
        <v>40</v>
      </c>
      <c r="AG10" s="474"/>
      <c r="AH10" s="471"/>
      <c r="AI10" s="475">
        <v>9.4402E-2</v>
      </c>
      <c r="AJ10" s="468">
        <v>30</v>
      </c>
    </row>
    <row r="11" spans="1:36" x14ac:dyDescent="0.25">
      <c r="A11" s="465" t="s">
        <v>56</v>
      </c>
      <c r="B11" s="476"/>
      <c r="C11" s="477"/>
      <c r="D11" s="477"/>
      <c r="E11" s="477">
        <v>140</v>
      </c>
      <c r="F11" s="477">
        <v>-1</v>
      </c>
      <c r="G11" s="468"/>
      <c r="H11" s="476"/>
      <c r="I11" s="477"/>
      <c r="J11" s="477"/>
      <c r="K11" s="469">
        <v>74</v>
      </c>
      <c r="L11" s="476"/>
      <c r="M11" s="471"/>
      <c r="N11" s="468"/>
      <c r="O11" s="476">
        <v>13</v>
      </c>
      <c r="P11" s="471"/>
      <c r="Q11" s="468"/>
      <c r="R11" s="476"/>
      <c r="S11" s="471"/>
      <c r="T11" s="468"/>
      <c r="U11" s="469"/>
      <c r="V11" s="471"/>
      <c r="W11" s="472"/>
      <c r="X11" s="471"/>
      <c r="Y11" s="473">
        <v>0.13833400000000001</v>
      </c>
      <c r="Z11" s="468">
        <v>75</v>
      </c>
      <c r="AA11" s="472"/>
      <c r="AB11" s="471"/>
      <c r="AC11" s="473">
        <v>0.110073</v>
      </c>
      <c r="AD11" s="468">
        <v>59</v>
      </c>
      <c r="AE11" s="473">
        <v>7.4767E-2</v>
      </c>
      <c r="AF11" s="468">
        <v>37</v>
      </c>
      <c r="AG11" s="474"/>
      <c r="AH11" s="471"/>
      <c r="AI11" s="475">
        <v>6.7712999999999995E-2</v>
      </c>
      <c r="AJ11" s="468">
        <v>27</v>
      </c>
    </row>
    <row r="12" spans="1:36" x14ac:dyDescent="0.25">
      <c r="A12" s="465" t="s">
        <v>57</v>
      </c>
      <c r="B12" s="476"/>
      <c r="C12" s="477"/>
      <c r="D12" s="477"/>
      <c r="E12" s="477">
        <v>79</v>
      </c>
      <c r="F12" s="477">
        <v>-42</v>
      </c>
      <c r="G12" s="468"/>
      <c r="H12" s="476"/>
      <c r="I12" s="477"/>
      <c r="J12" s="477"/>
      <c r="K12" s="469">
        <v>43</v>
      </c>
      <c r="L12" s="476"/>
      <c r="M12" s="471"/>
      <c r="N12" s="468"/>
      <c r="O12" s="476">
        <v>16</v>
      </c>
      <c r="P12" s="471"/>
      <c r="Q12" s="468"/>
      <c r="R12" s="476"/>
      <c r="S12" s="471"/>
      <c r="T12" s="468"/>
      <c r="U12" s="469"/>
      <c r="V12" s="471"/>
      <c r="W12" s="472"/>
      <c r="X12" s="471"/>
      <c r="Y12" s="473">
        <v>0.12762599999999999</v>
      </c>
      <c r="Z12" s="468">
        <v>83</v>
      </c>
      <c r="AA12" s="472"/>
      <c r="AB12" s="471"/>
      <c r="AC12" s="473">
        <v>9.6933000000000005E-2</v>
      </c>
      <c r="AD12" s="468">
        <v>70</v>
      </c>
      <c r="AE12" s="473">
        <v>5.5583E-2</v>
      </c>
      <c r="AF12" s="468">
        <v>42</v>
      </c>
      <c r="AG12" s="474"/>
      <c r="AH12" s="471"/>
      <c r="AI12" s="475">
        <v>4.9409000000000002E-2</v>
      </c>
      <c r="AJ12" s="468">
        <v>32</v>
      </c>
    </row>
    <row r="13" spans="1:36" x14ac:dyDescent="0.25">
      <c r="A13" s="465" t="s">
        <v>58</v>
      </c>
      <c r="B13" s="476"/>
      <c r="C13" s="477"/>
      <c r="D13" s="477"/>
      <c r="E13" s="477">
        <v>253</v>
      </c>
      <c r="F13" s="477">
        <v>-92</v>
      </c>
      <c r="G13" s="468">
        <v>-5</v>
      </c>
      <c r="H13" s="476"/>
      <c r="I13" s="477"/>
      <c r="J13" s="477"/>
      <c r="K13" s="469">
        <v>186</v>
      </c>
      <c r="L13" s="476"/>
      <c r="M13" s="471"/>
      <c r="N13" s="468"/>
      <c r="O13" s="476"/>
      <c r="P13" s="471"/>
      <c r="Q13" s="468"/>
      <c r="R13" s="476">
        <v>125</v>
      </c>
      <c r="S13" s="471">
        <v>-36</v>
      </c>
      <c r="T13" s="468">
        <v>5</v>
      </c>
      <c r="U13" s="469"/>
      <c r="V13" s="471"/>
      <c r="W13" s="472"/>
      <c r="X13" s="471"/>
      <c r="Y13" s="473"/>
      <c r="Z13" s="468"/>
      <c r="AA13" s="472"/>
      <c r="AB13" s="471"/>
      <c r="AC13" s="473"/>
      <c r="AD13" s="468"/>
      <c r="AE13" s="473"/>
      <c r="AF13" s="468"/>
      <c r="AG13" s="474"/>
      <c r="AH13" s="471"/>
      <c r="AI13" s="475">
        <v>6.2486E-2</v>
      </c>
      <c r="AJ13" s="468">
        <v>168</v>
      </c>
    </row>
    <row r="14" spans="1:36" x14ac:dyDescent="0.25">
      <c r="A14" s="465" t="s">
        <v>59</v>
      </c>
      <c r="B14" s="476"/>
      <c r="C14" s="477"/>
      <c r="D14" s="477"/>
      <c r="E14" s="477">
        <v>18</v>
      </c>
      <c r="F14" s="477">
        <v>-29</v>
      </c>
      <c r="G14" s="468"/>
      <c r="H14" s="476"/>
      <c r="I14" s="477"/>
      <c r="J14" s="477"/>
      <c r="K14" s="469">
        <v>42</v>
      </c>
      <c r="L14" s="476"/>
      <c r="M14" s="471"/>
      <c r="N14" s="468"/>
      <c r="O14" s="476">
        <v>23</v>
      </c>
      <c r="P14" s="471">
        <v>-1</v>
      </c>
      <c r="Q14" s="468"/>
      <c r="R14" s="476"/>
      <c r="S14" s="471"/>
      <c r="T14" s="468"/>
      <c r="U14" s="469"/>
      <c r="V14" s="471"/>
      <c r="W14" s="472"/>
      <c r="X14" s="471"/>
      <c r="Y14" s="473">
        <v>0.14834900000000001</v>
      </c>
      <c r="Z14" s="468">
        <v>132</v>
      </c>
      <c r="AA14" s="472"/>
      <c r="AB14" s="471"/>
      <c r="AC14" s="473">
        <v>0.131166</v>
      </c>
      <c r="AD14" s="468">
        <v>117</v>
      </c>
      <c r="AE14" s="473">
        <v>8.6312E-2</v>
      </c>
      <c r="AF14" s="468">
        <v>79</v>
      </c>
      <c r="AG14" s="474"/>
      <c r="AH14" s="471"/>
      <c r="AI14" s="475">
        <v>5.8527999999999997E-2</v>
      </c>
      <c r="AJ14" s="468">
        <v>46</v>
      </c>
    </row>
    <row r="15" spans="1:36" x14ac:dyDescent="0.25">
      <c r="A15" s="465" t="s">
        <v>60</v>
      </c>
      <c r="B15" s="476"/>
      <c r="C15" s="477"/>
      <c r="D15" s="477"/>
      <c r="E15" s="477">
        <v>8</v>
      </c>
      <c r="F15" s="477">
        <v>-49</v>
      </c>
      <c r="G15" s="468"/>
      <c r="H15" s="476"/>
      <c r="I15" s="477"/>
      <c r="J15" s="477"/>
      <c r="K15" s="469">
        <v>33</v>
      </c>
      <c r="L15" s="476"/>
      <c r="M15" s="471"/>
      <c r="N15" s="468"/>
      <c r="O15" s="478">
        <v>9</v>
      </c>
      <c r="P15" s="471"/>
      <c r="Q15" s="468"/>
      <c r="R15" s="476"/>
      <c r="S15" s="471"/>
      <c r="T15" s="468"/>
      <c r="U15" s="469"/>
      <c r="V15" s="471"/>
      <c r="W15" s="472"/>
      <c r="X15" s="471"/>
      <c r="Y15" s="473">
        <v>6.8626000000000006E-2</v>
      </c>
      <c r="Z15" s="468">
        <v>52</v>
      </c>
      <c r="AA15" s="472"/>
      <c r="AB15" s="471"/>
      <c r="AC15" s="473">
        <v>0.110101</v>
      </c>
      <c r="AD15" s="468">
        <v>86</v>
      </c>
      <c r="AE15" s="473">
        <v>6.6117999999999996E-2</v>
      </c>
      <c r="AF15" s="468">
        <v>52</v>
      </c>
      <c r="AG15" s="474"/>
      <c r="AH15" s="471"/>
      <c r="AI15" s="475">
        <v>7.0760000000000003E-2</v>
      </c>
      <c r="AJ15" s="468">
        <v>49</v>
      </c>
    </row>
    <row r="16" spans="1:36" x14ac:dyDescent="0.25">
      <c r="A16" s="465" t="s">
        <v>66</v>
      </c>
      <c r="B16" s="476"/>
      <c r="C16" s="477"/>
      <c r="D16" s="477"/>
      <c r="E16" s="477">
        <v>-312</v>
      </c>
      <c r="F16" s="477">
        <v>53</v>
      </c>
      <c r="G16" s="468">
        <v>-8</v>
      </c>
      <c r="H16" s="476"/>
      <c r="I16" s="477"/>
      <c r="J16" s="477"/>
      <c r="K16" s="469">
        <v>110</v>
      </c>
      <c r="L16" s="476"/>
      <c r="M16" s="471"/>
      <c r="N16" s="468"/>
      <c r="O16" s="476"/>
      <c r="P16" s="471"/>
      <c r="Q16" s="468"/>
      <c r="R16" s="476">
        <v>81</v>
      </c>
      <c r="S16" s="471">
        <v>-13</v>
      </c>
      <c r="T16" s="468">
        <v>3</v>
      </c>
      <c r="U16" s="469"/>
      <c r="V16" s="471"/>
      <c r="W16" s="472"/>
      <c r="X16" s="471"/>
      <c r="Y16" s="473"/>
      <c r="Z16" s="468"/>
      <c r="AA16" s="472"/>
      <c r="AB16" s="471"/>
      <c r="AC16" s="473"/>
      <c r="AD16" s="468"/>
      <c r="AE16" s="473"/>
      <c r="AF16" s="468"/>
      <c r="AG16" s="474"/>
      <c r="AH16" s="471"/>
      <c r="AI16" s="475">
        <v>0.109764</v>
      </c>
      <c r="AJ16" s="468">
        <v>382</v>
      </c>
    </row>
    <row r="17" spans="1:36" x14ac:dyDescent="0.25">
      <c r="A17" s="465" t="s">
        <v>67</v>
      </c>
      <c r="B17" s="476"/>
      <c r="C17" s="477"/>
      <c r="D17" s="477"/>
      <c r="E17" s="477">
        <v>15</v>
      </c>
      <c r="F17" s="477">
        <v>-78</v>
      </c>
      <c r="G17" s="468"/>
      <c r="H17" s="476"/>
      <c r="I17" s="477"/>
      <c r="J17" s="477"/>
      <c r="K17" s="469">
        <v>78</v>
      </c>
      <c r="L17" s="476"/>
      <c r="M17" s="471"/>
      <c r="N17" s="468"/>
      <c r="O17" s="476">
        <v>39</v>
      </c>
      <c r="P17" s="471">
        <v>-12</v>
      </c>
      <c r="Q17" s="468"/>
      <c r="R17" s="476"/>
      <c r="S17" s="471"/>
      <c r="T17" s="468"/>
      <c r="U17" s="469"/>
      <c r="V17" s="471"/>
      <c r="W17" s="472"/>
      <c r="X17" s="471"/>
      <c r="Y17" s="473">
        <v>0.10452400000000001</v>
      </c>
      <c r="Z17" s="468">
        <v>158</v>
      </c>
      <c r="AA17" s="472"/>
      <c r="AB17" s="471"/>
      <c r="AC17" s="473">
        <v>0.139126</v>
      </c>
      <c r="AD17" s="468">
        <v>231</v>
      </c>
      <c r="AE17" s="473">
        <v>0.115083</v>
      </c>
      <c r="AF17" s="468">
        <v>186</v>
      </c>
      <c r="AG17" s="474"/>
      <c r="AH17" s="471"/>
      <c r="AI17" s="475">
        <v>0.129</v>
      </c>
      <c r="AJ17" s="468">
        <v>156</v>
      </c>
    </row>
    <row r="18" spans="1:36" x14ac:dyDescent="0.25">
      <c r="A18" s="465" t="s">
        <v>69</v>
      </c>
      <c r="B18" s="476"/>
      <c r="C18" s="477"/>
      <c r="D18" s="477"/>
      <c r="E18" s="477">
        <v>37</v>
      </c>
      <c r="F18" s="477">
        <v>-85</v>
      </c>
      <c r="G18" s="468"/>
      <c r="H18" s="476"/>
      <c r="I18" s="477"/>
      <c r="J18" s="477"/>
      <c r="K18" s="469">
        <v>26</v>
      </c>
      <c r="L18" s="476"/>
      <c r="M18" s="471"/>
      <c r="N18" s="468"/>
      <c r="O18" s="476">
        <v>36</v>
      </c>
      <c r="P18" s="471">
        <v>-21</v>
      </c>
      <c r="Q18" s="468"/>
      <c r="R18" s="476"/>
      <c r="S18" s="471"/>
      <c r="T18" s="468"/>
      <c r="U18" s="469"/>
      <c r="V18" s="471"/>
      <c r="W18" s="472"/>
      <c r="X18" s="471"/>
      <c r="Y18" s="473">
        <v>0.139464</v>
      </c>
      <c r="Z18" s="468">
        <v>203</v>
      </c>
      <c r="AA18" s="472"/>
      <c r="AB18" s="471"/>
      <c r="AC18" s="473">
        <v>0.14525099999999999</v>
      </c>
      <c r="AD18" s="468">
        <v>210</v>
      </c>
      <c r="AE18" s="473">
        <v>0.110234</v>
      </c>
      <c r="AF18" s="468">
        <v>157</v>
      </c>
      <c r="AG18" s="474"/>
      <c r="AH18" s="471"/>
      <c r="AI18" s="475">
        <v>4.8798000000000001E-2</v>
      </c>
      <c r="AJ18" s="468">
        <v>66</v>
      </c>
    </row>
    <row r="19" spans="1:36" x14ac:dyDescent="0.25">
      <c r="A19" s="465" t="s">
        <v>72</v>
      </c>
      <c r="B19" s="476"/>
      <c r="C19" s="477"/>
      <c r="D19" s="477"/>
      <c r="E19" s="477">
        <v>58</v>
      </c>
      <c r="F19" s="477">
        <v>-244</v>
      </c>
      <c r="G19" s="468">
        <v>9</v>
      </c>
      <c r="H19" s="476"/>
      <c r="I19" s="477"/>
      <c r="J19" s="477"/>
      <c r="K19" s="469">
        <v>132</v>
      </c>
      <c r="L19" s="476"/>
      <c r="M19" s="471"/>
      <c r="N19" s="468"/>
      <c r="O19" s="476"/>
      <c r="P19" s="471"/>
      <c r="Q19" s="468"/>
      <c r="R19" s="476">
        <v>13</v>
      </c>
      <c r="S19" s="471">
        <v>3</v>
      </c>
      <c r="T19" s="468">
        <v>2</v>
      </c>
      <c r="U19" s="469"/>
      <c r="V19" s="471"/>
      <c r="W19" s="472"/>
      <c r="X19" s="471"/>
      <c r="Y19" s="473"/>
      <c r="Z19" s="468"/>
      <c r="AA19" s="472"/>
      <c r="AB19" s="471"/>
      <c r="AC19" s="473"/>
      <c r="AD19" s="468"/>
      <c r="AE19" s="473"/>
      <c r="AF19" s="468"/>
      <c r="AG19" s="474"/>
      <c r="AH19" s="471"/>
      <c r="AI19" s="475">
        <v>9.1113E-2</v>
      </c>
      <c r="AJ19" s="468">
        <v>281</v>
      </c>
    </row>
    <row r="20" spans="1:36" x14ac:dyDescent="0.25">
      <c r="A20" s="465" t="s">
        <v>73</v>
      </c>
      <c r="B20" s="476"/>
      <c r="C20" s="477"/>
      <c r="D20" s="477"/>
      <c r="E20" s="477">
        <v>228</v>
      </c>
      <c r="F20" s="477">
        <v>64</v>
      </c>
      <c r="G20" s="468">
        <v>32</v>
      </c>
      <c r="H20" s="476"/>
      <c r="I20" s="477"/>
      <c r="J20" s="477"/>
      <c r="K20" s="469">
        <v>171</v>
      </c>
      <c r="L20" s="476"/>
      <c r="M20" s="471"/>
      <c r="N20" s="468"/>
      <c r="O20" s="476">
        <v>52</v>
      </c>
      <c r="P20" s="471"/>
      <c r="Q20" s="468">
        <v>1</v>
      </c>
      <c r="R20" s="476"/>
      <c r="S20" s="471"/>
      <c r="T20" s="468"/>
      <c r="U20" s="469"/>
      <c r="V20" s="471"/>
      <c r="W20" s="472"/>
      <c r="X20" s="471"/>
      <c r="Y20" s="473">
        <v>9.9157999999999996E-2</v>
      </c>
      <c r="Z20" s="468">
        <v>225</v>
      </c>
      <c r="AA20" s="472"/>
      <c r="AB20" s="471"/>
      <c r="AC20" s="473">
        <v>0.105921</v>
      </c>
      <c r="AD20" s="468">
        <v>246</v>
      </c>
      <c r="AE20" s="473">
        <v>7.7005000000000004E-2</v>
      </c>
      <c r="AF20" s="468">
        <v>171</v>
      </c>
      <c r="AG20" s="474"/>
      <c r="AH20" s="471"/>
      <c r="AI20" s="475">
        <v>5.2547999999999997E-2</v>
      </c>
      <c r="AJ20" s="468">
        <v>113</v>
      </c>
    </row>
    <row r="21" spans="1:36" x14ac:dyDescent="0.25">
      <c r="A21" s="465" t="s">
        <v>74</v>
      </c>
      <c r="B21" s="476"/>
      <c r="C21" s="477"/>
      <c r="D21" s="477"/>
      <c r="E21" s="477">
        <v>-19</v>
      </c>
      <c r="F21" s="477">
        <v>-35</v>
      </c>
      <c r="G21" s="468">
        <v>3</v>
      </c>
      <c r="H21" s="476"/>
      <c r="I21" s="477"/>
      <c r="J21" s="477"/>
      <c r="K21" s="469">
        <v>45</v>
      </c>
      <c r="L21" s="476"/>
      <c r="M21" s="471"/>
      <c r="N21" s="468"/>
      <c r="O21" s="476">
        <v>31</v>
      </c>
      <c r="P21" s="471"/>
      <c r="Q21" s="468"/>
      <c r="R21" s="476"/>
      <c r="S21" s="471"/>
      <c r="T21" s="468"/>
      <c r="U21" s="469"/>
      <c r="V21" s="471"/>
      <c r="W21" s="472"/>
      <c r="X21" s="471"/>
      <c r="Y21" s="473">
        <v>5.7567E-2</v>
      </c>
      <c r="Z21" s="468">
        <v>85</v>
      </c>
      <c r="AA21" s="472"/>
      <c r="AB21" s="471"/>
      <c r="AC21" s="473">
        <v>0.12957099999999999</v>
      </c>
      <c r="AD21" s="468">
        <v>197</v>
      </c>
      <c r="AE21" s="473">
        <v>0.116201</v>
      </c>
      <c r="AF21" s="468">
        <v>183</v>
      </c>
      <c r="AG21" s="474"/>
      <c r="AH21" s="471"/>
      <c r="AI21" s="475">
        <v>7.4944999999999998E-2</v>
      </c>
      <c r="AJ21" s="468">
        <v>123</v>
      </c>
    </row>
    <row r="22" spans="1:36" x14ac:dyDescent="0.25">
      <c r="A22" s="465" t="s">
        <v>75</v>
      </c>
      <c r="B22" s="476">
        <v>-8</v>
      </c>
      <c r="C22" s="477">
        <v>477</v>
      </c>
      <c r="D22" s="477">
        <v>121</v>
      </c>
      <c r="E22" s="477">
        <v>21</v>
      </c>
      <c r="F22" s="477"/>
      <c r="G22" s="468"/>
      <c r="H22" s="476"/>
      <c r="I22" s="477">
        <v>203</v>
      </c>
      <c r="J22" s="477">
        <v>121</v>
      </c>
      <c r="K22" s="469"/>
      <c r="L22" s="476">
        <v>19</v>
      </c>
      <c r="M22" s="471">
        <v>29</v>
      </c>
      <c r="N22" s="468">
        <v>60</v>
      </c>
      <c r="O22" s="476"/>
      <c r="P22" s="471"/>
      <c r="Q22" s="468"/>
      <c r="R22" s="476"/>
      <c r="S22" s="471"/>
      <c r="T22" s="468"/>
      <c r="U22" s="475">
        <v>3.6388999999999998E-2</v>
      </c>
      <c r="V22" s="471">
        <v>84</v>
      </c>
      <c r="W22" s="474">
        <v>-9.3430000000000006E-3</v>
      </c>
      <c r="X22" s="471">
        <v>-23</v>
      </c>
      <c r="Y22" s="473"/>
      <c r="Z22" s="468"/>
      <c r="AA22" s="474">
        <v>-1.3554999999999999E-2</v>
      </c>
      <c r="AB22" s="471">
        <v>-30</v>
      </c>
      <c r="AC22" s="473"/>
      <c r="AD22" s="468"/>
      <c r="AE22" s="473"/>
      <c r="AF22" s="468"/>
      <c r="AG22" s="474">
        <v>5.0736999999999997E-2</v>
      </c>
      <c r="AH22" s="471">
        <v>101</v>
      </c>
      <c r="AI22" s="475">
        <v>8.0745999999999998E-2</v>
      </c>
      <c r="AJ22" s="468">
        <v>9</v>
      </c>
    </row>
    <row r="23" spans="1:36" ht="15.75" customHeight="1" thickBot="1" x14ac:dyDescent="0.3">
      <c r="A23" s="479" t="s">
        <v>76</v>
      </c>
      <c r="B23" s="480">
        <v>-101</v>
      </c>
      <c r="C23" s="481">
        <v>2146</v>
      </c>
      <c r="D23" s="481">
        <v>188</v>
      </c>
      <c r="E23" s="481"/>
      <c r="F23" s="481"/>
      <c r="G23" s="482"/>
      <c r="H23" s="480"/>
      <c r="I23" s="481">
        <v>923</v>
      </c>
      <c r="J23" s="481">
        <v>160</v>
      </c>
      <c r="K23" s="483"/>
      <c r="L23" s="480">
        <v>-107</v>
      </c>
      <c r="M23" s="484">
        <v>613</v>
      </c>
      <c r="N23" s="482">
        <v>-170</v>
      </c>
      <c r="O23" s="480"/>
      <c r="P23" s="484"/>
      <c r="Q23" s="482"/>
      <c r="R23" s="480"/>
      <c r="S23" s="484"/>
      <c r="T23" s="482"/>
      <c r="U23" s="485">
        <v>3.6713999999999997E-2</v>
      </c>
      <c r="V23" s="484">
        <v>505</v>
      </c>
      <c r="W23" s="486">
        <v>2.2917E-2</v>
      </c>
      <c r="X23" s="484">
        <v>349</v>
      </c>
      <c r="Y23" s="487"/>
      <c r="Z23" s="482"/>
      <c r="AA23" s="486">
        <v>1.1743E-2</v>
      </c>
      <c r="AB23" s="484">
        <v>198</v>
      </c>
      <c r="AC23" s="487"/>
      <c r="AD23" s="482"/>
      <c r="AE23" s="487"/>
      <c r="AF23" s="482"/>
      <c r="AG23" s="486">
        <v>3.7927000000000002E-2</v>
      </c>
      <c r="AH23" s="484">
        <v>249</v>
      </c>
      <c r="AI23" s="485"/>
      <c r="AJ23" s="482"/>
    </row>
    <row r="26" spans="1:36" x14ac:dyDescent="0.25">
      <c r="A26" s="488" t="s">
        <v>113</v>
      </c>
    </row>
    <row r="27" spans="1:36" x14ac:dyDescent="0.25">
      <c r="A27" s="339" t="s">
        <v>114</v>
      </c>
    </row>
    <row r="28" spans="1:36" x14ac:dyDescent="0.25">
      <c r="A28" s="339" t="s">
        <v>115</v>
      </c>
    </row>
    <row r="29" spans="1:36" x14ac:dyDescent="0.25">
      <c r="A29" s="339" t="s">
        <v>116</v>
      </c>
    </row>
    <row r="30" spans="1:36" x14ac:dyDescent="0.25">
      <c r="A30" s="339" t="s">
        <v>117</v>
      </c>
    </row>
  </sheetData>
  <mergeCells count="20">
    <mergeCell ref="AA8:AB8"/>
    <mergeCell ref="AC8:AD8"/>
    <mergeCell ref="AG7:AJ7"/>
    <mergeCell ref="L7:T7"/>
    <mergeCell ref="AG5:AJ6"/>
    <mergeCell ref="AG8:AH8"/>
    <mergeCell ref="AI8:AJ8"/>
    <mergeCell ref="AE8:AF8"/>
    <mergeCell ref="U7:AF7"/>
    <mergeCell ref="U5:AF6"/>
    <mergeCell ref="U8:V8"/>
    <mergeCell ref="L5:T6"/>
    <mergeCell ref="W8:X8"/>
    <mergeCell ref="Y8:Z8"/>
    <mergeCell ref="A5:A8"/>
    <mergeCell ref="H5:K5"/>
    <mergeCell ref="D7:E7"/>
    <mergeCell ref="B5:G6"/>
    <mergeCell ref="H6:K6"/>
    <mergeCell ref="H7:K7"/>
  </mergeCell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20" max="20" man="1"/>
    <brk id="20" max="16384" man="1"/>
    <brk id="20" max="16384" man="1"/>
    <brk id="20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S46"/>
  <sheetViews>
    <sheetView topLeftCell="A4" zoomScale="80" zoomScaleNormal="80" workbookViewId="0">
      <selection activeCell="B5" sqref="B5 A5:AP9"/>
    </sheetView>
  </sheetViews>
  <sheetFormatPr defaultColWidth="18.7109375" defaultRowHeight="15" x14ac:dyDescent="0.25"/>
  <cols>
    <col min="1" max="2" width="18.7109375" style="339" bestFit="1" customWidth="1"/>
    <col min="3" max="4" width="18.7109375" style="352" customWidth="1"/>
    <col min="5" max="5" width="18.7109375" style="354" customWidth="1"/>
    <col min="6" max="7" width="18.7109375" style="352" customWidth="1"/>
    <col min="8" max="8" width="18.7109375" style="354" customWidth="1"/>
    <col min="9" max="10" width="18.7109375" style="352" customWidth="1"/>
    <col min="11" max="11" width="18.7109375" style="490" customWidth="1"/>
    <col min="12" max="19" width="18.7109375" style="339" customWidth="1"/>
  </cols>
  <sheetData>
    <row r="1" spans="1:11" ht="15.75" customHeight="1" x14ac:dyDescent="0.25">
      <c r="A1" s="355" t="s">
        <v>118</v>
      </c>
      <c r="B1" s="355"/>
      <c r="C1" s="491"/>
      <c r="D1" s="491"/>
      <c r="E1" s="492"/>
    </row>
    <row r="2" spans="1:11" ht="15.75" customHeight="1" x14ac:dyDescent="0.25">
      <c r="A2" s="356" t="s">
        <v>31</v>
      </c>
    </row>
    <row r="3" spans="1:11" ht="15.75" customHeight="1" x14ac:dyDescent="0.25">
      <c r="A3" s="356"/>
    </row>
    <row r="4" spans="1:11" x14ac:dyDescent="0.25">
      <c r="A4" s="353" t="s">
        <v>119</v>
      </c>
    </row>
    <row r="5" spans="1:11" ht="15.75" customHeight="1" thickBot="1" x14ac:dyDescent="0.3">
      <c r="A5" s="353"/>
    </row>
    <row r="6" spans="1:11" x14ac:dyDescent="0.25">
      <c r="A6" s="322"/>
      <c r="B6" s="241" t="s">
        <v>120</v>
      </c>
      <c r="C6" s="257" t="s">
        <v>121</v>
      </c>
      <c r="D6" s="256"/>
      <c r="E6" s="255"/>
      <c r="F6" s="247" t="s">
        <v>3</v>
      </c>
      <c r="G6" s="246"/>
      <c r="H6" s="245"/>
      <c r="I6" s="246" t="s">
        <v>4</v>
      </c>
      <c r="J6" s="246"/>
      <c r="K6" s="245"/>
    </row>
    <row r="7" spans="1:11" x14ac:dyDescent="0.25">
      <c r="A7" s="310"/>
      <c r="B7" s="240"/>
      <c r="C7" s="251" t="s">
        <v>91</v>
      </c>
      <c r="D7" s="249" t="s">
        <v>122</v>
      </c>
      <c r="E7" s="238" t="s">
        <v>123</v>
      </c>
      <c r="F7" s="254" t="s">
        <v>124</v>
      </c>
      <c r="G7" s="253"/>
      <c r="H7" s="252"/>
      <c r="I7" s="254" t="s">
        <v>124</v>
      </c>
      <c r="J7" s="253"/>
      <c r="K7" s="252"/>
    </row>
    <row r="8" spans="1:11" ht="15.75" customHeight="1" thickBot="1" x14ac:dyDescent="0.3">
      <c r="A8" s="321"/>
      <c r="B8" s="239"/>
      <c r="C8" s="250"/>
      <c r="D8" s="248"/>
      <c r="E8" s="237"/>
      <c r="F8" s="244">
        <v>0.145701</v>
      </c>
      <c r="G8" s="243"/>
      <c r="H8" s="242"/>
      <c r="I8" s="244">
        <v>0.13725100000000001</v>
      </c>
      <c r="J8" s="243"/>
      <c r="K8" s="242"/>
    </row>
    <row r="9" spans="1:11" x14ac:dyDescent="0.25">
      <c r="A9" s="493" t="s">
        <v>84</v>
      </c>
      <c r="B9" s="494"/>
      <c r="C9" s="495"/>
      <c r="D9" s="496"/>
      <c r="E9" s="497"/>
      <c r="F9" s="498"/>
      <c r="G9" s="499"/>
      <c r="H9" s="500"/>
      <c r="I9" s="498"/>
      <c r="J9" s="499"/>
      <c r="K9" s="500"/>
    </row>
    <row r="10" spans="1:11" ht="15" customHeight="1" x14ac:dyDescent="0.25">
      <c r="A10" s="501" t="s">
        <v>93</v>
      </c>
      <c r="B10" s="502">
        <v>0</v>
      </c>
      <c r="C10" s="408">
        <v>1875</v>
      </c>
      <c r="D10" s="503">
        <f t="shared" ref="D10:D15" si="0">B10*C10</f>
        <v>0</v>
      </c>
      <c r="E10" s="504">
        <f t="shared" ref="E10:E16" si="1">D10/C$46</f>
        <v>0</v>
      </c>
      <c r="F10" s="408">
        <f t="shared" ref="F10:F15" si="2">ROUND($C10-$C10*F$8, 0)</f>
        <v>1602</v>
      </c>
      <c r="G10" s="503">
        <f t="shared" ref="G10:G15" si="3">$B10*F10</f>
        <v>0</v>
      </c>
      <c r="H10" s="504">
        <f t="shared" ref="H10:H16" si="4">G10/F$46</f>
        <v>0</v>
      </c>
      <c r="I10" s="408">
        <f t="shared" ref="I10:I15" si="5">ROUND($C10-$C10*I$8, 0)</f>
        <v>1618</v>
      </c>
      <c r="J10" s="503">
        <f t="shared" ref="J10:J15" si="6">$B10*I10</f>
        <v>0</v>
      </c>
      <c r="K10" s="504">
        <f t="shared" ref="K10:K16" si="7">J10/I$46</f>
        <v>0</v>
      </c>
    </row>
    <row r="11" spans="1:11" ht="15" customHeight="1" x14ac:dyDescent="0.25">
      <c r="A11" s="501" t="s">
        <v>94</v>
      </c>
      <c r="B11" s="502">
        <v>2623</v>
      </c>
      <c r="C11" s="408">
        <v>2500</v>
      </c>
      <c r="D11" s="503">
        <f t="shared" si="0"/>
        <v>6557500</v>
      </c>
      <c r="E11" s="504">
        <f t="shared" si="1"/>
        <v>6.5033030978086367E-2</v>
      </c>
      <c r="F11" s="408">
        <f t="shared" si="2"/>
        <v>2136</v>
      </c>
      <c r="G11" s="503">
        <f t="shared" si="3"/>
        <v>5602728</v>
      </c>
      <c r="H11" s="504">
        <f t="shared" si="4"/>
        <v>6.5040848982745633E-2</v>
      </c>
      <c r="I11" s="408">
        <f t="shared" si="5"/>
        <v>2157</v>
      </c>
      <c r="J11" s="503">
        <f t="shared" si="6"/>
        <v>5657811</v>
      </c>
      <c r="K11" s="504">
        <f t="shared" si="7"/>
        <v>6.5037166453256093E-2</v>
      </c>
    </row>
    <row r="12" spans="1:11" x14ac:dyDescent="0.25">
      <c r="A12" s="501" t="s">
        <v>95</v>
      </c>
      <c r="B12" s="502">
        <v>309</v>
      </c>
      <c r="C12" s="408">
        <v>5000</v>
      </c>
      <c r="D12" s="503">
        <f t="shared" si="0"/>
        <v>1545000</v>
      </c>
      <c r="E12" s="504">
        <f t="shared" si="1"/>
        <v>1.5322307718054661E-2</v>
      </c>
      <c r="F12" s="408">
        <f t="shared" si="2"/>
        <v>4271</v>
      </c>
      <c r="G12" s="503">
        <f t="shared" si="3"/>
        <v>1319739</v>
      </c>
      <c r="H12" s="504">
        <f t="shared" si="4"/>
        <v>1.5320562589445667E-2</v>
      </c>
      <c r="I12" s="408">
        <f t="shared" si="5"/>
        <v>4314</v>
      </c>
      <c r="J12" s="503">
        <f t="shared" si="6"/>
        <v>1333026</v>
      </c>
      <c r="K12" s="504">
        <f t="shared" si="7"/>
        <v>1.5323282069429E-2</v>
      </c>
    </row>
    <row r="13" spans="1:11" x14ac:dyDescent="0.25">
      <c r="A13" s="501" t="s">
        <v>96</v>
      </c>
      <c r="B13" s="502">
        <v>1035</v>
      </c>
      <c r="C13" s="408">
        <v>10000</v>
      </c>
      <c r="D13" s="503">
        <f t="shared" si="0"/>
        <v>10350000</v>
      </c>
      <c r="E13" s="504">
        <f t="shared" si="1"/>
        <v>0.1026445856840555</v>
      </c>
      <c r="F13" s="408">
        <f t="shared" si="2"/>
        <v>8543</v>
      </c>
      <c r="G13" s="503">
        <f t="shared" si="3"/>
        <v>8842005</v>
      </c>
      <c r="H13" s="504">
        <f t="shared" si="4"/>
        <v>0.10264491010623429</v>
      </c>
      <c r="I13" s="408">
        <f t="shared" si="5"/>
        <v>8627</v>
      </c>
      <c r="J13" s="503">
        <f t="shared" si="6"/>
        <v>8928945</v>
      </c>
      <c r="K13" s="504">
        <f t="shared" si="7"/>
        <v>0.10263921545222503</v>
      </c>
    </row>
    <row r="14" spans="1:11" x14ac:dyDescent="0.25">
      <c r="A14" s="501" t="s">
        <v>97</v>
      </c>
      <c r="B14" s="502">
        <v>123</v>
      </c>
      <c r="C14" s="408">
        <v>5000</v>
      </c>
      <c r="D14" s="503">
        <f t="shared" si="0"/>
        <v>615000</v>
      </c>
      <c r="E14" s="504">
        <f t="shared" si="1"/>
        <v>6.0991710334003992E-3</v>
      </c>
      <c r="F14" s="408">
        <f t="shared" si="2"/>
        <v>4271</v>
      </c>
      <c r="G14" s="503">
        <f t="shared" si="3"/>
        <v>525333</v>
      </c>
      <c r="H14" s="504">
        <f t="shared" si="4"/>
        <v>6.0984763705560418E-3</v>
      </c>
      <c r="I14" s="408">
        <f t="shared" si="5"/>
        <v>4314</v>
      </c>
      <c r="J14" s="503">
        <f t="shared" si="6"/>
        <v>530622</v>
      </c>
      <c r="K14" s="504">
        <f t="shared" si="7"/>
        <v>6.0995588820057182E-3</v>
      </c>
    </row>
    <row r="15" spans="1:11" ht="15.75" customHeight="1" thickBot="1" x14ac:dyDescent="0.3">
      <c r="A15" s="501" t="s">
        <v>98</v>
      </c>
      <c r="B15" s="502">
        <v>48</v>
      </c>
      <c r="C15" s="408">
        <v>2500</v>
      </c>
      <c r="D15" s="503">
        <f t="shared" si="0"/>
        <v>120000</v>
      </c>
      <c r="E15" s="504">
        <f t="shared" si="1"/>
        <v>1.1900821528586145E-3</v>
      </c>
      <c r="F15" s="408">
        <f t="shared" si="2"/>
        <v>2136</v>
      </c>
      <c r="G15" s="503">
        <f t="shared" si="3"/>
        <v>102528</v>
      </c>
      <c r="H15" s="504">
        <f t="shared" si="4"/>
        <v>1.1902252196613764E-3</v>
      </c>
      <c r="I15" s="408">
        <f t="shared" si="5"/>
        <v>2157</v>
      </c>
      <c r="J15" s="503">
        <f t="shared" si="6"/>
        <v>103536</v>
      </c>
      <c r="K15" s="504">
        <f t="shared" si="7"/>
        <v>1.1901578306352622E-3</v>
      </c>
    </row>
    <row r="16" spans="1:11" ht="16.5" customHeight="1" thickTop="1" thickBot="1" x14ac:dyDescent="0.3">
      <c r="A16" s="505"/>
      <c r="B16" s="506"/>
      <c r="C16" s="507"/>
      <c r="D16" s="508">
        <f>SUM(D10:D15)</f>
        <v>19187500</v>
      </c>
      <c r="E16" s="509">
        <f t="shared" si="1"/>
        <v>0.19028917756645555</v>
      </c>
      <c r="F16" s="507"/>
      <c r="G16" s="508">
        <f>SUM(G10:G15)</f>
        <v>16392333</v>
      </c>
      <c r="H16" s="509">
        <f t="shared" si="4"/>
        <v>0.190295023268643</v>
      </c>
      <c r="I16" s="507"/>
      <c r="J16" s="508">
        <f>SUM(J10:J15)</f>
        <v>16553940</v>
      </c>
      <c r="K16" s="509">
        <f t="shared" si="7"/>
        <v>0.19028938068755111</v>
      </c>
    </row>
    <row r="17" spans="1:11" x14ac:dyDescent="0.25">
      <c r="A17" s="510" t="s">
        <v>125</v>
      </c>
      <c r="B17" s="494"/>
      <c r="C17" s="495"/>
      <c r="D17" s="496"/>
      <c r="E17" s="511"/>
      <c r="F17" s="498"/>
      <c r="G17" s="499"/>
      <c r="H17" s="511"/>
      <c r="I17" s="498"/>
      <c r="J17" s="499"/>
      <c r="K17" s="511"/>
    </row>
    <row r="18" spans="1:11" x14ac:dyDescent="0.25">
      <c r="A18" s="512" t="s">
        <v>93</v>
      </c>
      <c r="B18" s="502">
        <v>0</v>
      </c>
      <c r="C18" s="408">
        <v>1875</v>
      </c>
      <c r="D18" s="503">
        <f>B18*C18</f>
        <v>0</v>
      </c>
      <c r="E18" s="504">
        <f>D18/C$46</f>
        <v>0</v>
      </c>
      <c r="F18" s="408">
        <f>ROUND($C18-$C18*F$8, 0)</f>
        <v>1602</v>
      </c>
      <c r="G18" s="503">
        <f>$B18*F18</f>
        <v>0</v>
      </c>
      <c r="H18" s="504">
        <f>G18/F$46</f>
        <v>0</v>
      </c>
      <c r="I18" s="408">
        <f>ROUND($C18-$C18*I$8, 0)</f>
        <v>1618</v>
      </c>
      <c r="J18" s="503">
        <f>$B18*I18</f>
        <v>0</v>
      </c>
      <c r="K18" s="504">
        <f>J18/I$46</f>
        <v>0</v>
      </c>
    </row>
    <row r="19" spans="1:11" x14ac:dyDescent="0.25">
      <c r="A19" s="512" t="s">
        <v>94</v>
      </c>
      <c r="B19" s="502">
        <v>1126</v>
      </c>
      <c r="C19" s="408">
        <v>2500</v>
      </c>
      <c r="D19" s="503">
        <f>B19*C19</f>
        <v>2815000</v>
      </c>
      <c r="E19" s="504">
        <f>D19/C$46</f>
        <v>2.7917343835808333E-2</v>
      </c>
      <c r="F19" s="408">
        <f>ROUND($C19-$C19*F$8, 0)</f>
        <v>2136</v>
      </c>
      <c r="G19" s="503">
        <f>$B19*F19</f>
        <v>2405136</v>
      </c>
      <c r="H19" s="504">
        <f>G19/F$46</f>
        <v>2.7920699944556458E-2</v>
      </c>
      <c r="I19" s="408">
        <f>ROUND($C19-$C19*I$8, 0)</f>
        <v>2157</v>
      </c>
      <c r="J19" s="503">
        <f>$B19*I19</f>
        <v>2428782</v>
      </c>
      <c r="K19" s="504">
        <f>J19/I$46</f>
        <v>2.7919119110318857E-2</v>
      </c>
    </row>
    <row r="20" spans="1:11" x14ac:dyDescent="0.25">
      <c r="A20" s="512" t="s">
        <v>95</v>
      </c>
      <c r="B20" s="502">
        <v>281</v>
      </c>
      <c r="C20" s="408">
        <v>5000</v>
      </c>
      <c r="D20" s="503">
        <f>B20*C20</f>
        <v>1405000</v>
      </c>
      <c r="E20" s="504">
        <f>D20/C$46</f>
        <v>1.3933878539719611E-2</v>
      </c>
      <c r="F20" s="408">
        <f>ROUND($C20-$C20*F$8, 0)</f>
        <v>4271</v>
      </c>
      <c r="G20" s="503">
        <f>$B20*F20</f>
        <v>1200151</v>
      </c>
      <c r="H20" s="504">
        <f>G20/F$46</f>
        <v>1.3932291545741852E-2</v>
      </c>
      <c r="I20" s="408">
        <f>ROUND($C20-$C20*I$8, 0)</f>
        <v>4314</v>
      </c>
      <c r="J20" s="503">
        <f>$B20*I20</f>
        <v>1212234</v>
      </c>
      <c r="K20" s="504">
        <f>J20/I$46</f>
        <v>1.3934764600354527E-2</v>
      </c>
    </row>
    <row r="21" spans="1:11" ht="15.75" customHeight="1" thickBot="1" x14ac:dyDescent="0.3">
      <c r="A21" s="512" t="s">
        <v>96</v>
      </c>
      <c r="B21" s="502">
        <v>1111</v>
      </c>
      <c r="C21" s="408">
        <v>10000</v>
      </c>
      <c r="D21" s="503">
        <f>B21*C21</f>
        <v>11110000</v>
      </c>
      <c r="E21" s="504">
        <f>D21/C$46</f>
        <v>0.11018177265216006</v>
      </c>
      <c r="F21" s="408">
        <f>ROUND($C21-$C21*F$8, 0)</f>
        <v>8543</v>
      </c>
      <c r="G21" s="503">
        <f>$B21*F21</f>
        <v>9491273</v>
      </c>
      <c r="H21" s="504">
        <f>G21/F$46</f>
        <v>0.11018212089664377</v>
      </c>
      <c r="I21" s="408">
        <f>ROUND($C21-$C21*I$8, 0)</f>
        <v>8627</v>
      </c>
      <c r="J21" s="503">
        <f>$B21*I21</f>
        <v>9584597</v>
      </c>
      <c r="K21" s="504">
        <f>J21/I$46</f>
        <v>0.1101760080844657</v>
      </c>
    </row>
    <row r="22" spans="1:11" ht="16.5" customHeight="1" thickTop="1" thickBot="1" x14ac:dyDescent="0.3">
      <c r="A22" s="513"/>
      <c r="B22" s="506"/>
      <c r="C22" s="507"/>
      <c r="D22" s="508">
        <f>SUM(D18:D21)</f>
        <v>15330000</v>
      </c>
      <c r="E22" s="509">
        <f>D22/C$46</f>
        <v>0.15203299502768799</v>
      </c>
      <c r="F22" s="507"/>
      <c r="G22" s="508">
        <f>SUM(G18:G21)</f>
        <v>13096560</v>
      </c>
      <c r="H22" s="509">
        <f>G22/F$46</f>
        <v>0.15203511238694206</v>
      </c>
      <c r="I22" s="507"/>
      <c r="J22" s="508">
        <f>SUM(J18:J21)</f>
        <v>13225613</v>
      </c>
      <c r="K22" s="509">
        <f>J22/I$46</f>
        <v>0.15202989179513909</v>
      </c>
    </row>
    <row r="23" spans="1:11" x14ac:dyDescent="0.25">
      <c r="A23" s="514" t="s">
        <v>86</v>
      </c>
      <c r="B23" s="494"/>
      <c r="C23" s="495"/>
      <c r="D23" s="496"/>
      <c r="E23" s="511"/>
      <c r="F23" s="498"/>
      <c r="G23" s="499"/>
      <c r="H23" s="511"/>
      <c r="I23" s="498"/>
      <c r="J23" s="499"/>
      <c r="K23" s="511"/>
    </row>
    <row r="24" spans="1:11" x14ac:dyDescent="0.25">
      <c r="A24" s="515" t="s">
        <v>93</v>
      </c>
      <c r="B24" s="502">
        <v>19</v>
      </c>
      <c r="C24" s="408">
        <v>1875</v>
      </c>
      <c r="D24" s="503">
        <f t="shared" ref="D24:D32" si="8">B24*C24</f>
        <v>35625</v>
      </c>
      <c r="E24" s="504">
        <f t="shared" ref="E24:E33" si="9">D24/C$46</f>
        <v>3.5330563912990118E-4</v>
      </c>
      <c r="F24" s="408">
        <f t="shared" ref="F24:F32" si="10">ROUND($C24-$C24*F$8, 0)</f>
        <v>1602</v>
      </c>
      <c r="G24" s="503">
        <f t="shared" ref="G24:G32" si="11">$B24*F24</f>
        <v>30438</v>
      </c>
      <c r="H24" s="504">
        <f t="shared" ref="H24:H33" si="12">G24/F$46</f>
        <v>3.5334811208697113E-4</v>
      </c>
      <c r="I24" s="408">
        <f t="shared" ref="I24:I32" si="13">ROUND($C24-$C24*I$8, 0)</f>
        <v>1618</v>
      </c>
      <c r="J24" s="503">
        <f t="shared" ref="J24:J32" si="14">$B24*I24</f>
        <v>30742</v>
      </c>
      <c r="K24" s="504">
        <f t="shared" ref="K24:K33" si="15">J24/I$46</f>
        <v>3.5338270774792565E-4</v>
      </c>
    </row>
    <row r="25" spans="1:11" x14ac:dyDescent="0.25">
      <c r="A25" s="515" t="s">
        <v>94</v>
      </c>
      <c r="B25" s="502">
        <v>642</v>
      </c>
      <c r="C25" s="408">
        <v>2500</v>
      </c>
      <c r="D25" s="503">
        <f t="shared" si="8"/>
        <v>1605000</v>
      </c>
      <c r="E25" s="504">
        <f t="shared" si="9"/>
        <v>1.5917348794483969E-2</v>
      </c>
      <c r="F25" s="408">
        <f t="shared" si="10"/>
        <v>2136</v>
      </c>
      <c r="G25" s="503">
        <f t="shared" si="11"/>
        <v>1371312</v>
      </c>
      <c r="H25" s="504">
        <f t="shared" si="12"/>
        <v>1.591926231297091E-2</v>
      </c>
      <c r="I25" s="408">
        <f t="shared" si="13"/>
        <v>2157</v>
      </c>
      <c r="J25" s="503">
        <f t="shared" si="14"/>
        <v>1384794</v>
      </c>
      <c r="K25" s="504">
        <f t="shared" si="15"/>
        <v>1.5918360984746631E-2</v>
      </c>
    </row>
    <row r="26" spans="1:11" ht="15.75" customHeight="1" x14ac:dyDescent="0.25">
      <c r="A26" s="515" t="s">
        <v>95</v>
      </c>
      <c r="B26" s="502">
        <v>60</v>
      </c>
      <c r="C26" s="408">
        <v>5000</v>
      </c>
      <c r="D26" s="503">
        <f t="shared" si="8"/>
        <v>300000</v>
      </c>
      <c r="E26" s="504">
        <f t="shared" si="9"/>
        <v>2.9752053821465365E-3</v>
      </c>
      <c r="F26" s="408">
        <f t="shared" si="10"/>
        <v>4271</v>
      </c>
      <c r="G26" s="503">
        <f t="shared" si="11"/>
        <v>256260</v>
      </c>
      <c r="H26" s="504">
        <f t="shared" si="12"/>
        <v>2.9748665222224593E-3</v>
      </c>
      <c r="I26" s="408">
        <f t="shared" si="13"/>
        <v>4314</v>
      </c>
      <c r="J26" s="503">
        <f t="shared" si="14"/>
        <v>258840</v>
      </c>
      <c r="K26" s="504">
        <f t="shared" si="15"/>
        <v>2.9753945765881554E-3</v>
      </c>
    </row>
    <row r="27" spans="1:11" s="339" customFormat="1" ht="15.75" customHeight="1" x14ac:dyDescent="0.25">
      <c r="A27" s="515" t="s">
        <v>126</v>
      </c>
      <c r="B27" s="502">
        <v>240</v>
      </c>
      <c r="C27" s="408">
        <v>10000</v>
      </c>
      <c r="D27" s="503">
        <f t="shared" si="8"/>
        <v>2400000</v>
      </c>
      <c r="E27" s="504">
        <f t="shared" si="9"/>
        <v>2.3801643057172292E-2</v>
      </c>
      <c r="F27" s="408">
        <f t="shared" si="10"/>
        <v>8543</v>
      </c>
      <c r="G27" s="503">
        <f t="shared" si="11"/>
        <v>2050320</v>
      </c>
      <c r="H27" s="504">
        <f t="shared" si="12"/>
        <v>2.3801718285503603E-2</v>
      </c>
      <c r="I27" s="408">
        <f t="shared" si="13"/>
        <v>8627</v>
      </c>
      <c r="J27" s="503">
        <f t="shared" si="14"/>
        <v>2070480</v>
      </c>
      <c r="K27" s="504">
        <f t="shared" si="15"/>
        <v>2.3800397786023195E-2</v>
      </c>
    </row>
    <row r="28" spans="1:11" s="339" customFormat="1" ht="15.75" customHeight="1" x14ac:dyDescent="0.25">
      <c r="A28" s="515" t="s">
        <v>100</v>
      </c>
      <c r="B28" s="502">
        <v>0</v>
      </c>
      <c r="C28" s="408">
        <v>5000</v>
      </c>
      <c r="D28" s="503">
        <f t="shared" si="8"/>
        <v>0</v>
      </c>
      <c r="E28" s="504">
        <f t="shared" si="9"/>
        <v>0</v>
      </c>
      <c r="F28" s="408">
        <f t="shared" si="10"/>
        <v>4271</v>
      </c>
      <c r="G28" s="503">
        <f t="shared" si="11"/>
        <v>0</v>
      </c>
      <c r="H28" s="504">
        <f t="shared" si="12"/>
        <v>0</v>
      </c>
      <c r="I28" s="408">
        <f t="shared" si="13"/>
        <v>4314</v>
      </c>
      <c r="J28" s="503">
        <f t="shared" si="14"/>
        <v>0</v>
      </c>
      <c r="K28" s="504">
        <f t="shared" si="15"/>
        <v>0</v>
      </c>
    </row>
    <row r="29" spans="1:11" s="339" customFormat="1" ht="15.75" customHeight="1" x14ac:dyDescent="0.25">
      <c r="A29" s="515" t="s">
        <v>101</v>
      </c>
      <c r="B29" s="502">
        <v>1</v>
      </c>
      <c r="C29" s="408">
        <v>2500</v>
      </c>
      <c r="D29" s="503">
        <f t="shared" si="8"/>
        <v>2500</v>
      </c>
      <c r="E29" s="504">
        <f t="shared" si="9"/>
        <v>2.4793378184554468E-5</v>
      </c>
      <c r="F29" s="408">
        <f t="shared" si="10"/>
        <v>2136</v>
      </c>
      <c r="G29" s="503">
        <f t="shared" si="11"/>
        <v>2136</v>
      </c>
      <c r="H29" s="504">
        <f t="shared" si="12"/>
        <v>2.4796358742945345E-5</v>
      </c>
      <c r="I29" s="408">
        <f t="shared" si="13"/>
        <v>2157</v>
      </c>
      <c r="J29" s="503">
        <f t="shared" si="14"/>
        <v>2157</v>
      </c>
      <c r="K29" s="504">
        <f t="shared" si="15"/>
        <v>2.4794954804901294E-5</v>
      </c>
    </row>
    <row r="30" spans="1:11" s="339" customFormat="1" ht="15.75" customHeight="1" x14ac:dyDescent="0.25">
      <c r="A30" s="516" t="s">
        <v>102</v>
      </c>
      <c r="B30" s="502">
        <v>379</v>
      </c>
      <c r="C30" s="408">
        <v>25000</v>
      </c>
      <c r="D30" s="503">
        <f t="shared" si="8"/>
        <v>9475000</v>
      </c>
      <c r="E30" s="504">
        <f t="shared" si="9"/>
        <v>9.3966903319461434E-2</v>
      </c>
      <c r="F30" s="408">
        <f t="shared" si="10"/>
        <v>21357</v>
      </c>
      <c r="G30" s="503">
        <f t="shared" si="11"/>
        <v>8094303</v>
      </c>
      <c r="H30" s="504">
        <f t="shared" si="12"/>
        <v>9.3965000450420749E-2</v>
      </c>
      <c r="I30" s="408">
        <f t="shared" si="13"/>
        <v>21569</v>
      </c>
      <c r="J30" s="503">
        <f t="shared" si="14"/>
        <v>8174651</v>
      </c>
      <c r="K30" s="504">
        <f t="shared" si="15"/>
        <v>9.3968522063440502E-2</v>
      </c>
    </row>
    <row r="31" spans="1:11" s="339" customFormat="1" ht="15.75" customHeight="1" x14ac:dyDescent="0.25">
      <c r="A31" s="516" t="s">
        <v>103</v>
      </c>
      <c r="B31" s="502">
        <v>3</v>
      </c>
      <c r="C31" s="408">
        <v>12500</v>
      </c>
      <c r="D31" s="503">
        <f t="shared" si="8"/>
        <v>37500</v>
      </c>
      <c r="E31" s="504">
        <f t="shared" si="9"/>
        <v>3.7190067276831706E-4</v>
      </c>
      <c r="F31" s="408">
        <f t="shared" si="10"/>
        <v>10679</v>
      </c>
      <c r="G31" s="503">
        <f t="shared" si="11"/>
        <v>32037</v>
      </c>
      <c r="H31" s="504">
        <f t="shared" si="12"/>
        <v>3.7191055479763105E-4</v>
      </c>
      <c r="I31" s="408">
        <f t="shared" si="13"/>
        <v>10784</v>
      </c>
      <c r="J31" s="503">
        <f t="shared" si="14"/>
        <v>32352</v>
      </c>
      <c r="K31" s="504">
        <f t="shared" si="15"/>
        <v>3.7188983673999384E-4</v>
      </c>
    </row>
    <row r="32" spans="1:11" s="339" customFormat="1" ht="15.75" customHeight="1" thickBot="1" x14ac:dyDescent="0.3">
      <c r="A32" s="516" t="s">
        <v>104</v>
      </c>
      <c r="B32" s="517">
        <v>10</v>
      </c>
      <c r="C32" s="518">
        <v>6250</v>
      </c>
      <c r="D32" s="519">
        <f t="shared" si="8"/>
        <v>62500</v>
      </c>
      <c r="E32" s="520">
        <f t="shared" si="9"/>
        <v>6.1983445461386173E-4</v>
      </c>
      <c r="F32" s="518">
        <f t="shared" si="10"/>
        <v>5339</v>
      </c>
      <c r="G32" s="519">
        <f t="shared" si="11"/>
        <v>53390</v>
      </c>
      <c r="H32" s="520">
        <f t="shared" si="12"/>
        <v>6.1979288075180328E-4</v>
      </c>
      <c r="I32" s="518">
        <f t="shared" si="13"/>
        <v>5392</v>
      </c>
      <c r="J32" s="519">
        <f t="shared" si="14"/>
        <v>53920</v>
      </c>
      <c r="K32" s="520">
        <f t="shared" si="15"/>
        <v>6.198163945666564E-4</v>
      </c>
    </row>
    <row r="33" spans="1:11" ht="16.5" customHeight="1" thickTop="1" thickBot="1" x14ac:dyDescent="0.3">
      <c r="A33" s="521"/>
      <c r="B33" s="522"/>
      <c r="C33" s="408"/>
      <c r="D33" s="523">
        <f>SUM(D24:D32)</f>
        <v>13918125</v>
      </c>
      <c r="E33" s="524">
        <f t="shared" si="9"/>
        <v>0.13803093469796088</v>
      </c>
      <c r="F33" s="523">
        <f>SUM(F24:F32)</f>
        <v>60334</v>
      </c>
      <c r="G33" s="523">
        <f>SUM(G24:G32)</f>
        <v>11890196</v>
      </c>
      <c r="H33" s="524">
        <f t="shared" si="12"/>
        <v>0.13803069547749708</v>
      </c>
      <c r="I33" s="525">
        <f>SUM(I24:I32)</f>
        <v>60932</v>
      </c>
      <c r="J33" s="523">
        <f>SUM(J24:J32)</f>
        <v>12007936</v>
      </c>
      <c r="K33" s="524">
        <f t="shared" si="15"/>
        <v>0.13803255930465796</v>
      </c>
    </row>
    <row r="34" spans="1:11" x14ac:dyDescent="0.25">
      <c r="A34" s="526" t="s">
        <v>87</v>
      </c>
      <c r="B34" s="527"/>
      <c r="C34" s="495"/>
      <c r="D34" s="496"/>
      <c r="E34" s="511"/>
      <c r="F34" s="498"/>
      <c r="G34" s="499"/>
      <c r="H34" s="511"/>
      <c r="I34" s="498"/>
      <c r="J34" s="499"/>
      <c r="K34" s="511"/>
    </row>
    <row r="35" spans="1:11" x14ac:dyDescent="0.25">
      <c r="A35" s="528" t="s">
        <v>105</v>
      </c>
      <c r="B35" s="502">
        <v>589</v>
      </c>
      <c r="C35" s="408">
        <v>250</v>
      </c>
      <c r="D35" s="503">
        <f t="shared" ref="D35:D40" si="16">B35*C35</f>
        <v>147250</v>
      </c>
      <c r="E35" s="504">
        <f t="shared" ref="E35:E41" si="17">D35/C$46</f>
        <v>1.4603299750702583E-3</v>
      </c>
      <c r="F35" s="408">
        <f t="shared" ref="F35:F40" si="18">ROUND($C35-$C35*F$8, 0)</f>
        <v>214</v>
      </c>
      <c r="G35" s="503">
        <f t="shared" ref="G35:G40" si="19">$B35*F35</f>
        <v>126046</v>
      </c>
      <c r="H35" s="504">
        <f t="shared" ref="H35:H41" si="20">G35/F$46</f>
        <v>1.4632405590418018E-3</v>
      </c>
      <c r="I35" s="408">
        <f t="shared" ref="I35:I40" si="21">ROUND($C35-$C35*I$8, 0)</f>
        <v>216</v>
      </c>
      <c r="J35" s="503">
        <f t="shared" ref="J35:J40" si="22">$B35*I35</f>
        <v>127224</v>
      </c>
      <c r="K35" s="504">
        <f t="shared" ref="K35:K41" si="23">J35/I$46</f>
        <v>1.4624540241533436E-3</v>
      </c>
    </row>
    <row r="36" spans="1:11" x14ac:dyDescent="0.25">
      <c r="A36" s="528" t="s">
        <v>106</v>
      </c>
      <c r="B36" s="502">
        <v>349</v>
      </c>
      <c r="C36" s="408">
        <v>500</v>
      </c>
      <c r="D36" s="503">
        <f t="shared" si="16"/>
        <v>174500</v>
      </c>
      <c r="E36" s="504">
        <f t="shared" si="17"/>
        <v>1.730577797281902E-3</v>
      </c>
      <c r="F36" s="408">
        <f t="shared" si="18"/>
        <v>427</v>
      </c>
      <c r="G36" s="503">
        <f t="shared" si="19"/>
        <v>149023</v>
      </c>
      <c r="H36" s="504">
        <f t="shared" si="20"/>
        <v>1.7299755472612096E-3</v>
      </c>
      <c r="I36" s="408">
        <f t="shared" si="21"/>
        <v>431</v>
      </c>
      <c r="J36" s="503">
        <f t="shared" si="22"/>
        <v>150419</v>
      </c>
      <c r="K36" s="504">
        <f t="shared" si="23"/>
        <v>1.7290831278620527E-3</v>
      </c>
    </row>
    <row r="37" spans="1:11" x14ac:dyDescent="0.25">
      <c r="A37" s="528" t="s">
        <v>107</v>
      </c>
      <c r="B37" s="502">
        <v>1052</v>
      </c>
      <c r="C37" s="408">
        <v>500</v>
      </c>
      <c r="D37" s="503">
        <f t="shared" si="16"/>
        <v>526000</v>
      </c>
      <c r="E37" s="504">
        <f t="shared" si="17"/>
        <v>5.21652677003026E-3</v>
      </c>
      <c r="F37" s="408">
        <f t="shared" si="18"/>
        <v>427</v>
      </c>
      <c r="G37" s="503">
        <f t="shared" si="19"/>
        <v>449204</v>
      </c>
      <c r="H37" s="504">
        <f t="shared" si="20"/>
        <v>5.2147113917443916E-3</v>
      </c>
      <c r="I37" s="408">
        <f t="shared" si="21"/>
        <v>431</v>
      </c>
      <c r="J37" s="503">
        <f t="shared" si="22"/>
        <v>453412</v>
      </c>
      <c r="K37" s="504">
        <f t="shared" si="23"/>
        <v>5.212021348168709E-3</v>
      </c>
    </row>
    <row r="38" spans="1:11" x14ac:dyDescent="0.25">
      <c r="A38" s="528" t="s">
        <v>108</v>
      </c>
      <c r="B38" s="502">
        <v>198</v>
      </c>
      <c r="C38" s="408">
        <v>1000</v>
      </c>
      <c r="D38" s="503">
        <f t="shared" si="16"/>
        <v>198000</v>
      </c>
      <c r="E38" s="504">
        <f t="shared" si="17"/>
        <v>1.9636355522167138E-3</v>
      </c>
      <c r="F38" s="408">
        <f t="shared" si="18"/>
        <v>854</v>
      </c>
      <c r="G38" s="503">
        <f t="shared" si="19"/>
        <v>169092</v>
      </c>
      <c r="H38" s="504">
        <f t="shared" si="20"/>
        <v>1.9629521968923752E-3</v>
      </c>
      <c r="I38" s="408">
        <f t="shared" si="21"/>
        <v>863</v>
      </c>
      <c r="J38" s="503">
        <f t="shared" si="22"/>
        <v>170874</v>
      </c>
      <c r="K38" s="504">
        <f t="shared" si="23"/>
        <v>1.9642156269507206E-3</v>
      </c>
    </row>
    <row r="39" spans="1:11" ht="15.75" customHeight="1" x14ac:dyDescent="0.25">
      <c r="A39" s="528" t="s">
        <v>109</v>
      </c>
      <c r="B39" s="502">
        <v>1258</v>
      </c>
      <c r="C39" s="408">
        <v>1000</v>
      </c>
      <c r="D39" s="503">
        <f t="shared" si="16"/>
        <v>1258000</v>
      </c>
      <c r="E39" s="504">
        <f t="shared" si="17"/>
        <v>1.2476027902467809E-2</v>
      </c>
      <c r="F39" s="408">
        <f t="shared" si="18"/>
        <v>854</v>
      </c>
      <c r="G39" s="503">
        <f t="shared" si="19"/>
        <v>1074332</v>
      </c>
      <c r="H39" s="504">
        <f t="shared" si="20"/>
        <v>1.2471686180255598E-2</v>
      </c>
      <c r="I39" s="408">
        <f t="shared" si="21"/>
        <v>863</v>
      </c>
      <c r="J39" s="503">
        <f t="shared" si="22"/>
        <v>1085654</v>
      </c>
      <c r="K39" s="504">
        <f t="shared" si="23"/>
        <v>1.247971342779801E-2</v>
      </c>
    </row>
    <row r="40" spans="1:11" s="339" customFormat="1" ht="15.75" customHeight="1" thickBot="1" x14ac:dyDescent="0.3">
      <c r="A40" s="528" t="s">
        <v>110</v>
      </c>
      <c r="B40" s="502">
        <v>947</v>
      </c>
      <c r="C40" s="408">
        <v>2000</v>
      </c>
      <c r="D40" s="503">
        <f t="shared" si="16"/>
        <v>1894000</v>
      </c>
      <c r="E40" s="504">
        <f t="shared" si="17"/>
        <v>1.8783463312618466E-2</v>
      </c>
      <c r="F40" s="408">
        <f t="shared" si="18"/>
        <v>1709</v>
      </c>
      <c r="G40" s="503">
        <f t="shared" si="19"/>
        <v>1618423</v>
      </c>
      <c r="H40" s="504">
        <f t="shared" si="20"/>
        <v>1.8787920087000858E-2</v>
      </c>
      <c r="I40" s="408">
        <f t="shared" si="21"/>
        <v>1725</v>
      </c>
      <c r="J40" s="503">
        <f t="shared" si="22"/>
        <v>1633575</v>
      </c>
      <c r="K40" s="504">
        <f t="shared" si="23"/>
        <v>1.8778126238023475E-2</v>
      </c>
    </row>
    <row r="41" spans="1:11" ht="16.5" customHeight="1" thickTop="1" thickBot="1" x14ac:dyDescent="0.3">
      <c r="A41" s="529"/>
      <c r="B41" s="506"/>
      <c r="C41" s="507"/>
      <c r="D41" s="508">
        <f>SUM(D35:D40)</f>
        <v>4197750</v>
      </c>
      <c r="E41" s="509">
        <f t="shared" si="17"/>
        <v>4.1630561309685413E-2</v>
      </c>
      <c r="F41" s="507"/>
      <c r="G41" s="508">
        <f>SUM(G35:G40)</f>
        <v>3586120</v>
      </c>
      <c r="H41" s="509">
        <f t="shared" si="20"/>
        <v>4.1630485962196234E-2</v>
      </c>
      <c r="I41" s="507"/>
      <c r="J41" s="508">
        <f>SUM(J35:J40)</f>
        <v>3621158</v>
      </c>
      <c r="K41" s="509">
        <f t="shared" si="23"/>
        <v>4.1625613792956311E-2</v>
      </c>
    </row>
    <row r="42" spans="1:11" x14ac:dyDescent="0.25">
      <c r="A42" s="530" t="s">
        <v>88</v>
      </c>
      <c r="B42" s="494"/>
      <c r="C42" s="495"/>
      <c r="D42" s="496"/>
      <c r="E42" s="511"/>
      <c r="F42" s="498"/>
      <c r="G42" s="499"/>
      <c r="H42" s="511"/>
      <c r="I42" s="498"/>
      <c r="J42" s="499"/>
      <c r="K42" s="511"/>
    </row>
    <row r="43" spans="1:11" x14ac:dyDescent="0.25">
      <c r="A43" s="531" t="s">
        <v>111</v>
      </c>
      <c r="B43" s="502">
        <v>350</v>
      </c>
      <c r="C43" s="408">
        <v>12500</v>
      </c>
      <c r="D43" s="503">
        <f>B43*C43</f>
        <v>4375000</v>
      </c>
      <c r="E43" s="504">
        <f>D43/C$46</f>
        <v>4.3388411822970319E-2</v>
      </c>
      <c r="F43" s="408">
        <f>ROUND($C43-$C43*F$8, 0)</f>
        <v>10679</v>
      </c>
      <c r="G43" s="503">
        <f>$B43*F43</f>
        <v>3737650</v>
      </c>
      <c r="H43" s="504">
        <f>G43/F$46</f>
        <v>4.3389564726390294E-2</v>
      </c>
      <c r="I43" s="408">
        <f>ROUND($C43-$C43*I$8, 0)</f>
        <v>10784</v>
      </c>
      <c r="J43" s="503">
        <f>$B43*I43</f>
        <v>3774400</v>
      </c>
      <c r="K43" s="504">
        <f>J43/I$46</f>
        <v>4.3387147619665944E-2</v>
      </c>
    </row>
    <row r="44" spans="1:11" ht="15.75" customHeight="1" thickBot="1" x14ac:dyDescent="0.3">
      <c r="A44" s="531" t="s">
        <v>112</v>
      </c>
      <c r="B44" s="502">
        <v>1753</v>
      </c>
      <c r="C44" s="408">
        <v>25000</v>
      </c>
      <c r="D44" s="503">
        <f>B44*C44</f>
        <v>43825000</v>
      </c>
      <c r="E44" s="504">
        <f>D44/C$46</f>
        <v>0.43462791957523983</v>
      </c>
      <c r="F44" s="408">
        <f>ROUND($C44-$C44*F$8, 0)</f>
        <v>21357</v>
      </c>
      <c r="G44" s="503">
        <f>$B44*F44</f>
        <v>37438821</v>
      </c>
      <c r="H44" s="504">
        <f>G44/F$46</f>
        <v>0.43461911817833132</v>
      </c>
      <c r="I44" s="408">
        <f>ROUND($C44-$C44*I$8, 0)</f>
        <v>21569</v>
      </c>
      <c r="J44" s="503">
        <f>$B44*I44</f>
        <v>37810457</v>
      </c>
      <c r="K44" s="504">
        <f>J44/I$46</f>
        <v>0.4346354068000296</v>
      </c>
    </row>
    <row r="45" spans="1:11" ht="16.5" customHeight="1" thickTop="1" thickBot="1" x14ac:dyDescent="0.3">
      <c r="A45" s="532"/>
      <c r="B45" s="506"/>
      <c r="C45" s="507"/>
      <c r="D45" s="508">
        <f>SUM(D43:D44)</f>
        <v>48200000</v>
      </c>
      <c r="E45" s="509">
        <f>D45/C$46</f>
        <v>0.47801633139821015</v>
      </c>
      <c r="F45" s="507"/>
      <c r="G45" s="508">
        <f>SUM(G43:G44)</f>
        <v>41176471</v>
      </c>
      <c r="H45" s="509">
        <f>G45/F$46</f>
        <v>0.47800868290472159</v>
      </c>
      <c r="I45" s="507"/>
      <c r="J45" s="508">
        <f>SUM(J43:J44)</f>
        <v>41584857</v>
      </c>
      <c r="K45" s="509">
        <f>J45/I$46</f>
        <v>0.47802255441969554</v>
      </c>
    </row>
    <row r="46" spans="1:11" ht="15.75" customHeight="1" thickBot="1" x14ac:dyDescent="0.3">
      <c r="A46" s="259" t="s">
        <v>47</v>
      </c>
      <c r="B46" s="258"/>
      <c r="C46" s="262">
        <f>SUM(D16,D22,D33,D41,D45)</f>
        <v>100833375</v>
      </c>
      <c r="D46" s="261"/>
      <c r="E46" s="260"/>
      <c r="F46" s="262">
        <f>SUM(G16,G22,G33,G41,G45)</f>
        <v>86141680</v>
      </c>
      <c r="G46" s="261"/>
      <c r="H46" s="260"/>
      <c r="I46" s="262">
        <f>SUM(J16,J22,J33,J41,J45)</f>
        <v>86993504</v>
      </c>
      <c r="J46" s="261"/>
      <c r="K46" s="260"/>
    </row>
  </sheetData>
  <mergeCells count="16">
    <mergeCell ref="C46:E46"/>
    <mergeCell ref="F46:H46"/>
    <mergeCell ref="I46:K46"/>
    <mergeCell ref="A46:B46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J58"/>
  <sheetViews>
    <sheetView zoomScale="80" zoomScaleNormal="80" workbookViewId="0">
      <pane xSplit="1" topLeftCell="B1" activePane="topRight" state="frozenSplit"/>
      <selection activeCell="B5" sqref="B5 A5:AP9"/>
      <selection pane="topRight"/>
    </sheetView>
  </sheetViews>
  <sheetFormatPr defaultRowHeight="15" outlineLevelCol="1" x14ac:dyDescent="0.25"/>
  <cols>
    <col min="1" max="1" width="20.5703125" style="339" customWidth="1"/>
    <col min="2" max="2" width="2.85546875" style="339" customWidth="1" outlineLevel="1"/>
    <col min="3" max="3" width="9.140625" style="339" customWidth="1" outlineLevel="1"/>
    <col min="4" max="4" width="6.140625" style="339" customWidth="1" outlineLevel="1"/>
    <col min="5" max="5" width="9.140625" style="339" customWidth="1" outlineLevel="1"/>
    <col min="6" max="6" width="4.7109375" style="339" customWidth="1" outlineLevel="1"/>
    <col min="7" max="7" width="9.140625" style="339" customWidth="1" outlineLevel="1"/>
    <col min="8" max="8" width="5.7109375" style="339" customWidth="1" outlineLevel="1"/>
    <col min="9" max="9" width="9.140625" style="339" customWidth="1" outlineLevel="1"/>
    <col min="10" max="10" width="4.7109375" style="339" customWidth="1" outlineLevel="1"/>
    <col min="11" max="11" width="9.140625" style="339" customWidth="1" outlineLevel="1"/>
    <col min="12" max="12" width="2.85546875" style="339" customWidth="1" outlineLevel="1"/>
    <col min="13" max="13" width="9.140625" style="339" customWidth="1" outlineLevel="1"/>
    <col min="14" max="14" width="9.140625" style="339" customWidth="1"/>
    <col min="15" max="15" width="2.85546875" style="339" customWidth="1" outlineLevel="1"/>
    <col min="16" max="16" width="9.140625" style="339" customWidth="1" outlineLevel="1"/>
    <col min="17" max="17" width="4.7109375" style="339" customWidth="1" outlineLevel="1"/>
    <col min="18" max="18" width="9.140625" style="339" customWidth="1" outlineLevel="1"/>
    <col min="19" max="19" width="4.7109375" style="339" customWidth="1" outlineLevel="1"/>
    <col min="20" max="20" width="9.140625" style="339" customWidth="1" outlineLevel="1"/>
    <col min="21" max="21" width="5.7109375" style="339" customWidth="1" outlineLevel="1"/>
    <col min="22" max="22" width="9.140625" style="339" customWidth="1" outlineLevel="1"/>
    <col min="23" max="23" width="9.140625" style="339" customWidth="1"/>
    <col min="24" max="24" width="2.85546875" style="339" customWidth="1" outlineLevel="1"/>
    <col min="25" max="25" width="9.140625" style="339" customWidth="1" outlineLevel="1"/>
    <col min="26" max="26" width="4.7109375" style="339" customWidth="1" outlineLevel="1"/>
    <col min="27" max="27" width="9.140625" style="339" customWidth="1" outlineLevel="1"/>
    <col min="28" max="28" width="2.85546875" style="339" customWidth="1" outlineLevel="1"/>
    <col min="29" max="29" width="9.140625" style="339" customWidth="1" outlineLevel="1"/>
    <col min="30" max="30" width="3.7109375" style="339" customWidth="1" outlineLevel="1"/>
    <col min="31" max="31" width="9.140625" style="339" customWidth="1" outlineLevel="1"/>
    <col min="32" max="32" width="2.85546875" style="339" customWidth="1" outlineLevel="1"/>
    <col min="33" max="33" width="9.140625" style="339" customWidth="1" outlineLevel="1"/>
    <col min="34" max="34" width="2.85546875" style="339" customWidth="1" outlineLevel="1"/>
    <col min="35" max="35" width="9.140625" style="339" customWidth="1" outlineLevel="1"/>
    <col min="36" max="36" width="4.7109375" style="339" customWidth="1" outlineLevel="1"/>
    <col min="37" max="37" width="9.140625" style="339" customWidth="1" outlineLevel="1"/>
    <col min="38" max="38" width="2.85546875" style="339" customWidth="1" outlineLevel="1"/>
    <col min="39" max="39" width="9.140625" style="339" customWidth="1" outlineLevel="1"/>
    <col min="40" max="40" width="2.85546875" style="339" customWidth="1" outlineLevel="1"/>
    <col min="41" max="41" width="9.140625" style="339" customWidth="1" outlineLevel="1"/>
    <col min="42" max="42" width="9.140625" style="339" customWidth="1"/>
    <col min="43" max="43" width="4.7109375" style="339" customWidth="1" outlineLevel="1"/>
    <col min="44" max="44" width="9.140625" style="339" customWidth="1" outlineLevel="1"/>
    <col min="45" max="45" width="4.7109375" style="339" customWidth="1" outlineLevel="1"/>
    <col min="46" max="46" width="9.140625" style="339" customWidth="1" outlineLevel="1"/>
    <col min="47" max="47" width="5.7109375" style="339" customWidth="1" outlineLevel="1"/>
    <col min="48" max="48" width="9.140625" style="339" customWidth="1" outlineLevel="1"/>
    <col min="49" max="49" width="4.7109375" style="339" customWidth="1" outlineLevel="1"/>
    <col min="50" max="50" width="9.140625" style="339" customWidth="1" outlineLevel="1"/>
    <col min="51" max="51" width="5.7109375" style="339" customWidth="1" outlineLevel="1"/>
    <col min="52" max="52" width="9.140625" style="339" customWidth="1" outlineLevel="1"/>
    <col min="53" max="53" width="3.7109375" style="339" customWidth="1" outlineLevel="1"/>
    <col min="54" max="54" width="9.140625" style="339" customWidth="1" outlineLevel="1"/>
    <col min="55" max="55" width="9.140625" style="339" customWidth="1"/>
    <col min="56" max="56" width="4.7109375" style="339" customWidth="1" outlineLevel="1"/>
    <col min="57" max="57" width="9.140625" style="339" customWidth="1" outlineLevel="1"/>
    <col min="58" max="58" width="4.7109375" style="339" customWidth="1" outlineLevel="1"/>
    <col min="59" max="59" width="9.140625" style="339" customWidth="1" outlineLevel="1"/>
    <col min="60" max="62" width="9.140625" style="339" customWidth="1"/>
  </cols>
  <sheetData>
    <row r="1" spans="1:62" ht="15.75" customHeight="1" x14ac:dyDescent="0.25">
      <c r="A1" s="355" t="s">
        <v>127</v>
      </c>
      <c r="B1" s="355"/>
      <c r="C1" s="355"/>
      <c r="D1" s="355"/>
      <c r="E1" s="355"/>
      <c r="F1" s="355"/>
      <c r="G1" s="355"/>
    </row>
    <row r="2" spans="1:62" ht="15.75" customHeight="1" x14ac:dyDescent="0.25">
      <c r="A2" s="356" t="s">
        <v>31</v>
      </c>
    </row>
    <row r="3" spans="1:62" ht="15.75" customHeight="1" x14ac:dyDescent="0.25">
      <c r="A3" s="356"/>
    </row>
    <row r="4" spans="1:62" x14ac:dyDescent="0.25">
      <c r="A4" s="353" t="s">
        <v>128</v>
      </c>
    </row>
    <row r="5" spans="1:62" ht="15.75" customHeight="1" thickBot="1" x14ac:dyDescent="0.3"/>
    <row r="6" spans="1:62" ht="15.75" customHeight="1" x14ac:dyDescent="0.25">
      <c r="A6" s="200" t="s">
        <v>3</v>
      </c>
      <c r="B6" s="198" t="s">
        <v>84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7"/>
      <c r="O6" s="299" t="s">
        <v>125</v>
      </c>
      <c r="P6" s="299"/>
      <c r="Q6" s="299"/>
      <c r="R6" s="299"/>
      <c r="S6" s="299"/>
      <c r="T6" s="299"/>
      <c r="U6" s="299"/>
      <c r="V6" s="299"/>
      <c r="W6" s="196"/>
      <c r="X6" s="173" t="s">
        <v>86</v>
      </c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1"/>
      <c r="AQ6" s="195" t="s">
        <v>87</v>
      </c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4"/>
      <c r="BD6" s="193" t="s">
        <v>88</v>
      </c>
      <c r="BE6" s="193"/>
      <c r="BF6" s="193"/>
      <c r="BG6" s="193"/>
      <c r="BH6" s="192"/>
      <c r="BI6" s="191" t="s">
        <v>129</v>
      </c>
      <c r="BJ6" s="215" t="s">
        <v>130</v>
      </c>
    </row>
    <row r="7" spans="1:62" ht="15" customHeight="1" x14ac:dyDescent="0.25">
      <c r="A7" s="199"/>
      <c r="B7" s="167" t="s">
        <v>90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6"/>
      <c r="O7" s="298" t="s">
        <v>90</v>
      </c>
      <c r="P7" s="298"/>
      <c r="Q7" s="298"/>
      <c r="R7" s="298"/>
      <c r="S7" s="298"/>
      <c r="T7" s="298"/>
      <c r="U7" s="298"/>
      <c r="V7" s="298"/>
      <c r="W7" s="213"/>
      <c r="X7" s="170" t="s">
        <v>90</v>
      </c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8"/>
      <c r="AQ7" s="212" t="s">
        <v>90</v>
      </c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1"/>
      <c r="BD7" s="210" t="s">
        <v>90</v>
      </c>
      <c r="BE7" s="210"/>
      <c r="BF7" s="210"/>
      <c r="BG7" s="210"/>
      <c r="BH7" s="209"/>
      <c r="BI7" s="190"/>
      <c r="BJ7" s="214"/>
    </row>
    <row r="8" spans="1:62" s="349" customFormat="1" ht="63" customHeight="1" x14ac:dyDescent="0.25">
      <c r="A8" s="199"/>
      <c r="B8" s="165" t="s">
        <v>93</v>
      </c>
      <c r="C8" s="164"/>
      <c r="D8" s="165" t="s">
        <v>94</v>
      </c>
      <c r="E8" s="164"/>
      <c r="F8" s="163" t="s">
        <v>95</v>
      </c>
      <c r="G8" s="164"/>
      <c r="H8" s="163" t="s">
        <v>96</v>
      </c>
      <c r="I8" s="164"/>
      <c r="J8" s="163" t="s">
        <v>97</v>
      </c>
      <c r="K8" s="164"/>
      <c r="L8" s="163" t="s">
        <v>98</v>
      </c>
      <c r="M8" s="164"/>
      <c r="N8" s="162" t="s">
        <v>131</v>
      </c>
      <c r="O8" s="182" t="s">
        <v>93</v>
      </c>
      <c r="P8" s="220"/>
      <c r="Q8" s="221" t="s">
        <v>94</v>
      </c>
      <c r="R8" s="220"/>
      <c r="S8" s="221" t="s">
        <v>95</v>
      </c>
      <c r="T8" s="220"/>
      <c r="U8" s="221" t="s">
        <v>96</v>
      </c>
      <c r="V8" s="220"/>
      <c r="W8" s="177" t="s">
        <v>131</v>
      </c>
      <c r="X8" s="175" t="s">
        <v>93</v>
      </c>
      <c r="Y8" s="174"/>
      <c r="Z8" s="175" t="s">
        <v>94</v>
      </c>
      <c r="AA8" s="174"/>
      <c r="AB8" s="175" t="s">
        <v>95</v>
      </c>
      <c r="AC8" s="174"/>
      <c r="AD8" s="228" t="s">
        <v>126</v>
      </c>
      <c r="AE8" s="227"/>
      <c r="AF8" s="228" t="s">
        <v>100</v>
      </c>
      <c r="AG8" s="227"/>
      <c r="AH8" s="228" t="s">
        <v>101</v>
      </c>
      <c r="AI8" s="227"/>
      <c r="AJ8" s="228" t="s">
        <v>102</v>
      </c>
      <c r="AK8" s="227"/>
      <c r="AL8" s="228" t="s">
        <v>103</v>
      </c>
      <c r="AM8" s="227"/>
      <c r="AN8" s="228" t="s">
        <v>104</v>
      </c>
      <c r="AO8" s="227"/>
      <c r="AP8" s="202" t="s">
        <v>131</v>
      </c>
      <c r="AQ8" s="180" t="s">
        <v>105</v>
      </c>
      <c r="AR8" s="235"/>
      <c r="AS8" s="236" t="s">
        <v>106</v>
      </c>
      <c r="AT8" s="235"/>
      <c r="AU8" s="236" t="s">
        <v>107</v>
      </c>
      <c r="AV8" s="235"/>
      <c r="AW8" s="236" t="s">
        <v>108</v>
      </c>
      <c r="AX8" s="235"/>
      <c r="AY8" s="236" t="s">
        <v>109</v>
      </c>
      <c r="AZ8" s="235"/>
      <c r="BA8" s="236" t="s">
        <v>110</v>
      </c>
      <c r="BB8" s="235"/>
      <c r="BC8" s="204" t="s">
        <v>131</v>
      </c>
      <c r="BD8" s="186" t="s">
        <v>111</v>
      </c>
      <c r="BE8" s="185"/>
      <c r="BF8" s="186" t="s">
        <v>112</v>
      </c>
      <c r="BG8" s="185"/>
      <c r="BH8" s="179" t="s">
        <v>131</v>
      </c>
      <c r="BI8" s="190"/>
      <c r="BJ8" s="214"/>
    </row>
    <row r="9" spans="1:62" ht="16.5" customHeight="1" thickBot="1" x14ac:dyDescent="0.3">
      <c r="A9" s="199"/>
      <c r="B9" s="219">
        <v>1602</v>
      </c>
      <c r="C9" s="218"/>
      <c r="D9" s="219">
        <v>2136</v>
      </c>
      <c r="E9" s="218"/>
      <c r="F9" s="160">
        <v>4271</v>
      </c>
      <c r="G9" s="218"/>
      <c r="H9" s="160">
        <v>8543</v>
      </c>
      <c r="I9" s="218"/>
      <c r="J9" s="160">
        <v>4271</v>
      </c>
      <c r="K9" s="218"/>
      <c r="L9" s="208">
        <v>2136</v>
      </c>
      <c r="M9" s="207"/>
      <c r="N9" s="161"/>
      <c r="O9" s="159">
        <v>1602</v>
      </c>
      <c r="P9" s="216"/>
      <c r="Q9" s="217">
        <v>2136</v>
      </c>
      <c r="R9" s="216"/>
      <c r="S9" s="217">
        <v>4271</v>
      </c>
      <c r="T9" s="216"/>
      <c r="U9" s="217">
        <v>8543</v>
      </c>
      <c r="V9" s="216"/>
      <c r="W9" s="176"/>
      <c r="X9" s="188">
        <v>1602</v>
      </c>
      <c r="Y9" s="187"/>
      <c r="Z9" s="188">
        <v>2136</v>
      </c>
      <c r="AA9" s="187"/>
      <c r="AB9" s="188">
        <v>4271</v>
      </c>
      <c r="AC9" s="187"/>
      <c r="AD9" s="189">
        <v>8543</v>
      </c>
      <c r="AE9" s="225"/>
      <c r="AF9" s="188">
        <v>4271</v>
      </c>
      <c r="AG9" s="187"/>
      <c r="AH9" s="226">
        <v>2136</v>
      </c>
      <c r="AI9" s="225"/>
      <c r="AJ9" s="226">
        <v>21357</v>
      </c>
      <c r="AK9" s="225"/>
      <c r="AL9" s="226">
        <v>10679</v>
      </c>
      <c r="AM9" s="225"/>
      <c r="AN9" s="226">
        <v>5339</v>
      </c>
      <c r="AO9" s="225"/>
      <c r="AP9" s="201"/>
      <c r="AQ9" s="181">
        <v>214</v>
      </c>
      <c r="AR9" s="205"/>
      <c r="AS9" s="206">
        <v>427</v>
      </c>
      <c r="AT9" s="205"/>
      <c r="AU9" s="206">
        <v>427</v>
      </c>
      <c r="AV9" s="205"/>
      <c r="AW9" s="206">
        <v>854</v>
      </c>
      <c r="AX9" s="205"/>
      <c r="AY9" s="234">
        <v>854</v>
      </c>
      <c r="AZ9" s="233"/>
      <c r="BA9" s="234">
        <v>1709</v>
      </c>
      <c r="BB9" s="233"/>
      <c r="BC9" s="203"/>
      <c r="BD9" s="184">
        <v>10679</v>
      </c>
      <c r="BE9" s="183"/>
      <c r="BF9" s="184">
        <v>21357</v>
      </c>
      <c r="BG9" s="183"/>
      <c r="BH9" s="178"/>
      <c r="BI9" s="190"/>
      <c r="BJ9" s="214"/>
    </row>
    <row r="10" spans="1:62" x14ac:dyDescent="0.25">
      <c r="A10" s="534" t="s">
        <v>50</v>
      </c>
      <c r="B10" s="535"/>
      <c r="C10" s="536" t="str">
        <f>IF(ISBLANK(B10),"", B10*B9)</f>
        <v/>
      </c>
      <c r="D10" s="535"/>
      <c r="E10" s="536" t="str">
        <f>IF(ISBLANK(D10),"", D10*D9)</f>
        <v/>
      </c>
      <c r="F10" s="537"/>
      <c r="G10" s="536" t="str">
        <f>IF(ISBLANK(F10),"", F10*F9)</f>
        <v/>
      </c>
      <c r="H10" s="537">
        <v>30</v>
      </c>
      <c r="I10" s="536">
        <f>IF(ISBLANK(H10),"", H10*H9)</f>
        <v>256290</v>
      </c>
      <c r="J10" s="537">
        <v>0</v>
      </c>
      <c r="K10" s="536">
        <f>IF(ISBLANK(J10),"", J10*J9)</f>
        <v>0</v>
      </c>
      <c r="L10" s="538">
        <v>4</v>
      </c>
      <c r="M10" s="536">
        <f>IF(ISBLANK(L10),"", L10*L9)</f>
        <v>8544</v>
      </c>
      <c r="N10" s="539">
        <f t="shared" ref="N10:N16" si="0">SUM(C10,E10,G10,I10,K10,M10)</f>
        <v>264834</v>
      </c>
      <c r="O10" s="535">
        <v>0</v>
      </c>
      <c r="P10" s="536">
        <f>IF(ISBLANK(O10),"", O10*O9)</f>
        <v>0</v>
      </c>
      <c r="Q10" s="537">
        <v>0</v>
      </c>
      <c r="R10" s="536">
        <f>IF(ISBLANK(Q10),"", Q10*Q9)</f>
        <v>0</v>
      </c>
      <c r="S10" s="537"/>
      <c r="T10" s="536" t="str">
        <f>IF(ISBLANK(S10),"", S10*S9)</f>
        <v/>
      </c>
      <c r="U10" s="537">
        <v>98</v>
      </c>
      <c r="V10" s="536">
        <f>IF(ISBLANK(U10),"", U10*U9)</f>
        <v>837214</v>
      </c>
      <c r="W10" s="539">
        <f t="shared" ref="W10:W16" si="1">SUM(P10,R10,T10,V10)</f>
        <v>837214</v>
      </c>
      <c r="X10" s="537"/>
      <c r="Y10" s="536" t="str">
        <f>IF(ISBLANK(X10),"", X10*X9)</f>
        <v/>
      </c>
      <c r="Z10" s="537"/>
      <c r="AA10" s="536" t="str">
        <f>IF(ISBLANK(Z10),"", Z10*Z9)</f>
        <v/>
      </c>
      <c r="AB10" s="537"/>
      <c r="AC10" s="536" t="str">
        <f>IF(ISBLANK(AB10),"", AB10*AB9)</f>
        <v/>
      </c>
      <c r="AD10" s="537"/>
      <c r="AE10" s="536" t="str">
        <f>IF(ISBLANK(AD10),"", AD10*AD9)</f>
        <v/>
      </c>
      <c r="AF10" s="537"/>
      <c r="AG10" s="536" t="str">
        <f>IF(ISBLANK(AF10),"", AF10*AF9)</f>
        <v/>
      </c>
      <c r="AH10" s="538"/>
      <c r="AI10" s="536" t="str">
        <f>IF(ISBLANK(AH10),"", AH10*AH9)</f>
        <v/>
      </c>
      <c r="AJ10" s="538">
        <v>160</v>
      </c>
      <c r="AK10" s="536">
        <f>IF(ISBLANK(AJ10),"", AJ10*AJ9)</f>
        <v>3417120</v>
      </c>
      <c r="AL10" s="538">
        <v>0</v>
      </c>
      <c r="AM10" s="536">
        <f>IF(ISBLANK(AL10),"", AL10*AL9)</f>
        <v>0</v>
      </c>
      <c r="AN10" s="538">
        <v>0</v>
      </c>
      <c r="AO10" s="536">
        <f>IF(ISBLANK(AN10),"", AN10*AN9)</f>
        <v>0</v>
      </c>
      <c r="AP10" s="539">
        <f t="shared" ref="AP10:AP16" si="2">SUM(AO10,AM10,AK10,AI10,AG10,AE10,AC10,AA10,Y10)</f>
        <v>3417120</v>
      </c>
      <c r="AQ10" s="535"/>
      <c r="AR10" s="536" t="str">
        <f>IF(ISBLANK(AQ10),"", AQ10*AQ9)</f>
        <v/>
      </c>
      <c r="AS10" s="537"/>
      <c r="AT10" s="536" t="str">
        <f>IF(ISBLANK(AS10),"", AS10*AS9)</f>
        <v/>
      </c>
      <c r="AU10" s="537"/>
      <c r="AV10" s="536" t="str">
        <f>IF(ISBLANK(AU10),"", AU10*AU9)</f>
        <v/>
      </c>
      <c r="AW10" s="537"/>
      <c r="AX10" s="536" t="str">
        <f>IF(ISBLANK(AW10),"", AW10*AW9)</f>
        <v/>
      </c>
      <c r="AY10" s="538"/>
      <c r="AZ10" s="536" t="str">
        <f>IF(ISBLANK(AY10),"", AY10*AY9)</f>
        <v/>
      </c>
      <c r="BA10" s="538"/>
      <c r="BB10" s="536" t="str">
        <f>IF(ISBLANK(BA10),"", BA10*BA9)</f>
        <v/>
      </c>
      <c r="BC10" s="539">
        <f t="shared" ref="BC10:BC16" si="3">SUM(AR10,AT10,AV10,AX10,AZ10,BB10)</f>
        <v>0</v>
      </c>
      <c r="BD10" s="537"/>
      <c r="BE10" s="536" t="str">
        <f>IF(ISBLANK(BD10),"", BD10*BD9)</f>
        <v/>
      </c>
      <c r="BF10" s="537">
        <v>271</v>
      </c>
      <c r="BG10" s="536">
        <f>IF(ISBLANK(BF10),"", BF10*BF9)</f>
        <v>5787747</v>
      </c>
      <c r="BH10" s="539">
        <f t="shared" ref="BH10:BH16" si="4">SUM(BE10,BG10)</f>
        <v>5787747</v>
      </c>
      <c r="BI10" s="540">
        <f t="shared" ref="BI10:BI16" si="5">SUM(N10,W10,AP10,BC10,BH10)</f>
        <v>10306915</v>
      </c>
      <c r="BJ10" s="541">
        <f>BI10/BI29</f>
        <v>0.11965073121397214</v>
      </c>
    </row>
    <row r="11" spans="1:62" x14ac:dyDescent="0.25">
      <c r="A11" s="465" t="s">
        <v>55</v>
      </c>
      <c r="B11" s="538"/>
      <c r="C11" s="542" t="str">
        <f>IF(ISBLANK(B11),"", B11*B9)</f>
        <v/>
      </c>
      <c r="D11" s="538"/>
      <c r="E11" s="542" t="str">
        <f>IF(ISBLANK(D11),"", D11*D9)</f>
        <v/>
      </c>
      <c r="F11" s="543"/>
      <c r="G11" s="542" t="str">
        <f>IF(ISBLANK(F11),"", F11*F9)</f>
        <v/>
      </c>
      <c r="H11" s="543">
        <v>148</v>
      </c>
      <c r="I11" s="542">
        <f>IF(ISBLANK(H11),"", H11*H9)</f>
        <v>1264364</v>
      </c>
      <c r="J11" s="543">
        <v>6</v>
      </c>
      <c r="K11" s="542">
        <f>IF(ISBLANK(J11),"", J11*J9)</f>
        <v>25626</v>
      </c>
      <c r="L11" s="538">
        <v>0</v>
      </c>
      <c r="M11" s="542">
        <f>IF(ISBLANK(L11),"", L11*L9)</f>
        <v>0</v>
      </c>
      <c r="N11" s="539">
        <f t="shared" si="0"/>
        <v>1289990</v>
      </c>
      <c r="O11" s="538">
        <v>0</v>
      </c>
      <c r="P11" s="542">
        <f>IF(ISBLANK(O11),"", O11*O9)</f>
        <v>0</v>
      </c>
      <c r="Q11" s="543">
        <v>0</v>
      </c>
      <c r="R11" s="542">
        <f>IF(ISBLANK(Q11),"", Q11*Q9)</f>
        <v>0</v>
      </c>
      <c r="S11" s="543"/>
      <c r="T11" s="542" t="str">
        <f>IF(ISBLANK(S11),"", S11*S9)</f>
        <v/>
      </c>
      <c r="U11" s="543">
        <v>73</v>
      </c>
      <c r="V11" s="542">
        <f>IF(ISBLANK(U11),"", U11*U9)</f>
        <v>623639</v>
      </c>
      <c r="W11" s="539">
        <f t="shared" si="1"/>
        <v>623639</v>
      </c>
      <c r="X11" s="543"/>
      <c r="Y11" s="542" t="str">
        <f>IF(ISBLANK(X11),"", X11*X9)</f>
        <v/>
      </c>
      <c r="Z11" s="543"/>
      <c r="AA11" s="542" t="str">
        <f>IF(ISBLANK(Z11),"", Z11*Z9)</f>
        <v/>
      </c>
      <c r="AB11" s="543"/>
      <c r="AC11" s="542" t="str">
        <f>IF(ISBLANK(AB11),"", AB11*AB9)</f>
        <v/>
      </c>
      <c r="AD11" s="543">
        <v>21</v>
      </c>
      <c r="AE11" s="542">
        <f>IF(ISBLANK(AD11),"", AD11*AD9)</f>
        <v>179403</v>
      </c>
      <c r="AF11" s="543">
        <v>0</v>
      </c>
      <c r="AG11" s="542">
        <f>IF(ISBLANK(AF11),"", AF11*AF9)</f>
        <v>0</v>
      </c>
      <c r="AH11" s="538">
        <v>0</v>
      </c>
      <c r="AI11" s="542">
        <f>IF(ISBLANK(AH11),"", AH11*AH9)</f>
        <v>0</v>
      </c>
      <c r="AJ11" s="538"/>
      <c r="AK11" s="542" t="str">
        <f>IF(ISBLANK(AJ11),"", AJ11*AJ9)</f>
        <v/>
      </c>
      <c r="AL11" s="538"/>
      <c r="AM11" s="542" t="str">
        <f>IF(ISBLANK(AL11),"", AL11*AL9)</f>
        <v/>
      </c>
      <c r="AN11" s="538"/>
      <c r="AO11" s="542" t="str">
        <f>IF(ISBLANK(AN11),"", AN11*AN9)</f>
        <v/>
      </c>
      <c r="AP11" s="539">
        <f t="shared" si="2"/>
        <v>179403</v>
      </c>
      <c r="AQ11" s="538"/>
      <c r="AR11" s="542" t="str">
        <f>IF(ISBLANK(AQ11),"", AQ11*AQ9)</f>
        <v/>
      </c>
      <c r="AS11" s="543"/>
      <c r="AT11" s="542" t="str">
        <f>IF(ISBLANK(AS11),"", AS11*AS9)</f>
        <v/>
      </c>
      <c r="AU11" s="543">
        <v>39</v>
      </c>
      <c r="AV11" s="542">
        <f>IF(ISBLANK(AU11),"", AU11*AU9)</f>
        <v>16653</v>
      </c>
      <c r="AW11" s="543"/>
      <c r="AX11" s="542" t="str">
        <f>IF(ISBLANK(AW11),"", AW11*AW9)</f>
        <v/>
      </c>
      <c r="AY11" s="538">
        <v>42</v>
      </c>
      <c r="AZ11" s="542">
        <f>IF(ISBLANK(AY11),"", AY11*AY9)</f>
        <v>35868</v>
      </c>
      <c r="BA11" s="538">
        <v>40</v>
      </c>
      <c r="BB11" s="542">
        <f>IF(ISBLANK(BA11),"", BA11*BA9)</f>
        <v>68360</v>
      </c>
      <c r="BC11" s="539">
        <f t="shared" si="3"/>
        <v>120881</v>
      </c>
      <c r="BD11" s="543"/>
      <c r="BE11" s="542" t="str">
        <f>IF(ISBLANK(BD11),"", BD11*BD9)</f>
        <v/>
      </c>
      <c r="BF11" s="543">
        <v>30</v>
      </c>
      <c r="BG11" s="542">
        <f>IF(ISBLANK(BF11),"", BF11*BF9)</f>
        <v>640710</v>
      </c>
      <c r="BH11" s="539">
        <f t="shared" si="4"/>
        <v>640710</v>
      </c>
      <c r="BI11" s="540">
        <f t="shared" si="5"/>
        <v>2854623</v>
      </c>
      <c r="BJ11" s="541">
        <f>BI11/BI29</f>
        <v>3.3138696621658643E-2</v>
      </c>
    </row>
    <row r="12" spans="1:62" x14ac:dyDescent="0.25">
      <c r="A12" s="465" t="s">
        <v>56</v>
      </c>
      <c r="B12" s="538"/>
      <c r="C12" s="542" t="str">
        <f>IF(ISBLANK(B12),"", B12*B9)</f>
        <v/>
      </c>
      <c r="D12" s="538"/>
      <c r="E12" s="542" t="str">
        <f>IF(ISBLANK(D12),"", D12*D9)</f>
        <v/>
      </c>
      <c r="F12" s="543"/>
      <c r="G12" s="542" t="str">
        <f>IF(ISBLANK(F12),"", F12*F9)</f>
        <v/>
      </c>
      <c r="H12" s="543">
        <v>140</v>
      </c>
      <c r="I12" s="542">
        <f>IF(ISBLANK(H12),"", H12*H9)</f>
        <v>1196020</v>
      </c>
      <c r="J12" s="543">
        <v>0</v>
      </c>
      <c r="K12" s="542">
        <f>IF(ISBLANK(J12),"", J12*J9)</f>
        <v>0</v>
      </c>
      <c r="L12" s="538">
        <v>0</v>
      </c>
      <c r="M12" s="542">
        <f>IF(ISBLANK(L12),"", L12*L9)</f>
        <v>0</v>
      </c>
      <c r="N12" s="539">
        <f t="shared" si="0"/>
        <v>1196020</v>
      </c>
      <c r="O12" s="538">
        <v>0</v>
      </c>
      <c r="P12" s="542">
        <f>IF(ISBLANK(O12),"", O12*O9)</f>
        <v>0</v>
      </c>
      <c r="Q12" s="543">
        <v>0</v>
      </c>
      <c r="R12" s="542">
        <f>IF(ISBLANK(Q12),"", Q12*Q9)</f>
        <v>0</v>
      </c>
      <c r="S12" s="543"/>
      <c r="T12" s="542" t="str">
        <f>IF(ISBLANK(S12),"", S12*S9)</f>
        <v/>
      </c>
      <c r="U12" s="543">
        <v>74</v>
      </c>
      <c r="V12" s="542">
        <f>IF(ISBLANK(U12),"", U12*U9)</f>
        <v>632182</v>
      </c>
      <c r="W12" s="539">
        <f t="shared" si="1"/>
        <v>632182</v>
      </c>
      <c r="X12" s="543"/>
      <c r="Y12" s="542" t="str">
        <f>IF(ISBLANK(X12),"", X12*X9)</f>
        <v/>
      </c>
      <c r="Z12" s="543"/>
      <c r="AA12" s="542" t="str">
        <f>IF(ISBLANK(Z12),"", Z12*Z9)</f>
        <v/>
      </c>
      <c r="AB12" s="543"/>
      <c r="AC12" s="542" t="str">
        <f>IF(ISBLANK(AB12),"", AB12*AB9)</f>
        <v/>
      </c>
      <c r="AD12" s="543">
        <v>13</v>
      </c>
      <c r="AE12" s="542">
        <f>IF(ISBLANK(AD12),"", AD12*AD9)</f>
        <v>111059</v>
      </c>
      <c r="AF12" s="543">
        <v>0</v>
      </c>
      <c r="AG12" s="542">
        <f>IF(ISBLANK(AF12),"", AF12*AF9)</f>
        <v>0</v>
      </c>
      <c r="AH12" s="538">
        <v>0</v>
      </c>
      <c r="AI12" s="542">
        <f>IF(ISBLANK(AH12),"", AH12*AH9)</f>
        <v>0</v>
      </c>
      <c r="AJ12" s="538"/>
      <c r="AK12" s="542" t="str">
        <f>IF(ISBLANK(AJ12),"", AJ12*AJ9)</f>
        <v/>
      </c>
      <c r="AL12" s="538"/>
      <c r="AM12" s="542" t="str">
        <f>IF(ISBLANK(AL12),"", AL12*AL9)</f>
        <v/>
      </c>
      <c r="AN12" s="538"/>
      <c r="AO12" s="542" t="str">
        <f>IF(ISBLANK(AN12),"", AN12*AN9)</f>
        <v/>
      </c>
      <c r="AP12" s="539">
        <f t="shared" si="2"/>
        <v>111059</v>
      </c>
      <c r="AQ12" s="538"/>
      <c r="AR12" s="542" t="str">
        <f>IF(ISBLANK(AQ12),"", AQ12*AQ9)</f>
        <v/>
      </c>
      <c r="AS12" s="543"/>
      <c r="AT12" s="542" t="str">
        <f>IF(ISBLANK(AS12),"", AS12*AS9)</f>
        <v/>
      </c>
      <c r="AU12" s="543">
        <v>75</v>
      </c>
      <c r="AV12" s="542">
        <f>IF(ISBLANK(AU12),"", AU12*AU9)</f>
        <v>32025</v>
      </c>
      <c r="AW12" s="543"/>
      <c r="AX12" s="542" t="str">
        <f>IF(ISBLANK(AW12),"", AW12*AW9)</f>
        <v/>
      </c>
      <c r="AY12" s="538">
        <v>59</v>
      </c>
      <c r="AZ12" s="542">
        <f>IF(ISBLANK(AY12),"", AY12*AY9)</f>
        <v>50386</v>
      </c>
      <c r="BA12" s="538">
        <v>37</v>
      </c>
      <c r="BB12" s="542">
        <f>IF(ISBLANK(BA12),"", BA12*BA9)</f>
        <v>63233</v>
      </c>
      <c r="BC12" s="539">
        <f t="shared" si="3"/>
        <v>145644</v>
      </c>
      <c r="BD12" s="543"/>
      <c r="BE12" s="542" t="str">
        <f>IF(ISBLANK(BD12),"", BD12*BD9)</f>
        <v/>
      </c>
      <c r="BF12" s="543">
        <v>27</v>
      </c>
      <c r="BG12" s="542">
        <f>IF(ISBLANK(BF12),"", BF12*BF9)</f>
        <v>576639</v>
      </c>
      <c r="BH12" s="539">
        <f t="shared" si="4"/>
        <v>576639</v>
      </c>
      <c r="BI12" s="540">
        <f t="shared" si="5"/>
        <v>2661544</v>
      </c>
      <c r="BJ12" s="541">
        <f>BI12/BI29</f>
        <v>3.0897284566542005E-2</v>
      </c>
    </row>
    <row r="13" spans="1:62" x14ac:dyDescent="0.25">
      <c r="A13" s="465" t="s">
        <v>57</v>
      </c>
      <c r="B13" s="538"/>
      <c r="C13" s="542" t="str">
        <f>IF(ISBLANK(B13),"", B13*B9)</f>
        <v/>
      </c>
      <c r="D13" s="538"/>
      <c r="E13" s="542" t="str">
        <f>IF(ISBLANK(D13),"", D13*D9)</f>
        <v/>
      </c>
      <c r="F13" s="543"/>
      <c r="G13" s="542" t="str">
        <f>IF(ISBLANK(F13),"", F13*F9)</f>
        <v/>
      </c>
      <c r="H13" s="543">
        <v>79</v>
      </c>
      <c r="I13" s="542">
        <f>IF(ISBLANK(H13),"", H13*H9)</f>
        <v>674897</v>
      </c>
      <c r="J13" s="543">
        <v>0</v>
      </c>
      <c r="K13" s="542">
        <f>IF(ISBLANK(J13),"", J13*J9)</f>
        <v>0</v>
      </c>
      <c r="L13" s="538">
        <v>0</v>
      </c>
      <c r="M13" s="542">
        <f>IF(ISBLANK(L13),"", L13*L9)</f>
        <v>0</v>
      </c>
      <c r="N13" s="539">
        <f t="shared" si="0"/>
        <v>674897</v>
      </c>
      <c r="O13" s="538">
        <v>0</v>
      </c>
      <c r="P13" s="542">
        <f>IF(ISBLANK(O13),"", O13*O9)</f>
        <v>0</v>
      </c>
      <c r="Q13" s="543">
        <v>0</v>
      </c>
      <c r="R13" s="542">
        <f>IF(ISBLANK(Q13),"", Q13*Q9)</f>
        <v>0</v>
      </c>
      <c r="S13" s="543"/>
      <c r="T13" s="542" t="str">
        <f>IF(ISBLANK(S13),"", S13*S9)</f>
        <v/>
      </c>
      <c r="U13" s="543">
        <v>43</v>
      </c>
      <c r="V13" s="542">
        <f>IF(ISBLANK(U13),"", U13*U9)</f>
        <v>367349</v>
      </c>
      <c r="W13" s="539">
        <f t="shared" si="1"/>
        <v>367349</v>
      </c>
      <c r="X13" s="543"/>
      <c r="Y13" s="542" t="str">
        <f>IF(ISBLANK(X13),"", X13*X9)</f>
        <v/>
      </c>
      <c r="Z13" s="543"/>
      <c r="AA13" s="542" t="str">
        <f>IF(ISBLANK(Z13),"", Z13*Z9)</f>
        <v/>
      </c>
      <c r="AB13" s="543"/>
      <c r="AC13" s="542" t="str">
        <f>IF(ISBLANK(AB13),"", AB13*AB9)</f>
        <v/>
      </c>
      <c r="AD13" s="543">
        <v>16</v>
      </c>
      <c r="AE13" s="542">
        <f>IF(ISBLANK(AD13),"", AD13*AD9)</f>
        <v>136688</v>
      </c>
      <c r="AF13" s="543">
        <v>0</v>
      </c>
      <c r="AG13" s="542">
        <f>IF(ISBLANK(AF13),"", AF13*AF9)</f>
        <v>0</v>
      </c>
      <c r="AH13" s="538">
        <v>0</v>
      </c>
      <c r="AI13" s="542">
        <f>IF(ISBLANK(AH13),"", AH13*AH9)</f>
        <v>0</v>
      </c>
      <c r="AJ13" s="538"/>
      <c r="AK13" s="542" t="str">
        <f>IF(ISBLANK(AJ13),"", AJ13*AJ9)</f>
        <v/>
      </c>
      <c r="AL13" s="538"/>
      <c r="AM13" s="542" t="str">
        <f>IF(ISBLANK(AL13),"", AL13*AL9)</f>
        <v/>
      </c>
      <c r="AN13" s="538"/>
      <c r="AO13" s="542" t="str">
        <f>IF(ISBLANK(AN13),"", AN13*AN9)</f>
        <v/>
      </c>
      <c r="AP13" s="539">
        <f t="shared" si="2"/>
        <v>136688</v>
      </c>
      <c r="AQ13" s="538"/>
      <c r="AR13" s="542" t="str">
        <f>IF(ISBLANK(AQ13),"", AQ13*AQ9)</f>
        <v/>
      </c>
      <c r="AS13" s="543"/>
      <c r="AT13" s="542" t="str">
        <f>IF(ISBLANK(AS13),"", AS13*AS9)</f>
        <v/>
      </c>
      <c r="AU13" s="543">
        <v>83</v>
      </c>
      <c r="AV13" s="542">
        <f>IF(ISBLANK(AU13),"", AU13*AU9)</f>
        <v>35441</v>
      </c>
      <c r="AW13" s="543"/>
      <c r="AX13" s="542" t="str">
        <f>IF(ISBLANK(AW13),"", AW13*AW9)</f>
        <v/>
      </c>
      <c r="AY13" s="538">
        <v>70</v>
      </c>
      <c r="AZ13" s="542">
        <f>IF(ISBLANK(AY13),"", AY13*AY9)</f>
        <v>59780</v>
      </c>
      <c r="BA13" s="538">
        <v>42</v>
      </c>
      <c r="BB13" s="542">
        <f>IF(ISBLANK(BA13),"", BA13*BA9)</f>
        <v>71778</v>
      </c>
      <c r="BC13" s="539">
        <f t="shared" si="3"/>
        <v>166999</v>
      </c>
      <c r="BD13" s="543"/>
      <c r="BE13" s="542" t="str">
        <f>IF(ISBLANK(BD13),"", BD13*BD9)</f>
        <v/>
      </c>
      <c r="BF13" s="543">
        <v>32</v>
      </c>
      <c r="BG13" s="542">
        <f>IF(ISBLANK(BF13),"", BF13*BF9)</f>
        <v>683424</v>
      </c>
      <c r="BH13" s="539">
        <f t="shared" si="4"/>
        <v>683424</v>
      </c>
      <c r="BI13" s="540">
        <f t="shared" si="5"/>
        <v>2029357</v>
      </c>
      <c r="BJ13" s="541">
        <f>BI13/BI29</f>
        <v>2.3558363384600812E-2</v>
      </c>
    </row>
    <row r="14" spans="1:62" x14ac:dyDescent="0.25">
      <c r="A14" s="465" t="s">
        <v>58</v>
      </c>
      <c r="B14" s="538"/>
      <c r="C14" s="542" t="str">
        <f>IF(ISBLANK(B14),"", B14*B9)</f>
        <v/>
      </c>
      <c r="D14" s="538"/>
      <c r="E14" s="542" t="str">
        <f>IF(ISBLANK(D14),"", D14*D9)</f>
        <v/>
      </c>
      <c r="F14" s="543"/>
      <c r="G14" s="542" t="str">
        <f>IF(ISBLANK(F14),"", F14*F9)</f>
        <v/>
      </c>
      <c r="H14" s="543">
        <v>253</v>
      </c>
      <c r="I14" s="542">
        <f>IF(ISBLANK(H14),"", H14*H9)</f>
        <v>2161379</v>
      </c>
      <c r="J14" s="543">
        <v>0</v>
      </c>
      <c r="K14" s="542">
        <f>IF(ISBLANK(J14),"", J14*J9)</f>
        <v>0</v>
      </c>
      <c r="L14" s="538">
        <v>0</v>
      </c>
      <c r="M14" s="542">
        <f>IF(ISBLANK(L14),"", L14*L9)</f>
        <v>0</v>
      </c>
      <c r="N14" s="539">
        <f t="shared" si="0"/>
        <v>2161379</v>
      </c>
      <c r="O14" s="538">
        <v>0</v>
      </c>
      <c r="P14" s="542">
        <f>IF(ISBLANK(O14),"", O14*O9)</f>
        <v>0</v>
      </c>
      <c r="Q14" s="543">
        <v>0</v>
      </c>
      <c r="R14" s="542">
        <f>IF(ISBLANK(Q14),"", Q14*Q9)</f>
        <v>0</v>
      </c>
      <c r="S14" s="543"/>
      <c r="T14" s="542" t="str">
        <f>IF(ISBLANK(S14),"", S14*S9)</f>
        <v/>
      </c>
      <c r="U14" s="543">
        <v>186</v>
      </c>
      <c r="V14" s="542">
        <f>IF(ISBLANK(U14),"", U14*U9)</f>
        <v>1588998</v>
      </c>
      <c r="W14" s="539">
        <f t="shared" si="1"/>
        <v>1588998</v>
      </c>
      <c r="X14" s="543"/>
      <c r="Y14" s="542" t="str">
        <f>IF(ISBLANK(X14),"", X14*X9)</f>
        <v/>
      </c>
      <c r="Z14" s="543"/>
      <c r="AA14" s="542" t="str">
        <f>IF(ISBLANK(Z14),"", Z14*Z9)</f>
        <v/>
      </c>
      <c r="AB14" s="543"/>
      <c r="AC14" s="542" t="str">
        <f>IF(ISBLANK(AB14),"", AB14*AB9)</f>
        <v/>
      </c>
      <c r="AD14" s="543"/>
      <c r="AE14" s="542" t="str">
        <f>IF(ISBLANK(AD14),"", AD14*AD9)</f>
        <v/>
      </c>
      <c r="AF14" s="543"/>
      <c r="AG14" s="542" t="str">
        <f>IF(ISBLANK(AF14),"", AF14*AF9)</f>
        <v/>
      </c>
      <c r="AH14" s="538"/>
      <c r="AI14" s="542" t="str">
        <f>IF(ISBLANK(AH14),"", AH14*AH9)</f>
        <v/>
      </c>
      <c r="AJ14" s="538">
        <v>125</v>
      </c>
      <c r="AK14" s="542">
        <f>IF(ISBLANK(AJ14),"", AJ14*AJ9)</f>
        <v>2669625</v>
      </c>
      <c r="AL14" s="538">
        <v>0</v>
      </c>
      <c r="AM14" s="542">
        <f>IF(ISBLANK(AL14),"", AL14*AL9)</f>
        <v>0</v>
      </c>
      <c r="AN14" s="538">
        <v>5</v>
      </c>
      <c r="AO14" s="542">
        <f>IF(ISBLANK(AN14),"", AN14*AN9)</f>
        <v>26695</v>
      </c>
      <c r="AP14" s="539">
        <f t="shared" si="2"/>
        <v>2696320</v>
      </c>
      <c r="AQ14" s="538"/>
      <c r="AR14" s="542" t="str">
        <f>IF(ISBLANK(AQ14),"", AQ14*AQ9)</f>
        <v/>
      </c>
      <c r="AS14" s="543"/>
      <c r="AT14" s="542" t="str">
        <f>IF(ISBLANK(AS14),"", AS14*AS9)</f>
        <v/>
      </c>
      <c r="AU14" s="543"/>
      <c r="AV14" s="542" t="str">
        <f>IF(ISBLANK(AU14),"", AU14*AU9)</f>
        <v/>
      </c>
      <c r="AW14" s="543"/>
      <c r="AX14" s="542" t="str">
        <f>IF(ISBLANK(AW14),"", AW14*AW9)</f>
        <v/>
      </c>
      <c r="AY14" s="538"/>
      <c r="AZ14" s="542" t="str">
        <f>IF(ISBLANK(AY14),"", AY14*AY9)</f>
        <v/>
      </c>
      <c r="BA14" s="538"/>
      <c r="BB14" s="542" t="str">
        <f>IF(ISBLANK(BA14),"", BA14*BA9)</f>
        <v/>
      </c>
      <c r="BC14" s="539">
        <f t="shared" si="3"/>
        <v>0</v>
      </c>
      <c r="BD14" s="543"/>
      <c r="BE14" s="542" t="str">
        <f>IF(ISBLANK(BD14),"", BD14*BD9)</f>
        <v/>
      </c>
      <c r="BF14" s="543">
        <v>168</v>
      </c>
      <c r="BG14" s="542">
        <f>IF(ISBLANK(BF14),"", BF14*BF9)</f>
        <v>3587976</v>
      </c>
      <c r="BH14" s="539">
        <f t="shared" si="4"/>
        <v>3587976</v>
      </c>
      <c r="BI14" s="540">
        <f t="shared" si="5"/>
        <v>10034673</v>
      </c>
      <c r="BJ14" s="541">
        <f>BI14/BI29</f>
        <v>0.11649033313490055</v>
      </c>
    </row>
    <row r="15" spans="1:62" x14ac:dyDescent="0.25">
      <c r="A15" s="465" t="s">
        <v>59</v>
      </c>
      <c r="B15" s="538"/>
      <c r="C15" s="542" t="str">
        <f>IF(ISBLANK(B15),"", B15*B9)</f>
        <v/>
      </c>
      <c r="D15" s="538"/>
      <c r="E15" s="542" t="str">
        <f>IF(ISBLANK(D15),"", D15*D9)</f>
        <v/>
      </c>
      <c r="F15" s="543"/>
      <c r="G15" s="542" t="str">
        <f>IF(ISBLANK(F15),"", F15*F9)</f>
        <v/>
      </c>
      <c r="H15" s="543">
        <v>18</v>
      </c>
      <c r="I15" s="542">
        <f>IF(ISBLANK(H15),"", H15*H9)</f>
        <v>153774</v>
      </c>
      <c r="J15" s="543">
        <v>0</v>
      </c>
      <c r="K15" s="542">
        <f>IF(ISBLANK(J15),"", J15*J9)</f>
        <v>0</v>
      </c>
      <c r="L15" s="538">
        <v>0</v>
      </c>
      <c r="M15" s="542">
        <f>IF(ISBLANK(L15),"", L15*L9)</f>
        <v>0</v>
      </c>
      <c r="N15" s="539">
        <f t="shared" si="0"/>
        <v>153774</v>
      </c>
      <c r="O15" s="538">
        <v>0</v>
      </c>
      <c r="P15" s="542">
        <f>IF(ISBLANK(O15),"", O15*O9)</f>
        <v>0</v>
      </c>
      <c r="Q15" s="543">
        <v>0</v>
      </c>
      <c r="R15" s="542">
        <f>IF(ISBLANK(Q15),"", Q15*Q9)</f>
        <v>0</v>
      </c>
      <c r="S15" s="543"/>
      <c r="T15" s="542" t="str">
        <f>IF(ISBLANK(S15),"", S15*S9)</f>
        <v/>
      </c>
      <c r="U15" s="543">
        <v>42</v>
      </c>
      <c r="V15" s="542">
        <f>IF(ISBLANK(U15),"", U15*U9)</f>
        <v>358806</v>
      </c>
      <c r="W15" s="539">
        <f t="shared" si="1"/>
        <v>358806</v>
      </c>
      <c r="X15" s="543"/>
      <c r="Y15" s="542" t="str">
        <f>IF(ISBLANK(X15),"", X15*X9)</f>
        <v/>
      </c>
      <c r="Z15" s="543"/>
      <c r="AA15" s="542" t="str">
        <f>IF(ISBLANK(Z15),"", Z15*Z9)</f>
        <v/>
      </c>
      <c r="AB15" s="543"/>
      <c r="AC15" s="542" t="str">
        <f>IF(ISBLANK(AB15),"", AB15*AB9)</f>
        <v/>
      </c>
      <c r="AD15" s="543">
        <v>23</v>
      </c>
      <c r="AE15" s="542">
        <f>IF(ISBLANK(AD15),"", AD15*AD9)</f>
        <v>196489</v>
      </c>
      <c r="AF15" s="543">
        <v>0</v>
      </c>
      <c r="AG15" s="542">
        <f>IF(ISBLANK(AF15),"", AF15*AF9)</f>
        <v>0</v>
      </c>
      <c r="AH15" s="538">
        <v>0</v>
      </c>
      <c r="AI15" s="542">
        <f>IF(ISBLANK(AH15),"", AH15*AH9)</f>
        <v>0</v>
      </c>
      <c r="AJ15" s="538"/>
      <c r="AK15" s="542" t="str">
        <f>IF(ISBLANK(AJ15),"", AJ15*AJ9)</f>
        <v/>
      </c>
      <c r="AL15" s="538"/>
      <c r="AM15" s="542" t="str">
        <f>IF(ISBLANK(AL15),"", AL15*AL9)</f>
        <v/>
      </c>
      <c r="AN15" s="538"/>
      <c r="AO15" s="542" t="str">
        <f>IF(ISBLANK(AN15),"", AN15*AN9)</f>
        <v/>
      </c>
      <c r="AP15" s="539">
        <f t="shared" si="2"/>
        <v>196489</v>
      </c>
      <c r="AQ15" s="538"/>
      <c r="AR15" s="542" t="str">
        <f>IF(ISBLANK(AQ15),"", AQ15*AQ9)</f>
        <v/>
      </c>
      <c r="AS15" s="543"/>
      <c r="AT15" s="542" t="str">
        <f>IF(ISBLANK(AS15),"", AS15*AS9)</f>
        <v/>
      </c>
      <c r="AU15" s="543">
        <v>132</v>
      </c>
      <c r="AV15" s="542">
        <f>IF(ISBLANK(AU15),"", AU15*AU9)</f>
        <v>56364</v>
      </c>
      <c r="AW15" s="543"/>
      <c r="AX15" s="542" t="str">
        <f>IF(ISBLANK(AW15),"", AW15*AW9)</f>
        <v/>
      </c>
      <c r="AY15" s="538">
        <v>117</v>
      </c>
      <c r="AZ15" s="542">
        <f>IF(ISBLANK(AY15),"", AY15*AY9)</f>
        <v>99918</v>
      </c>
      <c r="BA15" s="538">
        <v>79</v>
      </c>
      <c r="BB15" s="542">
        <f>IF(ISBLANK(BA15),"", BA15*BA9)</f>
        <v>135011</v>
      </c>
      <c r="BC15" s="539">
        <f t="shared" si="3"/>
        <v>291293</v>
      </c>
      <c r="BD15" s="543"/>
      <c r="BE15" s="542" t="str">
        <f>IF(ISBLANK(BD15),"", BD15*BD9)</f>
        <v/>
      </c>
      <c r="BF15" s="543">
        <v>46</v>
      </c>
      <c r="BG15" s="542">
        <f>IF(ISBLANK(BF15),"", BF15*BF9)</f>
        <v>982422</v>
      </c>
      <c r="BH15" s="539">
        <f t="shared" si="4"/>
        <v>982422</v>
      </c>
      <c r="BI15" s="540">
        <f t="shared" si="5"/>
        <v>1982784</v>
      </c>
      <c r="BJ15" s="541">
        <f>BI15/BI29</f>
        <v>2.3017707571990703E-2</v>
      </c>
    </row>
    <row r="16" spans="1:62" ht="15.75" customHeight="1" thickBot="1" x14ac:dyDescent="0.3">
      <c r="A16" s="465" t="s">
        <v>60</v>
      </c>
      <c r="B16" s="538"/>
      <c r="C16" s="542" t="str">
        <f>IF(ISBLANK(B16),"", B16*B9)</f>
        <v/>
      </c>
      <c r="D16" s="538"/>
      <c r="E16" s="542" t="str">
        <f>IF(ISBLANK(D16),"", D16*D9)</f>
        <v/>
      </c>
      <c r="F16" s="543"/>
      <c r="G16" s="542" t="str">
        <f>IF(ISBLANK(F16),"", F16*F9)</f>
        <v/>
      </c>
      <c r="H16" s="543">
        <v>8</v>
      </c>
      <c r="I16" s="542">
        <f>IF(ISBLANK(H16),"", H16*H9)</f>
        <v>68344</v>
      </c>
      <c r="J16" s="543">
        <v>0</v>
      </c>
      <c r="K16" s="542">
        <f>IF(ISBLANK(J16),"", J16*J9)</f>
        <v>0</v>
      </c>
      <c r="L16" s="538">
        <v>0</v>
      </c>
      <c r="M16" s="542">
        <f>IF(ISBLANK(L16),"", L16*L9)</f>
        <v>0</v>
      </c>
      <c r="N16" s="539">
        <f t="shared" si="0"/>
        <v>68344</v>
      </c>
      <c r="O16" s="538">
        <v>0</v>
      </c>
      <c r="P16" s="542">
        <f>IF(ISBLANK(O16),"", O16*O9)</f>
        <v>0</v>
      </c>
      <c r="Q16" s="543">
        <v>0</v>
      </c>
      <c r="R16" s="542">
        <f>IF(ISBLANK(Q16),"", Q16*Q9)</f>
        <v>0</v>
      </c>
      <c r="S16" s="543"/>
      <c r="T16" s="542" t="str">
        <f>IF(ISBLANK(S16),"", S16*S9)</f>
        <v/>
      </c>
      <c r="U16" s="543">
        <v>33</v>
      </c>
      <c r="V16" s="542">
        <f>IF(ISBLANK(U16),"", U16*U9)</f>
        <v>281919</v>
      </c>
      <c r="W16" s="539">
        <f t="shared" si="1"/>
        <v>281919</v>
      </c>
      <c r="X16" s="543"/>
      <c r="Y16" s="542" t="str">
        <f>IF(ISBLANK(X16),"", X16*X9)</f>
        <v/>
      </c>
      <c r="Z16" s="543"/>
      <c r="AA16" s="542" t="str">
        <f>IF(ISBLANK(Z16),"", Z16*Z9)</f>
        <v/>
      </c>
      <c r="AB16" s="543"/>
      <c r="AC16" s="542" t="str">
        <f>IF(ISBLANK(AB16),"", AB16*AB9)</f>
        <v/>
      </c>
      <c r="AD16" s="543">
        <v>9</v>
      </c>
      <c r="AE16" s="542">
        <f>IF(ISBLANK(AD16),"", AD16*AD9)</f>
        <v>76887</v>
      </c>
      <c r="AF16" s="543">
        <v>0</v>
      </c>
      <c r="AG16" s="542">
        <f>IF(ISBLANK(AF16),"", AF16*AF9)</f>
        <v>0</v>
      </c>
      <c r="AH16" s="538">
        <v>0</v>
      </c>
      <c r="AI16" s="542">
        <f>IF(ISBLANK(AH16),"", AH16*AH9)</f>
        <v>0</v>
      </c>
      <c r="AJ16" s="538"/>
      <c r="AK16" s="542" t="str">
        <f>IF(ISBLANK(AJ16),"", AJ16*AJ9)</f>
        <v/>
      </c>
      <c r="AL16" s="538"/>
      <c r="AM16" s="542" t="str">
        <f>IF(ISBLANK(AL16),"", AL16*AL9)</f>
        <v/>
      </c>
      <c r="AN16" s="538"/>
      <c r="AO16" s="542" t="str">
        <f>IF(ISBLANK(AN16),"", AN16*AN9)</f>
        <v/>
      </c>
      <c r="AP16" s="539">
        <f t="shared" si="2"/>
        <v>76887</v>
      </c>
      <c r="AQ16" s="538"/>
      <c r="AR16" s="542" t="str">
        <f>IF(ISBLANK(AQ16),"", AQ16*AQ9)</f>
        <v/>
      </c>
      <c r="AS16" s="543"/>
      <c r="AT16" s="542" t="str">
        <f>IF(ISBLANK(AS16),"", AS16*AS9)</f>
        <v/>
      </c>
      <c r="AU16" s="543">
        <v>52</v>
      </c>
      <c r="AV16" s="542">
        <f>IF(ISBLANK(AU16),"", AU16*AU9)</f>
        <v>22204</v>
      </c>
      <c r="AW16" s="543"/>
      <c r="AX16" s="542" t="str">
        <f>IF(ISBLANK(AW16),"", AW16*AW9)</f>
        <v/>
      </c>
      <c r="AY16" s="538">
        <v>86</v>
      </c>
      <c r="AZ16" s="542">
        <f>IF(ISBLANK(AY16),"", AY16*AY9)</f>
        <v>73444</v>
      </c>
      <c r="BA16" s="538">
        <v>52</v>
      </c>
      <c r="BB16" s="542">
        <f>IF(ISBLANK(BA16),"", BA16*BA9)</f>
        <v>88868</v>
      </c>
      <c r="BC16" s="539">
        <f t="shared" si="3"/>
        <v>184516</v>
      </c>
      <c r="BD16" s="543"/>
      <c r="BE16" s="542" t="str">
        <f>IF(ISBLANK(BD16),"", BD16*BD9)</f>
        <v/>
      </c>
      <c r="BF16" s="543">
        <v>49</v>
      </c>
      <c r="BG16" s="542">
        <f>IF(ISBLANK(BF16),"", BF16*BF9)</f>
        <v>1046493</v>
      </c>
      <c r="BH16" s="539">
        <f t="shared" si="4"/>
        <v>1046493</v>
      </c>
      <c r="BI16" s="544">
        <f t="shared" si="5"/>
        <v>1658159</v>
      </c>
      <c r="BJ16" s="545">
        <f>BI16/BI29</f>
        <v>1.924920665582561E-2</v>
      </c>
    </row>
    <row r="17" spans="1:62" ht="15.75" customHeight="1" thickTop="1" x14ac:dyDescent="0.25">
      <c r="A17" s="546" t="s">
        <v>132</v>
      </c>
      <c r="B17" s="547" t="str">
        <f t="shared" ref="B17:M17" si="6">IF(COUNT(B10:B16) = 0, "", SUM(B10:B16))</f>
        <v/>
      </c>
      <c r="C17" s="548" t="str">
        <f t="shared" si="6"/>
        <v/>
      </c>
      <c r="D17" s="547" t="str">
        <f t="shared" si="6"/>
        <v/>
      </c>
      <c r="E17" s="548" t="str">
        <f t="shared" si="6"/>
        <v/>
      </c>
      <c r="F17" s="549" t="str">
        <f t="shared" si="6"/>
        <v/>
      </c>
      <c r="G17" s="548" t="str">
        <f t="shared" si="6"/>
        <v/>
      </c>
      <c r="H17" s="549">
        <f t="shared" si="6"/>
        <v>676</v>
      </c>
      <c r="I17" s="548">
        <f t="shared" si="6"/>
        <v>5775068</v>
      </c>
      <c r="J17" s="549">
        <f t="shared" si="6"/>
        <v>6</v>
      </c>
      <c r="K17" s="548">
        <f t="shared" si="6"/>
        <v>25626</v>
      </c>
      <c r="L17" s="547">
        <f t="shared" si="6"/>
        <v>4</v>
      </c>
      <c r="M17" s="548">
        <f t="shared" si="6"/>
        <v>8544</v>
      </c>
      <c r="N17" s="550">
        <f>SUM(N10:N16)</f>
        <v>5809238</v>
      </c>
      <c r="O17" s="547">
        <f t="shared" ref="O17:V17" si="7">IF(COUNT(O10:O16) = 0, "", SUM(O10:O16))</f>
        <v>0</v>
      </c>
      <c r="P17" s="548">
        <f t="shared" si="7"/>
        <v>0</v>
      </c>
      <c r="Q17" s="549">
        <f t="shared" si="7"/>
        <v>0</v>
      </c>
      <c r="R17" s="548">
        <f t="shared" si="7"/>
        <v>0</v>
      </c>
      <c r="S17" s="549" t="str">
        <f t="shared" si="7"/>
        <v/>
      </c>
      <c r="T17" s="548" t="str">
        <f t="shared" si="7"/>
        <v/>
      </c>
      <c r="U17" s="549">
        <f t="shared" si="7"/>
        <v>549</v>
      </c>
      <c r="V17" s="548">
        <f t="shared" si="7"/>
        <v>4690107</v>
      </c>
      <c r="W17" s="550">
        <f>SUM(W10:W16)</f>
        <v>4690107</v>
      </c>
      <c r="X17" s="549" t="str">
        <f t="shared" ref="X17:AO17" si="8">IF(COUNT(X10:X16) = 0, "", SUM(X10:X16))</f>
        <v/>
      </c>
      <c r="Y17" s="548" t="str">
        <f t="shared" si="8"/>
        <v/>
      </c>
      <c r="Z17" s="549" t="str">
        <f t="shared" si="8"/>
        <v/>
      </c>
      <c r="AA17" s="548" t="str">
        <f t="shared" si="8"/>
        <v/>
      </c>
      <c r="AB17" s="549" t="str">
        <f t="shared" si="8"/>
        <v/>
      </c>
      <c r="AC17" s="548" t="str">
        <f t="shared" si="8"/>
        <v/>
      </c>
      <c r="AD17" s="549">
        <f t="shared" si="8"/>
        <v>82</v>
      </c>
      <c r="AE17" s="548">
        <f t="shared" si="8"/>
        <v>700526</v>
      </c>
      <c r="AF17" s="549">
        <f t="shared" si="8"/>
        <v>0</v>
      </c>
      <c r="AG17" s="548">
        <f t="shared" si="8"/>
        <v>0</v>
      </c>
      <c r="AH17" s="547">
        <f t="shared" si="8"/>
        <v>0</v>
      </c>
      <c r="AI17" s="548">
        <f t="shared" si="8"/>
        <v>0</v>
      </c>
      <c r="AJ17" s="547">
        <f t="shared" si="8"/>
        <v>285</v>
      </c>
      <c r="AK17" s="548">
        <f t="shared" si="8"/>
        <v>6086745</v>
      </c>
      <c r="AL17" s="547">
        <f t="shared" si="8"/>
        <v>0</v>
      </c>
      <c r="AM17" s="548">
        <f t="shared" si="8"/>
        <v>0</v>
      </c>
      <c r="AN17" s="547">
        <f t="shared" si="8"/>
        <v>5</v>
      </c>
      <c r="AO17" s="548">
        <f t="shared" si="8"/>
        <v>26695</v>
      </c>
      <c r="AP17" s="550">
        <f>SUM(AP10:AP16)</f>
        <v>6813966</v>
      </c>
      <c r="AQ17" s="547" t="str">
        <f t="shared" ref="AQ17:BB17" si="9">IF(COUNT(AQ10:AQ16) = 0, "", SUM(AQ10:AQ16))</f>
        <v/>
      </c>
      <c r="AR17" s="548" t="str">
        <f t="shared" si="9"/>
        <v/>
      </c>
      <c r="AS17" s="549" t="str">
        <f t="shared" si="9"/>
        <v/>
      </c>
      <c r="AT17" s="548" t="str">
        <f t="shared" si="9"/>
        <v/>
      </c>
      <c r="AU17" s="549">
        <f t="shared" si="9"/>
        <v>381</v>
      </c>
      <c r="AV17" s="548">
        <f t="shared" si="9"/>
        <v>162687</v>
      </c>
      <c r="AW17" s="549" t="str">
        <f t="shared" si="9"/>
        <v/>
      </c>
      <c r="AX17" s="548" t="str">
        <f t="shared" si="9"/>
        <v/>
      </c>
      <c r="AY17" s="547">
        <f t="shared" si="9"/>
        <v>374</v>
      </c>
      <c r="AZ17" s="548">
        <f t="shared" si="9"/>
        <v>319396</v>
      </c>
      <c r="BA17" s="547">
        <f t="shared" si="9"/>
        <v>250</v>
      </c>
      <c r="BB17" s="548">
        <f t="shared" si="9"/>
        <v>427250</v>
      </c>
      <c r="BC17" s="550">
        <f>SUM(BC10:BC16)</f>
        <v>909333</v>
      </c>
      <c r="BD17" s="549" t="str">
        <f>IF(COUNT(BD10:BD16) = 0, "", SUM(BD10:BD16))</f>
        <v/>
      </c>
      <c r="BE17" s="548" t="str">
        <f>IF(COUNT(BE10:BE16) = 0, "", SUM(BE10:BE16))</f>
        <v/>
      </c>
      <c r="BF17" s="549">
        <f>IF(COUNT(BF10:BF16) = 0, "", SUM(BF10:BF16))</f>
        <v>623</v>
      </c>
      <c r="BG17" s="548">
        <f>IF(COUNT(BG10:BG16) = 0, "", SUM(BG10:BG16))</f>
        <v>13305411</v>
      </c>
      <c r="BH17" s="550">
        <f>SUM(BH10:BH16)</f>
        <v>13305411</v>
      </c>
      <c r="BI17" s="551">
        <f>SUM(BI10:BI16)</f>
        <v>31528055</v>
      </c>
      <c r="BJ17" s="552">
        <f>BI17/BI29</f>
        <v>0.36600232314949049</v>
      </c>
    </row>
    <row r="18" spans="1:62" x14ac:dyDescent="0.25">
      <c r="A18" s="553"/>
      <c r="B18" s="554"/>
      <c r="C18" s="555"/>
      <c r="D18" s="556"/>
      <c r="E18" s="556"/>
      <c r="F18" s="557"/>
      <c r="G18" s="555"/>
      <c r="H18" s="557"/>
      <c r="I18" s="555"/>
      <c r="J18" s="557"/>
      <c r="K18" s="555"/>
      <c r="L18" s="554"/>
      <c r="M18" s="555"/>
      <c r="N18" s="558"/>
      <c r="O18" s="554"/>
      <c r="P18" s="555"/>
      <c r="Q18" s="556"/>
      <c r="R18" s="556"/>
      <c r="S18" s="557"/>
      <c r="T18" s="555"/>
      <c r="U18" s="557"/>
      <c r="V18" s="555"/>
      <c r="W18" s="558"/>
      <c r="X18" s="557"/>
      <c r="Y18" s="555"/>
      <c r="Z18" s="557"/>
      <c r="AA18" s="555"/>
      <c r="AB18" s="557"/>
      <c r="AC18" s="555"/>
      <c r="AD18" s="557"/>
      <c r="AE18" s="555"/>
      <c r="AF18" s="557"/>
      <c r="AG18" s="555"/>
      <c r="AH18" s="554"/>
      <c r="AI18" s="555"/>
      <c r="AJ18" s="554"/>
      <c r="AK18" s="555"/>
      <c r="AL18" s="554"/>
      <c r="AM18" s="555"/>
      <c r="AN18" s="554"/>
      <c r="AO18" s="555"/>
      <c r="AP18" s="558"/>
      <c r="AQ18" s="554"/>
      <c r="AR18" s="555"/>
      <c r="AS18" s="557"/>
      <c r="AT18" s="555"/>
      <c r="AU18" s="557"/>
      <c r="AV18" s="555"/>
      <c r="AW18" s="557"/>
      <c r="AX18" s="555"/>
      <c r="AY18" s="554"/>
      <c r="AZ18" s="555"/>
      <c r="BA18" s="554"/>
      <c r="BB18" s="555"/>
      <c r="BC18" s="558"/>
      <c r="BD18" s="557"/>
      <c r="BE18" s="555"/>
      <c r="BF18" s="557"/>
      <c r="BG18" s="555"/>
      <c r="BH18" s="558"/>
      <c r="BI18" s="559"/>
      <c r="BJ18" s="560"/>
    </row>
    <row r="19" spans="1:62" x14ac:dyDescent="0.25">
      <c r="A19" s="465" t="s">
        <v>66</v>
      </c>
      <c r="B19" s="538"/>
      <c r="C19" s="542" t="str">
        <f>IF(ISBLANK(B19),"", B19*B9)</f>
        <v/>
      </c>
      <c r="D19" s="538"/>
      <c r="E19" s="542" t="str">
        <f>IF(ISBLANK(D19),"", D19*D9)</f>
        <v/>
      </c>
      <c r="F19" s="543"/>
      <c r="G19" s="542" t="str">
        <f>IF(ISBLANK(F19),"", F19*F9)</f>
        <v/>
      </c>
      <c r="H19" s="543">
        <v>0</v>
      </c>
      <c r="I19" s="542">
        <f>IF(ISBLANK(H19),"", H19*H9)</f>
        <v>0</v>
      </c>
      <c r="J19" s="543">
        <v>53</v>
      </c>
      <c r="K19" s="542">
        <f>IF(ISBLANK(J19),"", J19*J9)</f>
        <v>226363</v>
      </c>
      <c r="L19" s="538">
        <v>0</v>
      </c>
      <c r="M19" s="542">
        <f>IF(ISBLANK(L19),"", L19*L9)</f>
        <v>0</v>
      </c>
      <c r="N19" s="539">
        <f>SUM(C19,E19,G19,I19,K19,M19)</f>
        <v>226363</v>
      </c>
      <c r="O19" s="538">
        <v>0</v>
      </c>
      <c r="P19" s="542">
        <f>IF(ISBLANK(O19),"", O19*O9)</f>
        <v>0</v>
      </c>
      <c r="Q19" s="543">
        <v>0</v>
      </c>
      <c r="R19" s="542">
        <f>IF(ISBLANK(Q19),"", Q19*Q9)</f>
        <v>0</v>
      </c>
      <c r="S19" s="543"/>
      <c r="T19" s="542" t="str">
        <f>IF(ISBLANK(S19),"", S19*S9)</f>
        <v/>
      </c>
      <c r="U19" s="543">
        <v>110</v>
      </c>
      <c r="V19" s="542">
        <f>IF(ISBLANK(U19),"", U19*U9)</f>
        <v>939730</v>
      </c>
      <c r="W19" s="539">
        <f>SUM(P19,R19,T19,V19)</f>
        <v>939730</v>
      </c>
      <c r="X19" s="543"/>
      <c r="Y19" s="542" t="str">
        <f>IF(ISBLANK(X19),"", X19*X9)</f>
        <v/>
      </c>
      <c r="Z19" s="543"/>
      <c r="AA19" s="542" t="str">
        <f>IF(ISBLANK(Z19),"", Z19*Z9)</f>
        <v/>
      </c>
      <c r="AB19" s="543"/>
      <c r="AC19" s="542" t="str">
        <f>IF(ISBLANK(AB19),"", AB19*AB9)</f>
        <v/>
      </c>
      <c r="AD19" s="543"/>
      <c r="AE19" s="542" t="str">
        <f>IF(ISBLANK(AD19),"", AD19*AD9)</f>
        <v/>
      </c>
      <c r="AF19" s="543"/>
      <c r="AG19" s="542" t="str">
        <f>IF(ISBLANK(AF19),"", AF19*AF9)</f>
        <v/>
      </c>
      <c r="AH19" s="538"/>
      <c r="AI19" s="542" t="str">
        <f>IF(ISBLANK(AH19),"", AH19*AH9)</f>
        <v/>
      </c>
      <c r="AJ19" s="538">
        <v>81</v>
      </c>
      <c r="AK19" s="542">
        <f>IF(ISBLANK(AJ19),"", AJ19*AJ9)</f>
        <v>1729917</v>
      </c>
      <c r="AL19" s="538">
        <v>0</v>
      </c>
      <c r="AM19" s="542">
        <f>IF(ISBLANK(AL19),"", AL19*AL9)</f>
        <v>0</v>
      </c>
      <c r="AN19" s="538">
        <v>3</v>
      </c>
      <c r="AO19" s="542">
        <f>IF(ISBLANK(AN19),"", AN19*AN9)</f>
        <v>16017</v>
      </c>
      <c r="AP19" s="539">
        <f>SUM(AO19,AM19,AK19,AI19,AG19,AE19,AC19,AA19,Y19)</f>
        <v>1745934</v>
      </c>
      <c r="AQ19" s="538"/>
      <c r="AR19" s="542" t="str">
        <f>IF(ISBLANK(AQ19),"", AQ19*AQ9)</f>
        <v/>
      </c>
      <c r="AS19" s="543"/>
      <c r="AT19" s="542" t="str">
        <f>IF(ISBLANK(AS19),"", AS19*AS9)</f>
        <v/>
      </c>
      <c r="AU19" s="543"/>
      <c r="AV19" s="542" t="str">
        <f>IF(ISBLANK(AU19),"", AU19*AU9)</f>
        <v/>
      </c>
      <c r="AW19" s="543"/>
      <c r="AX19" s="542" t="str">
        <f>IF(ISBLANK(AW19),"", AW19*AW9)</f>
        <v/>
      </c>
      <c r="AY19" s="538"/>
      <c r="AZ19" s="542" t="str">
        <f>IF(ISBLANK(AY19),"", AY19*AY9)</f>
        <v/>
      </c>
      <c r="BA19" s="538"/>
      <c r="BB19" s="542" t="str">
        <f>IF(ISBLANK(BA19),"", BA19*BA9)</f>
        <v/>
      </c>
      <c r="BC19" s="539">
        <f>SUM(AR19,AT19,AV19,AX19,AZ19,BB19)</f>
        <v>0</v>
      </c>
      <c r="BD19" s="543"/>
      <c r="BE19" s="542" t="str">
        <f>IF(ISBLANK(BD19),"", BD19*BD9)</f>
        <v/>
      </c>
      <c r="BF19" s="543">
        <v>382</v>
      </c>
      <c r="BG19" s="542">
        <f>IF(ISBLANK(BF19),"", BF19*BF9)</f>
        <v>8158374</v>
      </c>
      <c r="BH19" s="539">
        <f>SUM(BE19,BG19)</f>
        <v>8158374</v>
      </c>
      <c r="BI19" s="540">
        <f>SUM(N19,W19,AP19,BC19,BH19)</f>
        <v>11070401</v>
      </c>
      <c r="BJ19" s="541">
        <f>BI19/BI29</f>
        <v>0.12851387388776259</v>
      </c>
    </row>
    <row r="20" spans="1:62" x14ac:dyDescent="0.25">
      <c r="A20" s="465" t="s">
        <v>67</v>
      </c>
      <c r="B20" s="538"/>
      <c r="C20" s="542" t="str">
        <f>IF(ISBLANK(B20),"", B20*B9)</f>
        <v/>
      </c>
      <c r="D20" s="538"/>
      <c r="E20" s="542" t="str">
        <f>IF(ISBLANK(D20),"", D20*D9)</f>
        <v/>
      </c>
      <c r="F20" s="543"/>
      <c r="G20" s="542" t="str">
        <f>IF(ISBLANK(F20),"", F20*F9)</f>
        <v/>
      </c>
      <c r="H20" s="543">
        <v>15</v>
      </c>
      <c r="I20" s="542">
        <f>IF(ISBLANK(H20),"", H20*H9)</f>
        <v>128145</v>
      </c>
      <c r="J20" s="543">
        <v>0</v>
      </c>
      <c r="K20" s="542">
        <f>IF(ISBLANK(J20),"", J20*J9)</f>
        <v>0</v>
      </c>
      <c r="L20" s="538">
        <v>0</v>
      </c>
      <c r="M20" s="542">
        <f>IF(ISBLANK(L20),"", L20*L9)</f>
        <v>0</v>
      </c>
      <c r="N20" s="539">
        <f>SUM(C20,E20,G20,I20,K20,M20)</f>
        <v>128145</v>
      </c>
      <c r="O20" s="538">
        <v>0</v>
      </c>
      <c r="P20" s="542">
        <f>IF(ISBLANK(O20),"", O20*O9)</f>
        <v>0</v>
      </c>
      <c r="Q20" s="543">
        <v>0</v>
      </c>
      <c r="R20" s="542">
        <f>IF(ISBLANK(Q20),"", Q20*Q9)</f>
        <v>0</v>
      </c>
      <c r="S20" s="543"/>
      <c r="T20" s="542" t="str">
        <f>IF(ISBLANK(S20),"", S20*S9)</f>
        <v/>
      </c>
      <c r="U20" s="543">
        <v>78</v>
      </c>
      <c r="V20" s="542">
        <f>IF(ISBLANK(U20),"", U20*U9)</f>
        <v>666354</v>
      </c>
      <c r="W20" s="539">
        <f>SUM(P20,R20,T20,V20)</f>
        <v>666354</v>
      </c>
      <c r="X20" s="543"/>
      <c r="Y20" s="542" t="str">
        <f>IF(ISBLANK(X20),"", X20*X9)</f>
        <v/>
      </c>
      <c r="Z20" s="543"/>
      <c r="AA20" s="542" t="str">
        <f>IF(ISBLANK(Z20),"", Z20*Z9)</f>
        <v/>
      </c>
      <c r="AB20" s="543"/>
      <c r="AC20" s="542" t="str">
        <f>IF(ISBLANK(AB20),"", AB20*AB9)</f>
        <v/>
      </c>
      <c r="AD20" s="543">
        <v>39</v>
      </c>
      <c r="AE20" s="542">
        <f>IF(ISBLANK(AD20),"", AD20*AD9)</f>
        <v>333177</v>
      </c>
      <c r="AF20" s="543">
        <v>0</v>
      </c>
      <c r="AG20" s="542">
        <f>IF(ISBLANK(AF20),"", AF20*AF9)</f>
        <v>0</v>
      </c>
      <c r="AH20" s="538">
        <v>0</v>
      </c>
      <c r="AI20" s="542">
        <f>IF(ISBLANK(AH20),"", AH20*AH9)</f>
        <v>0</v>
      </c>
      <c r="AJ20" s="538"/>
      <c r="AK20" s="542" t="str">
        <f>IF(ISBLANK(AJ20),"", AJ20*AJ9)</f>
        <v/>
      </c>
      <c r="AL20" s="538"/>
      <c r="AM20" s="542" t="str">
        <f>IF(ISBLANK(AL20),"", AL20*AL9)</f>
        <v/>
      </c>
      <c r="AN20" s="538"/>
      <c r="AO20" s="542" t="str">
        <f>IF(ISBLANK(AN20),"", AN20*AN9)</f>
        <v/>
      </c>
      <c r="AP20" s="539">
        <f>SUM(AO20,AM20,AK20,AI20,AG20,AE20,AC20,AA20,Y20)</f>
        <v>333177</v>
      </c>
      <c r="AQ20" s="538"/>
      <c r="AR20" s="542" t="str">
        <f>IF(ISBLANK(AQ20),"", AQ20*AQ9)</f>
        <v/>
      </c>
      <c r="AS20" s="543"/>
      <c r="AT20" s="542" t="str">
        <f>IF(ISBLANK(AS20),"", AS20*AS9)</f>
        <v/>
      </c>
      <c r="AU20" s="543">
        <v>158</v>
      </c>
      <c r="AV20" s="542">
        <f>IF(ISBLANK(AU20),"", AU20*AU9)</f>
        <v>67466</v>
      </c>
      <c r="AW20" s="543"/>
      <c r="AX20" s="542" t="str">
        <f>IF(ISBLANK(AW20),"", AW20*AW9)</f>
        <v/>
      </c>
      <c r="AY20" s="538">
        <v>231</v>
      </c>
      <c r="AZ20" s="542">
        <f>IF(ISBLANK(AY20),"", AY20*AY9)</f>
        <v>197274</v>
      </c>
      <c r="BA20" s="538">
        <v>186</v>
      </c>
      <c r="BB20" s="542">
        <f>IF(ISBLANK(BA20),"", BA20*BA9)</f>
        <v>317874</v>
      </c>
      <c r="BC20" s="539">
        <f>SUM(AR20,AT20,AV20,AX20,AZ20,BB20)</f>
        <v>582614</v>
      </c>
      <c r="BD20" s="543"/>
      <c r="BE20" s="542" t="str">
        <f>IF(ISBLANK(BD20),"", BD20*BD9)</f>
        <v/>
      </c>
      <c r="BF20" s="543">
        <v>156</v>
      </c>
      <c r="BG20" s="542">
        <f>IF(ISBLANK(BF20),"", BF20*BF9)</f>
        <v>3331692</v>
      </c>
      <c r="BH20" s="539">
        <f>SUM(BE20,BG20)</f>
        <v>3331692</v>
      </c>
      <c r="BI20" s="540">
        <f>SUM(N20,W20,AP20,BC20,BH20)</f>
        <v>5041982</v>
      </c>
      <c r="BJ20" s="541">
        <f>BI20/BI29</f>
        <v>5.8531270808742063E-2</v>
      </c>
    </row>
    <row r="21" spans="1:62" ht="15.75" customHeight="1" thickBot="1" x14ac:dyDescent="0.3">
      <c r="A21" s="465" t="s">
        <v>69</v>
      </c>
      <c r="B21" s="538"/>
      <c r="C21" s="542" t="str">
        <f>IF(ISBLANK(B21),"", B21*B9)</f>
        <v/>
      </c>
      <c r="D21" s="538"/>
      <c r="E21" s="542" t="str">
        <f>IF(ISBLANK(D21),"", D21*D9)</f>
        <v/>
      </c>
      <c r="F21" s="543"/>
      <c r="G21" s="542" t="str">
        <f>IF(ISBLANK(F21),"", F21*F9)</f>
        <v/>
      </c>
      <c r="H21" s="543">
        <v>37</v>
      </c>
      <c r="I21" s="542">
        <f>IF(ISBLANK(H21),"", H21*H9)</f>
        <v>316091</v>
      </c>
      <c r="J21" s="543">
        <v>0</v>
      </c>
      <c r="K21" s="542">
        <f>IF(ISBLANK(J21),"", J21*J9)</f>
        <v>0</v>
      </c>
      <c r="L21" s="538">
        <v>0</v>
      </c>
      <c r="M21" s="542">
        <f>IF(ISBLANK(L21),"", L21*L9)</f>
        <v>0</v>
      </c>
      <c r="N21" s="539">
        <f>SUM(C21,E21,G21,I21,K21,M21)</f>
        <v>316091</v>
      </c>
      <c r="O21" s="538">
        <v>0</v>
      </c>
      <c r="P21" s="542">
        <f>IF(ISBLANK(O21),"", O21*O9)</f>
        <v>0</v>
      </c>
      <c r="Q21" s="543">
        <v>0</v>
      </c>
      <c r="R21" s="542">
        <f>IF(ISBLANK(Q21),"", Q21*Q9)</f>
        <v>0</v>
      </c>
      <c r="S21" s="543"/>
      <c r="T21" s="542" t="str">
        <f>IF(ISBLANK(S21),"", S21*S9)</f>
        <v/>
      </c>
      <c r="U21" s="543">
        <v>26</v>
      </c>
      <c r="V21" s="542">
        <f>IF(ISBLANK(U21),"", U21*U9)</f>
        <v>222118</v>
      </c>
      <c r="W21" s="539">
        <f>SUM(P21,R21,T21,V21)</f>
        <v>222118</v>
      </c>
      <c r="X21" s="543"/>
      <c r="Y21" s="542" t="str">
        <f>IF(ISBLANK(X21),"", X21*X9)</f>
        <v/>
      </c>
      <c r="Z21" s="543"/>
      <c r="AA21" s="542" t="str">
        <f>IF(ISBLANK(Z21),"", Z21*Z9)</f>
        <v/>
      </c>
      <c r="AB21" s="543"/>
      <c r="AC21" s="542" t="str">
        <f>IF(ISBLANK(AB21),"", AB21*AB9)</f>
        <v/>
      </c>
      <c r="AD21" s="543">
        <v>36</v>
      </c>
      <c r="AE21" s="542">
        <f>IF(ISBLANK(AD21),"", AD21*AD9)</f>
        <v>307548</v>
      </c>
      <c r="AF21" s="543">
        <v>0</v>
      </c>
      <c r="AG21" s="542">
        <f>IF(ISBLANK(AF21),"", AF21*AF9)</f>
        <v>0</v>
      </c>
      <c r="AH21" s="538">
        <v>0</v>
      </c>
      <c r="AI21" s="542">
        <f>IF(ISBLANK(AH21),"", AH21*AH9)</f>
        <v>0</v>
      </c>
      <c r="AJ21" s="538"/>
      <c r="AK21" s="542" t="str">
        <f>IF(ISBLANK(AJ21),"", AJ21*AJ9)</f>
        <v/>
      </c>
      <c r="AL21" s="538"/>
      <c r="AM21" s="542" t="str">
        <f>IF(ISBLANK(AL21),"", AL21*AL9)</f>
        <v/>
      </c>
      <c r="AN21" s="538"/>
      <c r="AO21" s="542" t="str">
        <f>IF(ISBLANK(AN21),"", AN21*AN9)</f>
        <v/>
      </c>
      <c r="AP21" s="539">
        <f>SUM(AO21,AM21,AK21,AI21,AG21,AE21,AC21,AA21,Y21)</f>
        <v>307548</v>
      </c>
      <c r="AQ21" s="538"/>
      <c r="AR21" s="542" t="str">
        <f>IF(ISBLANK(AQ21),"", AQ21*AQ9)</f>
        <v/>
      </c>
      <c r="AS21" s="543"/>
      <c r="AT21" s="542" t="str">
        <f>IF(ISBLANK(AS21),"", AS21*AS9)</f>
        <v/>
      </c>
      <c r="AU21" s="543">
        <v>203</v>
      </c>
      <c r="AV21" s="542">
        <f>IF(ISBLANK(AU21),"", AU21*AU9)</f>
        <v>86681</v>
      </c>
      <c r="AW21" s="543"/>
      <c r="AX21" s="542" t="str">
        <f>IF(ISBLANK(AW21),"", AW21*AW9)</f>
        <v/>
      </c>
      <c r="AY21" s="538">
        <v>210</v>
      </c>
      <c r="AZ21" s="542">
        <f>IF(ISBLANK(AY21),"", AY21*AY9)</f>
        <v>179340</v>
      </c>
      <c r="BA21" s="538">
        <v>157</v>
      </c>
      <c r="BB21" s="542">
        <f>IF(ISBLANK(BA21),"", BA21*BA9)</f>
        <v>268313</v>
      </c>
      <c r="BC21" s="539">
        <f>SUM(AR21,AT21,AV21,AX21,AZ21,BB21)</f>
        <v>534334</v>
      </c>
      <c r="BD21" s="543"/>
      <c r="BE21" s="542" t="str">
        <f>IF(ISBLANK(BD21),"", BD21*BD9)</f>
        <v/>
      </c>
      <c r="BF21" s="543">
        <v>66</v>
      </c>
      <c r="BG21" s="542">
        <f>IF(ISBLANK(BF21),"", BF21*BF9)</f>
        <v>1409562</v>
      </c>
      <c r="BH21" s="539">
        <f>SUM(BE21,BG21)</f>
        <v>1409562</v>
      </c>
      <c r="BI21" s="544">
        <f>SUM(N21,W21,AP21,BC21,BH21)</f>
        <v>2789653</v>
      </c>
      <c r="BJ21" s="545">
        <f>BI21/BI29</f>
        <v>3.238447404322739E-2</v>
      </c>
    </row>
    <row r="22" spans="1:62" ht="15.75" customHeight="1" thickTop="1" x14ac:dyDescent="0.25">
      <c r="A22" s="546" t="s">
        <v>133</v>
      </c>
      <c r="B22" s="547" t="str">
        <f t="shared" ref="B22:M22" si="10">IF(COUNT(B19:B21) = 0, "", SUM(B19:B21))</f>
        <v/>
      </c>
      <c r="C22" s="548" t="str">
        <f t="shared" si="10"/>
        <v/>
      </c>
      <c r="D22" s="547" t="str">
        <f t="shared" si="10"/>
        <v/>
      </c>
      <c r="E22" s="548" t="str">
        <f t="shared" si="10"/>
        <v/>
      </c>
      <c r="F22" s="549" t="str">
        <f t="shared" si="10"/>
        <v/>
      </c>
      <c r="G22" s="548" t="str">
        <f t="shared" si="10"/>
        <v/>
      </c>
      <c r="H22" s="549">
        <f t="shared" si="10"/>
        <v>52</v>
      </c>
      <c r="I22" s="548">
        <f t="shared" si="10"/>
        <v>444236</v>
      </c>
      <c r="J22" s="549">
        <f t="shared" si="10"/>
        <v>53</v>
      </c>
      <c r="K22" s="548">
        <f t="shared" si="10"/>
        <v>226363</v>
      </c>
      <c r="L22" s="547">
        <f t="shared" si="10"/>
        <v>0</v>
      </c>
      <c r="M22" s="548">
        <f t="shared" si="10"/>
        <v>0</v>
      </c>
      <c r="N22" s="550">
        <f>SUM(N19:N21)</f>
        <v>670599</v>
      </c>
      <c r="O22" s="547">
        <f t="shared" ref="O22:V22" si="11">IF(COUNT(O19:O21) = 0, "", SUM(O19:O21))</f>
        <v>0</v>
      </c>
      <c r="P22" s="548">
        <f t="shared" si="11"/>
        <v>0</v>
      </c>
      <c r="Q22" s="549">
        <f t="shared" si="11"/>
        <v>0</v>
      </c>
      <c r="R22" s="548">
        <f t="shared" si="11"/>
        <v>0</v>
      </c>
      <c r="S22" s="549" t="str">
        <f t="shared" si="11"/>
        <v/>
      </c>
      <c r="T22" s="548" t="str">
        <f t="shared" si="11"/>
        <v/>
      </c>
      <c r="U22" s="549">
        <f t="shared" si="11"/>
        <v>214</v>
      </c>
      <c r="V22" s="548">
        <f t="shared" si="11"/>
        <v>1828202</v>
      </c>
      <c r="W22" s="550">
        <f>SUM(W19:W21)</f>
        <v>1828202</v>
      </c>
      <c r="X22" s="549" t="str">
        <f t="shared" ref="X22:AO22" si="12">IF(COUNT(X19:X21) = 0, "", SUM(X19:X21))</f>
        <v/>
      </c>
      <c r="Y22" s="548" t="str">
        <f t="shared" si="12"/>
        <v/>
      </c>
      <c r="Z22" s="549" t="str">
        <f t="shared" si="12"/>
        <v/>
      </c>
      <c r="AA22" s="548" t="str">
        <f t="shared" si="12"/>
        <v/>
      </c>
      <c r="AB22" s="549" t="str">
        <f t="shared" si="12"/>
        <v/>
      </c>
      <c r="AC22" s="548" t="str">
        <f t="shared" si="12"/>
        <v/>
      </c>
      <c r="AD22" s="549">
        <f t="shared" si="12"/>
        <v>75</v>
      </c>
      <c r="AE22" s="548">
        <f t="shared" si="12"/>
        <v>640725</v>
      </c>
      <c r="AF22" s="549">
        <f t="shared" si="12"/>
        <v>0</v>
      </c>
      <c r="AG22" s="548">
        <f t="shared" si="12"/>
        <v>0</v>
      </c>
      <c r="AH22" s="547">
        <f t="shared" si="12"/>
        <v>0</v>
      </c>
      <c r="AI22" s="548">
        <f t="shared" si="12"/>
        <v>0</v>
      </c>
      <c r="AJ22" s="547">
        <f t="shared" si="12"/>
        <v>81</v>
      </c>
      <c r="AK22" s="548">
        <f t="shared" si="12"/>
        <v>1729917</v>
      </c>
      <c r="AL22" s="547">
        <f t="shared" si="12"/>
        <v>0</v>
      </c>
      <c r="AM22" s="548">
        <f t="shared" si="12"/>
        <v>0</v>
      </c>
      <c r="AN22" s="547">
        <f t="shared" si="12"/>
        <v>3</v>
      </c>
      <c r="AO22" s="548">
        <f t="shared" si="12"/>
        <v>16017</v>
      </c>
      <c r="AP22" s="550">
        <f>SUM(AP19:AP21)</f>
        <v>2386659</v>
      </c>
      <c r="AQ22" s="547" t="str">
        <f t="shared" ref="AQ22:BB22" si="13">IF(COUNT(AQ19:AQ21) = 0, "", SUM(AQ19:AQ21))</f>
        <v/>
      </c>
      <c r="AR22" s="548" t="str">
        <f t="shared" si="13"/>
        <v/>
      </c>
      <c r="AS22" s="549" t="str">
        <f t="shared" si="13"/>
        <v/>
      </c>
      <c r="AT22" s="548" t="str">
        <f t="shared" si="13"/>
        <v/>
      </c>
      <c r="AU22" s="549">
        <f t="shared" si="13"/>
        <v>361</v>
      </c>
      <c r="AV22" s="548">
        <f t="shared" si="13"/>
        <v>154147</v>
      </c>
      <c r="AW22" s="549" t="str">
        <f t="shared" si="13"/>
        <v/>
      </c>
      <c r="AX22" s="548" t="str">
        <f t="shared" si="13"/>
        <v/>
      </c>
      <c r="AY22" s="547">
        <f t="shared" si="13"/>
        <v>441</v>
      </c>
      <c r="AZ22" s="548">
        <f t="shared" si="13"/>
        <v>376614</v>
      </c>
      <c r="BA22" s="547">
        <f t="shared" si="13"/>
        <v>343</v>
      </c>
      <c r="BB22" s="548">
        <f t="shared" si="13"/>
        <v>586187</v>
      </c>
      <c r="BC22" s="550">
        <f>SUM(BC19:BC21)</f>
        <v>1116948</v>
      </c>
      <c r="BD22" s="549" t="str">
        <f>IF(COUNT(BD19:BD21) = 0, "", SUM(BD19:BD21))</f>
        <v/>
      </c>
      <c r="BE22" s="548" t="str">
        <f>IF(COUNT(BE19:BE21) = 0, "", SUM(BE19:BE21))</f>
        <v/>
      </c>
      <c r="BF22" s="549">
        <f>IF(COUNT(BF19:BF21) = 0, "", SUM(BF19:BF21))</f>
        <v>604</v>
      </c>
      <c r="BG22" s="548">
        <f>IF(COUNT(BG19:BG21) = 0, "", SUM(BG19:BG21))</f>
        <v>12899628</v>
      </c>
      <c r="BH22" s="550">
        <f>SUM(BH19:BH21)</f>
        <v>12899628</v>
      </c>
      <c r="BI22" s="551">
        <f>SUM(BI19:BI21)</f>
        <v>18902036</v>
      </c>
      <c r="BJ22" s="552">
        <f>BI22/BI29</f>
        <v>0.21942961873973202</v>
      </c>
    </row>
    <row r="23" spans="1:62" x14ac:dyDescent="0.25">
      <c r="A23" s="553"/>
      <c r="B23" s="561"/>
      <c r="C23" s="562"/>
      <c r="D23" s="563"/>
      <c r="E23" s="563"/>
      <c r="F23" s="564"/>
      <c r="G23" s="562"/>
      <c r="H23" s="564"/>
      <c r="I23" s="562"/>
      <c r="J23" s="564"/>
      <c r="K23" s="562"/>
      <c r="L23" s="561"/>
      <c r="M23" s="562"/>
      <c r="N23" s="565"/>
      <c r="O23" s="561"/>
      <c r="P23" s="562"/>
      <c r="Q23" s="563"/>
      <c r="R23" s="563"/>
      <c r="S23" s="564"/>
      <c r="T23" s="562"/>
      <c r="U23" s="564"/>
      <c r="V23" s="562"/>
      <c r="W23" s="565"/>
      <c r="X23" s="564"/>
      <c r="Y23" s="562"/>
      <c r="Z23" s="564"/>
      <c r="AA23" s="562"/>
      <c r="AB23" s="564"/>
      <c r="AC23" s="562"/>
      <c r="AD23" s="564"/>
      <c r="AE23" s="562"/>
      <c r="AF23" s="564"/>
      <c r="AG23" s="562"/>
      <c r="AH23" s="561"/>
      <c r="AI23" s="562"/>
      <c r="AJ23" s="561"/>
      <c r="AK23" s="562"/>
      <c r="AL23" s="561"/>
      <c r="AM23" s="562"/>
      <c r="AN23" s="561"/>
      <c r="AO23" s="562"/>
      <c r="AP23" s="565"/>
      <c r="AQ23" s="561"/>
      <c r="AR23" s="562"/>
      <c r="AS23" s="564"/>
      <c r="AT23" s="562"/>
      <c r="AU23" s="564"/>
      <c r="AV23" s="562"/>
      <c r="AW23" s="564"/>
      <c r="AX23" s="562"/>
      <c r="AY23" s="561"/>
      <c r="AZ23" s="562"/>
      <c r="BA23" s="561"/>
      <c r="BB23" s="562"/>
      <c r="BC23" s="565"/>
      <c r="BD23" s="564"/>
      <c r="BE23" s="562"/>
      <c r="BF23" s="564"/>
      <c r="BG23" s="562"/>
      <c r="BH23" s="565"/>
      <c r="BI23" s="559"/>
      <c r="BJ23" s="560"/>
    </row>
    <row r="24" spans="1:62" x14ac:dyDescent="0.25">
      <c r="A24" s="465" t="s">
        <v>72</v>
      </c>
      <c r="B24" s="538"/>
      <c r="C24" s="542" t="str">
        <f>IF(ISBLANK(B24),"", B24*B9)</f>
        <v/>
      </c>
      <c r="D24" s="538"/>
      <c r="E24" s="542" t="str">
        <f>IF(ISBLANK(D24),"", D24*D9)</f>
        <v/>
      </c>
      <c r="F24" s="543"/>
      <c r="G24" s="542" t="str">
        <f>IF(ISBLANK(F24),"", F24*F9)</f>
        <v/>
      </c>
      <c r="H24" s="543">
        <v>58</v>
      </c>
      <c r="I24" s="542">
        <f>IF(ISBLANK(H24),"", H24*H9)</f>
        <v>495494</v>
      </c>
      <c r="J24" s="543">
        <v>0</v>
      </c>
      <c r="K24" s="542">
        <f>IF(ISBLANK(J24),"", J24*J9)</f>
        <v>0</v>
      </c>
      <c r="L24" s="538">
        <v>9</v>
      </c>
      <c r="M24" s="542">
        <f>IF(ISBLANK(L24),"", L24*L9)</f>
        <v>19224</v>
      </c>
      <c r="N24" s="539">
        <f>SUM(C24,E24,G24,I24,K24,M24)</f>
        <v>514718</v>
      </c>
      <c r="O24" s="538">
        <v>0</v>
      </c>
      <c r="P24" s="542">
        <f>IF(ISBLANK(O24),"", O24*O9)</f>
        <v>0</v>
      </c>
      <c r="Q24" s="543">
        <v>0</v>
      </c>
      <c r="R24" s="542">
        <f>IF(ISBLANK(Q24),"", Q24*Q9)</f>
        <v>0</v>
      </c>
      <c r="S24" s="543"/>
      <c r="T24" s="542" t="str">
        <f>IF(ISBLANK(S24),"", S24*S9)</f>
        <v/>
      </c>
      <c r="U24" s="543">
        <v>132</v>
      </c>
      <c r="V24" s="542">
        <f>IF(ISBLANK(U24),"", U24*U9)</f>
        <v>1127676</v>
      </c>
      <c r="W24" s="539">
        <f>SUM(P24,R24,T24,V24)</f>
        <v>1127676</v>
      </c>
      <c r="X24" s="543"/>
      <c r="Y24" s="542" t="str">
        <f>IF(ISBLANK(X24),"", X24*X9)</f>
        <v/>
      </c>
      <c r="Z24" s="543"/>
      <c r="AA24" s="542" t="str">
        <f>IF(ISBLANK(Z24),"", Z24*Z9)</f>
        <v/>
      </c>
      <c r="AB24" s="543"/>
      <c r="AC24" s="542" t="str">
        <f>IF(ISBLANK(AB24),"", AB24*AB9)</f>
        <v/>
      </c>
      <c r="AD24" s="543"/>
      <c r="AE24" s="542" t="str">
        <f>IF(ISBLANK(AD24),"", AD24*AD9)</f>
        <v/>
      </c>
      <c r="AF24" s="543"/>
      <c r="AG24" s="542" t="str">
        <f>IF(ISBLANK(AF24),"", AF24*AF9)</f>
        <v/>
      </c>
      <c r="AH24" s="538"/>
      <c r="AI24" s="542" t="str">
        <f>IF(ISBLANK(AH24),"", AH24*AH9)</f>
        <v/>
      </c>
      <c r="AJ24" s="538">
        <v>13</v>
      </c>
      <c r="AK24" s="542">
        <f>IF(ISBLANK(AJ24),"", AJ24*AJ9)</f>
        <v>277641</v>
      </c>
      <c r="AL24" s="538">
        <v>3</v>
      </c>
      <c r="AM24" s="542">
        <f>IF(ISBLANK(AL24),"", AL24*AL9)</f>
        <v>32037</v>
      </c>
      <c r="AN24" s="538">
        <v>2</v>
      </c>
      <c r="AO24" s="542">
        <f>IF(ISBLANK(AN24),"", AN24*AN9)</f>
        <v>10678</v>
      </c>
      <c r="AP24" s="539">
        <f>SUM(AO24,AM24,AK24,AI24,AG24,AE24,AC24,AA24,Y24)</f>
        <v>320356</v>
      </c>
      <c r="AQ24" s="538"/>
      <c r="AR24" s="542" t="str">
        <f>IF(ISBLANK(AQ24),"", AQ24*AQ9)</f>
        <v/>
      </c>
      <c r="AS24" s="543"/>
      <c r="AT24" s="542" t="str">
        <f>IF(ISBLANK(AS24),"", AS24*AS9)</f>
        <v/>
      </c>
      <c r="AU24" s="543"/>
      <c r="AV24" s="542" t="str">
        <f>IF(ISBLANK(AU24),"", AU24*AU9)</f>
        <v/>
      </c>
      <c r="AW24" s="543"/>
      <c r="AX24" s="542" t="str">
        <f>IF(ISBLANK(AW24),"", AW24*AW9)</f>
        <v/>
      </c>
      <c r="AY24" s="538"/>
      <c r="AZ24" s="542" t="str">
        <f>IF(ISBLANK(AY24),"", AY24*AY9)</f>
        <v/>
      </c>
      <c r="BA24" s="538"/>
      <c r="BB24" s="542" t="str">
        <f>IF(ISBLANK(BA24),"", BA24*BA9)</f>
        <v/>
      </c>
      <c r="BC24" s="539">
        <f>SUM(AR24,AT24,AV24,AX24,AZ24,BB24)</f>
        <v>0</v>
      </c>
      <c r="BD24" s="543"/>
      <c r="BE24" s="542" t="str">
        <f>IF(ISBLANK(BD24),"", BD24*BD9)</f>
        <v/>
      </c>
      <c r="BF24" s="543">
        <v>281</v>
      </c>
      <c r="BG24" s="542">
        <f>IF(ISBLANK(BF24),"", BF24*BF9)</f>
        <v>6001317</v>
      </c>
      <c r="BH24" s="539">
        <f>SUM(BE24,BG24)</f>
        <v>6001317</v>
      </c>
      <c r="BI24" s="540">
        <f>SUM(N24,W24,AP24,BC24,BH24)</f>
        <v>7964067</v>
      </c>
      <c r="BJ24" s="541">
        <f>BI24/BI29</f>
        <v>9.245311909403206E-2</v>
      </c>
    </row>
    <row r="25" spans="1:62" x14ac:dyDescent="0.25">
      <c r="A25" s="465" t="s">
        <v>73</v>
      </c>
      <c r="B25" s="538"/>
      <c r="C25" s="542" t="str">
        <f>IF(ISBLANK(B25),"", B25*B9)</f>
        <v/>
      </c>
      <c r="D25" s="538"/>
      <c r="E25" s="542" t="str">
        <f>IF(ISBLANK(D25),"", D25*D9)</f>
        <v/>
      </c>
      <c r="F25" s="543"/>
      <c r="G25" s="542" t="str">
        <f>IF(ISBLANK(F25),"", F25*F9)</f>
        <v/>
      </c>
      <c r="H25" s="543">
        <v>228</v>
      </c>
      <c r="I25" s="542">
        <f>IF(ISBLANK(H25),"", H25*H9)</f>
        <v>1947804</v>
      </c>
      <c r="J25" s="543">
        <v>64</v>
      </c>
      <c r="K25" s="542">
        <f>IF(ISBLANK(J25),"", J25*J9)</f>
        <v>273344</v>
      </c>
      <c r="L25" s="538">
        <v>32</v>
      </c>
      <c r="M25" s="542">
        <f>IF(ISBLANK(L25),"", L25*L9)</f>
        <v>68352</v>
      </c>
      <c r="N25" s="539">
        <f>SUM(C25,E25,G25,I25,K25,M25)</f>
        <v>2289500</v>
      </c>
      <c r="O25" s="538">
        <v>0</v>
      </c>
      <c r="P25" s="542">
        <f>IF(ISBLANK(O25),"", O25*O9)</f>
        <v>0</v>
      </c>
      <c r="Q25" s="543">
        <v>0</v>
      </c>
      <c r="R25" s="542">
        <f>IF(ISBLANK(Q25),"", Q25*Q9)</f>
        <v>0</v>
      </c>
      <c r="S25" s="543"/>
      <c r="T25" s="542" t="str">
        <f>IF(ISBLANK(S25),"", S25*S9)</f>
        <v/>
      </c>
      <c r="U25" s="543">
        <v>171</v>
      </c>
      <c r="V25" s="542">
        <f>IF(ISBLANK(U25),"", U25*U9)</f>
        <v>1460853</v>
      </c>
      <c r="W25" s="539">
        <f>SUM(P25,R25,T25,V25)</f>
        <v>1460853</v>
      </c>
      <c r="X25" s="543"/>
      <c r="Y25" s="542" t="str">
        <f>IF(ISBLANK(X25),"", X25*X9)</f>
        <v/>
      </c>
      <c r="Z25" s="543"/>
      <c r="AA25" s="542" t="str">
        <f>IF(ISBLANK(Z25),"", Z25*Z9)</f>
        <v/>
      </c>
      <c r="AB25" s="543"/>
      <c r="AC25" s="542" t="str">
        <f>IF(ISBLANK(AB25),"", AB25*AB9)</f>
        <v/>
      </c>
      <c r="AD25" s="543">
        <v>52</v>
      </c>
      <c r="AE25" s="542">
        <f>IF(ISBLANK(AD25),"", AD25*AD9)</f>
        <v>444236</v>
      </c>
      <c r="AF25" s="543">
        <v>0</v>
      </c>
      <c r="AG25" s="542">
        <f>IF(ISBLANK(AF25),"", AF25*AF9)</f>
        <v>0</v>
      </c>
      <c r="AH25" s="538">
        <v>1</v>
      </c>
      <c r="AI25" s="542">
        <f>IF(ISBLANK(AH25),"", AH25*AH9)</f>
        <v>2136</v>
      </c>
      <c r="AJ25" s="538"/>
      <c r="AK25" s="542" t="str">
        <f>IF(ISBLANK(AJ25),"", AJ25*AJ9)</f>
        <v/>
      </c>
      <c r="AL25" s="538"/>
      <c r="AM25" s="542" t="str">
        <f>IF(ISBLANK(AL25),"", AL25*AL9)</f>
        <v/>
      </c>
      <c r="AN25" s="538"/>
      <c r="AO25" s="542" t="str">
        <f>IF(ISBLANK(AN25),"", AN25*AN9)</f>
        <v/>
      </c>
      <c r="AP25" s="539">
        <f>SUM(AO25,AM25,AK25,AI25,AG25,AE25,AC25,AA25,Y25)</f>
        <v>446372</v>
      </c>
      <c r="AQ25" s="538"/>
      <c r="AR25" s="542" t="str">
        <f>IF(ISBLANK(AQ25),"", AQ25*AQ9)</f>
        <v/>
      </c>
      <c r="AS25" s="543"/>
      <c r="AT25" s="542" t="str">
        <f>IF(ISBLANK(AS25),"", AS25*AS9)</f>
        <v/>
      </c>
      <c r="AU25" s="543">
        <v>225</v>
      </c>
      <c r="AV25" s="542">
        <f>IF(ISBLANK(AU25),"", AU25*AU9)</f>
        <v>96075</v>
      </c>
      <c r="AW25" s="543"/>
      <c r="AX25" s="542" t="str">
        <f>IF(ISBLANK(AW25),"", AW25*AW9)</f>
        <v/>
      </c>
      <c r="AY25" s="538">
        <v>246</v>
      </c>
      <c r="AZ25" s="542">
        <f>IF(ISBLANK(AY25),"", AY25*AY9)</f>
        <v>210084</v>
      </c>
      <c r="BA25" s="538">
        <v>171</v>
      </c>
      <c r="BB25" s="542">
        <f>IF(ISBLANK(BA25),"", BA25*BA9)</f>
        <v>292239</v>
      </c>
      <c r="BC25" s="539">
        <f>SUM(AR25,AT25,AV25,AX25,AZ25,BB25)</f>
        <v>598398</v>
      </c>
      <c r="BD25" s="543"/>
      <c r="BE25" s="542" t="str">
        <f>IF(ISBLANK(BD25),"", BD25*BD9)</f>
        <v/>
      </c>
      <c r="BF25" s="543">
        <v>113</v>
      </c>
      <c r="BG25" s="542">
        <f>IF(ISBLANK(BF25),"", BF25*BF9)</f>
        <v>2413341</v>
      </c>
      <c r="BH25" s="539">
        <f>SUM(BE25,BG25)</f>
        <v>2413341</v>
      </c>
      <c r="BI25" s="540">
        <f>SUM(N25,W25,AP25,BC25,BH25)</f>
        <v>7208464</v>
      </c>
      <c r="BJ25" s="541">
        <f>BI25/BI29</f>
        <v>8.3681488450190425E-2</v>
      </c>
    </row>
    <row r="26" spans="1:62" x14ac:dyDescent="0.25">
      <c r="A26" s="465" t="s">
        <v>74</v>
      </c>
      <c r="B26" s="538"/>
      <c r="C26" s="542" t="str">
        <f>IF(ISBLANK(B26),"", B26*B9)</f>
        <v/>
      </c>
      <c r="D26" s="538"/>
      <c r="E26" s="542" t="str">
        <f>IF(ISBLANK(D26),"", D26*D9)</f>
        <v/>
      </c>
      <c r="F26" s="543"/>
      <c r="G26" s="542" t="str">
        <f>IF(ISBLANK(F26),"", F26*F9)</f>
        <v/>
      </c>
      <c r="H26" s="543">
        <v>0</v>
      </c>
      <c r="I26" s="542">
        <f>IF(ISBLANK(H26),"", H26*H9)</f>
        <v>0</v>
      </c>
      <c r="J26" s="543">
        <v>0</v>
      </c>
      <c r="K26" s="542">
        <f>IF(ISBLANK(J26),"", J26*J9)</f>
        <v>0</v>
      </c>
      <c r="L26" s="538">
        <v>3</v>
      </c>
      <c r="M26" s="542">
        <f>IF(ISBLANK(L26),"", L26*L9)</f>
        <v>6408</v>
      </c>
      <c r="N26" s="539">
        <f>SUM(C26,E26,G26,I26,K26,M26)</f>
        <v>6408</v>
      </c>
      <c r="O26" s="538">
        <v>0</v>
      </c>
      <c r="P26" s="542">
        <f>IF(ISBLANK(O26),"", O26*O9)</f>
        <v>0</v>
      </c>
      <c r="Q26" s="543">
        <v>0</v>
      </c>
      <c r="R26" s="542">
        <f>IF(ISBLANK(Q26),"", Q26*Q9)</f>
        <v>0</v>
      </c>
      <c r="S26" s="543"/>
      <c r="T26" s="542" t="str">
        <f>IF(ISBLANK(S26),"", S26*S9)</f>
        <v/>
      </c>
      <c r="U26" s="543">
        <v>45</v>
      </c>
      <c r="V26" s="542">
        <f>IF(ISBLANK(U26),"", U26*U9)</f>
        <v>384435</v>
      </c>
      <c r="W26" s="539">
        <f>SUM(P26,R26,T26,V26)</f>
        <v>384435</v>
      </c>
      <c r="X26" s="543"/>
      <c r="Y26" s="542" t="str">
        <f>IF(ISBLANK(X26),"", X26*X9)</f>
        <v/>
      </c>
      <c r="Z26" s="543"/>
      <c r="AA26" s="542" t="str">
        <f>IF(ISBLANK(Z26),"", Z26*Z9)</f>
        <v/>
      </c>
      <c r="AB26" s="543"/>
      <c r="AC26" s="542" t="str">
        <f>IF(ISBLANK(AB26),"", AB26*AB9)</f>
        <v/>
      </c>
      <c r="AD26" s="543">
        <v>31</v>
      </c>
      <c r="AE26" s="542">
        <f>IF(ISBLANK(AD26),"", AD26*AD9)</f>
        <v>264833</v>
      </c>
      <c r="AF26" s="543">
        <v>0</v>
      </c>
      <c r="AG26" s="542">
        <f>IF(ISBLANK(AF26),"", AF26*AF9)</f>
        <v>0</v>
      </c>
      <c r="AH26" s="538">
        <v>0</v>
      </c>
      <c r="AI26" s="542">
        <f>IF(ISBLANK(AH26),"", AH26*AH9)</f>
        <v>0</v>
      </c>
      <c r="AJ26" s="538"/>
      <c r="AK26" s="542" t="str">
        <f>IF(ISBLANK(AJ26),"", AJ26*AJ9)</f>
        <v/>
      </c>
      <c r="AL26" s="538"/>
      <c r="AM26" s="542" t="str">
        <f>IF(ISBLANK(AL26),"", AL26*AL9)</f>
        <v/>
      </c>
      <c r="AN26" s="538"/>
      <c r="AO26" s="542" t="str">
        <f>IF(ISBLANK(AN26),"", AN26*AN9)</f>
        <v/>
      </c>
      <c r="AP26" s="539">
        <f>SUM(AO26,AM26,AK26,AI26,AG26,AE26,AC26,AA26,Y26)</f>
        <v>264833</v>
      </c>
      <c r="AQ26" s="538"/>
      <c r="AR26" s="542" t="str">
        <f>IF(ISBLANK(AQ26),"", AQ26*AQ9)</f>
        <v/>
      </c>
      <c r="AS26" s="543"/>
      <c r="AT26" s="542" t="str">
        <f>IF(ISBLANK(AS26),"", AS26*AS9)</f>
        <v/>
      </c>
      <c r="AU26" s="543">
        <v>85</v>
      </c>
      <c r="AV26" s="542">
        <f>IF(ISBLANK(AU26),"", AU26*AU9)</f>
        <v>36295</v>
      </c>
      <c r="AW26" s="543"/>
      <c r="AX26" s="542" t="str">
        <f>IF(ISBLANK(AW26),"", AW26*AW9)</f>
        <v/>
      </c>
      <c r="AY26" s="538">
        <v>197</v>
      </c>
      <c r="AZ26" s="542">
        <f>IF(ISBLANK(AY26),"", AY26*AY9)</f>
        <v>168238</v>
      </c>
      <c r="BA26" s="538">
        <v>183</v>
      </c>
      <c r="BB26" s="542">
        <f>IF(ISBLANK(BA26),"", BA26*BA9)</f>
        <v>312747</v>
      </c>
      <c r="BC26" s="539">
        <f>SUM(AR26,AT26,AV26,AX26,AZ26,BB26)</f>
        <v>517280</v>
      </c>
      <c r="BD26" s="543"/>
      <c r="BE26" s="542" t="str">
        <f>IF(ISBLANK(BD26),"", BD26*BD9)</f>
        <v/>
      </c>
      <c r="BF26" s="543">
        <v>123</v>
      </c>
      <c r="BG26" s="542">
        <f>IF(ISBLANK(BF26),"", BF26*BF9)</f>
        <v>2626911</v>
      </c>
      <c r="BH26" s="539">
        <f>SUM(BE26,BG26)</f>
        <v>2626911</v>
      </c>
      <c r="BI26" s="540">
        <f>SUM(N26,W26,AP26,BC26,BH26)</f>
        <v>3799867</v>
      </c>
      <c r="BJ26" s="541">
        <f>BI26/BI29</f>
        <v>4.4111828327471674E-2</v>
      </c>
    </row>
    <row r="27" spans="1:62" x14ac:dyDescent="0.25">
      <c r="A27" s="465" t="s">
        <v>75</v>
      </c>
      <c r="B27" s="538">
        <v>0</v>
      </c>
      <c r="C27" s="542">
        <f>IF(ISBLANK(B27),"", B27*B9)</f>
        <v>0</v>
      </c>
      <c r="D27" s="538">
        <v>477</v>
      </c>
      <c r="E27" s="542">
        <f>IF(ISBLANK(D27),"", D27*D9)</f>
        <v>1018872</v>
      </c>
      <c r="F27" s="543">
        <v>121</v>
      </c>
      <c r="G27" s="542">
        <f>IF(ISBLANK(F27),"", F27*F9)</f>
        <v>516791</v>
      </c>
      <c r="H27" s="543">
        <v>21</v>
      </c>
      <c r="I27" s="542">
        <f>IF(ISBLANK(H27),"", H27*H9)</f>
        <v>179403</v>
      </c>
      <c r="J27" s="543"/>
      <c r="K27" s="542" t="str">
        <f>IF(ISBLANK(J27),"", J27*J9)</f>
        <v/>
      </c>
      <c r="L27" s="538"/>
      <c r="M27" s="542" t="str">
        <f>IF(ISBLANK(L27),"", L27*L9)</f>
        <v/>
      </c>
      <c r="N27" s="539">
        <f>SUM(C27,E27,G27,I27,K27,M27)</f>
        <v>1715066</v>
      </c>
      <c r="O27" s="538">
        <v>0</v>
      </c>
      <c r="P27" s="542">
        <f>IF(ISBLANK(O27),"", O27*O9)</f>
        <v>0</v>
      </c>
      <c r="Q27" s="543">
        <v>203</v>
      </c>
      <c r="R27" s="542">
        <f>IF(ISBLANK(Q27),"", Q27*Q9)</f>
        <v>433608</v>
      </c>
      <c r="S27" s="543">
        <v>121</v>
      </c>
      <c r="T27" s="542">
        <f>IF(ISBLANK(S27),"", S27*S9)</f>
        <v>516791</v>
      </c>
      <c r="U27" s="543">
        <v>0</v>
      </c>
      <c r="V27" s="542">
        <f>IF(ISBLANK(U27),"", U27*U9)</f>
        <v>0</v>
      </c>
      <c r="W27" s="539">
        <f>SUM(P27,R27,T27,V27)</f>
        <v>950399</v>
      </c>
      <c r="X27" s="543">
        <v>19</v>
      </c>
      <c r="Y27" s="542">
        <f>IF(ISBLANK(X27),"", X27*X9)</f>
        <v>30438</v>
      </c>
      <c r="Z27" s="543">
        <v>29</v>
      </c>
      <c r="AA27" s="542">
        <f>IF(ISBLANK(Z27),"", Z27*Z9)</f>
        <v>61944</v>
      </c>
      <c r="AB27" s="543">
        <v>60</v>
      </c>
      <c r="AC27" s="542">
        <f>IF(ISBLANK(AB27),"", AB27*AB9)</f>
        <v>256260</v>
      </c>
      <c r="AD27" s="543"/>
      <c r="AE27" s="542" t="str">
        <f>IF(ISBLANK(AD27),"", AD27*AD9)</f>
        <v/>
      </c>
      <c r="AF27" s="543"/>
      <c r="AG27" s="542" t="str">
        <f>IF(ISBLANK(AF27),"", AF27*AF9)</f>
        <v/>
      </c>
      <c r="AH27" s="538"/>
      <c r="AI27" s="542" t="str">
        <f>IF(ISBLANK(AH27),"", AH27*AH9)</f>
        <v/>
      </c>
      <c r="AJ27" s="538"/>
      <c r="AK27" s="542" t="str">
        <f>IF(ISBLANK(AJ27),"", AJ27*AJ9)</f>
        <v/>
      </c>
      <c r="AL27" s="538"/>
      <c r="AM27" s="542" t="str">
        <f>IF(ISBLANK(AL27),"", AL27*AL9)</f>
        <v/>
      </c>
      <c r="AN27" s="538"/>
      <c r="AO27" s="542" t="str">
        <f>IF(ISBLANK(AN27),"", AN27*AN9)</f>
        <v/>
      </c>
      <c r="AP27" s="539">
        <f>SUM(AO27,AM27,AK27,AI27,AG27,AE27,AC27,AA27,Y27)</f>
        <v>348642</v>
      </c>
      <c r="AQ27" s="538">
        <v>84</v>
      </c>
      <c r="AR27" s="542">
        <f>IF(ISBLANK(AQ27),"", AQ27*AQ9)</f>
        <v>17976</v>
      </c>
      <c r="AS27" s="543">
        <v>0</v>
      </c>
      <c r="AT27" s="542">
        <f>IF(ISBLANK(AS27),"", AS27*AS9)</f>
        <v>0</v>
      </c>
      <c r="AU27" s="543"/>
      <c r="AV27" s="542" t="str">
        <f>IF(ISBLANK(AU27),"", AU27*AU9)</f>
        <v/>
      </c>
      <c r="AW27" s="543">
        <v>0</v>
      </c>
      <c r="AX27" s="542">
        <f>IF(ISBLANK(AW27),"", AW27*AW9)</f>
        <v>0</v>
      </c>
      <c r="AY27" s="538"/>
      <c r="AZ27" s="542" t="str">
        <f>IF(ISBLANK(AY27),"", AY27*AY9)</f>
        <v/>
      </c>
      <c r="BA27" s="538"/>
      <c r="BB27" s="542" t="str">
        <f>IF(ISBLANK(BA27),"", BA27*BA9)</f>
        <v/>
      </c>
      <c r="BC27" s="539">
        <f>SUM(AR27,AT27,AV27,AX27,AZ27,BB27)</f>
        <v>17976</v>
      </c>
      <c r="BD27" s="543">
        <v>101</v>
      </c>
      <c r="BE27" s="542">
        <f>IF(ISBLANK(BD27),"", BD27*BD9)</f>
        <v>1078579</v>
      </c>
      <c r="BF27" s="543">
        <v>9</v>
      </c>
      <c r="BG27" s="542">
        <f>IF(ISBLANK(BF27),"", BF27*BF9)</f>
        <v>192213</v>
      </c>
      <c r="BH27" s="539">
        <f>SUM(BE27,BG27)</f>
        <v>1270792</v>
      </c>
      <c r="BI27" s="540">
        <f>SUM(N27,W27,AP27,BC27,BH27)</f>
        <v>4302875</v>
      </c>
      <c r="BJ27" s="541">
        <f>BI27/BI29</f>
        <v>4.9951138635791641E-2</v>
      </c>
    </row>
    <row r="28" spans="1:62" ht="15.75" customHeight="1" thickBot="1" x14ac:dyDescent="0.3">
      <c r="A28" s="479" t="s">
        <v>76</v>
      </c>
      <c r="B28" s="538">
        <v>0</v>
      </c>
      <c r="C28" s="542">
        <f>IF(ISBLANK(B28),"", B28*B9)</f>
        <v>0</v>
      </c>
      <c r="D28" s="538">
        <v>2146</v>
      </c>
      <c r="E28" s="542">
        <f>IF(ISBLANK(D28),"", D28*D9)</f>
        <v>4583856</v>
      </c>
      <c r="F28" s="543">
        <v>188</v>
      </c>
      <c r="G28" s="542">
        <f>IF(ISBLANK(F28),"", F28*F9)</f>
        <v>802948</v>
      </c>
      <c r="H28" s="543"/>
      <c r="I28" s="542" t="str">
        <f>IF(ISBLANK(H28),"", H28*H9)</f>
        <v/>
      </c>
      <c r="J28" s="543"/>
      <c r="K28" s="542" t="str">
        <f>IF(ISBLANK(J28),"", J28*J9)</f>
        <v/>
      </c>
      <c r="L28" s="538"/>
      <c r="M28" s="542" t="str">
        <f>IF(ISBLANK(L28),"", L28*L9)</f>
        <v/>
      </c>
      <c r="N28" s="539">
        <f>SUM(C28,E28,G28,I28,K28,M28)</f>
        <v>5386804</v>
      </c>
      <c r="O28" s="538">
        <v>0</v>
      </c>
      <c r="P28" s="542">
        <f>IF(ISBLANK(O28),"", O28*O9)</f>
        <v>0</v>
      </c>
      <c r="Q28" s="543">
        <v>923</v>
      </c>
      <c r="R28" s="542">
        <f>IF(ISBLANK(Q28),"", Q28*Q9)</f>
        <v>1971528</v>
      </c>
      <c r="S28" s="543">
        <v>160</v>
      </c>
      <c r="T28" s="542">
        <f>IF(ISBLANK(S28),"", S28*S9)</f>
        <v>683360</v>
      </c>
      <c r="U28" s="543"/>
      <c r="V28" s="542" t="str">
        <f>IF(ISBLANK(U28),"", U28*U9)</f>
        <v/>
      </c>
      <c r="W28" s="539">
        <f>SUM(P28,R28,T28,V28)</f>
        <v>2654888</v>
      </c>
      <c r="X28" s="543">
        <v>0</v>
      </c>
      <c r="Y28" s="542">
        <f>IF(ISBLANK(X28),"", X28*X9)</f>
        <v>0</v>
      </c>
      <c r="Z28" s="543">
        <v>613</v>
      </c>
      <c r="AA28" s="542">
        <f>IF(ISBLANK(Z28),"", Z28*Z9)</f>
        <v>1309368</v>
      </c>
      <c r="AB28" s="543">
        <v>0</v>
      </c>
      <c r="AC28" s="542">
        <f>IF(ISBLANK(AB28),"", AB28*AB9)</f>
        <v>0</v>
      </c>
      <c r="AD28" s="543"/>
      <c r="AE28" s="542" t="str">
        <f>IF(ISBLANK(AD28),"", AD28*AD9)</f>
        <v/>
      </c>
      <c r="AF28" s="543"/>
      <c r="AG28" s="542" t="str">
        <f>IF(ISBLANK(AF28),"", AF28*AF9)</f>
        <v/>
      </c>
      <c r="AH28" s="538"/>
      <c r="AI28" s="542" t="str">
        <f>IF(ISBLANK(AH28),"", AH28*AH9)</f>
        <v/>
      </c>
      <c r="AJ28" s="538"/>
      <c r="AK28" s="542" t="str">
        <f>IF(ISBLANK(AJ28),"", AJ28*AJ9)</f>
        <v/>
      </c>
      <c r="AL28" s="538"/>
      <c r="AM28" s="542" t="str">
        <f>IF(ISBLANK(AL28),"", AL28*AL9)</f>
        <v/>
      </c>
      <c r="AN28" s="538"/>
      <c r="AO28" s="542" t="str">
        <f>IF(ISBLANK(AN28),"", AN28*AN9)</f>
        <v/>
      </c>
      <c r="AP28" s="539">
        <f>SUM(AO28,AM28,AK28,AI28,AG28,AE28,AC28,AA28,Y28)</f>
        <v>1309368</v>
      </c>
      <c r="AQ28" s="538">
        <v>505</v>
      </c>
      <c r="AR28" s="542">
        <f>IF(ISBLANK(AQ28),"", AQ28*AQ9)</f>
        <v>108070</v>
      </c>
      <c r="AS28" s="543">
        <v>349</v>
      </c>
      <c r="AT28" s="542">
        <f>IF(ISBLANK(AS28),"", AS28*AS9)</f>
        <v>149023</v>
      </c>
      <c r="AU28" s="543"/>
      <c r="AV28" s="542" t="str">
        <f>IF(ISBLANK(AU28),"", AU28*AU9)</f>
        <v/>
      </c>
      <c r="AW28" s="543">
        <v>198</v>
      </c>
      <c r="AX28" s="542">
        <f>IF(ISBLANK(AW28),"", AW28*AW9)</f>
        <v>169092</v>
      </c>
      <c r="AY28" s="538"/>
      <c r="AZ28" s="542" t="str">
        <f>IF(ISBLANK(AY28),"", AY28*AY9)</f>
        <v/>
      </c>
      <c r="BA28" s="538"/>
      <c r="BB28" s="542" t="str">
        <f>IF(ISBLANK(BA28),"", BA28*BA9)</f>
        <v/>
      </c>
      <c r="BC28" s="539">
        <f>SUM(AR28,AT28,AV28,AX28,AZ28,BB28)</f>
        <v>426185</v>
      </c>
      <c r="BD28" s="543">
        <v>249</v>
      </c>
      <c r="BE28" s="542">
        <f>IF(ISBLANK(BD28),"", BD28*BD9)</f>
        <v>2659071</v>
      </c>
      <c r="BF28" s="543"/>
      <c r="BG28" s="542" t="str">
        <f>IF(ISBLANK(BF28),"", BF28*BF9)</f>
        <v/>
      </c>
      <c r="BH28" s="539">
        <f>SUM(BE28,BG28)</f>
        <v>2659071</v>
      </c>
      <c r="BI28" s="544">
        <f>SUM(N28,W28,AP28,BC28,BH28)</f>
        <v>12436316</v>
      </c>
      <c r="BJ28" s="541">
        <f>BI28/BI29</f>
        <v>0.14437048360329169</v>
      </c>
    </row>
    <row r="29" spans="1:62" x14ac:dyDescent="0.25">
      <c r="A29" s="566" t="s">
        <v>47</v>
      </c>
      <c r="B29" s="567">
        <f t="shared" ref="B29:AO29" si="14">SUM(B17,B22,B24:B28)</f>
        <v>0</v>
      </c>
      <c r="C29" s="568">
        <f t="shared" si="14"/>
        <v>0</v>
      </c>
      <c r="D29" s="569">
        <f t="shared" si="14"/>
        <v>2623</v>
      </c>
      <c r="E29" s="568">
        <f t="shared" si="14"/>
        <v>5602728</v>
      </c>
      <c r="F29" s="570">
        <f t="shared" si="14"/>
        <v>309</v>
      </c>
      <c r="G29" s="568">
        <f t="shared" si="14"/>
        <v>1319739</v>
      </c>
      <c r="H29" s="570">
        <f t="shared" si="14"/>
        <v>1035</v>
      </c>
      <c r="I29" s="568">
        <f t="shared" si="14"/>
        <v>8842005</v>
      </c>
      <c r="J29" s="570">
        <f t="shared" si="14"/>
        <v>123</v>
      </c>
      <c r="K29" s="568">
        <f t="shared" si="14"/>
        <v>525333</v>
      </c>
      <c r="L29" s="570">
        <f t="shared" si="14"/>
        <v>48</v>
      </c>
      <c r="M29" s="568">
        <f t="shared" si="14"/>
        <v>102528</v>
      </c>
      <c r="N29" s="571">
        <f t="shared" si="14"/>
        <v>16392333</v>
      </c>
      <c r="O29" s="567">
        <f t="shared" si="14"/>
        <v>0</v>
      </c>
      <c r="P29" s="568">
        <f t="shared" si="14"/>
        <v>0</v>
      </c>
      <c r="Q29" s="570">
        <f t="shared" si="14"/>
        <v>1126</v>
      </c>
      <c r="R29" s="568">
        <f t="shared" si="14"/>
        <v>2405136</v>
      </c>
      <c r="S29" s="570">
        <f t="shared" si="14"/>
        <v>281</v>
      </c>
      <c r="T29" s="568">
        <f t="shared" si="14"/>
        <v>1200151</v>
      </c>
      <c r="U29" s="570">
        <f t="shared" si="14"/>
        <v>1111</v>
      </c>
      <c r="V29" s="568">
        <f t="shared" si="14"/>
        <v>9491273</v>
      </c>
      <c r="W29" s="571">
        <f t="shared" si="14"/>
        <v>13096560</v>
      </c>
      <c r="X29" s="570">
        <f t="shared" si="14"/>
        <v>19</v>
      </c>
      <c r="Y29" s="568">
        <f t="shared" si="14"/>
        <v>30438</v>
      </c>
      <c r="Z29" s="570">
        <f t="shared" si="14"/>
        <v>642</v>
      </c>
      <c r="AA29" s="568">
        <f t="shared" si="14"/>
        <v>1371312</v>
      </c>
      <c r="AB29" s="570">
        <f t="shared" si="14"/>
        <v>60</v>
      </c>
      <c r="AC29" s="568">
        <f t="shared" si="14"/>
        <v>256260</v>
      </c>
      <c r="AD29" s="570">
        <f t="shared" si="14"/>
        <v>240</v>
      </c>
      <c r="AE29" s="568">
        <f t="shared" si="14"/>
        <v>2050320</v>
      </c>
      <c r="AF29" s="570">
        <f t="shared" si="14"/>
        <v>0</v>
      </c>
      <c r="AG29" s="568">
        <f t="shared" si="14"/>
        <v>0</v>
      </c>
      <c r="AH29" s="570">
        <f t="shared" si="14"/>
        <v>1</v>
      </c>
      <c r="AI29" s="568">
        <f t="shared" si="14"/>
        <v>2136</v>
      </c>
      <c r="AJ29" s="570">
        <f t="shared" si="14"/>
        <v>379</v>
      </c>
      <c r="AK29" s="568">
        <f t="shared" si="14"/>
        <v>8094303</v>
      </c>
      <c r="AL29" s="570">
        <f t="shared" si="14"/>
        <v>3</v>
      </c>
      <c r="AM29" s="568">
        <f t="shared" si="14"/>
        <v>32037</v>
      </c>
      <c r="AN29" s="570">
        <f t="shared" si="14"/>
        <v>10</v>
      </c>
      <c r="AO29" s="568">
        <f t="shared" si="14"/>
        <v>53390</v>
      </c>
      <c r="AP29" s="571">
        <f>SUM(Y29,AA29,AC29,AE29,AG29,AI29,AK29,AM29,AO29)</f>
        <v>11890196</v>
      </c>
      <c r="AQ29" s="567">
        <f t="shared" ref="AQ29:BB29" si="15">SUM(AQ17,AQ22,AQ24:AQ28)</f>
        <v>589</v>
      </c>
      <c r="AR29" s="568">
        <f t="shared" si="15"/>
        <v>126046</v>
      </c>
      <c r="AS29" s="570">
        <f t="shared" si="15"/>
        <v>349</v>
      </c>
      <c r="AT29" s="568">
        <f t="shared" si="15"/>
        <v>149023</v>
      </c>
      <c r="AU29" s="570">
        <f t="shared" si="15"/>
        <v>1052</v>
      </c>
      <c r="AV29" s="568">
        <f t="shared" si="15"/>
        <v>449204</v>
      </c>
      <c r="AW29" s="570">
        <f t="shared" si="15"/>
        <v>198</v>
      </c>
      <c r="AX29" s="568">
        <f t="shared" si="15"/>
        <v>169092</v>
      </c>
      <c r="AY29" s="570">
        <f t="shared" si="15"/>
        <v>1258</v>
      </c>
      <c r="AZ29" s="568">
        <f t="shared" si="15"/>
        <v>1074332</v>
      </c>
      <c r="BA29" s="570">
        <f t="shared" si="15"/>
        <v>947</v>
      </c>
      <c r="BB29" s="568">
        <f t="shared" si="15"/>
        <v>1618423</v>
      </c>
      <c r="BC29" s="571">
        <f>SUM(AR29,AT29,AV29,AX29,AZ29,BB29,)</f>
        <v>3586120</v>
      </c>
      <c r="BD29" s="570">
        <f t="shared" ref="BD29:BI29" si="16">SUM(BD17,BD22,BD24:BD28)</f>
        <v>350</v>
      </c>
      <c r="BE29" s="568">
        <f t="shared" si="16"/>
        <v>3737650</v>
      </c>
      <c r="BF29" s="570">
        <f t="shared" si="16"/>
        <v>1753</v>
      </c>
      <c r="BG29" s="568">
        <f t="shared" si="16"/>
        <v>37438821</v>
      </c>
      <c r="BH29" s="571">
        <f t="shared" si="16"/>
        <v>41176471</v>
      </c>
      <c r="BI29" s="572">
        <f t="shared" si="16"/>
        <v>86141680</v>
      </c>
      <c r="BJ29" s="573"/>
    </row>
    <row r="30" spans="1:62" ht="33" customHeight="1" thickBot="1" x14ac:dyDescent="0.3">
      <c r="A30" s="574" t="s">
        <v>130</v>
      </c>
      <c r="B30" s="222">
        <f>C29/BI29</f>
        <v>0</v>
      </c>
      <c r="C30" s="232"/>
      <c r="D30" s="232">
        <f>E29/BI29</f>
        <v>6.5040848982745633E-2</v>
      </c>
      <c r="E30" s="232"/>
      <c r="F30" s="232">
        <f>G29/BI29</f>
        <v>1.5320562589445667E-2</v>
      </c>
      <c r="G30" s="232"/>
      <c r="H30" s="232">
        <f>I29/BI29</f>
        <v>0.10264491010623429</v>
      </c>
      <c r="I30" s="232"/>
      <c r="J30" s="232">
        <f>K29/BI29</f>
        <v>6.0984763705560418E-3</v>
      </c>
      <c r="K30" s="232"/>
      <c r="L30" s="232">
        <f>M29/BI29</f>
        <v>1.1902252196613764E-3</v>
      </c>
      <c r="M30" s="232"/>
      <c r="N30" s="575">
        <f>N29/BI29</f>
        <v>0.190295023268643</v>
      </c>
      <c r="O30" s="222">
        <f>P29/BI29</f>
        <v>0</v>
      </c>
      <c r="P30" s="232"/>
      <c r="Q30" s="232">
        <f>R29/BI29</f>
        <v>2.7920699944556458E-2</v>
      </c>
      <c r="R30" s="232"/>
      <c r="S30" s="232">
        <f>T29/BI29</f>
        <v>1.3932291545741852E-2</v>
      </c>
      <c r="T30" s="232"/>
      <c r="U30" s="232">
        <f>V29/BI29</f>
        <v>0.11018212089664377</v>
      </c>
      <c r="V30" s="232"/>
      <c r="W30" s="575">
        <f>W29/BI29</f>
        <v>0.15203511238694206</v>
      </c>
      <c r="X30" s="232">
        <f>Y29/BI29</f>
        <v>3.5334811208697113E-4</v>
      </c>
      <c r="Y30" s="232"/>
      <c r="Z30" s="232">
        <f>AA29/BI29</f>
        <v>1.591926231297091E-2</v>
      </c>
      <c r="AA30" s="232"/>
      <c r="AB30" s="232">
        <f>AC29/BI29</f>
        <v>2.9748665222224593E-3</v>
      </c>
      <c r="AC30" s="232"/>
      <c r="AD30" s="224">
        <f>AE29/BI29</f>
        <v>2.3801718285503603E-2</v>
      </c>
      <c r="AE30" s="223"/>
      <c r="AF30" s="232">
        <f>AG29/BI29</f>
        <v>0</v>
      </c>
      <c r="AG30" s="232"/>
      <c r="AH30" s="232">
        <f>AI29/BI29</f>
        <v>2.4796358742945345E-5</v>
      </c>
      <c r="AI30" s="232"/>
      <c r="AJ30" s="232">
        <f>AK29/BI29</f>
        <v>9.3965000450420749E-2</v>
      </c>
      <c r="AK30" s="232"/>
      <c r="AL30" s="232">
        <f>AM29/BI29</f>
        <v>3.7191055479763105E-4</v>
      </c>
      <c r="AM30" s="232"/>
      <c r="AN30" s="232">
        <f>AO29/BI29</f>
        <v>6.1979288075180328E-4</v>
      </c>
      <c r="AO30" s="232"/>
      <c r="AP30" s="575">
        <f>AP29/BI29</f>
        <v>0.13803069547749708</v>
      </c>
      <c r="AQ30" s="222">
        <f>AR29/BI29</f>
        <v>1.4632405590418018E-3</v>
      </c>
      <c r="AR30" s="232"/>
      <c r="AS30" s="232">
        <f>AT29/BI29</f>
        <v>1.7299755472612096E-3</v>
      </c>
      <c r="AT30" s="232"/>
      <c r="AU30" s="232">
        <f>AV29/BI29</f>
        <v>5.2147113917443916E-3</v>
      </c>
      <c r="AV30" s="232"/>
      <c r="AW30" s="232">
        <f>AX29/BI29</f>
        <v>1.9629521968923752E-3</v>
      </c>
      <c r="AX30" s="232"/>
      <c r="AY30" s="232">
        <f>AZ29/BI29</f>
        <v>1.2471686180255598E-2</v>
      </c>
      <c r="AZ30" s="232"/>
      <c r="BA30" s="232">
        <f>BB29/BI29</f>
        <v>1.8787920087000858E-2</v>
      </c>
      <c r="BB30" s="232"/>
      <c r="BC30" s="575">
        <f>BC29/BI29</f>
        <v>4.1630485962196234E-2</v>
      </c>
      <c r="BD30" s="232">
        <f>BE29/BI29</f>
        <v>4.3389564726390294E-2</v>
      </c>
      <c r="BE30" s="232"/>
      <c r="BF30" s="232">
        <f>BG29/BI29</f>
        <v>0.43461911817833132</v>
      </c>
      <c r="BG30" s="232"/>
      <c r="BH30" s="575">
        <f>BH29/BI29</f>
        <v>0.47800868290472159</v>
      </c>
      <c r="BI30" s="576"/>
      <c r="BJ30" s="577"/>
    </row>
    <row r="31" spans="1:62" x14ac:dyDescent="0.25">
      <c r="B31" s="538"/>
    </row>
    <row r="32" spans="1:62" x14ac:dyDescent="0.25">
      <c r="B32" s="538"/>
    </row>
    <row r="33" spans="1:62" ht="15.75" customHeight="1" thickBot="1" x14ac:dyDescent="0.3">
      <c r="B33" s="538"/>
    </row>
    <row r="34" spans="1:62" ht="15.75" customHeight="1" x14ac:dyDescent="0.25">
      <c r="A34" s="200" t="s">
        <v>4</v>
      </c>
      <c r="B34" s="198" t="s">
        <v>84</v>
      </c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7"/>
      <c r="O34" s="299" t="s">
        <v>125</v>
      </c>
      <c r="P34" s="299"/>
      <c r="Q34" s="299"/>
      <c r="R34" s="299"/>
      <c r="S34" s="299"/>
      <c r="T34" s="299"/>
      <c r="U34" s="299"/>
      <c r="V34" s="299"/>
      <c r="W34" s="196"/>
      <c r="X34" s="231" t="s">
        <v>86</v>
      </c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29"/>
      <c r="AQ34" s="195" t="s">
        <v>87</v>
      </c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4"/>
      <c r="BD34" s="193" t="s">
        <v>88</v>
      </c>
      <c r="BE34" s="193"/>
      <c r="BF34" s="193"/>
      <c r="BG34" s="193"/>
      <c r="BH34" s="192"/>
      <c r="BI34" s="191" t="s">
        <v>129</v>
      </c>
      <c r="BJ34" s="215" t="s">
        <v>130</v>
      </c>
    </row>
    <row r="35" spans="1:62" ht="15" customHeight="1" x14ac:dyDescent="0.25">
      <c r="A35" s="199"/>
      <c r="B35" s="167" t="s">
        <v>90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6"/>
      <c r="O35" s="298" t="s">
        <v>90</v>
      </c>
      <c r="P35" s="298"/>
      <c r="Q35" s="298"/>
      <c r="R35" s="298"/>
      <c r="S35" s="298"/>
      <c r="T35" s="298"/>
      <c r="U35" s="298"/>
      <c r="V35" s="298"/>
      <c r="W35" s="213"/>
      <c r="X35" s="292" t="s">
        <v>90</v>
      </c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0"/>
      <c r="AQ35" s="212" t="s">
        <v>90</v>
      </c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1"/>
      <c r="BD35" s="210" t="s">
        <v>90</v>
      </c>
      <c r="BE35" s="210"/>
      <c r="BF35" s="210"/>
      <c r="BG35" s="210"/>
      <c r="BH35" s="209"/>
      <c r="BI35" s="190"/>
      <c r="BJ35" s="214"/>
    </row>
    <row r="36" spans="1:62" s="349" customFormat="1" ht="62.25" customHeight="1" x14ac:dyDescent="0.25">
      <c r="A36" s="199"/>
      <c r="B36" s="165" t="s">
        <v>93</v>
      </c>
      <c r="C36" s="164"/>
      <c r="D36" s="165" t="s">
        <v>94</v>
      </c>
      <c r="E36" s="164"/>
      <c r="F36" s="163" t="s">
        <v>95</v>
      </c>
      <c r="G36" s="164"/>
      <c r="H36" s="163" t="s">
        <v>96</v>
      </c>
      <c r="I36" s="164"/>
      <c r="J36" s="163" t="s">
        <v>97</v>
      </c>
      <c r="K36" s="164"/>
      <c r="L36" s="163" t="s">
        <v>98</v>
      </c>
      <c r="M36" s="164"/>
      <c r="N36" s="162" t="s">
        <v>131</v>
      </c>
      <c r="O36" s="182" t="s">
        <v>93</v>
      </c>
      <c r="P36" s="220"/>
      <c r="Q36" s="221" t="s">
        <v>94</v>
      </c>
      <c r="R36" s="220"/>
      <c r="S36" s="221" t="s">
        <v>95</v>
      </c>
      <c r="T36" s="220"/>
      <c r="U36" s="221" t="s">
        <v>96</v>
      </c>
      <c r="V36" s="220"/>
      <c r="W36" s="177" t="s">
        <v>131</v>
      </c>
      <c r="X36" s="175" t="s">
        <v>93</v>
      </c>
      <c r="Y36" s="174"/>
      <c r="Z36" s="175" t="s">
        <v>94</v>
      </c>
      <c r="AA36" s="174"/>
      <c r="AB36" s="175" t="s">
        <v>95</v>
      </c>
      <c r="AC36" s="174"/>
      <c r="AD36" s="228" t="str">
        <f>AD8</f>
        <v>Non-Research Institution Bachelor</v>
      </c>
      <c r="AE36" s="227"/>
      <c r="AF36" s="228" t="str">
        <f>AF8</f>
        <v>Non-Research Institution Master</v>
      </c>
      <c r="AG36" s="227"/>
      <c r="AH36" s="228" t="str">
        <f>AH8</f>
        <v>Non-Research Institution Doctoral</v>
      </c>
      <c r="AI36" s="227"/>
      <c r="AJ36" s="228" t="str">
        <f>AJ8</f>
        <v>Research Institution Bachelor</v>
      </c>
      <c r="AK36" s="227"/>
      <c r="AL36" s="228" t="str">
        <f>AL8</f>
        <v>Research Institution Master</v>
      </c>
      <c r="AM36" s="227"/>
      <c r="AN36" s="228" t="str">
        <f>AN8</f>
        <v>Research Institution Doctoral</v>
      </c>
      <c r="AO36" s="227"/>
      <c r="AP36" s="202" t="s">
        <v>131</v>
      </c>
      <c r="AQ36" s="180" t="s">
        <v>105</v>
      </c>
      <c r="AR36" s="235"/>
      <c r="AS36" s="236" t="s">
        <v>106</v>
      </c>
      <c r="AT36" s="235"/>
      <c r="AU36" s="236" t="s">
        <v>107</v>
      </c>
      <c r="AV36" s="235"/>
      <c r="AW36" s="236" t="s">
        <v>108</v>
      </c>
      <c r="AX36" s="235"/>
      <c r="AY36" s="236" t="s">
        <v>109</v>
      </c>
      <c r="AZ36" s="235"/>
      <c r="BA36" s="236" t="s">
        <v>110</v>
      </c>
      <c r="BB36" s="235"/>
      <c r="BC36" s="204" t="s">
        <v>131</v>
      </c>
      <c r="BD36" s="186" t="s">
        <v>111</v>
      </c>
      <c r="BE36" s="185"/>
      <c r="BF36" s="186" t="s">
        <v>112</v>
      </c>
      <c r="BG36" s="185"/>
      <c r="BH36" s="179" t="s">
        <v>131</v>
      </c>
      <c r="BI36" s="190"/>
      <c r="BJ36" s="214"/>
    </row>
    <row r="37" spans="1:62" ht="16.5" customHeight="1" thickBot="1" x14ac:dyDescent="0.3">
      <c r="A37" s="199"/>
      <c r="B37" s="219">
        <v>1618</v>
      </c>
      <c r="C37" s="218"/>
      <c r="D37" s="219">
        <v>2157</v>
      </c>
      <c r="E37" s="218"/>
      <c r="F37" s="160">
        <v>4314</v>
      </c>
      <c r="G37" s="218"/>
      <c r="H37" s="160">
        <v>8627</v>
      </c>
      <c r="I37" s="218"/>
      <c r="J37" s="160">
        <v>4314</v>
      </c>
      <c r="K37" s="218"/>
      <c r="L37" s="208">
        <v>2157</v>
      </c>
      <c r="M37" s="207"/>
      <c r="N37" s="161"/>
      <c r="O37" s="159">
        <v>1618</v>
      </c>
      <c r="P37" s="216"/>
      <c r="Q37" s="217">
        <v>2157</v>
      </c>
      <c r="R37" s="216"/>
      <c r="S37" s="217">
        <v>4314</v>
      </c>
      <c r="T37" s="216"/>
      <c r="U37" s="217">
        <v>8627</v>
      </c>
      <c r="V37" s="216"/>
      <c r="W37" s="176"/>
      <c r="X37" s="188">
        <v>1618</v>
      </c>
      <c r="Y37" s="187"/>
      <c r="Z37" s="188">
        <v>2157</v>
      </c>
      <c r="AA37" s="187"/>
      <c r="AB37" s="188">
        <v>4314</v>
      </c>
      <c r="AC37" s="187"/>
      <c r="AD37" s="189">
        <v>8627</v>
      </c>
      <c r="AE37" s="225"/>
      <c r="AF37" s="188">
        <v>4314</v>
      </c>
      <c r="AG37" s="187"/>
      <c r="AH37" s="226">
        <v>2157</v>
      </c>
      <c r="AI37" s="225"/>
      <c r="AJ37" s="226">
        <v>21569</v>
      </c>
      <c r="AK37" s="225"/>
      <c r="AL37" s="226">
        <v>10784</v>
      </c>
      <c r="AM37" s="225"/>
      <c r="AN37" s="226">
        <v>5392</v>
      </c>
      <c r="AO37" s="225"/>
      <c r="AP37" s="201"/>
      <c r="AQ37" s="181">
        <v>216</v>
      </c>
      <c r="AR37" s="205"/>
      <c r="AS37" s="206">
        <v>431</v>
      </c>
      <c r="AT37" s="205"/>
      <c r="AU37" s="206">
        <v>431</v>
      </c>
      <c r="AV37" s="205"/>
      <c r="AW37" s="206">
        <v>863</v>
      </c>
      <c r="AX37" s="205"/>
      <c r="AY37" s="234">
        <v>863</v>
      </c>
      <c r="AZ37" s="233"/>
      <c r="BA37" s="234">
        <v>1725</v>
      </c>
      <c r="BB37" s="233"/>
      <c r="BC37" s="203"/>
      <c r="BD37" s="184">
        <v>10784</v>
      </c>
      <c r="BE37" s="183"/>
      <c r="BF37" s="184">
        <v>21569</v>
      </c>
      <c r="BG37" s="183"/>
      <c r="BH37" s="178"/>
      <c r="BI37" s="190"/>
      <c r="BJ37" s="214"/>
    </row>
    <row r="38" spans="1:62" x14ac:dyDescent="0.25">
      <c r="A38" s="534" t="s">
        <v>50</v>
      </c>
      <c r="B38" s="535"/>
      <c r="C38" s="536" t="str">
        <f>IF(ISBLANK(B38),"", B38*B37)</f>
        <v/>
      </c>
      <c r="D38" s="535"/>
      <c r="E38" s="536" t="str">
        <f>IF(ISBLANK(D38),"", D38*D37)</f>
        <v/>
      </c>
      <c r="F38" s="537"/>
      <c r="G38" s="536" t="str">
        <f>IF(ISBLANK(F38),"", F38*F37)</f>
        <v/>
      </c>
      <c r="H38" s="537">
        <v>30</v>
      </c>
      <c r="I38" s="536">
        <f>IF(ISBLANK(H38),"", H38*H37)</f>
        <v>258810</v>
      </c>
      <c r="J38" s="537">
        <v>0</v>
      </c>
      <c r="K38" s="536">
        <f>IF(ISBLANK(J38),"", J38*J37)</f>
        <v>0</v>
      </c>
      <c r="L38" s="538">
        <v>4</v>
      </c>
      <c r="M38" s="536">
        <f>IF(ISBLANK(L38),"", L38*L37)</f>
        <v>8628</v>
      </c>
      <c r="N38" s="539">
        <f t="shared" ref="N38:N44" si="17">SUM(C38,E38,G38,I38,K38,M38)</f>
        <v>267438</v>
      </c>
      <c r="O38" s="535">
        <v>0</v>
      </c>
      <c r="P38" s="536">
        <f>IF(ISBLANK(O38),"", O38*O37)</f>
        <v>0</v>
      </c>
      <c r="Q38" s="537">
        <v>0</v>
      </c>
      <c r="R38" s="536">
        <f>IF(ISBLANK(Q38),"", Q38*Q37)</f>
        <v>0</v>
      </c>
      <c r="S38" s="537"/>
      <c r="T38" s="536" t="str">
        <f>IF(ISBLANK(S38),"", S38*S37)</f>
        <v/>
      </c>
      <c r="U38" s="537">
        <v>98</v>
      </c>
      <c r="V38" s="536">
        <f>IF(ISBLANK(U38),"", U38*U37)</f>
        <v>845446</v>
      </c>
      <c r="W38" s="539">
        <f t="shared" ref="W38:W44" si="18">SUM(P38,R38,T38,V38)</f>
        <v>845446</v>
      </c>
      <c r="X38" s="537"/>
      <c r="Y38" s="536" t="str">
        <f>IF(ISBLANK(X38),"", X38*X37)</f>
        <v/>
      </c>
      <c r="Z38" s="537"/>
      <c r="AA38" s="536" t="str">
        <f>IF(ISBLANK(Z38),"", Z38*Z37)</f>
        <v/>
      </c>
      <c r="AB38" s="537"/>
      <c r="AC38" s="536" t="str">
        <f>IF(ISBLANK(AB38),"", AB38*AB37)</f>
        <v/>
      </c>
      <c r="AD38" s="537"/>
      <c r="AE38" s="536" t="str">
        <f>IF(ISBLANK(AD38),"", AD38*AD37)</f>
        <v/>
      </c>
      <c r="AF38" s="537"/>
      <c r="AG38" s="536" t="str">
        <f>IF(ISBLANK(AF38),"", AF38*AF37)</f>
        <v/>
      </c>
      <c r="AH38" s="538"/>
      <c r="AI38" s="536" t="str">
        <f>IF(ISBLANK(AH38),"", AH38*AH37)</f>
        <v/>
      </c>
      <c r="AJ38" s="538">
        <v>160</v>
      </c>
      <c r="AK38" s="536">
        <f>IF(ISBLANK(AJ38),"", AJ38*AJ37)</f>
        <v>3451040</v>
      </c>
      <c r="AL38" s="538">
        <v>0</v>
      </c>
      <c r="AM38" s="536">
        <f>IF(ISBLANK(AL38),"", AL38*AL37)</f>
        <v>0</v>
      </c>
      <c r="AN38" s="538">
        <v>0</v>
      </c>
      <c r="AO38" s="536">
        <f>IF(ISBLANK(AN38),"", AN38*AN37)</f>
        <v>0</v>
      </c>
      <c r="AP38" s="539">
        <f t="shared" ref="AP38:AP44" si="19">SUM(AO38,AM38,AK38,AI38,AG38,AE38,AC38,AA38,Y38)</f>
        <v>3451040</v>
      </c>
      <c r="AQ38" s="535"/>
      <c r="AR38" s="536" t="str">
        <f>IF(ISBLANK(AQ38),"", AQ38*AQ37)</f>
        <v/>
      </c>
      <c r="AS38" s="537"/>
      <c r="AT38" s="536" t="str">
        <f>IF(ISBLANK(AS38),"", AS38*AS37)</f>
        <v/>
      </c>
      <c r="AU38" s="537"/>
      <c r="AV38" s="536" t="str">
        <f>IF(ISBLANK(AU38),"", AU38*AU37)</f>
        <v/>
      </c>
      <c r="AW38" s="537"/>
      <c r="AX38" s="536" t="str">
        <f>IF(ISBLANK(AW38),"", AW38*AW37)</f>
        <v/>
      </c>
      <c r="AY38" s="538"/>
      <c r="AZ38" s="536" t="str">
        <f>IF(ISBLANK(AY38),"", AY38*AY37)</f>
        <v/>
      </c>
      <c r="BA38" s="538"/>
      <c r="BB38" s="536" t="str">
        <f>IF(ISBLANK(BA38),"", BA38*BA37)</f>
        <v/>
      </c>
      <c r="BC38" s="539">
        <f t="shared" ref="BC38:BC44" si="20">SUM(AR38,AT38,AV38,AX38,AZ38,BB38)</f>
        <v>0</v>
      </c>
      <c r="BD38" s="537"/>
      <c r="BE38" s="536" t="str">
        <f>IF(ISBLANK(BD38),"", BD38*BD37)</f>
        <v/>
      </c>
      <c r="BF38" s="537">
        <v>271</v>
      </c>
      <c r="BG38" s="536">
        <f>IF(ISBLANK(BF38),"", BF38*BF37)</f>
        <v>5845199</v>
      </c>
      <c r="BH38" s="539">
        <f t="shared" ref="BH38:BH44" si="21">SUM(BE38,BG38)</f>
        <v>5845199</v>
      </c>
      <c r="BI38" s="540">
        <f t="shared" ref="BI38:BI45" si="22">SUM(N38,W38,AP38,BC38,BH38)</f>
        <v>10409123</v>
      </c>
      <c r="BJ38" s="541">
        <f>BI38/BI57</f>
        <v>0.11965402612130671</v>
      </c>
    </row>
    <row r="39" spans="1:62" x14ac:dyDescent="0.25">
      <c r="A39" s="465" t="s">
        <v>55</v>
      </c>
      <c r="B39" s="538"/>
      <c r="C39" s="542" t="str">
        <f>IF(ISBLANK(B39),"", B39*B37)</f>
        <v/>
      </c>
      <c r="D39" s="538"/>
      <c r="E39" s="542" t="str">
        <f>IF(ISBLANK(D39),"", D39*D37)</f>
        <v/>
      </c>
      <c r="F39" s="543"/>
      <c r="G39" s="542" t="str">
        <f>IF(ISBLANK(F39),"", F39*F37)</f>
        <v/>
      </c>
      <c r="H39" s="543">
        <v>148</v>
      </c>
      <c r="I39" s="542">
        <f>IF(ISBLANK(H39),"", H39*H37)</f>
        <v>1276796</v>
      </c>
      <c r="J39" s="543">
        <v>6</v>
      </c>
      <c r="K39" s="542">
        <f>IF(ISBLANK(J39),"", J39*J37)</f>
        <v>25884</v>
      </c>
      <c r="L39" s="538">
        <v>0</v>
      </c>
      <c r="M39" s="542">
        <f>IF(ISBLANK(L39),"", L39*L37)</f>
        <v>0</v>
      </c>
      <c r="N39" s="539">
        <f t="shared" si="17"/>
        <v>1302680</v>
      </c>
      <c r="O39" s="538">
        <v>0</v>
      </c>
      <c r="P39" s="542">
        <f>IF(ISBLANK(O39),"", O39*O37)</f>
        <v>0</v>
      </c>
      <c r="Q39" s="543">
        <v>0</v>
      </c>
      <c r="R39" s="542">
        <f>IF(ISBLANK(Q39),"", Q39*Q37)</f>
        <v>0</v>
      </c>
      <c r="S39" s="543"/>
      <c r="T39" s="542" t="str">
        <f>IF(ISBLANK(S39),"", S39*S37)</f>
        <v/>
      </c>
      <c r="U39" s="543">
        <v>73</v>
      </c>
      <c r="V39" s="542">
        <f>IF(ISBLANK(U39),"", U39*U37)</f>
        <v>629771</v>
      </c>
      <c r="W39" s="539">
        <f t="shared" si="18"/>
        <v>629771</v>
      </c>
      <c r="X39" s="543"/>
      <c r="Y39" s="542" t="str">
        <f>IF(ISBLANK(X39),"", X39*X37)</f>
        <v/>
      </c>
      <c r="Z39" s="543"/>
      <c r="AA39" s="542" t="str">
        <f>IF(ISBLANK(Z39),"", Z39*Z37)</f>
        <v/>
      </c>
      <c r="AB39" s="543"/>
      <c r="AC39" s="542" t="str">
        <f>IF(ISBLANK(AB39),"", AB39*AB37)</f>
        <v/>
      </c>
      <c r="AD39" s="543">
        <v>21</v>
      </c>
      <c r="AE39" s="542">
        <f>IF(ISBLANK(AD39),"", AD39*AD37)</f>
        <v>181167</v>
      </c>
      <c r="AF39" s="543">
        <v>0</v>
      </c>
      <c r="AG39" s="542">
        <f>IF(ISBLANK(AF39),"", AF39*AF37)</f>
        <v>0</v>
      </c>
      <c r="AH39" s="538">
        <v>0</v>
      </c>
      <c r="AI39" s="542">
        <f>IF(ISBLANK(AH39),"", AH39*AH37)</f>
        <v>0</v>
      </c>
      <c r="AJ39" s="538"/>
      <c r="AK39" s="542" t="str">
        <f>IF(ISBLANK(AJ39),"", AJ39*AJ37)</f>
        <v/>
      </c>
      <c r="AL39" s="538"/>
      <c r="AM39" s="542" t="str">
        <f>IF(ISBLANK(AL39),"", AL39*AL37)</f>
        <v/>
      </c>
      <c r="AN39" s="538"/>
      <c r="AO39" s="542" t="str">
        <f>IF(ISBLANK(AN39),"", AN39*AN37)</f>
        <v/>
      </c>
      <c r="AP39" s="539">
        <f t="shared" si="19"/>
        <v>181167</v>
      </c>
      <c r="AQ39" s="538"/>
      <c r="AR39" s="542" t="str">
        <f>IF(ISBLANK(AQ39),"", AQ39*AQ37)</f>
        <v/>
      </c>
      <c r="AS39" s="543"/>
      <c r="AT39" s="542" t="str">
        <f>IF(ISBLANK(AS39),"", AS39*AS37)</f>
        <v/>
      </c>
      <c r="AU39" s="543">
        <v>39</v>
      </c>
      <c r="AV39" s="542">
        <f>IF(ISBLANK(AU39),"", AU39*AU37)</f>
        <v>16809</v>
      </c>
      <c r="AW39" s="543"/>
      <c r="AX39" s="542" t="str">
        <f>IF(ISBLANK(AW39),"", AW39*AW37)</f>
        <v/>
      </c>
      <c r="AY39" s="538">
        <v>42</v>
      </c>
      <c r="AZ39" s="542">
        <f>IF(ISBLANK(AY39),"", AY39*AY37)</f>
        <v>36246</v>
      </c>
      <c r="BA39" s="538">
        <v>40</v>
      </c>
      <c r="BB39" s="542">
        <f>IF(ISBLANK(BA39),"", BA39*BA37)</f>
        <v>69000</v>
      </c>
      <c r="BC39" s="539">
        <f t="shared" si="20"/>
        <v>122055</v>
      </c>
      <c r="BD39" s="543"/>
      <c r="BE39" s="542" t="str">
        <f>IF(ISBLANK(BD39),"", BD39*BD37)</f>
        <v/>
      </c>
      <c r="BF39" s="543">
        <v>30</v>
      </c>
      <c r="BG39" s="542">
        <f>IF(ISBLANK(BF39),"", BF39*BF37)</f>
        <v>647070</v>
      </c>
      <c r="BH39" s="539">
        <f t="shared" si="21"/>
        <v>647070</v>
      </c>
      <c r="BI39" s="540">
        <f t="shared" si="22"/>
        <v>2882743</v>
      </c>
      <c r="BJ39" s="541">
        <f>BI39/BI57</f>
        <v>3.313745127452275E-2</v>
      </c>
    </row>
    <row r="40" spans="1:62" x14ac:dyDescent="0.25">
      <c r="A40" s="465" t="s">
        <v>56</v>
      </c>
      <c r="B40" s="538"/>
      <c r="C40" s="542" t="str">
        <f>IF(ISBLANK(B40),"", B40*B37)</f>
        <v/>
      </c>
      <c r="D40" s="538"/>
      <c r="E40" s="542" t="str">
        <f>IF(ISBLANK(D40),"", D40*D37)</f>
        <v/>
      </c>
      <c r="F40" s="543"/>
      <c r="G40" s="542" t="str">
        <f>IF(ISBLANK(F40),"", F40*F37)</f>
        <v/>
      </c>
      <c r="H40" s="543">
        <v>140</v>
      </c>
      <c r="I40" s="542">
        <f>IF(ISBLANK(H40),"", H40*H37)</f>
        <v>1207780</v>
      </c>
      <c r="J40" s="543">
        <v>0</v>
      </c>
      <c r="K40" s="542">
        <f>IF(ISBLANK(J40),"", J40*J37)</f>
        <v>0</v>
      </c>
      <c r="L40" s="538">
        <v>0</v>
      </c>
      <c r="M40" s="542">
        <f>IF(ISBLANK(L40),"", L40*L37)</f>
        <v>0</v>
      </c>
      <c r="N40" s="539">
        <f t="shared" si="17"/>
        <v>1207780</v>
      </c>
      <c r="O40" s="538">
        <v>0</v>
      </c>
      <c r="P40" s="542">
        <f>IF(ISBLANK(O40),"", O40*O37)</f>
        <v>0</v>
      </c>
      <c r="Q40" s="543">
        <v>0</v>
      </c>
      <c r="R40" s="542">
        <f>IF(ISBLANK(Q40),"", Q40*Q37)</f>
        <v>0</v>
      </c>
      <c r="S40" s="543"/>
      <c r="T40" s="542" t="str">
        <f>IF(ISBLANK(S40),"", S40*S37)</f>
        <v/>
      </c>
      <c r="U40" s="543">
        <v>74</v>
      </c>
      <c r="V40" s="542">
        <f>IF(ISBLANK(U40),"", U40*U37)</f>
        <v>638398</v>
      </c>
      <c r="W40" s="539">
        <f t="shared" si="18"/>
        <v>638398</v>
      </c>
      <c r="X40" s="543"/>
      <c r="Y40" s="542" t="str">
        <f>IF(ISBLANK(X40),"", X40*X37)</f>
        <v/>
      </c>
      <c r="Z40" s="543"/>
      <c r="AA40" s="542" t="str">
        <f>IF(ISBLANK(Z40),"", Z40*Z37)</f>
        <v/>
      </c>
      <c r="AB40" s="543"/>
      <c r="AC40" s="542" t="str">
        <f>IF(ISBLANK(AB40),"", AB40*AB37)</f>
        <v/>
      </c>
      <c r="AD40" s="543">
        <v>13</v>
      </c>
      <c r="AE40" s="542">
        <f>IF(ISBLANK(AD40),"", AD40*AD37)</f>
        <v>112151</v>
      </c>
      <c r="AF40" s="543">
        <v>0</v>
      </c>
      <c r="AG40" s="542">
        <f>IF(ISBLANK(AF40),"", AF40*AF37)</f>
        <v>0</v>
      </c>
      <c r="AH40" s="538">
        <v>0</v>
      </c>
      <c r="AI40" s="542">
        <f>IF(ISBLANK(AH40),"", AH40*AH37)</f>
        <v>0</v>
      </c>
      <c r="AJ40" s="538"/>
      <c r="AK40" s="542" t="str">
        <f>IF(ISBLANK(AJ40),"", AJ40*AJ37)</f>
        <v/>
      </c>
      <c r="AL40" s="538"/>
      <c r="AM40" s="542" t="str">
        <f>IF(ISBLANK(AL40),"", AL40*AL37)</f>
        <v/>
      </c>
      <c r="AN40" s="538"/>
      <c r="AO40" s="542" t="str">
        <f>IF(ISBLANK(AN40),"", AN40*AN37)</f>
        <v/>
      </c>
      <c r="AP40" s="539">
        <f t="shared" si="19"/>
        <v>112151</v>
      </c>
      <c r="AQ40" s="538"/>
      <c r="AR40" s="542" t="str">
        <f>IF(ISBLANK(AQ40),"", AQ40*AQ37)</f>
        <v/>
      </c>
      <c r="AS40" s="543"/>
      <c r="AT40" s="542" t="str">
        <f>IF(ISBLANK(AS40),"", AS40*AS37)</f>
        <v/>
      </c>
      <c r="AU40" s="543">
        <v>75</v>
      </c>
      <c r="AV40" s="542">
        <f>IF(ISBLANK(AU40),"", AU40*AU37)</f>
        <v>32325</v>
      </c>
      <c r="AW40" s="543"/>
      <c r="AX40" s="542" t="str">
        <f>IF(ISBLANK(AW40),"", AW40*AW37)</f>
        <v/>
      </c>
      <c r="AY40" s="538">
        <v>59</v>
      </c>
      <c r="AZ40" s="542">
        <f>IF(ISBLANK(AY40),"", AY40*AY37)</f>
        <v>50917</v>
      </c>
      <c r="BA40" s="538">
        <v>37</v>
      </c>
      <c r="BB40" s="542">
        <f>IF(ISBLANK(BA40),"", BA40*BA37)</f>
        <v>63825</v>
      </c>
      <c r="BC40" s="539">
        <f t="shared" si="20"/>
        <v>147067</v>
      </c>
      <c r="BD40" s="543"/>
      <c r="BE40" s="542" t="str">
        <f>IF(ISBLANK(BD40),"", BD40*BD37)</f>
        <v/>
      </c>
      <c r="BF40" s="543">
        <v>27</v>
      </c>
      <c r="BG40" s="542">
        <f>IF(ISBLANK(BF40),"", BF40*BF37)</f>
        <v>582363</v>
      </c>
      <c r="BH40" s="539">
        <f t="shared" si="21"/>
        <v>582363</v>
      </c>
      <c r="BI40" s="540">
        <f t="shared" si="22"/>
        <v>2687759</v>
      </c>
      <c r="BJ40" s="541">
        <f>BI40/BI57</f>
        <v>3.0896088517138015E-2</v>
      </c>
    </row>
    <row r="41" spans="1:62" x14ac:dyDescent="0.25">
      <c r="A41" s="465" t="s">
        <v>57</v>
      </c>
      <c r="B41" s="538"/>
      <c r="C41" s="542" t="str">
        <f>IF(ISBLANK(B41),"", B41*B37)</f>
        <v/>
      </c>
      <c r="D41" s="538"/>
      <c r="E41" s="542" t="str">
        <f>IF(ISBLANK(D41),"", D41*D37)</f>
        <v/>
      </c>
      <c r="F41" s="543"/>
      <c r="G41" s="542" t="str">
        <f>IF(ISBLANK(F41),"", F41*F37)</f>
        <v/>
      </c>
      <c r="H41" s="543">
        <v>79</v>
      </c>
      <c r="I41" s="542">
        <f>IF(ISBLANK(H41),"", H41*H37)</f>
        <v>681533</v>
      </c>
      <c r="J41" s="543">
        <v>0</v>
      </c>
      <c r="K41" s="542">
        <f>IF(ISBLANK(J41),"", J41*J37)</f>
        <v>0</v>
      </c>
      <c r="L41" s="538">
        <v>0</v>
      </c>
      <c r="M41" s="542">
        <f>IF(ISBLANK(L41),"", L41*L37)</f>
        <v>0</v>
      </c>
      <c r="N41" s="539">
        <f t="shared" si="17"/>
        <v>681533</v>
      </c>
      <c r="O41" s="538">
        <v>0</v>
      </c>
      <c r="P41" s="542">
        <f>IF(ISBLANK(O41),"", O41*O37)</f>
        <v>0</v>
      </c>
      <c r="Q41" s="543">
        <v>0</v>
      </c>
      <c r="R41" s="542">
        <f>IF(ISBLANK(Q41),"", Q41*Q37)</f>
        <v>0</v>
      </c>
      <c r="S41" s="543"/>
      <c r="T41" s="542" t="str">
        <f>IF(ISBLANK(S41),"", S41*S37)</f>
        <v/>
      </c>
      <c r="U41" s="543">
        <v>43</v>
      </c>
      <c r="V41" s="542">
        <f>IF(ISBLANK(U41),"", U41*U37)</f>
        <v>370961</v>
      </c>
      <c r="W41" s="539">
        <f t="shared" si="18"/>
        <v>370961</v>
      </c>
      <c r="X41" s="543"/>
      <c r="Y41" s="542" t="str">
        <f>IF(ISBLANK(X41),"", X41*X37)</f>
        <v/>
      </c>
      <c r="Z41" s="543"/>
      <c r="AA41" s="542" t="str">
        <f>IF(ISBLANK(Z41),"", Z41*Z37)</f>
        <v/>
      </c>
      <c r="AB41" s="543"/>
      <c r="AC41" s="542" t="str">
        <f>IF(ISBLANK(AB41),"", AB41*AB37)</f>
        <v/>
      </c>
      <c r="AD41" s="543">
        <v>16</v>
      </c>
      <c r="AE41" s="542">
        <f>IF(ISBLANK(AD41),"", AD41*AD37)</f>
        <v>138032</v>
      </c>
      <c r="AF41" s="543">
        <v>0</v>
      </c>
      <c r="AG41" s="542">
        <f>IF(ISBLANK(AF41),"", AF41*AF37)</f>
        <v>0</v>
      </c>
      <c r="AH41" s="538">
        <v>0</v>
      </c>
      <c r="AI41" s="542">
        <f>IF(ISBLANK(AH41),"", AH41*AH37)</f>
        <v>0</v>
      </c>
      <c r="AJ41" s="538"/>
      <c r="AK41" s="542" t="str">
        <f>IF(ISBLANK(AJ41),"", AJ41*AJ37)</f>
        <v/>
      </c>
      <c r="AL41" s="538"/>
      <c r="AM41" s="542" t="str">
        <f>IF(ISBLANK(AL41),"", AL41*AL37)</f>
        <v/>
      </c>
      <c r="AN41" s="538"/>
      <c r="AO41" s="542" t="str">
        <f>IF(ISBLANK(AN41),"", AN41*AN37)</f>
        <v/>
      </c>
      <c r="AP41" s="539">
        <f t="shared" si="19"/>
        <v>138032</v>
      </c>
      <c r="AQ41" s="538"/>
      <c r="AR41" s="542" t="str">
        <f>IF(ISBLANK(AQ41),"", AQ41*AQ37)</f>
        <v/>
      </c>
      <c r="AS41" s="543"/>
      <c r="AT41" s="542" t="str">
        <f>IF(ISBLANK(AS41),"", AS41*AS37)</f>
        <v/>
      </c>
      <c r="AU41" s="543">
        <v>83</v>
      </c>
      <c r="AV41" s="542">
        <f>IF(ISBLANK(AU41),"", AU41*AU37)</f>
        <v>35773</v>
      </c>
      <c r="AW41" s="543"/>
      <c r="AX41" s="542" t="str">
        <f>IF(ISBLANK(AW41),"", AW41*AW37)</f>
        <v/>
      </c>
      <c r="AY41" s="538">
        <v>70</v>
      </c>
      <c r="AZ41" s="542">
        <f>IF(ISBLANK(AY41),"", AY41*AY37)</f>
        <v>60410</v>
      </c>
      <c r="BA41" s="538">
        <v>42</v>
      </c>
      <c r="BB41" s="542">
        <f>IF(ISBLANK(BA41),"", BA41*BA37)</f>
        <v>72450</v>
      </c>
      <c r="BC41" s="539">
        <f t="shared" si="20"/>
        <v>168633</v>
      </c>
      <c r="BD41" s="543"/>
      <c r="BE41" s="542" t="str">
        <f>IF(ISBLANK(BD41),"", BD41*BD37)</f>
        <v/>
      </c>
      <c r="BF41" s="543">
        <v>32</v>
      </c>
      <c r="BG41" s="542">
        <f>IF(ISBLANK(BF41),"", BF41*BF37)</f>
        <v>690208</v>
      </c>
      <c r="BH41" s="539">
        <f t="shared" si="21"/>
        <v>690208</v>
      </c>
      <c r="BI41" s="540">
        <f t="shared" si="22"/>
        <v>2049367</v>
      </c>
      <c r="BJ41" s="541">
        <f>BI41/BI57</f>
        <v>2.3557701503781246E-2</v>
      </c>
    </row>
    <row r="42" spans="1:62" x14ac:dyDescent="0.25">
      <c r="A42" s="465" t="s">
        <v>58</v>
      </c>
      <c r="B42" s="538"/>
      <c r="C42" s="542" t="str">
        <f>IF(ISBLANK(B42),"", B42*B37)</f>
        <v/>
      </c>
      <c r="D42" s="538"/>
      <c r="E42" s="542" t="str">
        <f>IF(ISBLANK(D42),"", D42*D37)</f>
        <v/>
      </c>
      <c r="F42" s="543"/>
      <c r="G42" s="542" t="str">
        <f>IF(ISBLANK(F42),"", F42*F37)</f>
        <v/>
      </c>
      <c r="H42" s="543">
        <v>253</v>
      </c>
      <c r="I42" s="542">
        <f>IF(ISBLANK(H42),"", H42*H37)</f>
        <v>2182631</v>
      </c>
      <c r="J42" s="543">
        <v>0</v>
      </c>
      <c r="K42" s="542">
        <f>IF(ISBLANK(J42),"", J42*J37)</f>
        <v>0</v>
      </c>
      <c r="L42" s="538">
        <v>0</v>
      </c>
      <c r="M42" s="542">
        <f>IF(ISBLANK(L42),"", L42*L37)</f>
        <v>0</v>
      </c>
      <c r="N42" s="539">
        <f t="shared" si="17"/>
        <v>2182631</v>
      </c>
      <c r="O42" s="538">
        <v>0</v>
      </c>
      <c r="P42" s="542">
        <f>IF(ISBLANK(O42),"", O42*O37)</f>
        <v>0</v>
      </c>
      <c r="Q42" s="543">
        <v>0</v>
      </c>
      <c r="R42" s="542">
        <f>IF(ISBLANK(Q42),"", Q42*Q37)</f>
        <v>0</v>
      </c>
      <c r="S42" s="543"/>
      <c r="T42" s="542" t="str">
        <f>IF(ISBLANK(S42),"", S42*S37)</f>
        <v/>
      </c>
      <c r="U42" s="543">
        <v>186</v>
      </c>
      <c r="V42" s="542">
        <f>IF(ISBLANK(U42),"", U42*U37)</f>
        <v>1604622</v>
      </c>
      <c r="W42" s="539">
        <f t="shared" si="18"/>
        <v>1604622</v>
      </c>
      <c r="X42" s="543"/>
      <c r="Y42" s="542" t="str">
        <f>IF(ISBLANK(X42),"", X42*X37)</f>
        <v/>
      </c>
      <c r="Z42" s="543"/>
      <c r="AA42" s="542" t="str">
        <f>IF(ISBLANK(Z42),"", Z42*Z37)</f>
        <v/>
      </c>
      <c r="AB42" s="543"/>
      <c r="AC42" s="542" t="str">
        <f>IF(ISBLANK(AB42),"", AB42*AB37)</f>
        <v/>
      </c>
      <c r="AD42" s="543"/>
      <c r="AE42" s="542" t="str">
        <f>IF(ISBLANK(AD42),"", AD42*AD37)</f>
        <v/>
      </c>
      <c r="AF42" s="543"/>
      <c r="AG42" s="542" t="str">
        <f>IF(ISBLANK(AF42),"", AF42*AF37)</f>
        <v/>
      </c>
      <c r="AH42" s="538"/>
      <c r="AI42" s="542" t="str">
        <f>IF(ISBLANK(AH42),"", AH42*AH37)</f>
        <v/>
      </c>
      <c r="AJ42" s="538">
        <v>125</v>
      </c>
      <c r="AK42" s="542">
        <f>IF(ISBLANK(AJ42),"", AJ42*AJ37)</f>
        <v>2696125</v>
      </c>
      <c r="AL42" s="538">
        <v>0</v>
      </c>
      <c r="AM42" s="542">
        <f>IF(ISBLANK(AL42),"", AL42*AL37)</f>
        <v>0</v>
      </c>
      <c r="AN42" s="538">
        <v>5</v>
      </c>
      <c r="AO42" s="542">
        <f>IF(ISBLANK(AN42),"", AN42*AN37)</f>
        <v>26960</v>
      </c>
      <c r="AP42" s="539">
        <f t="shared" si="19"/>
        <v>2723085</v>
      </c>
      <c r="AQ42" s="538"/>
      <c r="AR42" s="542" t="str">
        <f>IF(ISBLANK(AQ42),"", AQ42*AQ37)</f>
        <v/>
      </c>
      <c r="AS42" s="543"/>
      <c r="AT42" s="542" t="str">
        <f>IF(ISBLANK(AS42),"", AS42*AS37)</f>
        <v/>
      </c>
      <c r="AU42" s="543"/>
      <c r="AV42" s="542" t="str">
        <f>IF(ISBLANK(AU42),"", AU42*AU37)</f>
        <v/>
      </c>
      <c r="AW42" s="543"/>
      <c r="AX42" s="542" t="str">
        <f>IF(ISBLANK(AW42),"", AW42*AW37)</f>
        <v/>
      </c>
      <c r="AY42" s="538"/>
      <c r="AZ42" s="542" t="str">
        <f>IF(ISBLANK(AY42),"", AY42*AY37)</f>
        <v/>
      </c>
      <c r="BA42" s="538"/>
      <c r="BB42" s="542" t="str">
        <f>IF(ISBLANK(BA42),"", BA42*BA37)</f>
        <v/>
      </c>
      <c r="BC42" s="539">
        <f t="shared" si="20"/>
        <v>0</v>
      </c>
      <c r="BD42" s="543"/>
      <c r="BE42" s="542" t="str">
        <f>IF(ISBLANK(BD42),"", BD42*BD37)</f>
        <v/>
      </c>
      <c r="BF42" s="543">
        <v>168</v>
      </c>
      <c r="BG42" s="542">
        <f>IF(ISBLANK(BF42),"", BF42*BF37)</f>
        <v>3623592</v>
      </c>
      <c r="BH42" s="539">
        <f t="shared" si="21"/>
        <v>3623592</v>
      </c>
      <c r="BI42" s="540">
        <f t="shared" si="22"/>
        <v>10133930</v>
      </c>
      <c r="BJ42" s="541">
        <f>BI42/BI57</f>
        <v>0.11649065199167055</v>
      </c>
    </row>
    <row r="43" spans="1:62" x14ac:dyDescent="0.25">
      <c r="A43" s="465" t="s">
        <v>59</v>
      </c>
      <c r="B43" s="538"/>
      <c r="C43" s="542" t="str">
        <f>IF(ISBLANK(B43),"", B43*B37)</f>
        <v/>
      </c>
      <c r="D43" s="538"/>
      <c r="E43" s="542" t="str">
        <f>IF(ISBLANK(D43),"", D43*D37)</f>
        <v/>
      </c>
      <c r="F43" s="543"/>
      <c r="G43" s="542" t="str">
        <f>IF(ISBLANK(F43),"", F43*F37)</f>
        <v/>
      </c>
      <c r="H43" s="543">
        <v>18</v>
      </c>
      <c r="I43" s="542">
        <f>IF(ISBLANK(H43),"", H43*H37)</f>
        <v>155286</v>
      </c>
      <c r="J43" s="543">
        <v>0</v>
      </c>
      <c r="K43" s="542">
        <f>IF(ISBLANK(J43),"", J43*J37)</f>
        <v>0</v>
      </c>
      <c r="L43" s="538">
        <v>0</v>
      </c>
      <c r="M43" s="542">
        <f>IF(ISBLANK(L43),"", L43*L37)</f>
        <v>0</v>
      </c>
      <c r="N43" s="539">
        <f t="shared" si="17"/>
        <v>155286</v>
      </c>
      <c r="O43" s="538">
        <v>0</v>
      </c>
      <c r="P43" s="542">
        <f>IF(ISBLANK(O43),"", O43*O37)</f>
        <v>0</v>
      </c>
      <c r="Q43" s="543">
        <v>0</v>
      </c>
      <c r="R43" s="542">
        <f>IF(ISBLANK(Q43),"", Q43*Q37)</f>
        <v>0</v>
      </c>
      <c r="S43" s="543"/>
      <c r="T43" s="542" t="str">
        <f>IF(ISBLANK(S43),"", S43*S37)</f>
        <v/>
      </c>
      <c r="U43" s="543">
        <v>42</v>
      </c>
      <c r="V43" s="542">
        <f>IF(ISBLANK(U43),"", U43*U37)</f>
        <v>362334</v>
      </c>
      <c r="W43" s="539">
        <f t="shared" si="18"/>
        <v>362334</v>
      </c>
      <c r="X43" s="543"/>
      <c r="Y43" s="542" t="str">
        <f>IF(ISBLANK(X43),"", X43*X37)</f>
        <v/>
      </c>
      <c r="Z43" s="543"/>
      <c r="AA43" s="542" t="str">
        <f>IF(ISBLANK(Z43),"", Z43*Z37)</f>
        <v/>
      </c>
      <c r="AB43" s="543"/>
      <c r="AC43" s="542" t="str">
        <f>IF(ISBLANK(AB43),"", AB43*AB37)</f>
        <v/>
      </c>
      <c r="AD43" s="543">
        <v>23</v>
      </c>
      <c r="AE43" s="542">
        <f>IF(ISBLANK(AD43),"", AD43*AD37)</f>
        <v>198421</v>
      </c>
      <c r="AF43" s="543">
        <v>0</v>
      </c>
      <c r="AG43" s="542">
        <f>IF(ISBLANK(AF43),"", AF43*AF37)</f>
        <v>0</v>
      </c>
      <c r="AH43" s="538">
        <v>0</v>
      </c>
      <c r="AI43" s="542">
        <f>IF(ISBLANK(AH43),"", AH43*AH37)</f>
        <v>0</v>
      </c>
      <c r="AJ43" s="538"/>
      <c r="AK43" s="542" t="str">
        <f>IF(ISBLANK(AJ43),"", AJ43*AJ37)</f>
        <v/>
      </c>
      <c r="AL43" s="538"/>
      <c r="AM43" s="542" t="str">
        <f>IF(ISBLANK(AL43),"", AL43*AL37)</f>
        <v/>
      </c>
      <c r="AN43" s="538"/>
      <c r="AO43" s="542" t="str">
        <f>IF(ISBLANK(AN43),"", AN43*AN37)</f>
        <v/>
      </c>
      <c r="AP43" s="539">
        <f t="shared" si="19"/>
        <v>198421</v>
      </c>
      <c r="AQ43" s="538"/>
      <c r="AR43" s="542" t="str">
        <f>IF(ISBLANK(AQ43),"", AQ43*AQ37)</f>
        <v/>
      </c>
      <c r="AS43" s="543"/>
      <c r="AT43" s="542" t="str">
        <f>IF(ISBLANK(AS43),"", AS43*AS37)</f>
        <v/>
      </c>
      <c r="AU43" s="543">
        <v>132</v>
      </c>
      <c r="AV43" s="542">
        <f>IF(ISBLANK(AU43),"", AU43*AU37)</f>
        <v>56892</v>
      </c>
      <c r="AW43" s="543"/>
      <c r="AX43" s="542" t="str">
        <f>IF(ISBLANK(AW43),"", AW43*AW37)</f>
        <v/>
      </c>
      <c r="AY43" s="538">
        <v>117</v>
      </c>
      <c r="AZ43" s="542">
        <f>IF(ISBLANK(AY43),"", AY43*AY37)</f>
        <v>100971</v>
      </c>
      <c r="BA43" s="538">
        <v>79</v>
      </c>
      <c r="BB43" s="542">
        <f>IF(ISBLANK(BA43),"", BA43*BA37)</f>
        <v>136275</v>
      </c>
      <c r="BC43" s="539">
        <f t="shared" si="20"/>
        <v>294138</v>
      </c>
      <c r="BD43" s="543"/>
      <c r="BE43" s="542" t="str">
        <f>IF(ISBLANK(BD43),"", BD43*BD37)</f>
        <v/>
      </c>
      <c r="BF43" s="543">
        <v>46</v>
      </c>
      <c r="BG43" s="542">
        <f>IF(ISBLANK(BF43),"", BF43*BF37)</f>
        <v>992174</v>
      </c>
      <c r="BH43" s="539">
        <f t="shared" si="21"/>
        <v>992174</v>
      </c>
      <c r="BI43" s="540">
        <f t="shared" si="22"/>
        <v>2002353</v>
      </c>
      <c r="BJ43" s="541">
        <f>BI43/BI57</f>
        <v>2.3017270346990505E-2</v>
      </c>
    </row>
    <row r="44" spans="1:62" ht="15.75" customHeight="1" thickBot="1" x14ac:dyDescent="0.3">
      <c r="A44" s="465" t="s">
        <v>60</v>
      </c>
      <c r="B44" s="538"/>
      <c r="C44" s="542" t="str">
        <f>IF(ISBLANK(B44),"", B44*B37)</f>
        <v/>
      </c>
      <c r="D44" s="538"/>
      <c r="E44" s="542" t="str">
        <f>IF(ISBLANK(D44),"", D44*D37)</f>
        <v/>
      </c>
      <c r="F44" s="543"/>
      <c r="G44" s="542" t="str">
        <f>IF(ISBLANK(F44),"", F44*F37)</f>
        <v/>
      </c>
      <c r="H44" s="543">
        <v>8</v>
      </c>
      <c r="I44" s="542">
        <f>IF(ISBLANK(H44),"", H44*H37)</f>
        <v>69016</v>
      </c>
      <c r="J44" s="543">
        <v>0</v>
      </c>
      <c r="K44" s="542">
        <f>IF(ISBLANK(J44),"", J44*J37)</f>
        <v>0</v>
      </c>
      <c r="L44" s="538">
        <v>0</v>
      </c>
      <c r="M44" s="542">
        <f>IF(ISBLANK(L44),"", L44*L37)</f>
        <v>0</v>
      </c>
      <c r="N44" s="539">
        <f t="shared" si="17"/>
        <v>69016</v>
      </c>
      <c r="O44" s="538">
        <v>0</v>
      </c>
      <c r="P44" s="542">
        <f>IF(ISBLANK(O44),"", O44*O37)</f>
        <v>0</v>
      </c>
      <c r="Q44" s="543">
        <v>0</v>
      </c>
      <c r="R44" s="542">
        <f>IF(ISBLANK(Q44),"", Q44*Q37)</f>
        <v>0</v>
      </c>
      <c r="S44" s="543"/>
      <c r="T44" s="542" t="str">
        <f>IF(ISBLANK(S44),"", S44*S37)</f>
        <v/>
      </c>
      <c r="U44" s="543">
        <v>33</v>
      </c>
      <c r="V44" s="542">
        <f>IF(ISBLANK(U44),"", U44*U37)</f>
        <v>284691</v>
      </c>
      <c r="W44" s="539">
        <f t="shared" si="18"/>
        <v>284691</v>
      </c>
      <c r="X44" s="543"/>
      <c r="Y44" s="542" t="str">
        <f>IF(ISBLANK(X44),"", X44*X37)</f>
        <v/>
      </c>
      <c r="Z44" s="543"/>
      <c r="AA44" s="542" t="str">
        <f>IF(ISBLANK(Z44),"", Z44*Z37)</f>
        <v/>
      </c>
      <c r="AB44" s="543"/>
      <c r="AC44" s="542" t="str">
        <f>IF(ISBLANK(AB44),"", AB44*AB37)</f>
        <v/>
      </c>
      <c r="AD44" s="543">
        <v>9</v>
      </c>
      <c r="AE44" s="542">
        <f>IF(ISBLANK(AD44),"", AD44*AD37)</f>
        <v>77643</v>
      </c>
      <c r="AF44" s="543">
        <v>0</v>
      </c>
      <c r="AG44" s="542">
        <f>IF(ISBLANK(AF44),"", AF44*AF37)</f>
        <v>0</v>
      </c>
      <c r="AH44" s="538">
        <v>0</v>
      </c>
      <c r="AI44" s="542">
        <f>IF(ISBLANK(AH44),"", AH44*AH37)</f>
        <v>0</v>
      </c>
      <c r="AJ44" s="538"/>
      <c r="AK44" s="542" t="str">
        <f>IF(ISBLANK(AJ44),"", AJ44*AJ37)</f>
        <v/>
      </c>
      <c r="AL44" s="538"/>
      <c r="AM44" s="542" t="str">
        <f>IF(ISBLANK(AL44),"", AL44*AL37)</f>
        <v/>
      </c>
      <c r="AN44" s="538"/>
      <c r="AO44" s="542" t="str">
        <f>IF(ISBLANK(AN44),"", AN44*AN37)</f>
        <v/>
      </c>
      <c r="AP44" s="539">
        <f t="shared" si="19"/>
        <v>77643</v>
      </c>
      <c r="AQ44" s="538"/>
      <c r="AR44" s="542" t="str">
        <f>IF(ISBLANK(AQ44),"", AQ44*AQ37)</f>
        <v/>
      </c>
      <c r="AS44" s="543"/>
      <c r="AT44" s="542" t="str">
        <f>IF(ISBLANK(AS44),"", AS44*AS37)</f>
        <v/>
      </c>
      <c r="AU44" s="543">
        <v>52</v>
      </c>
      <c r="AV44" s="542">
        <f>IF(ISBLANK(AU44),"", AU44*AU37)</f>
        <v>22412</v>
      </c>
      <c r="AW44" s="543"/>
      <c r="AX44" s="542" t="str">
        <f>IF(ISBLANK(AW44),"", AW44*AW37)</f>
        <v/>
      </c>
      <c r="AY44" s="538">
        <v>86</v>
      </c>
      <c r="AZ44" s="542">
        <f>IF(ISBLANK(AY44),"", AY44*AY37)</f>
        <v>74218</v>
      </c>
      <c r="BA44" s="538">
        <v>52</v>
      </c>
      <c r="BB44" s="542">
        <f>IF(ISBLANK(BA44),"", BA44*BA37)</f>
        <v>89700</v>
      </c>
      <c r="BC44" s="539">
        <f t="shared" si="20"/>
        <v>186330</v>
      </c>
      <c r="BD44" s="543"/>
      <c r="BE44" s="542" t="str">
        <f>IF(ISBLANK(BD44),"", BD44*BD37)</f>
        <v/>
      </c>
      <c r="BF44" s="543">
        <v>49</v>
      </c>
      <c r="BG44" s="542">
        <f>IF(ISBLANK(BF44),"", BF44*BF37)</f>
        <v>1056881</v>
      </c>
      <c r="BH44" s="539">
        <f t="shared" si="21"/>
        <v>1056881</v>
      </c>
      <c r="BI44" s="544">
        <f t="shared" si="22"/>
        <v>1674561</v>
      </c>
      <c r="BJ44" s="545">
        <f>BI44/BI57</f>
        <v>1.9249264864650124E-2</v>
      </c>
    </row>
    <row r="45" spans="1:62" ht="15.75" customHeight="1" thickTop="1" x14ac:dyDescent="0.25">
      <c r="A45" s="546" t="s">
        <v>132</v>
      </c>
      <c r="B45" s="547" t="str">
        <f t="shared" ref="B45:M45" si="23">IF(COUNT(B38:B44) = 0, "", SUM(B38:B44))</f>
        <v/>
      </c>
      <c r="C45" s="548" t="str">
        <f t="shared" si="23"/>
        <v/>
      </c>
      <c r="D45" s="547" t="str">
        <f t="shared" si="23"/>
        <v/>
      </c>
      <c r="E45" s="548" t="str">
        <f t="shared" si="23"/>
        <v/>
      </c>
      <c r="F45" s="549" t="str">
        <f t="shared" si="23"/>
        <v/>
      </c>
      <c r="G45" s="548" t="str">
        <f t="shared" si="23"/>
        <v/>
      </c>
      <c r="H45" s="549">
        <f t="shared" si="23"/>
        <v>676</v>
      </c>
      <c r="I45" s="548">
        <f t="shared" si="23"/>
        <v>5831852</v>
      </c>
      <c r="J45" s="549">
        <f t="shared" si="23"/>
        <v>6</v>
      </c>
      <c r="K45" s="548">
        <f t="shared" si="23"/>
        <v>25884</v>
      </c>
      <c r="L45" s="547">
        <f t="shared" si="23"/>
        <v>4</v>
      </c>
      <c r="M45" s="548">
        <f t="shared" si="23"/>
        <v>8628</v>
      </c>
      <c r="N45" s="550">
        <f>SUM(N38:N44)</f>
        <v>5866364</v>
      </c>
      <c r="O45" s="547">
        <f t="shared" ref="O45:V45" si="24">IF(COUNT(O38:O44) = 0, "", SUM(O38:O44))</f>
        <v>0</v>
      </c>
      <c r="P45" s="548">
        <f t="shared" si="24"/>
        <v>0</v>
      </c>
      <c r="Q45" s="549">
        <f t="shared" si="24"/>
        <v>0</v>
      </c>
      <c r="R45" s="548">
        <f t="shared" si="24"/>
        <v>0</v>
      </c>
      <c r="S45" s="549" t="str">
        <f t="shared" si="24"/>
        <v/>
      </c>
      <c r="T45" s="548" t="str">
        <f t="shared" si="24"/>
        <v/>
      </c>
      <c r="U45" s="549">
        <f t="shared" si="24"/>
        <v>549</v>
      </c>
      <c r="V45" s="548">
        <f t="shared" si="24"/>
        <v>4736223</v>
      </c>
      <c r="W45" s="550">
        <f>SUM(W38:W44)</f>
        <v>4736223</v>
      </c>
      <c r="X45" s="549" t="str">
        <f t="shared" ref="X45:AO45" si="25">IF(COUNT(X38:X44) = 0, "", SUM(X38:X44))</f>
        <v/>
      </c>
      <c r="Y45" s="548" t="str">
        <f t="shared" si="25"/>
        <v/>
      </c>
      <c r="Z45" s="549" t="str">
        <f t="shared" si="25"/>
        <v/>
      </c>
      <c r="AA45" s="548" t="str">
        <f t="shared" si="25"/>
        <v/>
      </c>
      <c r="AB45" s="549" t="str">
        <f t="shared" si="25"/>
        <v/>
      </c>
      <c r="AC45" s="548" t="str">
        <f t="shared" si="25"/>
        <v/>
      </c>
      <c r="AD45" s="549">
        <f t="shared" si="25"/>
        <v>82</v>
      </c>
      <c r="AE45" s="548">
        <f t="shared" si="25"/>
        <v>707414</v>
      </c>
      <c r="AF45" s="549">
        <f t="shared" si="25"/>
        <v>0</v>
      </c>
      <c r="AG45" s="548">
        <f t="shared" si="25"/>
        <v>0</v>
      </c>
      <c r="AH45" s="547">
        <f t="shared" si="25"/>
        <v>0</v>
      </c>
      <c r="AI45" s="548">
        <f t="shared" si="25"/>
        <v>0</v>
      </c>
      <c r="AJ45" s="547">
        <f t="shared" si="25"/>
        <v>285</v>
      </c>
      <c r="AK45" s="548">
        <f t="shared" si="25"/>
        <v>6147165</v>
      </c>
      <c r="AL45" s="547">
        <f t="shared" si="25"/>
        <v>0</v>
      </c>
      <c r="AM45" s="548">
        <f t="shared" si="25"/>
        <v>0</v>
      </c>
      <c r="AN45" s="547">
        <f t="shared" si="25"/>
        <v>5</v>
      </c>
      <c r="AO45" s="548">
        <f t="shared" si="25"/>
        <v>26960</v>
      </c>
      <c r="AP45" s="550">
        <f>SUM(AP38:AP44)</f>
        <v>6881539</v>
      </c>
      <c r="AQ45" s="547" t="str">
        <f t="shared" ref="AQ45:BB45" si="26">IF(COUNT(AQ38:AQ44) = 0, "", SUM(AQ38:AQ44))</f>
        <v/>
      </c>
      <c r="AR45" s="548" t="str">
        <f t="shared" si="26"/>
        <v/>
      </c>
      <c r="AS45" s="549" t="str">
        <f t="shared" si="26"/>
        <v/>
      </c>
      <c r="AT45" s="548" t="str">
        <f t="shared" si="26"/>
        <v/>
      </c>
      <c r="AU45" s="549">
        <f t="shared" si="26"/>
        <v>381</v>
      </c>
      <c r="AV45" s="548">
        <f t="shared" si="26"/>
        <v>164211</v>
      </c>
      <c r="AW45" s="549" t="str">
        <f t="shared" si="26"/>
        <v/>
      </c>
      <c r="AX45" s="548" t="str">
        <f t="shared" si="26"/>
        <v/>
      </c>
      <c r="AY45" s="547">
        <f t="shared" si="26"/>
        <v>374</v>
      </c>
      <c r="AZ45" s="548">
        <f t="shared" si="26"/>
        <v>322762</v>
      </c>
      <c r="BA45" s="547">
        <f t="shared" si="26"/>
        <v>250</v>
      </c>
      <c r="BB45" s="548">
        <f t="shared" si="26"/>
        <v>431250</v>
      </c>
      <c r="BC45" s="550">
        <f>SUM(BC38:BC44)</f>
        <v>918223</v>
      </c>
      <c r="BD45" s="549" t="str">
        <f>IF(COUNT(BD38:BD44) = 0, "", SUM(BD38:BD44))</f>
        <v/>
      </c>
      <c r="BE45" s="548" t="str">
        <f>IF(COUNT(BE38:BE44) = 0, "", SUM(BE38:BE44))</f>
        <v/>
      </c>
      <c r="BF45" s="549">
        <f>IF(COUNT(BF38:BF44) = 0, "", SUM(BF38:BF44))</f>
        <v>623</v>
      </c>
      <c r="BG45" s="548">
        <f>IF(COUNT(BG38:BG44) = 0, "", SUM(BG38:BG44))</f>
        <v>13437487</v>
      </c>
      <c r="BH45" s="550">
        <f>SUM(BH38:BH44)</f>
        <v>13437487</v>
      </c>
      <c r="BI45" s="551">
        <f t="shared" si="22"/>
        <v>31839836</v>
      </c>
      <c r="BJ45" s="552">
        <f>BI45/BI57</f>
        <v>0.36600245462005992</v>
      </c>
    </row>
    <row r="46" spans="1:62" x14ac:dyDescent="0.25">
      <c r="A46" s="553"/>
      <c r="B46" s="554"/>
      <c r="C46" s="555"/>
      <c r="D46" s="556">
        <v>0</v>
      </c>
      <c r="E46" s="556"/>
      <c r="F46" s="557"/>
      <c r="G46" s="555"/>
      <c r="H46" s="557"/>
      <c r="I46" s="555"/>
      <c r="J46" s="557"/>
      <c r="K46" s="555"/>
      <c r="L46" s="554"/>
      <c r="M46" s="555"/>
      <c r="N46" s="558"/>
      <c r="O46" s="554"/>
      <c r="P46" s="555"/>
      <c r="Q46" s="556"/>
      <c r="R46" s="556"/>
      <c r="S46" s="557"/>
      <c r="T46" s="555"/>
      <c r="U46" s="557"/>
      <c r="V46" s="555"/>
      <c r="W46" s="558"/>
      <c r="X46" s="557"/>
      <c r="Y46" s="555"/>
      <c r="Z46" s="557"/>
      <c r="AA46" s="555"/>
      <c r="AB46" s="557"/>
      <c r="AC46" s="555"/>
      <c r="AD46" s="557"/>
      <c r="AE46" s="555"/>
      <c r="AF46" s="557"/>
      <c r="AG46" s="555"/>
      <c r="AH46" s="554"/>
      <c r="AI46" s="555"/>
      <c r="AJ46" s="554"/>
      <c r="AK46" s="555"/>
      <c r="AL46" s="554"/>
      <c r="AM46" s="555"/>
      <c r="AN46" s="554"/>
      <c r="AO46" s="555"/>
      <c r="AP46" s="558"/>
      <c r="AQ46" s="554"/>
      <c r="AR46" s="555"/>
      <c r="AS46" s="557"/>
      <c r="AT46" s="555"/>
      <c r="AU46" s="557"/>
      <c r="AV46" s="555"/>
      <c r="AW46" s="557"/>
      <c r="AX46" s="555"/>
      <c r="AY46" s="554"/>
      <c r="AZ46" s="555"/>
      <c r="BA46" s="554"/>
      <c r="BB46" s="555"/>
      <c r="BC46" s="558"/>
      <c r="BD46" s="557"/>
      <c r="BE46" s="555"/>
      <c r="BF46" s="557"/>
      <c r="BG46" s="555"/>
      <c r="BH46" s="558"/>
      <c r="BI46" s="559"/>
      <c r="BJ46" s="560"/>
    </row>
    <row r="47" spans="1:62" x14ac:dyDescent="0.25">
      <c r="A47" s="465" t="s">
        <v>66</v>
      </c>
      <c r="B47" s="538"/>
      <c r="C47" s="542" t="str">
        <f>IF(ISBLANK(B47),"", B47*B37)</f>
        <v/>
      </c>
      <c r="D47" s="538"/>
      <c r="E47" s="542" t="str">
        <f>IF(ISBLANK(D47),"", D47*D37)</f>
        <v/>
      </c>
      <c r="F47" s="543"/>
      <c r="G47" s="542" t="str">
        <f>IF(ISBLANK(F47),"", F47*F37)</f>
        <v/>
      </c>
      <c r="H47" s="543">
        <v>0</v>
      </c>
      <c r="I47" s="542">
        <f>IF(ISBLANK(H47),"", H47*H37)</f>
        <v>0</v>
      </c>
      <c r="J47" s="543">
        <v>53</v>
      </c>
      <c r="K47" s="542">
        <f>IF(ISBLANK(J47),"", J47*J37)</f>
        <v>228642</v>
      </c>
      <c r="L47" s="538">
        <v>0</v>
      </c>
      <c r="M47" s="542">
        <f>IF(ISBLANK(L47),"", L47*L37)</f>
        <v>0</v>
      </c>
      <c r="N47" s="539">
        <f>SUM(C47,E47,G47,I47,K47,M47)</f>
        <v>228642</v>
      </c>
      <c r="O47" s="538">
        <v>0</v>
      </c>
      <c r="P47" s="542">
        <f>IF(ISBLANK(O47),"", O47*O37)</f>
        <v>0</v>
      </c>
      <c r="Q47" s="543">
        <v>0</v>
      </c>
      <c r="R47" s="542">
        <f>IF(ISBLANK(Q47),"", Q47*Q37)</f>
        <v>0</v>
      </c>
      <c r="S47" s="543"/>
      <c r="T47" s="542" t="str">
        <f>IF(ISBLANK(S47),"", S47*S37)</f>
        <v/>
      </c>
      <c r="U47" s="543">
        <v>110</v>
      </c>
      <c r="V47" s="542">
        <f>IF(ISBLANK(U47),"", U47*U37)</f>
        <v>948970</v>
      </c>
      <c r="W47" s="539">
        <f>SUM(P47,R47,T47,V47)</f>
        <v>948970</v>
      </c>
      <c r="X47" s="543"/>
      <c r="Y47" s="542" t="str">
        <f>IF(ISBLANK(X47),"", X47*X37)</f>
        <v/>
      </c>
      <c r="Z47" s="543"/>
      <c r="AA47" s="542" t="str">
        <f>IF(ISBLANK(Z47),"", Z47*Z37)</f>
        <v/>
      </c>
      <c r="AB47" s="543"/>
      <c r="AC47" s="542" t="str">
        <f>IF(ISBLANK(AB47),"", AB47*AB37)</f>
        <v/>
      </c>
      <c r="AD47" s="543"/>
      <c r="AE47" s="542" t="str">
        <f>IF(ISBLANK(AD47),"", AD47*AD37)</f>
        <v/>
      </c>
      <c r="AF47" s="543"/>
      <c r="AG47" s="542" t="str">
        <f>IF(ISBLANK(AF47),"", AF47*AF37)</f>
        <v/>
      </c>
      <c r="AH47" s="538"/>
      <c r="AI47" s="542" t="str">
        <f>IF(ISBLANK(AH47),"", AH47*AH37)</f>
        <v/>
      </c>
      <c r="AJ47" s="538">
        <v>81</v>
      </c>
      <c r="AK47" s="542">
        <f>IF(ISBLANK(AJ47),"", AJ47*AJ37)</f>
        <v>1747089</v>
      </c>
      <c r="AL47" s="538">
        <v>0</v>
      </c>
      <c r="AM47" s="542">
        <f>IF(ISBLANK(AL47),"", AL47*AL37)</f>
        <v>0</v>
      </c>
      <c r="AN47" s="538">
        <v>3</v>
      </c>
      <c r="AO47" s="542">
        <f>IF(ISBLANK(AN47),"", AN47*AN37)</f>
        <v>16176</v>
      </c>
      <c r="AP47" s="539">
        <f>SUM(AO47,AM47,AK47,AI47,AG47,AE47,AC47,AA47,Y47)</f>
        <v>1763265</v>
      </c>
      <c r="AQ47" s="538"/>
      <c r="AR47" s="542" t="str">
        <f>IF(ISBLANK(AQ47),"", AQ47*AQ37)</f>
        <v/>
      </c>
      <c r="AS47" s="543"/>
      <c r="AT47" s="542" t="str">
        <f>IF(ISBLANK(AS47),"", AS47*AS37)</f>
        <v/>
      </c>
      <c r="AU47" s="543"/>
      <c r="AV47" s="542" t="str">
        <f>IF(ISBLANK(AU47),"", AU47*AU37)</f>
        <v/>
      </c>
      <c r="AW47" s="543"/>
      <c r="AX47" s="542" t="str">
        <f>IF(ISBLANK(AW47),"", AW47*AW37)</f>
        <v/>
      </c>
      <c r="AY47" s="538"/>
      <c r="AZ47" s="542" t="str">
        <f>IF(ISBLANK(AY47),"", AY47*AY37)</f>
        <v/>
      </c>
      <c r="BA47" s="538"/>
      <c r="BB47" s="542" t="str">
        <f>IF(ISBLANK(BA47),"", BA47*BA37)</f>
        <v/>
      </c>
      <c r="BC47" s="539">
        <f>SUM(AR47,AT47,AV47,AX47,AZ47,BB47)</f>
        <v>0</v>
      </c>
      <c r="BD47" s="543"/>
      <c r="BE47" s="542" t="str">
        <f>IF(ISBLANK(BD47),"", BD47*BD37)</f>
        <v/>
      </c>
      <c r="BF47" s="543">
        <v>382</v>
      </c>
      <c r="BG47" s="542">
        <f>IF(ISBLANK(BF47),"", BF47*BF37)</f>
        <v>8239358</v>
      </c>
      <c r="BH47" s="539">
        <f>SUM(BE47,BG47)</f>
        <v>8239358</v>
      </c>
      <c r="BI47" s="540">
        <f>SUM(N47,W47,AP47,BC47,BH47)</f>
        <v>11180235</v>
      </c>
      <c r="BJ47" s="541">
        <f>BI47/BI57</f>
        <v>0.12851804428983571</v>
      </c>
    </row>
    <row r="48" spans="1:62" x14ac:dyDescent="0.25">
      <c r="A48" s="465" t="s">
        <v>67</v>
      </c>
      <c r="B48" s="538"/>
      <c r="C48" s="542" t="str">
        <f>IF(ISBLANK(B48),"", B48*B37)</f>
        <v/>
      </c>
      <c r="D48" s="538"/>
      <c r="E48" s="542" t="str">
        <f>IF(ISBLANK(D48),"", D48*D37)</f>
        <v/>
      </c>
      <c r="F48" s="543"/>
      <c r="G48" s="542" t="str">
        <f>IF(ISBLANK(F48),"", F48*F37)</f>
        <v/>
      </c>
      <c r="H48" s="543">
        <v>15</v>
      </c>
      <c r="I48" s="542">
        <f>IF(ISBLANK(H48),"", H48*H37)</f>
        <v>129405</v>
      </c>
      <c r="J48" s="543">
        <v>0</v>
      </c>
      <c r="K48" s="542">
        <f>IF(ISBLANK(J48),"", J48*J37)</f>
        <v>0</v>
      </c>
      <c r="L48" s="538">
        <v>0</v>
      </c>
      <c r="M48" s="542">
        <f>IF(ISBLANK(L48),"", L48*L37)</f>
        <v>0</v>
      </c>
      <c r="N48" s="539">
        <f>SUM(C48,E48,G48,I48,K48,M48)</f>
        <v>129405</v>
      </c>
      <c r="O48" s="538">
        <v>0</v>
      </c>
      <c r="P48" s="542">
        <f>IF(ISBLANK(O48),"", O48*O37)</f>
        <v>0</v>
      </c>
      <c r="Q48" s="543">
        <v>0</v>
      </c>
      <c r="R48" s="542">
        <f>IF(ISBLANK(Q48),"", Q48*Q37)</f>
        <v>0</v>
      </c>
      <c r="S48" s="543"/>
      <c r="T48" s="542" t="str">
        <f>IF(ISBLANK(S48),"", S48*S37)</f>
        <v/>
      </c>
      <c r="U48" s="543">
        <v>78</v>
      </c>
      <c r="V48" s="542">
        <f>IF(ISBLANK(U48),"", U48*U37)</f>
        <v>672906</v>
      </c>
      <c r="W48" s="539">
        <f>SUM(P48,R48,T48,V48)</f>
        <v>672906</v>
      </c>
      <c r="X48" s="543"/>
      <c r="Y48" s="542" t="str">
        <f>IF(ISBLANK(X48),"", X48*X37)</f>
        <v/>
      </c>
      <c r="Z48" s="543"/>
      <c r="AA48" s="542" t="str">
        <f>IF(ISBLANK(Z48),"", Z48*Z37)</f>
        <v/>
      </c>
      <c r="AB48" s="543"/>
      <c r="AC48" s="542" t="str">
        <f>IF(ISBLANK(AB48),"", AB48*AB37)</f>
        <v/>
      </c>
      <c r="AD48" s="543">
        <v>39</v>
      </c>
      <c r="AE48" s="542">
        <f>IF(ISBLANK(AD48),"", AD48*AD37)</f>
        <v>336453</v>
      </c>
      <c r="AF48" s="543">
        <v>0</v>
      </c>
      <c r="AG48" s="542">
        <f>IF(ISBLANK(AF48),"", AF48*AF37)</f>
        <v>0</v>
      </c>
      <c r="AH48" s="538">
        <v>0</v>
      </c>
      <c r="AI48" s="542">
        <f>IF(ISBLANK(AH48),"", AH48*AH37)</f>
        <v>0</v>
      </c>
      <c r="AJ48" s="538"/>
      <c r="AK48" s="542" t="str">
        <f>IF(ISBLANK(AJ48),"", AJ48*AJ37)</f>
        <v/>
      </c>
      <c r="AL48" s="538"/>
      <c r="AM48" s="542" t="str">
        <f>IF(ISBLANK(AL48),"", AL48*AL37)</f>
        <v/>
      </c>
      <c r="AN48" s="538"/>
      <c r="AO48" s="542" t="str">
        <f>IF(ISBLANK(AN48),"", AN48*AN37)</f>
        <v/>
      </c>
      <c r="AP48" s="539">
        <f>SUM(AO48,AM48,AK48,AI48,AG48,AE48,AC48,AA48,Y48)</f>
        <v>336453</v>
      </c>
      <c r="AQ48" s="538"/>
      <c r="AR48" s="542" t="str">
        <f>IF(ISBLANK(AQ48),"", AQ48*AQ37)</f>
        <v/>
      </c>
      <c r="AS48" s="543"/>
      <c r="AT48" s="542" t="str">
        <f>IF(ISBLANK(AS48),"", AS48*AS37)</f>
        <v/>
      </c>
      <c r="AU48" s="543">
        <v>158</v>
      </c>
      <c r="AV48" s="542">
        <f>IF(ISBLANK(AU48),"", AU48*AU37)</f>
        <v>68098</v>
      </c>
      <c r="AW48" s="543"/>
      <c r="AX48" s="542" t="str">
        <f>IF(ISBLANK(AW48),"", AW48*AW37)</f>
        <v/>
      </c>
      <c r="AY48" s="538">
        <v>231</v>
      </c>
      <c r="AZ48" s="542">
        <f>IF(ISBLANK(AY48),"", AY48*AY37)</f>
        <v>199353</v>
      </c>
      <c r="BA48" s="538">
        <v>186</v>
      </c>
      <c r="BB48" s="542">
        <f>IF(ISBLANK(BA48),"", BA48*BA37)</f>
        <v>320850</v>
      </c>
      <c r="BC48" s="539">
        <f>SUM(AR48,AT48,AV48,AX48,AZ48,BB48)</f>
        <v>588301</v>
      </c>
      <c r="BD48" s="543"/>
      <c r="BE48" s="542" t="str">
        <f>IF(ISBLANK(BD48),"", BD48*BD37)</f>
        <v/>
      </c>
      <c r="BF48" s="543">
        <v>156</v>
      </c>
      <c r="BG48" s="542">
        <f>IF(ISBLANK(BF48),"", BF48*BF37)</f>
        <v>3364764</v>
      </c>
      <c r="BH48" s="539">
        <f>SUM(BE48,BG48)</f>
        <v>3364764</v>
      </c>
      <c r="BI48" s="540">
        <f>SUM(N48,W48,AP48,BC48,BH48)</f>
        <v>5091829</v>
      </c>
      <c r="BJ48" s="541">
        <f>BI48/BI57</f>
        <v>5.8531140440095386E-2</v>
      </c>
    </row>
    <row r="49" spans="1:62" ht="15.75" customHeight="1" thickBot="1" x14ac:dyDescent="0.3">
      <c r="A49" s="465" t="s">
        <v>69</v>
      </c>
      <c r="B49" s="538"/>
      <c r="C49" s="542" t="str">
        <f>IF(ISBLANK(B49),"", B49*B37)</f>
        <v/>
      </c>
      <c r="D49" s="538"/>
      <c r="E49" s="542" t="str">
        <f>IF(ISBLANK(D49),"", D49*D37)</f>
        <v/>
      </c>
      <c r="F49" s="543"/>
      <c r="G49" s="542" t="str">
        <f>IF(ISBLANK(F49),"", F49*F37)</f>
        <v/>
      </c>
      <c r="H49" s="543">
        <v>37</v>
      </c>
      <c r="I49" s="542">
        <f>IF(ISBLANK(H49),"", H49*H37)</f>
        <v>319199</v>
      </c>
      <c r="J49" s="543">
        <v>0</v>
      </c>
      <c r="K49" s="542">
        <f>IF(ISBLANK(J49),"", J49*J37)</f>
        <v>0</v>
      </c>
      <c r="L49" s="538">
        <v>0</v>
      </c>
      <c r="M49" s="542">
        <f>IF(ISBLANK(L49),"", L49*L37)</f>
        <v>0</v>
      </c>
      <c r="N49" s="539">
        <f>SUM(C49,E49,G49,I49,K49,M49)</f>
        <v>319199</v>
      </c>
      <c r="O49" s="538">
        <v>0</v>
      </c>
      <c r="P49" s="542">
        <f>IF(ISBLANK(O49),"", O49*O37)</f>
        <v>0</v>
      </c>
      <c r="Q49" s="543">
        <v>0</v>
      </c>
      <c r="R49" s="542">
        <f>IF(ISBLANK(Q49),"", Q49*Q37)</f>
        <v>0</v>
      </c>
      <c r="S49" s="543"/>
      <c r="T49" s="542" t="str">
        <f>IF(ISBLANK(S49),"", S49*S37)</f>
        <v/>
      </c>
      <c r="U49" s="543">
        <v>26</v>
      </c>
      <c r="V49" s="542">
        <f>IF(ISBLANK(U49),"", U49*U37)</f>
        <v>224302</v>
      </c>
      <c r="W49" s="539">
        <f>SUM(P49,R49,T49,V49)</f>
        <v>224302</v>
      </c>
      <c r="X49" s="543"/>
      <c r="Y49" s="542" t="str">
        <f>IF(ISBLANK(X49),"", X49*X37)</f>
        <v/>
      </c>
      <c r="Z49" s="543"/>
      <c r="AA49" s="542" t="str">
        <f>IF(ISBLANK(Z49),"", Z49*Z37)</f>
        <v/>
      </c>
      <c r="AB49" s="543"/>
      <c r="AC49" s="542" t="str">
        <f>IF(ISBLANK(AB49),"", AB49*AB37)</f>
        <v/>
      </c>
      <c r="AD49" s="543">
        <v>36</v>
      </c>
      <c r="AE49" s="542">
        <f>IF(ISBLANK(AD49),"", AD49*AD37)</f>
        <v>310572</v>
      </c>
      <c r="AF49" s="543">
        <v>0</v>
      </c>
      <c r="AG49" s="542">
        <f>IF(ISBLANK(AF49),"", AF49*AF37)</f>
        <v>0</v>
      </c>
      <c r="AH49" s="538">
        <v>0</v>
      </c>
      <c r="AI49" s="542">
        <f>IF(ISBLANK(AH49),"", AH49*AH37)</f>
        <v>0</v>
      </c>
      <c r="AJ49" s="538"/>
      <c r="AK49" s="542" t="str">
        <f>IF(ISBLANK(AJ49),"", AJ49*AJ37)</f>
        <v/>
      </c>
      <c r="AL49" s="538"/>
      <c r="AM49" s="542" t="str">
        <f>IF(ISBLANK(AL49),"", AL49*AL37)</f>
        <v/>
      </c>
      <c r="AN49" s="538"/>
      <c r="AO49" s="542" t="str">
        <f>IF(ISBLANK(AN49),"", AN49*AN37)</f>
        <v/>
      </c>
      <c r="AP49" s="539">
        <f>SUM(AO49,AM49,AK49,AI49,AG49,AE49,AC49,AA49,Y49)</f>
        <v>310572</v>
      </c>
      <c r="AQ49" s="538"/>
      <c r="AR49" s="542" t="str">
        <f>IF(ISBLANK(AQ49),"", AQ49*AQ37)</f>
        <v/>
      </c>
      <c r="AS49" s="543"/>
      <c r="AT49" s="542" t="str">
        <f>IF(ISBLANK(AS49),"", AS49*AS37)</f>
        <v/>
      </c>
      <c r="AU49" s="543">
        <v>203</v>
      </c>
      <c r="AV49" s="542">
        <f>IF(ISBLANK(AU49),"", AU49*AU37)</f>
        <v>87493</v>
      </c>
      <c r="AW49" s="543"/>
      <c r="AX49" s="542" t="str">
        <f>IF(ISBLANK(AW49),"", AW49*AW37)</f>
        <v/>
      </c>
      <c r="AY49" s="538">
        <v>210</v>
      </c>
      <c r="AZ49" s="542">
        <f>IF(ISBLANK(AY49),"", AY49*AY37)</f>
        <v>181230</v>
      </c>
      <c r="BA49" s="538">
        <v>157</v>
      </c>
      <c r="BB49" s="542">
        <f>IF(ISBLANK(BA49),"", BA49*BA37)</f>
        <v>270825</v>
      </c>
      <c r="BC49" s="539">
        <f>SUM(AR49,AT49,AV49,AX49,AZ49,BB49)</f>
        <v>539548</v>
      </c>
      <c r="BD49" s="543"/>
      <c r="BE49" s="542" t="str">
        <f>IF(ISBLANK(BD49),"", BD49*BD37)</f>
        <v/>
      </c>
      <c r="BF49" s="543">
        <v>66</v>
      </c>
      <c r="BG49" s="542">
        <f>IF(ISBLANK(BF49),"", BF49*BF37)</f>
        <v>1423554</v>
      </c>
      <c r="BH49" s="539">
        <f>SUM(BE49,BG49)</f>
        <v>1423554</v>
      </c>
      <c r="BI49" s="544">
        <f>SUM(N49,W49,AP49,BC49,BH49)</f>
        <v>2817175</v>
      </c>
      <c r="BJ49" s="545">
        <f>BI49/BI57</f>
        <v>3.2383739824987393E-2</v>
      </c>
    </row>
    <row r="50" spans="1:62" ht="15.75" customHeight="1" thickTop="1" x14ac:dyDescent="0.25">
      <c r="A50" s="546" t="s">
        <v>133</v>
      </c>
      <c r="B50" s="547" t="str">
        <f t="shared" ref="B50:M50" si="27">IF(COUNT(B47:B49) = 0, "", SUM(B47:B49))</f>
        <v/>
      </c>
      <c r="C50" s="548" t="str">
        <f t="shared" si="27"/>
        <v/>
      </c>
      <c r="D50" s="547" t="str">
        <f t="shared" si="27"/>
        <v/>
      </c>
      <c r="E50" s="548" t="str">
        <f t="shared" si="27"/>
        <v/>
      </c>
      <c r="F50" s="549" t="str">
        <f t="shared" si="27"/>
        <v/>
      </c>
      <c r="G50" s="548" t="str">
        <f t="shared" si="27"/>
        <v/>
      </c>
      <c r="H50" s="549">
        <f t="shared" si="27"/>
        <v>52</v>
      </c>
      <c r="I50" s="548">
        <f t="shared" si="27"/>
        <v>448604</v>
      </c>
      <c r="J50" s="549">
        <f t="shared" si="27"/>
        <v>53</v>
      </c>
      <c r="K50" s="548">
        <f t="shared" si="27"/>
        <v>228642</v>
      </c>
      <c r="L50" s="547">
        <f t="shared" si="27"/>
        <v>0</v>
      </c>
      <c r="M50" s="548">
        <f t="shared" si="27"/>
        <v>0</v>
      </c>
      <c r="N50" s="550">
        <f>SUM(N47:N49)</f>
        <v>677246</v>
      </c>
      <c r="O50" s="547">
        <f t="shared" ref="O50:V50" si="28">IF(COUNT(O47:O49) = 0, "", SUM(O47:O49))</f>
        <v>0</v>
      </c>
      <c r="P50" s="548">
        <f t="shared" si="28"/>
        <v>0</v>
      </c>
      <c r="Q50" s="549">
        <f t="shared" si="28"/>
        <v>0</v>
      </c>
      <c r="R50" s="548">
        <f t="shared" si="28"/>
        <v>0</v>
      </c>
      <c r="S50" s="549" t="str">
        <f t="shared" si="28"/>
        <v/>
      </c>
      <c r="T50" s="548" t="str">
        <f t="shared" si="28"/>
        <v/>
      </c>
      <c r="U50" s="549">
        <f t="shared" si="28"/>
        <v>214</v>
      </c>
      <c r="V50" s="548">
        <f t="shared" si="28"/>
        <v>1846178</v>
      </c>
      <c r="W50" s="550">
        <f>SUM(W47:W49)</f>
        <v>1846178</v>
      </c>
      <c r="X50" s="549" t="str">
        <f t="shared" ref="X50:AO50" si="29">IF(COUNT(X47:X49) = 0, "", SUM(X47:X49))</f>
        <v/>
      </c>
      <c r="Y50" s="548" t="str">
        <f t="shared" si="29"/>
        <v/>
      </c>
      <c r="Z50" s="549" t="str">
        <f t="shared" si="29"/>
        <v/>
      </c>
      <c r="AA50" s="548" t="str">
        <f t="shared" si="29"/>
        <v/>
      </c>
      <c r="AB50" s="549" t="str">
        <f t="shared" si="29"/>
        <v/>
      </c>
      <c r="AC50" s="548" t="str">
        <f t="shared" si="29"/>
        <v/>
      </c>
      <c r="AD50" s="549">
        <f t="shared" si="29"/>
        <v>75</v>
      </c>
      <c r="AE50" s="548">
        <f t="shared" si="29"/>
        <v>647025</v>
      </c>
      <c r="AF50" s="549">
        <f t="shared" si="29"/>
        <v>0</v>
      </c>
      <c r="AG50" s="548">
        <f t="shared" si="29"/>
        <v>0</v>
      </c>
      <c r="AH50" s="547">
        <f t="shared" si="29"/>
        <v>0</v>
      </c>
      <c r="AI50" s="548">
        <f t="shared" si="29"/>
        <v>0</v>
      </c>
      <c r="AJ50" s="547">
        <f t="shared" si="29"/>
        <v>81</v>
      </c>
      <c r="AK50" s="548">
        <f t="shared" si="29"/>
        <v>1747089</v>
      </c>
      <c r="AL50" s="547">
        <f t="shared" si="29"/>
        <v>0</v>
      </c>
      <c r="AM50" s="548">
        <f t="shared" si="29"/>
        <v>0</v>
      </c>
      <c r="AN50" s="547">
        <f t="shared" si="29"/>
        <v>3</v>
      </c>
      <c r="AO50" s="548">
        <f t="shared" si="29"/>
        <v>16176</v>
      </c>
      <c r="AP50" s="550">
        <f>SUM(AP47:AP49)</f>
        <v>2410290</v>
      </c>
      <c r="AQ50" s="547" t="str">
        <f t="shared" ref="AQ50:BB50" si="30">IF(COUNT(AQ47:AQ49) = 0, "", SUM(AQ47:AQ49))</f>
        <v/>
      </c>
      <c r="AR50" s="548" t="str">
        <f t="shared" si="30"/>
        <v/>
      </c>
      <c r="AS50" s="549" t="str">
        <f t="shared" si="30"/>
        <v/>
      </c>
      <c r="AT50" s="548" t="str">
        <f t="shared" si="30"/>
        <v/>
      </c>
      <c r="AU50" s="549">
        <f t="shared" si="30"/>
        <v>361</v>
      </c>
      <c r="AV50" s="548">
        <f t="shared" si="30"/>
        <v>155591</v>
      </c>
      <c r="AW50" s="549" t="str">
        <f t="shared" si="30"/>
        <v/>
      </c>
      <c r="AX50" s="548" t="str">
        <f t="shared" si="30"/>
        <v/>
      </c>
      <c r="AY50" s="547">
        <f t="shared" si="30"/>
        <v>441</v>
      </c>
      <c r="AZ50" s="548">
        <f t="shared" si="30"/>
        <v>380583</v>
      </c>
      <c r="BA50" s="547">
        <f t="shared" si="30"/>
        <v>343</v>
      </c>
      <c r="BB50" s="548">
        <f t="shared" si="30"/>
        <v>591675</v>
      </c>
      <c r="BC50" s="550">
        <f>SUM(BC47:BC49)</f>
        <v>1127849</v>
      </c>
      <c r="BD50" s="549" t="str">
        <f>IF(COUNT(BD47:BD49) = 0, "", SUM(BD47:BD49))</f>
        <v/>
      </c>
      <c r="BE50" s="548" t="str">
        <f>IF(COUNT(BE47:BE49) = 0, "", SUM(BE47:BE49))</f>
        <v/>
      </c>
      <c r="BF50" s="549">
        <f>IF(COUNT(BF47:BF49) = 0, "", SUM(BF47:BF49))</f>
        <v>604</v>
      </c>
      <c r="BG50" s="548">
        <f>IF(COUNT(BG47:BG49) = 0, "", SUM(BG47:BG49))</f>
        <v>13027676</v>
      </c>
      <c r="BH50" s="550">
        <f>SUM(BH47:BH49)</f>
        <v>13027676</v>
      </c>
      <c r="BI50" s="551">
        <f>SUM(N50,W50,AP50,BC50,BH50)</f>
        <v>19089239</v>
      </c>
      <c r="BJ50" s="552">
        <f>BI50/BI57</f>
        <v>0.2194329245549185</v>
      </c>
    </row>
    <row r="51" spans="1:62" x14ac:dyDescent="0.25">
      <c r="A51" s="553"/>
      <c r="B51" s="561"/>
      <c r="C51" s="562"/>
      <c r="D51" s="563"/>
      <c r="E51" s="563"/>
      <c r="F51" s="564"/>
      <c r="G51" s="562"/>
      <c r="H51" s="564"/>
      <c r="I51" s="562"/>
      <c r="J51" s="564"/>
      <c r="K51" s="562"/>
      <c r="L51" s="561"/>
      <c r="M51" s="562"/>
      <c r="N51" s="565"/>
      <c r="O51" s="561"/>
      <c r="P51" s="562"/>
      <c r="Q51" s="563"/>
      <c r="R51" s="563"/>
      <c r="S51" s="564"/>
      <c r="T51" s="562"/>
      <c r="U51" s="564"/>
      <c r="V51" s="562"/>
      <c r="W51" s="565"/>
      <c r="X51" s="564"/>
      <c r="Y51" s="562"/>
      <c r="Z51" s="564"/>
      <c r="AA51" s="562"/>
      <c r="AB51" s="564"/>
      <c r="AC51" s="562"/>
      <c r="AD51" s="564"/>
      <c r="AE51" s="562"/>
      <c r="AF51" s="564"/>
      <c r="AG51" s="562"/>
      <c r="AH51" s="561"/>
      <c r="AI51" s="562"/>
      <c r="AJ51" s="561"/>
      <c r="AK51" s="562"/>
      <c r="AL51" s="561"/>
      <c r="AM51" s="562"/>
      <c r="AN51" s="561"/>
      <c r="AO51" s="562"/>
      <c r="AP51" s="565"/>
      <c r="AQ51" s="561"/>
      <c r="AR51" s="562"/>
      <c r="AS51" s="564"/>
      <c r="AT51" s="562"/>
      <c r="AU51" s="564"/>
      <c r="AV51" s="562"/>
      <c r="AW51" s="564"/>
      <c r="AX51" s="562"/>
      <c r="AY51" s="561"/>
      <c r="AZ51" s="562"/>
      <c r="BA51" s="561"/>
      <c r="BB51" s="562"/>
      <c r="BC51" s="565"/>
      <c r="BD51" s="564"/>
      <c r="BE51" s="562"/>
      <c r="BF51" s="564"/>
      <c r="BG51" s="562"/>
      <c r="BH51" s="565"/>
      <c r="BI51" s="559"/>
      <c r="BJ51" s="560"/>
    </row>
    <row r="52" spans="1:62" x14ac:dyDescent="0.25">
      <c r="A52" s="465" t="s">
        <v>72</v>
      </c>
      <c r="B52" s="538"/>
      <c r="C52" s="542" t="str">
        <f>IF(ISBLANK(B52),"", B52*B37)</f>
        <v/>
      </c>
      <c r="D52" s="538"/>
      <c r="E52" s="542" t="str">
        <f>IF(ISBLANK(D52),"", D52*D37)</f>
        <v/>
      </c>
      <c r="F52" s="543"/>
      <c r="G52" s="542" t="str">
        <f>IF(ISBLANK(F52),"", F52*F37)</f>
        <v/>
      </c>
      <c r="H52" s="543">
        <v>58</v>
      </c>
      <c r="I52" s="542">
        <f>IF(ISBLANK(H52),"", H52*H37)</f>
        <v>500366</v>
      </c>
      <c r="J52" s="543">
        <v>0</v>
      </c>
      <c r="K52" s="542">
        <f>IF(ISBLANK(J52),"", J52*J37)</f>
        <v>0</v>
      </c>
      <c r="L52" s="538">
        <v>9</v>
      </c>
      <c r="M52" s="542">
        <f>IF(ISBLANK(L52),"", L52*L37)</f>
        <v>19413</v>
      </c>
      <c r="N52" s="539">
        <f>SUM(C52,E52,G52,I52,K52,M52)</f>
        <v>519779</v>
      </c>
      <c r="O52" s="538">
        <v>0</v>
      </c>
      <c r="P52" s="542">
        <f>IF(ISBLANK(O52),"", O52*O37)</f>
        <v>0</v>
      </c>
      <c r="Q52" s="543">
        <v>0</v>
      </c>
      <c r="R52" s="542">
        <f>IF(ISBLANK(Q52),"", Q52*Q37)</f>
        <v>0</v>
      </c>
      <c r="S52" s="543"/>
      <c r="T52" s="542" t="str">
        <f>IF(ISBLANK(S52),"", S52*S37)</f>
        <v/>
      </c>
      <c r="U52" s="543">
        <v>132</v>
      </c>
      <c r="V52" s="542">
        <f>IF(ISBLANK(U52),"", U52*U37)</f>
        <v>1138764</v>
      </c>
      <c r="W52" s="539">
        <f>SUM(P52,R52,T52,V52)</f>
        <v>1138764</v>
      </c>
      <c r="X52" s="543"/>
      <c r="Y52" s="542" t="str">
        <f>IF(ISBLANK(X52),"", X52*X37)</f>
        <v/>
      </c>
      <c r="Z52" s="543"/>
      <c r="AA52" s="542" t="str">
        <f>IF(ISBLANK(Z52),"", Z52*Z37)</f>
        <v/>
      </c>
      <c r="AB52" s="543"/>
      <c r="AC52" s="542" t="str">
        <f>IF(ISBLANK(AB52),"", AB52*AB37)</f>
        <v/>
      </c>
      <c r="AD52" s="543"/>
      <c r="AE52" s="542" t="str">
        <f>IF(ISBLANK(AD52),"", AD52*AD37)</f>
        <v/>
      </c>
      <c r="AF52" s="543"/>
      <c r="AG52" s="542" t="str">
        <f>IF(ISBLANK(AF52),"", AF52*AF37)</f>
        <v/>
      </c>
      <c r="AH52" s="538"/>
      <c r="AI52" s="542" t="str">
        <f>IF(ISBLANK(AH52),"", AH52*AH37)</f>
        <v/>
      </c>
      <c r="AJ52" s="538">
        <v>13</v>
      </c>
      <c r="AK52" s="542">
        <f>IF(ISBLANK(AJ52),"", AJ52*AJ37)</f>
        <v>280397</v>
      </c>
      <c r="AL52" s="538">
        <v>3</v>
      </c>
      <c r="AM52" s="542">
        <f>IF(ISBLANK(AL52),"", AL52*AL37)</f>
        <v>32352</v>
      </c>
      <c r="AN52" s="538">
        <v>2</v>
      </c>
      <c r="AO52" s="542">
        <f>IF(ISBLANK(AN52),"", AN52*AN37)</f>
        <v>10784</v>
      </c>
      <c r="AP52" s="539">
        <f>SUM(AO52,AM52,AK52,AI52,AG52,AE52,AC52,AA52,Y52)</f>
        <v>323533</v>
      </c>
      <c r="AQ52" s="538"/>
      <c r="AR52" s="542" t="str">
        <f>IF(ISBLANK(AQ52),"", AQ52*AQ37)</f>
        <v/>
      </c>
      <c r="AS52" s="543"/>
      <c r="AT52" s="542" t="str">
        <f>IF(ISBLANK(AS52),"", AS52*AS37)</f>
        <v/>
      </c>
      <c r="AU52" s="543"/>
      <c r="AV52" s="542" t="str">
        <f>IF(ISBLANK(AU52),"", AU52*AU37)</f>
        <v/>
      </c>
      <c r="AW52" s="543"/>
      <c r="AX52" s="542" t="str">
        <f>IF(ISBLANK(AW52),"", AW52*AW37)</f>
        <v/>
      </c>
      <c r="AY52" s="538"/>
      <c r="AZ52" s="542" t="str">
        <f>IF(ISBLANK(AY52),"", AY52*AY37)</f>
        <v/>
      </c>
      <c r="BA52" s="538"/>
      <c r="BB52" s="542" t="str">
        <f>IF(ISBLANK(BA52),"", BA52*BA37)</f>
        <v/>
      </c>
      <c r="BC52" s="539">
        <f>SUM(AR52,AT52,AV52,AX52,AZ52,BB52)</f>
        <v>0</v>
      </c>
      <c r="BD52" s="543"/>
      <c r="BE52" s="542" t="str">
        <f>IF(ISBLANK(BD52),"", BD52*BD37)</f>
        <v/>
      </c>
      <c r="BF52" s="543">
        <v>281</v>
      </c>
      <c r="BG52" s="542">
        <f>IF(ISBLANK(BF52),"", BF52*BF37)</f>
        <v>6060889</v>
      </c>
      <c r="BH52" s="539">
        <f>SUM(BE52,BG52)</f>
        <v>6060889</v>
      </c>
      <c r="BI52" s="540">
        <f>SUM(N52,W52,AP52,BC52,BH52)</f>
        <v>8042965</v>
      </c>
      <c r="BJ52" s="541">
        <f>BI52/BI57</f>
        <v>9.2454776853223425E-2</v>
      </c>
    </row>
    <row r="53" spans="1:62" x14ac:dyDescent="0.25">
      <c r="A53" s="465" t="s">
        <v>73</v>
      </c>
      <c r="B53" s="538"/>
      <c r="C53" s="542" t="str">
        <f>IF(ISBLANK(B53),"", B53*B37)</f>
        <v/>
      </c>
      <c r="D53" s="538"/>
      <c r="E53" s="542" t="str">
        <f>IF(ISBLANK(D53),"", D53*D37)</f>
        <v/>
      </c>
      <c r="F53" s="543"/>
      <c r="G53" s="542" t="str">
        <f>IF(ISBLANK(F53),"", F53*F37)</f>
        <v/>
      </c>
      <c r="H53" s="543">
        <v>228</v>
      </c>
      <c r="I53" s="542">
        <f>IF(ISBLANK(H53),"", H53*H37)</f>
        <v>1966956</v>
      </c>
      <c r="J53" s="543">
        <v>64</v>
      </c>
      <c r="K53" s="542">
        <f>IF(ISBLANK(J53),"", J53*J37)</f>
        <v>276096</v>
      </c>
      <c r="L53" s="538">
        <v>32</v>
      </c>
      <c r="M53" s="542">
        <f>IF(ISBLANK(L53),"", L53*L37)</f>
        <v>69024</v>
      </c>
      <c r="N53" s="539">
        <f>SUM(C53,E53,G53,I53,K53,M53)</f>
        <v>2312076</v>
      </c>
      <c r="O53" s="538">
        <v>0</v>
      </c>
      <c r="P53" s="542">
        <f>IF(ISBLANK(O53),"", O53*O37)</f>
        <v>0</v>
      </c>
      <c r="Q53" s="543">
        <v>0</v>
      </c>
      <c r="R53" s="542">
        <f>IF(ISBLANK(Q53),"", Q53*Q37)</f>
        <v>0</v>
      </c>
      <c r="S53" s="543"/>
      <c r="T53" s="542" t="str">
        <f>IF(ISBLANK(S53),"", S53*S37)</f>
        <v/>
      </c>
      <c r="U53" s="543">
        <v>171</v>
      </c>
      <c r="V53" s="542">
        <f>IF(ISBLANK(U53),"", U53*U37)</f>
        <v>1475217</v>
      </c>
      <c r="W53" s="539">
        <f>SUM(P53,R53,T53,V53)</f>
        <v>1475217</v>
      </c>
      <c r="X53" s="543"/>
      <c r="Y53" s="542" t="str">
        <f>IF(ISBLANK(X53),"", X53*X37)</f>
        <v/>
      </c>
      <c r="Z53" s="543"/>
      <c r="AA53" s="542" t="str">
        <f>IF(ISBLANK(Z53),"", Z53*Z37)</f>
        <v/>
      </c>
      <c r="AB53" s="543"/>
      <c r="AC53" s="542" t="str">
        <f>IF(ISBLANK(AB53),"", AB53*AB37)</f>
        <v/>
      </c>
      <c r="AD53" s="543">
        <v>52</v>
      </c>
      <c r="AE53" s="542">
        <f>IF(ISBLANK(AD53),"", AD53*AD37)</f>
        <v>448604</v>
      </c>
      <c r="AF53" s="543">
        <v>0</v>
      </c>
      <c r="AG53" s="542">
        <f>IF(ISBLANK(AF53),"", AF53*AF37)</f>
        <v>0</v>
      </c>
      <c r="AH53" s="538">
        <v>1</v>
      </c>
      <c r="AI53" s="542">
        <f>IF(ISBLANK(AH53),"", AH53*AH37)</f>
        <v>2157</v>
      </c>
      <c r="AJ53" s="538"/>
      <c r="AK53" s="542" t="str">
        <f>IF(ISBLANK(AJ53),"", AJ53*AJ37)</f>
        <v/>
      </c>
      <c r="AL53" s="538"/>
      <c r="AM53" s="542" t="str">
        <f>IF(ISBLANK(AL53),"", AL53*AL37)</f>
        <v/>
      </c>
      <c r="AN53" s="538"/>
      <c r="AO53" s="542" t="str">
        <f>IF(ISBLANK(AN53),"", AN53*AN37)</f>
        <v/>
      </c>
      <c r="AP53" s="539">
        <f>SUM(AO53,AM53,AK53,AI53,AG53,AE53,AC53,AA53,Y53)</f>
        <v>450761</v>
      </c>
      <c r="AQ53" s="538"/>
      <c r="AR53" s="542" t="str">
        <f>IF(ISBLANK(AQ53),"", AQ53*AQ37)</f>
        <v/>
      </c>
      <c r="AS53" s="543"/>
      <c r="AT53" s="542" t="str">
        <f>IF(ISBLANK(AS53),"", AS53*AS37)</f>
        <v/>
      </c>
      <c r="AU53" s="543">
        <v>225</v>
      </c>
      <c r="AV53" s="542">
        <f>IF(ISBLANK(AU53),"", AU53*AU37)</f>
        <v>96975</v>
      </c>
      <c r="AW53" s="543"/>
      <c r="AX53" s="542" t="str">
        <f>IF(ISBLANK(AW53),"", AW53*AW37)</f>
        <v/>
      </c>
      <c r="AY53" s="538">
        <v>246</v>
      </c>
      <c r="AZ53" s="542">
        <f>IF(ISBLANK(AY53),"", AY53*AY37)</f>
        <v>212298</v>
      </c>
      <c r="BA53" s="538">
        <v>171</v>
      </c>
      <c r="BB53" s="542">
        <f>IF(ISBLANK(BA53),"", BA53*BA37)</f>
        <v>294975</v>
      </c>
      <c r="BC53" s="539">
        <f>SUM(AR53,AT53,AV53,AX53,AZ53,BB53)</f>
        <v>604248</v>
      </c>
      <c r="BD53" s="543"/>
      <c r="BE53" s="542" t="str">
        <f>IF(ISBLANK(BD53),"", BD53*BD37)</f>
        <v/>
      </c>
      <c r="BF53" s="543">
        <v>113</v>
      </c>
      <c r="BG53" s="542">
        <f>IF(ISBLANK(BF53),"", BF53*BF37)</f>
        <v>2437297</v>
      </c>
      <c r="BH53" s="539">
        <f>SUM(BE53,BG53)</f>
        <v>2437297</v>
      </c>
      <c r="BI53" s="540">
        <f>SUM(N53,W53,AP53,BC53,,BH53)</f>
        <v>7279599</v>
      </c>
      <c r="BJ53" s="541">
        <f>BI53/BI57</f>
        <v>8.367979981585752E-2</v>
      </c>
    </row>
    <row r="54" spans="1:62" x14ac:dyDescent="0.25">
      <c r="A54" s="465" t="s">
        <v>74</v>
      </c>
      <c r="B54" s="538"/>
      <c r="C54" s="542" t="str">
        <f>IF(ISBLANK(B54),"", B54*B37)</f>
        <v/>
      </c>
      <c r="D54" s="538"/>
      <c r="E54" s="542" t="str">
        <f>IF(ISBLANK(D54),"", D54*D37)</f>
        <v/>
      </c>
      <c r="F54" s="543"/>
      <c r="G54" s="542" t="str">
        <f>IF(ISBLANK(F54),"", F54*F37)</f>
        <v/>
      </c>
      <c r="H54" s="543">
        <v>0</v>
      </c>
      <c r="I54" s="542">
        <f>IF(ISBLANK(H54),"", H54*H37)</f>
        <v>0</v>
      </c>
      <c r="J54" s="543">
        <v>0</v>
      </c>
      <c r="K54" s="542">
        <f>IF(ISBLANK(J54),"", J54*J37)</f>
        <v>0</v>
      </c>
      <c r="L54" s="538">
        <v>3</v>
      </c>
      <c r="M54" s="542">
        <f>IF(ISBLANK(L54),"", L54*L37)</f>
        <v>6471</v>
      </c>
      <c r="N54" s="539">
        <f>SUM(C54,E54,G54,I54,K54,M54)</f>
        <v>6471</v>
      </c>
      <c r="O54" s="538">
        <v>0</v>
      </c>
      <c r="P54" s="542">
        <f>IF(ISBLANK(O54),"", O54*O37)</f>
        <v>0</v>
      </c>
      <c r="Q54" s="543">
        <v>0</v>
      </c>
      <c r="R54" s="542">
        <f>IF(ISBLANK(Q54),"", Q54*Q37)</f>
        <v>0</v>
      </c>
      <c r="S54" s="543"/>
      <c r="T54" s="542" t="str">
        <f>IF(ISBLANK(S54),"", S54*S37)</f>
        <v/>
      </c>
      <c r="U54" s="543">
        <v>45</v>
      </c>
      <c r="V54" s="542">
        <f>IF(ISBLANK(U54),"", U54*U37)</f>
        <v>388215</v>
      </c>
      <c r="W54" s="539">
        <f>SUM(P54,R54,T54,V54)</f>
        <v>388215</v>
      </c>
      <c r="X54" s="543"/>
      <c r="Y54" s="542" t="str">
        <f>IF(ISBLANK(X54),"", X54*X37)</f>
        <v/>
      </c>
      <c r="Z54" s="543"/>
      <c r="AA54" s="542" t="str">
        <f>IF(ISBLANK(Z54),"", Z54*Z37)</f>
        <v/>
      </c>
      <c r="AB54" s="543"/>
      <c r="AC54" s="542" t="str">
        <f>IF(ISBLANK(AB54),"", AB54*AB37)</f>
        <v/>
      </c>
      <c r="AD54" s="543">
        <v>31</v>
      </c>
      <c r="AE54" s="542">
        <f>IF(ISBLANK(AD54),"", AD54*AD37)</f>
        <v>267437</v>
      </c>
      <c r="AF54" s="543">
        <v>0</v>
      </c>
      <c r="AG54" s="542">
        <f>IF(ISBLANK(AF54),"", AF54*AF37)</f>
        <v>0</v>
      </c>
      <c r="AH54" s="538">
        <v>0</v>
      </c>
      <c r="AI54" s="542">
        <f>IF(ISBLANK(AH54),"", AH54*AH37)</f>
        <v>0</v>
      </c>
      <c r="AJ54" s="538"/>
      <c r="AK54" s="542" t="str">
        <f>IF(ISBLANK(AJ54),"", AJ54*AJ37)</f>
        <v/>
      </c>
      <c r="AL54" s="538"/>
      <c r="AM54" s="542" t="str">
        <f>IF(ISBLANK(AL54),"", AL54*AL37)</f>
        <v/>
      </c>
      <c r="AN54" s="538"/>
      <c r="AO54" s="542" t="str">
        <f>IF(ISBLANK(AN54),"", AN54*AN37)</f>
        <v/>
      </c>
      <c r="AP54" s="539">
        <f>SUM(AO54,AM54,AK54,AI54,AG54,AE54,AC54,AA54,Y54)</f>
        <v>267437</v>
      </c>
      <c r="AQ54" s="538"/>
      <c r="AR54" s="542" t="str">
        <f>IF(ISBLANK(AQ54),"", AQ54*AQ37)</f>
        <v/>
      </c>
      <c r="AS54" s="543"/>
      <c r="AT54" s="542" t="str">
        <f>IF(ISBLANK(AS54),"", AS54*AS37)</f>
        <v/>
      </c>
      <c r="AU54" s="543">
        <v>85</v>
      </c>
      <c r="AV54" s="542">
        <f>IF(ISBLANK(AU54),"", AU54*AU37)</f>
        <v>36635</v>
      </c>
      <c r="AW54" s="543"/>
      <c r="AX54" s="542" t="str">
        <f>IF(ISBLANK(AW54),"", AW54*AW37)</f>
        <v/>
      </c>
      <c r="AY54" s="538">
        <v>197</v>
      </c>
      <c r="AZ54" s="542">
        <f>IF(ISBLANK(AY54),"", AY54*AY37)</f>
        <v>170011</v>
      </c>
      <c r="BA54" s="538">
        <v>183</v>
      </c>
      <c r="BB54" s="542">
        <f>IF(ISBLANK(BA54),"", BA54*BA37)</f>
        <v>315675</v>
      </c>
      <c r="BC54" s="539">
        <f>SUM(AR54,AT54,AV54,AX54,AZ54,BB54)</f>
        <v>522321</v>
      </c>
      <c r="BD54" s="543"/>
      <c r="BE54" s="542" t="str">
        <f>IF(ISBLANK(BD54),"", BD54*BD37)</f>
        <v/>
      </c>
      <c r="BF54" s="543">
        <v>123</v>
      </c>
      <c r="BG54" s="542">
        <f>IF(ISBLANK(BF54),"", BF54*BF37)</f>
        <v>2652987</v>
      </c>
      <c r="BH54" s="539">
        <f>SUM(BE54,BG54)</f>
        <v>2652987</v>
      </c>
      <c r="BI54" s="540">
        <f>SUM(N54,W54,AP54,BC54,,BH54)</f>
        <v>3837431</v>
      </c>
      <c r="BJ54" s="541">
        <f>BI54/BI57</f>
        <v>4.4111695972149825E-2</v>
      </c>
    </row>
    <row r="55" spans="1:62" x14ac:dyDescent="0.25">
      <c r="A55" s="465" t="s">
        <v>75</v>
      </c>
      <c r="B55" s="538">
        <v>0</v>
      </c>
      <c r="C55" s="542">
        <f>IF(ISBLANK(B55),"", B55*B37)</f>
        <v>0</v>
      </c>
      <c r="D55" s="538">
        <v>477</v>
      </c>
      <c r="E55" s="542">
        <f>IF(ISBLANK(D55),"", D55*D37)</f>
        <v>1028889</v>
      </c>
      <c r="F55" s="543">
        <v>121</v>
      </c>
      <c r="G55" s="542">
        <f>IF(ISBLANK(F55),"", F55*F37)</f>
        <v>521994</v>
      </c>
      <c r="H55" s="543">
        <v>21</v>
      </c>
      <c r="I55" s="542">
        <f>IF(ISBLANK(H55),"", H55*H37)</f>
        <v>181167</v>
      </c>
      <c r="J55" s="543"/>
      <c r="K55" s="542" t="str">
        <f>IF(ISBLANK(J55),"", J55*J37)</f>
        <v/>
      </c>
      <c r="L55" s="538"/>
      <c r="M55" s="542" t="str">
        <f>IF(ISBLANK(L55),"", L55*L37)</f>
        <v/>
      </c>
      <c r="N55" s="539">
        <f>SUM(C55,E55,G55,I55,K55,M55)</f>
        <v>1732050</v>
      </c>
      <c r="O55" s="538">
        <v>0</v>
      </c>
      <c r="P55" s="542">
        <f>IF(ISBLANK(O55),"", O55*O37)</f>
        <v>0</v>
      </c>
      <c r="Q55" s="543">
        <v>203</v>
      </c>
      <c r="R55" s="542">
        <f>IF(ISBLANK(Q55),"", Q55*Q37)</f>
        <v>437871</v>
      </c>
      <c r="S55" s="543">
        <v>121</v>
      </c>
      <c r="T55" s="542">
        <f>IF(ISBLANK(S55),"", S55*S37)</f>
        <v>521994</v>
      </c>
      <c r="U55" s="543">
        <v>0</v>
      </c>
      <c r="V55" s="542">
        <f>IF(ISBLANK(U55),"", U55*U37)</f>
        <v>0</v>
      </c>
      <c r="W55" s="539">
        <f>SUM(P55,R55,T55,V55)</f>
        <v>959865</v>
      </c>
      <c r="X55" s="543">
        <v>19</v>
      </c>
      <c r="Y55" s="542">
        <f>IF(ISBLANK(X55),"", X55*X37)</f>
        <v>30742</v>
      </c>
      <c r="Z55" s="543">
        <v>29</v>
      </c>
      <c r="AA55" s="542">
        <f>IF(ISBLANK(Z55),"", Z55*Z37)</f>
        <v>62553</v>
      </c>
      <c r="AB55" s="543">
        <v>60</v>
      </c>
      <c r="AC55" s="542">
        <f>IF(ISBLANK(AB55),"", AB55*AB37)</f>
        <v>258840</v>
      </c>
      <c r="AD55" s="543"/>
      <c r="AE55" s="542" t="str">
        <f>IF(ISBLANK(AD55),"", AD55*AD37)</f>
        <v/>
      </c>
      <c r="AF55" s="543"/>
      <c r="AG55" s="542" t="str">
        <f>IF(ISBLANK(AF55),"", AF55*AF37)</f>
        <v/>
      </c>
      <c r="AH55" s="538"/>
      <c r="AI55" s="542" t="str">
        <f>IF(ISBLANK(AH55),"", AH55*AH37)</f>
        <v/>
      </c>
      <c r="AJ55" s="538"/>
      <c r="AK55" s="542" t="str">
        <f>IF(ISBLANK(AJ55),"", AJ55*AJ37)</f>
        <v/>
      </c>
      <c r="AL55" s="538"/>
      <c r="AM55" s="542" t="str">
        <f>IF(ISBLANK(AL55),"", AL55*AL37)</f>
        <v/>
      </c>
      <c r="AN55" s="538"/>
      <c r="AO55" s="542" t="str">
        <f>IF(ISBLANK(AN55),"", AN55*AN37)</f>
        <v/>
      </c>
      <c r="AP55" s="539">
        <f>SUM(AO55,AM55,AK55,AI55,AG55,AE55,AC55,AA55,Y55)</f>
        <v>352135</v>
      </c>
      <c r="AQ55" s="538">
        <v>84</v>
      </c>
      <c r="AR55" s="542">
        <f>IF(ISBLANK(AQ55),"", AQ55*AQ37)</f>
        <v>18144</v>
      </c>
      <c r="AS55" s="543">
        <v>0</v>
      </c>
      <c r="AT55" s="542">
        <f>IF(ISBLANK(AS55),"", AS55*AS37)</f>
        <v>0</v>
      </c>
      <c r="AU55" s="543"/>
      <c r="AV55" s="542" t="str">
        <f>IF(ISBLANK(AU55),"", AU55*AU37)</f>
        <v/>
      </c>
      <c r="AW55" s="543">
        <v>0</v>
      </c>
      <c r="AX55" s="542">
        <f>IF(ISBLANK(AW55),"", AW55*AW37)</f>
        <v>0</v>
      </c>
      <c r="AY55" s="538"/>
      <c r="AZ55" s="542" t="str">
        <f>IF(ISBLANK(AY55),"", AY55*AY37)</f>
        <v/>
      </c>
      <c r="BA55" s="538"/>
      <c r="BB55" s="542" t="str">
        <f>IF(ISBLANK(BA55),"", BA55*BA37)</f>
        <v/>
      </c>
      <c r="BC55" s="539">
        <f>SUM(AR55,AT55,AV55,AX55,AZ55,BB55)</f>
        <v>18144</v>
      </c>
      <c r="BD55" s="543">
        <v>101</v>
      </c>
      <c r="BE55" s="542">
        <f>IF(ISBLANK(BD55),"", BD55*BD37)</f>
        <v>1089184</v>
      </c>
      <c r="BF55" s="543">
        <v>9</v>
      </c>
      <c r="BG55" s="542">
        <f>IF(ISBLANK(BF55),"", BF55*BF37)</f>
        <v>194121</v>
      </c>
      <c r="BH55" s="539">
        <f>SUM(BE55,BG55)</f>
        <v>1283305</v>
      </c>
      <c r="BI55" s="540">
        <f>SUM(N55,W55,AP55,BC55,BH55)</f>
        <v>4345499</v>
      </c>
      <c r="BJ55" s="541">
        <f>BI55/BI57</f>
        <v>4.9951994116710141E-2</v>
      </c>
    </row>
    <row r="56" spans="1:62" ht="15.75" customHeight="1" thickBot="1" x14ac:dyDescent="0.3">
      <c r="A56" s="479" t="s">
        <v>76</v>
      </c>
      <c r="B56" s="538">
        <v>0</v>
      </c>
      <c r="C56" s="542">
        <f>IF(ISBLANK(B56),"", B56*B37)</f>
        <v>0</v>
      </c>
      <c r="D56" s="538">
        <v>2146</v>
      </c>
      <c r="E56" s="542">
        <f>IF(ISBLANK(D56),"", D56*D37)</f>
        <v>4628922</v>
      </c>
      <c r="F56" s="543">
        <v>188</v>
      </c>
      <c r="G56" s="542">
        <f>IF(ISBLANK(F56),"", F56*F37)</f>
        <v>811032</v>
      </c>
      <c r="H56" s="543"/>
      <c r="I56" s="542" t="str">
        <f>IF(ISBLANK(H56),"", H56*H37)</f>
        <v/>
      </c>
      <c r="J56" s="543"/>
      <c r="K56" s="542" t="str">
        <f>IF(ISBLANK(J56),"", J56*J37)</f>
        <v/>
      </c>
      <c r="L56" s="538"/>
      <c r="M56" s="542" t="str">
        <f>IF(ISBLANK(L56),"", L56*L37)</f>
        <v/>
      </c>
      <c r="N56" s="539">
        <f>SUM(C56,E56,G56,I56,K56,M56)</f>
        <v>5439954</v>
      </c>
      <c r="O56" s="538">
        <v>0</v>
      </c>
      <c r="P56" s="542">
        <f>IF(ISBLANK(O56),"", O56*O37)</f>
        <v>0</v>
      </c>
      <c r="Q56" s="543">
        <v>923</v>
      </c>
      <c r="R56" s="542">
        <f>IF(ISBLANK(Q56),"", Q56*Q37)</f>
        <v>1990911</v>
      </c>
      <c r="S56" s="543">
        <v>160</v>
      </c>
      <c r="T56" s="542">
        <f>IF(ISBLANK(S56),"", S56*S37)</f>
        <v>690240</v>
      </c>
      <c r="U56" s="543"/>
      <c r="V56" s="542" t="str">
        <f>IF(ISBLANK(U56),"", U56*U37)</f>
        <v/>
      </c>
      <c r="W56" s="539">
        <f>SUM(P56,R56,T56,V56)</f>
        <v>2681151</v>
      </c>
      <c r="X56" s="543">
        <v>0</v>
      </c>
      <c r="Y56" s="542">
        <f>IF(ISBLANK(X56),"", X56*X37)</f>
        <v>0</v>
      </c>
      <c r="Z56" s="543">
        <v>613</v>
      </c>
      <c r="AA56" s="542">
        <f>IF(ISBLANK(Z56),"", Z56*Z37)</f>
        <v>1322241</v>
      </c>
      <c r="AB56" s="543">
        <v>0</v>
      </c>
      <c r="AC56" s="542">
        <f>IF(ISBLANK(AB56),"", AB56*AB37)</f>
        <v>0</v>
      </c>
      <c r="AD56" s="543"/>
      <c r="AE56" s="542" t="str">
        <f>IF(ISBLANK(AD56),"", AD56*AD37)</f>
        <v/>
      </c>
      <c r="AF56" s="543"/>
      <c r="AG56" s="542" t="str">
        <f>IF(ISBLANK(AF56),"", AF56*AF37)</f>
        <v/>
      </c>
      <c r="AH56" s="538"/>
      <c r="AI56" s="542" t="str">
        <f>IF(ISBLANK(AH56),"", AH56*AH37)</f>
        <v/>
      </c>
      <c r="AJ56" s="538"/>
      <c r="AK56" s="542" t="str">
        <f>IF(ISBLANK(AJ56),"", AJ56*AJ37)</f>
        <v/>
      </c>
      <c r="AL56" s="538"/>
      <c r="AM56" s="542" t="str">
        <f>IF(ISBLANK(AL56),"", AL56*AL37)</f>
        <v/>
      </c>
      <c r="AN56" s="538"/>
      <c r="AO56" s="542" t="str">
        <f>IF(ISBLANK(AN56),"", AN56*AN37)</f>
        <v/>
      </c>
      <c r="AP56" s="539">
        <f>SUM(AO56,AM56,AK56,AI56,AG56,AE56,AC56,AA56,Y56)</f>
        <v>1322241</v>
      </c>
      <c r="AQ56" s="538">
        <v>505</v>
      </c>
      <c r="AR56" s="542">
        <f>IF(ISBLANK(AQ56),"", AQ56*AQ37)</f>
        <v>109080</v>
      </c>
      <c r="AS56" s="543">
        <v>349</v>
      </c>
      <c r="AT56" s="542">
        <f>IF(ISBLANK(AS56),"", AS56*AS37)</f>
        <v>150419</v>
      </c>
      <c r="AU56" s="543"/>
      <c r="AV56" s="542" t="str">
        <f>IF(ISBLANK(AU56),"", AU56*AU37)</f>
        <v/>
      </c>
      <c r="AW56" s="543">
        <v>198</v>
      </c>
      <c r="AX56" s="542">
        <f>IF(ISBLANK(AW56),"", AW56*AW37)</f>
        <v>170874</v>
      </c>
      <c r="AY56" s="538"/>
      <c r="AZ56" s="542" t="str">
        <f>IF(ISBLANK(AY56),"", AY56*AY37)</f>
        <v/>
      </c>
      <c r="BA56" s="538"/>
      <c r="BB56" s="542" t="str">
        <f>IF(ISBLANK(BA56),"", BA56*BA37)</f>
        <v/>
      </c>
      <c r="BC56" s="539">
        <f>SUM(AR56,AT56,AV56,AX56,AZ56,BB56)</f>
        <v>430373</v>
      </c>
      <c r="BD56" s="543">
        <v>249</v>
      </c>
      <c r="BE56" s="542">
        <f>IF(ISBLANK(BD56),"", BD56*BD37)</f>
        <v>2685216</v>
      </c>
      <c r="BF56" s="543"/>
      <c r="BG56" s="542" t="str">
        <f>IF(ISBLANK(BF56),"", BF56*BF37)</f>
        <v/>
      </c>
      <c r="BH56" s="539">
        <f>SUM(BE56,BG56)</f>
        <v>2685216</v>
      </c>
      <c r="BI56" s="544">
        <f>SUM(N56,W56,AP56,BC56,BH56)</f>
        <v>12558935</v>
      </c>
      <c r="BJ56" s="541">
        <f>BI56/BI57</f>
        <v>0.14436635406708068</v>
      </c>
    </row>
    <row r="57" spans="1:62" x14ac:dyDescent="0.25">
      <c r="A57" s="566" t="s">
        <v>47</v>
      </c>
      <c r="B57" s="567">
        <f t="shared" ref="B57:AO57" si="31">SUM(B45,B50,B52:B56)</f>
        <v>0</v>
      </c>
      <c r="C57" s="568">
        <f t="shared" si="31"/>
        <v>0</v>
      </c>
      <c r="D57" s="569">
        <f t="shared" si="31"/>
        <v>2623</v>
      </c>
      <c r="E57" s="568">
        <f t="shared" si="31"/>
        <v>5657811</v>
      </c>
      <c r="F57" s="570">
        <f t="shared" si="31"/>
        <v>309</v>
      </c>
      <c r="G57" s="568">
        <f t="shared" si="31"/>
        <v>1333026</v>
      </c>
      <c r="H57" s="570">
        <f t="shared" si="31"/>
        <v>1035</v>
      </c>
      <c r="I57" s="568">
        <f t="shared" si="31"/>
        <v>8928945</v>
      </c>
      <c r="J57" s="570">
        <f t="shared" si="31"/>
        <v>123</v>
      </c>
      <c r="K57" s="568">
        <f t="shared" si="31"/>
        <v>530622</v>
      </c>
      <c r="L57" s="570">
        <f t="shared" si="31"/>
        <v>48</v>
      </c>
      <c r="M57" s="568">
        <f t="shared" si="31"/>
        <v>103536</v>
      </c>
      <c r="N57" s="571">
        <f t="shared" si="31"/>
        <v>16553940</v>
      </c>
      <c r="O57" s="567">
        <f t="shared" si="31"/>
        <v>0</v>
      </c>
      <c r="P57" s="568">
        <f t="shared" si="31"/>
        <v>0</v>
      </c>
      <c r="Q57" s="570">
        <f t="shared" si="31"/>
        <v>1126</v>
      </c>
      <c r="R57" s="568">
        <f t="shared" si="31"/>
        <v>2428782</v>
      </c>
      <c r="S57" s="570">
        <f t="shared" si="31"/>
        <v>281</v>
      </c>
      <c r="T57" s="568">
        <f t="shared" si="31"/>
        <v>1212234</v>
      </c>
      <c r="U57" s="570">
        <f t="shared" si="31"/>
        <v>1111</v>
      </c>
      <c r="V57" s="568">
        <f t="shared" si="31"/>
        <v>9584597</v>
      </c>
      <c r="W57" s="571">
        <f t="shared" si="31"/>
        <v>13225613</v>
      </c>
      <c r="X57" s="568">
        <f t="shared" si="31"/>
        <v>19</v>
      </c>
      <c r="Y57" s="568">
        <f t="shared" si="31"/>
        <v>30742</v>
      </c>
      <c r="Z57" s="568">
        <f t="shared" si="31"/>
        <v>642</v>
      </c>
      <c r="AA57" s="568">
        <f t="shared" si="31"/>
        <v>1384794</v>
      </c>
      <c r="AB57" s="568">
        <f t="shared" si="31"/>
        <v>60</v>
      </c>
      <c r="AC57" s="568">
        <f t="shared" si="31"/>
        <v>258840</v>
      </c>
      <c r="AD57" s="568">
        <f t="shared" si="31"/>
        <v>240</v>
      </c>
      <c r="AE57" s="568">
        <f t="shared" si="31"/>
        <v>2070480</v>
      </c>
      <c r="AF57" s="570">
        <f t="shared" si="31"/>
        <v>0</v>
      </c>
      <c r="AG57" s="568">
        <f t="shared" si="31"/>
        <v>0</v>
      </c>
      <c r="AH57" s="570">
        <f t="shared" si="31"/>
        <v>1</v>
      </c>
      <c r="AI57" s="568">
        <f t="shared" si="31"/>
        <v>2157</v>
      </c>
      <c r="AJ57" s="570">
        <f t="shared" si="31"/>
        <v>379</v>
      </c>
      <c r="AK57" s="568">
        <f t="shared" si="31"/>
        <v>8174651</v>
      </c>
      <c r="AL57" s="570">
        <f t="shared" si="31"/>
        <v>3</v>
      </c>
      <c r="AM57" s="568">
        <f t="shared" si="31"/>
        <v>32352</v>
      </c>
      <c r="AN57" s="570">
        <f t="shared" si="31"/>
        <v>10</v>
      </c>
      <c r="AO57" s="568">
        <f t="shared" si="31"/>
        <v>53920</v>
      </c>
      <c r="AP57" s="571">
        <f>SUM(Y57,AA57,AC57,AE57,AG57,AI57,AK57,AM57,AO57)</f>
        <v>12007936</v>
      </c>
      <c r="AQ57" s="567">
        <f t="shared" ref="AQ57:BB57" si="32">SUM(AQ45,AQ50,AQ52:AQ56)</f>
        <v>589</v>
      </c>
      <c r="AR57" s="568">
        <f t="shared" si="32"/>
        <v>127224</v>
      </c>
      <c r="AS57" s="570">
        <f t="shared" si="32"/>
        <v>349</v>
      </c>
      <c r="AT57" s="568">
        <f t="shared" si="32"/>
        <v>150419</v>
      </c>
      <c r="AU57" s="570">
        <f t="shared" si="32"/>
        <v>1052</v>
      </c>
      <c r="AV57" s="568">
        <f t="shared" si="32"/>
        <v>453412</v>
      </c>
      <c r="AW57" s="570">
        <f t="shared" si="32"/>
        <v>198</v>
      </c>
      <c r="AX57" s="568">
        <f t="shared" si="32"/>
        <v>170874</v>
      </c>
      <c r="AY57" s="570">
        <f t="shared" si="32"/>
        <v>1258</v>
      </c>
      <c r="AZ57" s="568">
        <f t="shared" si="32"/>
        <v>1085654</v>
      </c>
      <c r="BA57" s="570">
        <f t="shared" si="32"/>
        <v>947</v>
      </c>
      <c r="BB57" s="568">
        <f t="shared" si="32"/>
        <v>1633575</v>
      </c>
      <c r="BC57" s="571">
        <f>SUM(AR57,AT57,AV57,AX57,AZ57,BB57,)</f>
        <v>3621158</v>
      </c>
      <c r="BD57" s="570">
        <f t="shared" ref="BD57:BI57" si="33">SUM(BD45,BD50,BD52:BD56)</f>
        <v>350</v>
      </c>
      <c r="BE57" s="568">
        <f t="shared" si="33"/>
        <v>3774400</v>
      </c>
      <c r="BF57" s="570">
        <f t="shared" si="33"/>
        <v>1753</v>
      </c>
      <c r="BG57" s="568">
        <f t="shared" si="33"/>
        <v>37810457</v>
      </c>
      <c r="BH57" s="571">
        <f t="shared" si="33"/>
        <v>41584857</v>
      </c>
      <c r="BI57" s="572">
        <f t="shared" si="33"/>
        <v>86993504</v>
      </c>
      <c r="BJ57" s="573"/>
    </row>
    <row r="58" spans="1:62" ht="30.75" customHeight="1" thickBot="1" x14ac:dyDescent="0.3">
      <c r="A58" s="574" t="s">
        <v>130</v>
      </c>
      <c r="B58" s="222">
        <f>C57/$BI$57</f>
        <v>0</v>
      </c>
      <c r="C58" s="232"/>
      <c r="D58" s="232">
        <f>E57/$BI$57</f>
        <v>6.5037166453256093E-2</v>
      </c>
      <c r="E58" s="232"/>
      <c r="F58" s="232">
        <f>G57/$BI$57</f>
        <v>1.5323282069429E-2</v>
      </c>
      <c r="G58" s="232"/>
      <c r="H58" s="232">
        <f>I57/$BI$57</f>
        <v>0.10263921545222503</v>
      </c>
      <c r="I58" s="232"/>
      <c r="J58" s="232">
        <f>K57/$BI$57</f>
        <v>6.0995588820057182E-3</v>
      </c>
      <c r="K58" s="232"/>
      <c r="L58" s="232">
        <f>M57/$BI$57</f>
        <v>1.1901578306352622E-3</v>
      </c>
      <c r="M58" s="232"/>
      <c r="N58" s="575">
        <f>N57/$BI$57</f>
        <v>0.19028938068755111</v>
      </c>
      <c r="O58" s="222">
        <f>P57/$BI$57</f>
        <v>0</v>
      </c>
      <c r="P58" s="232"/>
      <c r="Q58" s="232">
        <f>R57/$BI$57</f>
        <v>2.7919119110318857E-2</v>
      </c>
      <c r="R58" s="232"/>
      <c r="S58" s="232">
        <f>T57/$BI$57</f>
        <v>1.3934764600354527E-2</v>
      </c>
      <c r="T58" s="232"/>
      <c r="U58" s="232">
        <f>V57/$BI$57</f>
        <v>0.1101760080844657</v>
      </c>
      <c r="V58" s="232"/>
      <c r="W58" s="575">
        <f>W57/$BI$57</f>
        <v>0.15202989179513909</v>
      </c>
      <c r="X58" s="232">
        <f>Y57/$BI$57</f>
        <v>3.5338270774792565E-4</v>
      </c>
      <c r="Y58" s="232"/>
      <c r="Z58" s="232">
        <f>AA57/$BI$57</f>
        <v>1.5918360984746631E-2</v>
      </c>
      <c r="AA58" s="232"/>
      <c r="AB58" s="232">
        <f>AC57/$BI$57</f>
        <v>2.9753945765881554E-3</v>
      </c>
      <c r="AC58" s="232"/>
      <c r="AD58" s="224">
        <f>AE57/$BI$57</f>
        <v>2.3800397786023195E-2</v>
      </c>
      <c r="AE58" s="223"/>
      <c r="AF58" s="232">
        <f>AG57/$BI$57</f>
        <v>0</v>
      </c>
      <c r="AG58" s="232"/>
      <c r="AH58" s="232">
        <f>AI57/$BI$57</f>
        <v>2.4794954804901294E-5</v>
      </c>
      <c r="AI58" s="232"/>
      <c r="AJ58" s="232">
        <f>AK57/$BI$57</f>
        <v>9.3968522063440502E-2</v>
      </c>
      <c r="AK58" s="232"/>
      <c r="AL58" s="232">
        <f>AM57/$BI$57</f>
        <v>3.7188983673999384E-4</v>
      </c>
      <c r="AM58" s="232"/>
      <c r="AN58" s="232">
        <f>AO57/$BI$57</f>
        <v>6.198163945666564E-4</v>
      </c>
      <c r="AO58" s="232"/>
      <c r="AP58" s="575">
        <f>AP57/$BI$57</f>
        <v>0.13803255930465796</v>
      </c>
      <c r="AQ58" s="222">
        <f>AR57/$BI$57</f>
        <v>1.4624540241533436E-3</v>
      </c>
      <c r="AR58" s="232"/>
      <c r="AS58" s="232">
        <f>AT57/$BI$57</f>
        <v>1.7290831278620527E-3</v>
      </c>
      <c r="AT58" s="232"/>
      <c r="AU58" s="232">
        <f>AV57/$BI$57</f>
        <v>5.212021348168709E-3</v>
      </c>
      <c r="AV58" s="232"/>
      <c r="AW58" s="232">
        <f>AX57/$BI$57</f>
        <v>1.9642156269507206E-3</v>
      </c>
      <c r="AX58" s="232"/>
      <c r="AY58" s="232">
        <f>AZ57/$BI$57</f>
        <v>1.247971342779801E-2</v>
      </c>
      <c r="AZ58" s="232"/>
      <c r="BA58" s="232">
        <f>BB57/$BI$57</f>
        <v>1.8778126238023475E-2</v>
      </c>
      <c r="BB58" s="232"/>
      <c r="BC58" s="575">
        <f>BC57/$BI$57</f>
        <v>4.1625613792956311E-2</v>
      </c>
      <c r="BD58" s="232">
        <f>BE57/$BI$57</f>
        <v>4.3387147619665944E-2</v>
      </c>
      <c r="BE58" s="232"/>
      <c r="BF58" s="232">
        <f>BG57/$BI$57</f>
        <v>0.4346354068000296</v>
      </c>
      <c r="BG58" s="232"/>
      <c r="BH58" s="575">
        <f>BH57/$BI$57</f>
        <v>0.47802255441969554</v>
      </c>
      <c r="BI58" s="576"/>
      <c r="BJ58" s="577"/>
    </row>
  </sheetData>
  <mergeCells count="198">
    <mergeCell ref="N8:N9"/>
    <mergeCell ref="B6:N6"/>
    <mergeCell ref="B7:N7"/>
    <mergeCell ref="A6:A9"/>
    <mergeCell ref="O6:W6"/>
    <mergeCell ref="O7:W7"/>
    <mergeCell ref="O8:P8"/>
    <mergeCell ref="S8:T8"/>
    <mergeCell ref="U8:V8"/>
    <mergeCell ref="W8:W9"/>
    <mergeCell ref="O9:P9"/>
    <mergeCell ref="S9:T9"/>
    <mergeCell ref="U9:V9"/>
    <mergeCell ref="Q8:R8"/>
    <mergeCell ref="Q9:R9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X6:AP6"/>
    <mergeCell ref="X7:AP7"/>
    <mergeCell ref="AL8:AM8"/>
    <mergeCell ref="AL9:AM9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AD8:AE8"/>
    <mergeCell ref="AF8:AG8"/>
    <mergeCell ref="AN8:AO8"/>
    <mergeCell ref="AP8:AP9"/>
    <mergeCell ref="AD9:AE9"/>
    <mergeCell ref="AF9:AG9"/>
    <mergeCell ref="AN9:AO9"/>
    <mergeCell ref="X8:Y8"/>
    <mergeCell ref="X9:Y9"/>
    <mergeCell ref="Z8:AA8"/>
    <mergeCell ref="AB8:AC8"/>
    <mergeCell ref="Z9:AA9"/>
    <mergeCell ref="AB9:AC9"/>
    <mergeCell ref="AW30:AX30"/>
    <mergeCell ref="BA30:BB30"/>
    <mergeCell ref="O30:P30"/>
    <mergeCell ref="S30:T30"/>
    <mergeCell ref="U30:V30"/>
    <mergeCell ref="Q30:R30"/>
    <mergeCell ref="X30:Y30"/>
    <mergeCell ref="AL30:AM30"/>
    <mergeCell ref="Z30:AA30"/>
    <mergeCell ref="AB30:AC30"/>
    <mergeCell ref="AY30:AZ30"/>
    <mergeCell ref="AQ6:BC6"/>
    <mergeCell ref="AQ7:BC7"/>
    <mergeCell ref="AQ8:AR8"/>
    <mergeCell ref="AS8:AT8"/>
    <mergeCell ref="AU8:AV8"/>
    <mergeCell ref="AW8:AX8"/>
    <mergeCell ref="BA8:BB8"/>
    <mergeCell ref="BC8:BC9"/>
    <mergeCell ref="AQ9:AR9"/>
    <mergeCell ref="AS9:AT9"/>
    <mergeCell ref="AU9:AV9"/>
    <mergeCell ref="AW9:AX9"/>
    <mergeCell ref="BA9:BB9"/>
    <mergeCell ref="AY8:AZ8"/>
    <mergeCell ref="AY9:AZ9"/>
    <mergeCell ref="BI6:BI9"/>
    <mergeCell ref="BJ6:BJ9"/>
    <mergeCell ref="BD30:BE30"/>
    <mergeCell ref="BF30:BG30"/>
    <mergeCell ref="BD6:BH6"/>
    <mergeCell ref="BD7:BH7"/>
    <mergeCell ref="BD8:BE8"/>
    <mergeCell ref="BF8:BG8"/>
    <mergeCell ref="BH8:BH9"/>
    <mergeCell ref="BD9:BE9"/>
    <mergeCell ref="BF9:BG9"/>
    <mergeCell ref="S36:T36"/>
    <mergeCell ref="U36:V36"/>
    <mergeCell ref="W36:W37"/>
    <mergeCell ref="AD36:AE36"/>
    <mergeCell ref="AF36:AG36"/>
    <mergeCell ref="AN36:AO36"/>
    <mergeCell ref="Z58:AA58"/>
    <mergeCell ref="AB58:AC58"/>
    <mergeCell ref="X36:Y36"/>
    <mergeCell ref="X37:Y37"/>
    <mergeCell ref="X58:Y58"/>
    <mergeCell ref="AH58:AI58"/>
    <mergeCell ref="AJ58:AK58"/>
    <mergeCell ref="AL36:AM36"/>
    <mergeCell ref="AL37:AM37"/>
    <mergeCell ref="AL58:AM58"/>
    <mergeCell ref="Z36:AA36"/>
    <mergeCell ref="AB36:AC36"/>
    <mergeCell ref="Z37:AA37"/>
    <mergeCell ref="AB37:AC37"/>
    <mergeCell ref="A34:A37"/>
    <mergeCell ref="B34:N34"/>
    <mergeCell ref="O34:W34"/>
    <mergeCell ref="AQ34:BC34"/>
    <mergeCell ref="BD34:BH34"/>
    <mergeCell ref="BI34:BI37"/>
    <mergeCell ref="S37:T37"/>
    <mergeCell ref="U37:V37"/>
    <mergeCell ref="AD37:AE37"/>
    <mergeCell ref="AF37:AG37"/>
    <mergeCell ref="BF36:BG36"/>
    <mergeCell ref="BF37:BG37"/>
    <mergeCell ref="O36:P36"/>
    <mergeCell ref="BD36:BE36"/>
    <mergeCell ref="BD37:BE37"/>
    <mergeCell ref="AN37:AO37"/>
    <mergeCell ref="AQ37:AR37"/>
    <mergeCell ref="AS37:AT37"/>
    <mergeCell ref="AU37:AV37"/>
    <mergeCell ref="AQ36:AR36"/>
    <mergeCell ref="AS36:AT36"/>
    <mergeCell ref="AU36:AV36"/>
    <mergeCell ref="AW36:AX36"/>
    <mergeCell ref="BH36:BH37"/>
    <mergeCell ref="Q36:R36"/>
    <mergeCell ref="D37:E37"/>
    <mergeCell ref="Q37:R37"/>
    <mergeCell ref="D58:E58"/>
    <mergeCell ref="Q58:R58"/>
    <mergeCell ref="BJ34:BJ37"/>
    <mergeCell ref="O35:W35"/>
    <mergeCell ref="AQ35:BC35"/>
    <mergeCell ref="BD35:BH35"/>
    <mergeCell ref="L37:M37"/>
    <mergeCell ref="BD58:BE58"/>
    <mergeCell ref="BF58:BG58"/>
    <mergeCell ref="AQ58:AR58"/>
    <mergeCell ref="AS58:AT58"/>
    <mergeCell ref="AU58:AV58"/>
    <mergeCell ref="AW58:AX58"/>
    <mergeCell ref="BA58:BB58"/>
    <mergeCell ref="AW37:AX37"/>
    <mergeCell ref="BA37:BB37"/>
    <mergeCell ref="BA36:BB36"/>
    <mergeCell ref="BC36:BC37"/>
    <mergeCell ref="AP36:AP37"/>
    <mergeCell ref="S58:T58"/>
    <mergeCell ref="U58:V58"/>
    <mergeCell ref="AY36:AZ36"/>
    <mergeCell ref="AY37:AZ37"/>
    <mergeCell ref="AY58:AZ58"/>
    <mergeCell ref="X34:AP34"/>
    <mergeCell ref="X35:AP35"/>
    <mergeCell ref="AH8:AI8"/>
    <mergeCell ref="AH9:AI9"/>
    <mergeCell ref="AH30:AI30"/>
    <mergeCell ref="AH36:AI36"/>
    <mergeCell ref="AH37:AI37"/>
    <mergeCell ref="AJ8:AK8"/>
    <mergeCell ref="AJ9:AK9"/>
    <mergeCell ref="AJ30:AK30"/>
    <mergeCell ref="AJ36:AK36"/>
    <mergeCell ref="AJ37:AK37"/>
    <mergeCell ref="AD30:AE30"/>
    <mergeCell ref="AF30:AG30"/>
    <mergeCell ref="AD58:AE58"/>
    <mergeCell ref="AF58:AG58"/>
    <mergeCell ref="AN58:AO58"/>
    <mergeCell ref="AN30:AO30"/>
    <mergeCell ref="AQ30:AR30"/>
    <mergeCell ref="AS30:AT30"/>
    <mergeCell ref="AU30:AV30"/>
  </mergeCells>
  <pageMargins left="0.7" right="0.7" top="0.75" bottom="0.75" header="0.3" footer="0.3"/>
  <pageSetup scale="50" orientation="landscape" r:id="rId1"/>
  <headerFooter>
    <oddFooter>Page &amp;P</oddFooter>
  </headerFooter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Z34"/>
  <sheetViews>
    <sheetView zoomScale="80" zoomScaleNormal="80" workbookViewId="0">
      <pane xSplit="2" topLeftCell="C1" activePane="topRight" state="frozenSplit"/>
      <selection activeCell="B5" sqref="B5 A5:AP9"/>
      <selection pane="topRight"/>
    </sheetView>
  </sheetViews>
  <sheetFormatPr defaultRowHeight="15" x14ac:dyDescent="0.25"/>
  <cols>
    <col min="1" max="1" width="10.28515625" style="339" customWidth="1"/>
    <col min="2" max="2" width="2.85546875" style="339" hidden="1" customWidth="1"/>
    <col min="3" max="3" width="16.5703125" style="339" customWidth="1"/>
    <col min="4" max="4" width="7.140625" style="339" customWidth="1"/>
    <col min="5" max="5" width="12.42578125" style="339" customWidth="1"/>
    <col min="6" max="6" width="12.7109375" style="339" customWidth="1"/>
    <col min="7" max="7" width="9.85546875" style="339" customWidth="1"/>
    <col min="8" max="8" width="15.5703125" style="339" customWidth="1"/>
    <col min="9" max="9" width="12.42578125" style="339" customWidth="1"/>
    <col min="10" max="10" width="20.42578125" style="339" customWidth="1"/>
    <col min="11" max="11" width="9.28515625" style="339" customWidth="1"/>
    <col min="12" max="12" width="11.42578125" style="339" customWidth="1"/>
    <col min="13" max="13" width="7.140625" style="339" customWidth="1"/>
    <col min="14" max="14" width="12.42578125" style="339" customWidth="1"/>
    <col min="15" max="15" width="23.140625" style="339" customWidth="1"/>
    <col min="16" max="16" width="9.140625" style="339" customWidth="1"/>
    <col min="17" max="17" width="12.7109375" style="339" customWidth="1"/>
    <col min="18" max="18" width="10.28515625" style="339" customWidth="1"/>
    <col min="19" max="19" width="15.5703125" style="339" customWidth="1"/>
    <col min="20" max="20" width="12.42578125" style="339" customWidth="1"/>
    <col min="21" max="21" width="20.42578125" style="339" customWidth="1"/>
    <col min="22" max="22" width="9.28515625" style="339" customWidth="1"/>
    <col min="23" max="23" width="11.42578125" style="339" customWidth="1"/>
    <col min="24" max="24" width="7.140625" style="339" customWidth="1"/>
    <col min="25" max="25" width="12.42578125" style="339" customWidth="1"/>
    <col min="26" max="26" width="22.5703125" style="339" customWidth="1"/>
  </cols>
  <sheetData>
    <row r="1" spans="1:26" ht="15.75" customHeight="1" x14ac:dyDescent="0.25">
      <c r="A1" s="355" t="s">
        <v>134</v>
      </c>
    </row>
    <row r="2" spans="1:26" ht="15.75" customHeight="1" x14ac:dyDescent="0.25">
      <c r="A2" s="356" t="s">
        <v>31</v>
      </c>
    </row>
    <row r="3" spans="1:26" ht="15.75" customHeight="1" x14ac:dyDescent="0.25">
      <c r="A3" s="356"/>
    </row>
    <row r="4" spans="1:26" x14ac:dyDescent="0.25">
      <c r="A4" s="353" t="s">
        <v>135</v>
      </c>
    </row>
    <row r="5" spans="1:26" ht="15.75" customHeight="1" thickBot="1" x14ac:dyDescent="0.3"/>
    <row r="6" spans="1:26" ht="15.75" customHeight="1" thickBot="1" x14ac:dyDescent="0.3">
      <c r="A6" s="314"/>
      <c r="B6" s="578"/>
      <c r="C6" s="241" t="s">
        <v>136</v>
      </c>
      <c r="D6" s="141" t="s">
        <v>137</v>
      </c>
      <c r="E6" s="140"/>
      <c r="F6" s="150" t="s">
        <v>3</v>
      </c>
      <c r="G6" s="149"/>
      <c r="H6" s="149"/>
      <c r="I6" s="149"/>
      <c r="J6" s="149"/>
      <c r="K6" s="149"/>
      <c r="L6" s="149"/>
      <c r="M6" s="149"/>
      <c r="N6" s="149"/>
      <c r="O6" s="148"/>
      <c r="P6" s="357"/>
      <c r="Q6" s="150" t="s">
        <v>4</v>
      </c>
      <c r="R6" s="149"/>
      <c r="S6" s="149"/>
      <c r="T6" s="149"/>
      <c r="U6" s="149"/>
      <c r="V6" s="149"/>
      <c r="W6" s="149"/>
      <c r="X6" s="149"/>
      <c r="Y6" s="149"/>
      <c r="Z6" s="148"/>
    </row>
    <row r="7" spans="1:26" ht="15" customHeight="1" x14ac:dyDescent="0.25">
      <c r="A7" s="158"/>
      <c r="B7"/>
      <c r="C7" s="240"/>
      <c r="D7" s="139"/>
      <c r="E7" s="138"/>
      <c r="F7" s="145" t="s">
        <v>138</v>
      </c>
      <c r="G7" s="144"/>
      <c r="H7" s="144"/>
      <c r="I7" s="144"/>
      <c r="J7" s="143"/>
      <c r="K7" s="157" t="s">
        <v>139</v>
      </c>
      <c r="L7" s="156"/>
      <c r="M7" s="135" t="s">
        <v>140</v>
      </c>
      <c r="N7" s="129" t="s">
        <v>141</v>
      </c>
      <c r="O7" s="132" t="s">
        <v>142</v>
      </c>
      <c r="P7" s="361"/>
      <c r="Q7" s="145" t="s">
        <v>138</v>
      </c>
      <c r="R7" s="144"/>
      <c r="S7" s="144"/>
      <c r="T7" s="144"/>
      <c r="U7" s="143"/>
      <c r="V7" s="157" t="s">
        <v>139</v>
      </c>
      <c r="W7" s="156"/>
      <c r="X7" s="135" t="s">
        <v>140</v>
      </c>
      <c r="Y7" s="129" t="s">
        <v>143</v>
      </c>
      <c r="Z7" s="132" t="s">
        <v>144</v>
      </c>
    </row>
    <row r="8" spans="1:26" ht="24" customHeight="1" x14ac:dyDescent="0.25">
      <c r="A8" s="158"/>
      <c r="B8"/>
      <c r="C8" s="240"/>
      <c r="D8" s="137" t="s">
        <v>145</v>
      </c>
      <c r="E8" s="147" t="s">
        <v>146</v>
      </c>
      <c r="F8" s="579" t="s">
        <v>147</v>
      </c>
      <c r="G8" s="155" t="s">
        <v>148</v>
      </c>
      <c r="H8" s="142" t="s">
        <v>149</v>
      </c>
      <c r="I8" s="155" t="s">
        <v>150</v>
      </c>
      <c r="J8" s="147" t="s">
        <v>151</v>
      </c>
      <c r="K8" s="580" t="s">
        <v>152</v>
      </c>
      <c r="L8" s="152" t="s">
        <v>153</v>
      </c>
      <c r="M8" s="134"/>
      <c r="N8" s="128"/>
      <c r="O8" s="131"/>
      <c r="P8" s="361"/>
      <c r="Q8" s="579" t="s">
        <v>147</v>
      </c>
      <c r="R8" s="155" t="s">
        <v>148</v>
      </c>
      <c r="S8" s="142" t="s">
        <v>149</v>
      </c>
      <c r="T8" s="155" t="s">
        <v>150</v>
      </c>
      <c r="U8" s="147" t="s">
        <v>151</v>
      </c>
      <c r="V8" s="580" t="s">
        <v>152</v>
      </c>
      <c r="W8" s="152" t="s">
        <v>153</v>
      </c>
      <c r="X8" s="134"/>
      <c r="Y8" s="128"/>
      <c r="Z8" s="131"/>
    </row>
    <row r="9" spans="1:26" ht="24" customHeight="1" thickBot="1" x14ac:dyDescent="0.3">
      <c r="A9" s="313"/>
      <c r="B9"/>
      <c r="C9" s="240"/>
      <c r="D9" s="136"/>
      <c r="E9" s="146"/>
      <c r="F9" s="581">
        <v>6.0699999999999997E-2</v>
      </c>
      <c r="G9" s="154"/>
      <c r="H9" s="153"/>
      <c r="I9" s="153"/>
      <c r="J9" s="146"/>
      <c r="K9" s="582">
        <v>0.01</v>
      </c>
      <c r="L9" s="151"/>
      <c r="M9" s="133"/>
      <c r="N9" s="127"/>
      <c r="O9" s="130"/>
      <c r="P9" s="361"/>
      <c r="Q9" s="581">
        <v>5.1400000000000001E-2</v>
      </c>
      <c r="R9" s="154"/>
      <c r="S9" s="153"/>
      <c r="T9" s="153"/>
      <c r="U9" s="146"/>
      <c r="V9" s="582">
        <v>0.02</v>
      </c>
      <c r="W9" s="151"/>
      <c r="X9" s="133"/>
      <c r="Y9" s="127"/>
      <c r="Z9" s="130"/>
    </row>
    <row r="10" spans="1:26" ht="16.5" customHeight="1" x14ac:dyDescent="0.25">
      <c r="A10" s="583" t="s">
        <v>50</v>
      </c>
      <c r="B10" s="583">
        <v>1</v>
      </c>
      <c r="C10" s="584">
        <v>200892690</v>
      </c>
      <c r="D10" s="408">
        <v>0</v>
      </c>
      <c r="E10" s="352">
        <f t="shared" ref="E10:E18" si="0">IF($B10 = 1, C10-D10, "")</f>
        <v>200892690</v>
      </c>
      <c r="F10" s="408">
        <f t="shared" ref="F10:F18" si="1">IF($B10 = 1, ROUND(F$9*$E10, 0), "")</f>
        <v>12194186</v>
      </c>
      <c r="G10" s="503">
        <f t="shared" ref="G10:G18" si="2">IF($B10 = 1, H10-F10, "")</f>
        <v>-1887271</v>
      </c>
      <c r="H10" s="406">
        <v>10306915</v>
      </c>
      <c r="I10" s="503">
        <f t="shared" ref="I10:I18" si="3">IF($B10 = 1, $E10+G10, "")</f>
        <v>199005419</v>
      </c>
      <c r="J10" s="475">
        <f t="shared" ref="J10:J18" si="4">IF($B10 = 1, H10/I10, "")</f>
        <v>5.1792132353943587E-2</v>
      </c>
      <c r="K10" s="408" t="str">
        <f t="shared" ref="K10:K18" si="5">IF($B10 = 2, ROUND(K$9*$C10, 0), "")</f>
        <v/>
      </c>
      <c r="L10" s="585" t="str">
        <f t="shared" ref="L10:L18" si="6">IF($B10 = 2, $C10+K10, "")</f>
        <v/>
      </c>
      <c r="M10" s="408">
        <v>0</v>
      </c>
      <c r="N10" s="406">
        <f t="shared" ref="N10:N18" si="7">IF($B10 = 1, I10+$D10, IF($B10 = 2, L10, 0))+M10</f>
        <v>199005419</v>
      </c>
      <c r="O10" s="586">
        <f t="shared" ref="O10:O18" si="8">IF($C10 &gt; 0, (N10-$C10)/$C10, "")</f>
        <v>-9.3944234606047634E-3</v>
      </c>
      <c r="P10" s="361"/>
      <c r="Q10" s="408">
        <f t="shared" ref="Q10:Q18" si="9">IF($B10 = 1, ROUND(Q$9*$E10, 0), "")</f>
        <v>10325884</v>
      </c>
      <c r="R10" s="503">
        <f t="shared" ref="R10:R18" si="10">IF($B10 = 1, S10-Q10, "")</f>
        <v>83239</v>
      </c>
      <c r="S10" s="406">
        <v>10409123</v>
      </c>
      <c r="T10" s="503">
        <f t="shared" ref="T10:T18" si="11">IF($B10 = 1, $E10+R10, "")</f>
        <v>200975929</v>
      </c>
      <c r="U10" s="475">
        <f t="shared" ref="U10:U18" si="12">IF($B10 = 1, S10/T10, "")</f>
        <v>5.1792884112007262E-2</v>
      </c>
      <c r="V10" s="408" t="str">
        <f t="shared" ref="V10:V18" si="13">IF($B10 = 2, ROUND(V$9*$C10, 0), "")</f>
        <v/>
      </c>
      <c r="W10" s="585" t="str">
        <f t="shared" ref="W10:W18" si="14">IF($B10 = 2, $C10+V10, "")</f>
        <v/>
      </c>
      <c r="X10" s="408">
        <v>0</v>
      </c>
      <c r="Y10" s="406">
        <f t="shared" ref="Y10:Y18" si="15">IF($B10 = 1, T10+$D10, IF($B10 = 2, W10, 0))+X10</f>
        <v>200975929</v>
      </c>
      <c r="Z10" s="586">
        <f t="shared" ref="Z10:Z18" si="16">IF($C10 &gt; 0, (Y10-$C10)/$C10, "")</f>
        <v>4.1434558917997466E-4</v>
      </c>
    </row>
    <row r="11" spans="1:26" x14ac:dyDescent="0.25">
      <c r="A11" s="587" t="s">
        <v>55</v>
      </c>
      <c r="B11" s="587">
        <v>1</v>
      </c>
      <c r="C11" s="405">
        <v>11697093</v>
      </c>
      <c r="D11" s="408">
        <v>0</v>
      </c>
      <c r="E11" s="352">
        <f t="shared" si="0"/>
        <v>11697093</v>
      </c>
      <c r="F11" s="408">
        <f t="shared" si="1"/>
        <v>710014</v>
      </c>
      <c r="G11" s="503">
        <f t="shared" si="2"/>
        <v>2144609</v>
      </c>
      <c r="H11" s="406">
        <v>2854623</v>
      </c>
      <c r="I11" s="503">
        <f t="shared" si="3"/>
        <v>13841702</v>
      </c>
      <c r="J11" s="475">
        <f t="shared" si="4"/>
        <v>0.20623352532802686</v>
      </c>
      <c r="K11" s="408" t="str">
        <f t="shared" si="5"/>
        <v/>
      </c>
      <c r="L11" s="585" t="str">
        <f t="shared" si="6"/>
        <v/>
      </c>
      <c r="M11" s="408">
        <v>0</v>
      </c>
      <c r="N11" s="406">
        <f t="shared" si="7"/>
        <v>13841702</v>
      </c>
      <c r="O11" s="586">
        <f t="shared" si="8"/>
        <v>0.18334546882716929</v>
      </c>
      <c r="P11" s="361"/>
      <c r="Q11" s="408">
        <f t="shared" si="9"/>
        <v>601231</v>
      </c>
      <c r="R11" s="503">
        <f t="shared" si="10"/>
        <v>2281512</v>
      </c>
      <c r="S11" s="406">
        <v>2882743</v>
      </c>
      <c r="T11" s="503">
        <f t="shared" si="11"/>
        <v>13978605</v>
      </c>
      <c r="U11" s="475">
        <f t="shared" si="12"/>
        <v>0.20622537084351408</v>
      </c>
      <c r="V11" s="408" t="str">
        <f t="shared" si="13"/>
        <v/>
      </c>
      <c r="W11" s="585" t="str">
        <f t="shared" si="14"/>
        <v/>
      </c>
      <c r="X11" s="408">
        <v>0</v>
      </c>
      <c r="Y11" s="406">
        <f t="shared" si="15"/>
        <v>13978605</v>
      </c>
      <c r="Z11" s="586">
        <f t="shared" si="16"/>
        <v>0.19504948793687457</v>
      </c>
    </row>
    <row r="12" spans="1:26" ht="16.5" customHeight="1" x14ac:dyDescent="0.25">
      <c r="A12" s="587" t="s">
        <v>56</v>
      </c>
      <c r="B12" s="587">
        <v>1</v>
      </c>
      <c r="C12" s="405">
        <v>14013516</v>
      </c>
      <c r="D12" s="408">
        <v>0</v>
      </c>
      <c r="E12" s="352">
        <f t="shared" si="0"/>
        <v>14013516</v>
      </c>
      <c r="F12" s="408">
        <f t="shared" si="1"/>
        <v>850620</v>
      </c>
      <c r="G12" s="503">
        <f t="shared" si="2"/>
        <v>1810924</v>
      </c>
      <c r="H12" s="406">
        <v>2661544</v>
      </c>
      <c r="I12" s="503">
        <f t="shared" si="3"/>
        <v>15824440</v>
      </c>
      <c r="J12" s="475">
        <f t="shared" si="4"/>
        <v>0.16819198657266859</v>
      </c>
      <c r="K12" s="408" t="str">
        <f t="shared" si="5"/>
        <v/>
      </c>
      <c r="L12" s="585" t="str">
        <f t="shared" si="6"/>
        <v/>
      </c>
      <c r="M12" s="408">
        <v>0</v>
      </c>
      <c r="N12" s="406">
        <f t="shared" si="7"/>
        <v>15824440</v>
      </c>
      <c r="O12" s="586">
        <f t="shared" si="8"/>
        <v>0.12922695489126354</v>
      </c>
      <c r="P12" s="361"/>
      <c r="Q12" s="408">
        <f t="shared" si="9"/>
        <v>720295</v>
      </c>
      <c r="R12" s="503">
        <f t="shared" si="10"/>
        <v>1967464</v>
      </c>
      <c r="S12" s="406">
        <v>2687759</v>
      </c>
      <c r="T12" s="503">
        <f t="shared" si="11"/>
        <v>15980980</v>
      </c>
      <c r="U12" s="475">
        <f t="shared" si="12"/>
        <v>0.16818486726095647</v>
      </c>
      <c r="V12" s="408" t="str">
        <f t="shared" si="13"/>
        <v/>
      </c>
      <c r="W12" s="585" t="str">
        <f t="shared" si="14"/>
        <v/>
      </c>
      <c r="X12" s="408">
        <v>0</v>
      </c>
      <c r="Y12" s="406">
        <f t="shared" si="15"/>
        <v>15980980</v>
      </c>
      <c r="Z12" s="586">
        <f t="shared" si="16"/>
        <v>0.14039759900370472</v>
      </c>
    </row>
    <row r="13" spans="1:26" ht="16.5" customHeight="1" x14ac:dyDescent="0.25">
      <c r="A13" s="587" t="s">
        <v>57</v>
      </c>
      <c r="B13" s="587">
        <v>1</v>
      </c>
      <c r="C13" s="405">
        <v>17635464</v>
      </c>
      <c r="D13" s="408">
        <v>0</v>
      </c>
      <c r="E13" s="352">
        <f t="shared" si="0"/>
        <v>17635464</v>
      </c>
      <c r="F13" s="408">
        <f t="shared" si="1"/>
        <v>1070473</v>
      </c>
      <c r="G13" s="503">
        <f t="shared" si="2"/>
        <v>958884</v>
      </c>
      <c r="H13" s="406">
        <v>2029357</v>
      </c>
      <c r="I13" s="503">
        <f t="shared" si="3"/>
        <v>18594348</v>
      </c>
      <c r="J13" s="475">
        <f t="shared" si="4"/>
        <v>0.1091383790386197</v>
      </c>
      <c r="K13" s="408" t="str">
        <f t="shared" si="5"/>
        <v/>
      </c>
      <c r="L13" s="585" t="str">
        <f t="shared" si="6"/>
        <v/>
      </c>
      <c r="M13" s="408">
        <v>0</v>
      </c>
      <c r="N13" s="406">
        <f t="shared" si="7"/>
        <v>18594348</v>
      </c>
      <c r="O13" s="586">
        <f t="shared" si="8"/>
        <v>5.4372484897477036E-2</v>
      </c>
      <c r="P13" s="361"/>
      <c r="Q13" s="408">
        <f t="shared" si="9"/>
        <v>906463</v>
      </c>
      <c r="R13" s="503">
        <f t="shared" si="10"/>
        <v>1142904</v>
      </c>
      <c r="S13" s="406">
        <v>2049367</v>
      </c>
      <c r="T13" s="503">
        <f t="shared" si="11"/>
        <v>18778368</v>
      </c>
      <c r="U13" s="475">
        <f t="shared" si="12"/>
        <v>0.10913445726486988</v>
      </c>
      <c r="V13" s="408" t="str">
        <f t="shared" si="13"/>
        <v/>
      </c>
      <c r="W13" s="585" t="str">
        <f t="shared" si="14"/>
        <v/>
      </c>
      <c r="X13" s="408">
        <v>0</v>
      </c>
      <c r="Y13" s="406">
        <f t="shared" si="15"/>
        <v>18778368</v>
      </c>
      <c r="Z13" s="586">
        <f t="shared" si="16"/>
        <v>6.4807140883846329E-2</v>
      </c>
    </row>
    <row r="14" spans="1:26" ht="16.5" customHeight="1" x14ac:dyDescent="0.25">
      <c r="A14" s="587" t="s">
        <v>58</v>
      </c>
      <c r="B14" s="587">
        <v>1</v>
      </c>
      <c r="C14" s="405">
        <v>105869040</v>
      </c>
      <c r="D14" s="408">
        <v>0</v>
      </c>
      <c r="E14" s="352">
        <f t="shared" si="0"/>
        <v>105869040</v>
      </c>
      <c r="F14" s="408">
        <f t="shared" si="1"/>
        <v>6426251</v>
      </c>
      <c r="G14" s="503">
        <f t="shared" si="2"/>
        <v>3608422</v>
      </c>
      <c r="H14" s="406">
        <v>10034673</v>
      </c>
      <c r="I14" s="503">
        <f t="shared" si="3"/>
        <v>109477462</v>
      </c>
      <c r="J14" s="475">
        <f t="shared" si="4"/>
        <v>9.1659715311997278E-2</v>
      </c>
      <c r="K14" s="408" t="str">
        <f t="shared" si="5"/>
        <v/>
      </c>
      <c r="L14" s="585" t="str">
        <f t="shared" si="6"/>
        <v/>
      </c>
      <c r="M14" s="408">
        <v>0</v>
      </c>
      <c r="N14" s="406">
        <f t="shared" si="7"/>
        <v>109477462</v>
      </c>
      <c r="O14" s="586">
        <f t="shared" si="8"/>
        <v>3.40838265842403E-2</v>
      </c>
      <c r="P14" s="361"/>
      <c r="Q14" s="408">
        <f t="shared" si="9"/>
        <v>5441669</v>
      </c>
      <c r="R14" s="503">
        <f t="shared" si="10"/>
        <v>4692261</v>
      </c>
      <c r="S14" s="406">
        <v>10133930</v>
      </c>
      <c r="T14" s="503">
        <f t="shared" si="11"/>
        <v>110561301</v>
      </c>
      <c r="U14" s="475">
        <f t="shared" si="12"/>
        <v>9.1658925033814495E-2</v>
      </c>
      <c r="V14" s="408" t="str">
        <f t="shared" si="13"/>
        <v/>
      </c>
      <c r="W14" s="585" t="str">
        <f t="shared" si="14"/>
        <v/>
      </c>
      <c r="X14" s="408">
        <v>0</v>
      </c>
      <c r="Y14" s="406">
        <f t="shared" si="15"/>
        <v>110561301</v>
      </c>
      <c r="Z14" s="586">
        <f t="shared" si="16"/>
        <v>4.4321371007047951E-2</v>
      </c>
    </row>
    <row r="15" spans="1:26" x14ac:dyDescent="0.25">
      <c r="A15" s="587" t="s">
        <v>59</v>
      </c>
      <c r="B15" s="587">
        <v>1</v>
      </c>
      <c r="C15" s="405">
        <v>23982670</v>
      </c>
      <c r="D15" s="408">
        <v>0</v>
      </c>
      <c r="E15" s="352">
        <f t="shared" si="0"/>
        <v>23982670</v>
      </c>
      <c r="F15" s="408">
        <f t="shared" si="1"/>
        <v>1455748</v>
      </c>
      <c r="G15" s="503">
        <f t="shared" si="2"/>
        <v>527036</v>
      </c>
      <c r="H15" s="406">
        <v>1982784</v>
      </c>
      <c r="I15" s="503">
        <f t="shared" si="3"/>
        <v>24509706</v>
      </c>
      <c r="J15" s="475">
        <f t="shared" si="4"/>
        <v>8.0897910403331649E-2</v>
      </c>
      <c r="K15" s="408" t="str">
        <f t="shared" si="5"/>
        <v/>
      </c>
      <c r="L15" s="585" t="str">
        <f t="shared" si="6"/>
        <v/>
      </c>
      <c r="M15" s="408">
        <v>0</v>
      </c>
      <c r="N15" s="406">
        <f t="shared" si="7"/>
        <v>24509706</v>
      </c>
      <c r="O15" s="586">
        <f t="shared" si="8"/>
        <v>2.1975701621212318E-2</v>
      </c>
      <c r="P15" s="361"/>
      <c r="Q15" s="408">
        <f t="shared" si="9"/>
        <v>1232709</v>
      </c>
      <c r="R15" s="503">
        <f t="shared" si="10"/>
        <v>769644</v>
      </c>
      <c r="S15" s="406">
        <v>2002353</v>
      </c>
      <c r="T15" s="503">
        <f t="shared" si="11"/>
        <v>24752314</v>
      </c>
      <c r="U15" s="475">
        <f t="shared" si="12"/>
        <v>8.0895588186219683E-2</v>
      </c>
      <c r="V15" s="408" t="str">
        <f t="shared" si="13"/>
        <v/>
      </c>
      <c r="W15" s="585" t="str">
        <f t="shared" si="14"/>
        <v/>
      </c>
      <c r="X15" s="408">
        <v>0</v>
      </c>
      <c r="Y15" s="406">
        <f t="shared" si="15"/>
        <v>24752314</v>
      </c>
      <c r="Z15" s="586">
        <f t="shared" si="16"/>
        <v>3.2091672862112515E-2</v>
      </c>
    </row>
    <row r="16" spans="1:26" ht="16.5" customHeight="1" x14ac:dyDescent="0.25">
      <c r="A16" s="587" t="s">
        <v>60</v>
      </c>
      <c r="B16" s="587">
        <v>1</v>
      </c>
      <c r="C16" s="405">
        <v>20149938</v>
      </c>
      <c r="D16" s="408">
        <v>0</v>
      </c>
      <c r="E16" s="352">
        <f t="shared" si="0"/>
        <v>20149938</v>
      </c>
      <c r="F16" s="408">
        <f t="shared" si="1"/>
        <v>1223101</v>
      </c>
      <c r="G16" s="503">
        <f t="shared" si="2"/>
        <v>435058</v>
      </c>
      <c r="H16" s="406">
        <v>1658159</v>
      </c>
      <c r="I16" s="503">
        <f t="shared" si="3"/>
        <v>20584996</v>
      </c>
      <c r="J16" s="475">
        <f t="shared" si="4"/>
        <v>8.0551825222603887E-2</v>
      </c>
      <c r="K16" s="408" t="str">
        <f t="shared" si="5"/>
        <v/>
      </c>
      <c r="L16" s="585" t="str">
        <f t="shared" si="6"/>
        <v/>
      </c>
      <c r="M16" s="408">
        <v>0</v>
      </c>
      <c r="N16" s="406">
        <f t="shared" si="7"/>
        <v>20584996</v>
      </c>
      <c r="O16" s="586">
        <f t="shared" si="8"/>
        <v>2.1591034175886793E-2</v>
      </c>
      <c r="P16" s="361"/>
      <c r="Q16" s="408">
        <f t="shared" si="9"/>
        <v>1035707</v>
      </c>
      <c r="R16" s="503">
        <f t="shared" si="10"/>
        <v>638854</v>
      </c>
      <c r="S16" s="406">
        <v>1674561</v>
      </c>
      <c r="T16" s="503">
        <f t="shared" si="11"/>
        <v>20788792</v>
      </c>
      <c r="U16" s="475">
        <f t="shared" si="12"/>
        <v>8.0551145059318499E-2</v>
      </c>
      <c r="V16" s="408" t="str">
        <f t="shared" si="13"/>
        <v/>
      </c>
      <c r="W16" s="585" t="str">
        <f t="shared" si="14"/>
        <v/>
      </c>
      <c r="X16" s="408">
        <v>0</v>
      </c>
      <c r="Y16" s="406">
        <f t="shared" si="15"/>
        <v>20788792</v>
      </c>
      <c r="Z16" s="586">
        <f t="shared" si="16"/>
        <v>3.1705010705243855E-2</v>
      </c>
    </row>
    <row r="17" spans="1:26" x14ac:dyDescent="0.25">
      <c r="A17" s="587" t="s">
        <v>61</v>
      </c>
      <c r="B17" s="587">
        <v>2</v>
      </c>
      <c r="C17" s="405">
        <v>119257437</v>
      </c>
      <c r="D17" s="408"/>
      <c r="E17" s="352" t="str">
        <f t="shared" si="0"/>
        <v/>
      </c>
      <c r="F17" s="408" t="str">
        <f t="shared" si="1"/>
        <v/>
      </c>
      <c r="G17" s="503" t="str">
        <f t="shared" si="2"/>
        <v/>
      </c>
      <c r="H17" s="406"/>
      <c r="I17" s="503" t="str">
        <f t="shared" si="3"/>
        <v/>
      </c>
      <c r="J17" s="475" t="str">
        <f t="shared" si="4"/>
        <v/>
      </c>
      <c r="K17" s="408">
        <f t="shared" si="5"/>
        <v>1192574</v>
      </c>
      <c r="L17" s="585">
        <f t="shared" si="6"/>
        <v>120450011</v>
      </c>
      <c r="M17" s="408">
        <v>0</v>
      </c>
      <c r="N17" s="406">
        <f t="shared" si="7"/>
        <v>120450011</v>
      </c>
      <c r="O17" s="586">
        <f t="shared" si="8"/>
        <v>9.9999968974681212E-3</v>
      </c>
      <c r="P17" s="361"/>
      <c r="Q17" s="408" t="str">
        <f t="shared" si="9"/>
        <v/>
      </c>
      <c r="R17" s="503" t="str">
        <f t="shared" si="10"/>
        <v/>
      </c>
      <c r="S17" s="406"/>
      <c r="T17" s="503" t="str">
        <f t="shared" si="11"/>
        <v/>
      </c>
      <c r="U17" s="475" t="str">
        <f t="shared" si="12"/>
        <v/>
      </c>
      <c r="V17" s="408">
        <f t="shared" si="13"/>
        <v>2385149</v>
      </c>
      <c r="W17" s="585">
        <f t="shared" si="14"/>
        <v>121642586</v>
      </c>
      <c r="X17" s="408">
        <v>0</v>
      </c>
      <c r="Y17" s="406">
        <f t="shared" si="15"/>
        <v>121642586</v>
      </c>
      <c r="Z17" s="586">
        <f t="shared" si="16"/>
        <v>2.0000002180157538E-2</v>
      </c>
    </row>
    <row r="18" spans="1:26" ht="15.75" customHeight="1" thickBot="1" x14ac:dyDescent="0.3">
      <c r="A18" s="587" t="s">
        <v>62</v>
      </c>
      <c r="B18" s="587">
        <v>2</v>
      </c>
      <c r="C18" s="405">
        <v>4850000</v>
      </c>
      <c r="D18" s="408"/>
      <c r="E18" s="352" t="str">
        <f t="shared" si="0"/>
        <v/>
      </c>
      <c r="F18" s="408" t="str">
        <f t="shared" si="1"/>
        <v/>
      </c>
      <c r="G18" s="503" t="str">
        <f t="shared" si="2"/>
        <v/>
      </c>
      <c r="H18" s="406"/>
      <c r="I18" s="503" t="str">
        <f t="shared" si="3"/>
        <v/>
      </c>
      <c r="J18" s="475" t="str">
        <f t="shared" si="4"/>
        <v/>
      </c>
      <c r="K18" s="408">
        <f t="shared" si="5"/>
        <v>48500</v>
      </c>
      <c r="L18" s="585">
        <f t="shared" si="6"/>
        <v>4898500</v>
      </c>
      <c r="M18" s="408">
        <v>0</v>
      </c>
      <c r="N18" s="406">
        <f t="shared" si="7"/>
        <v>4898500</v>
      </c>
      <c r="O18" s="586">
        <f t="shared" si="8"/>
        <v>0.01</v>
      </c>
      <c r="P18" s="361"/>
      <c r="Q18" s="408" t="str">
        <f t="shared" si="9"/>
        <v/>
      </c>
      <c r="R18" s="503" t="str">
        <f t="shared" si="10"/>
        <v/>
      </c>
      <c r="S18" s="406"/>
      <c r="T18" s="503" t="str">
        <f t="shared" si="11"/>
        <v/>
      </c>
      <c r="U18" s="475" t="str">
        <f t="shared" si="12"/>
        <v/>
      </c>
      <c r="V18" s="408">
        <f t="shared" si="13"/>
        <v>97000</v>
      </c>
      <c r="W18" s="585">
        <f t="shared" si="14"/>
        <v>4947000</v>
      </c>
      <c r="X18" s="408">
        <v>0</v>
      </c>
      <c r="Y18" s="406">
        <f t="shared" si="15"/>
        <v>4947000</v>
      </c>
      <c r="Z18" s="586">
        <f t="shared" si="16"/>
        <v>0.02</v>
      </c>
    </row>
    <row r="19" spans="1:26" ht="15.75" customHeight="1" thickTop="1" x14ac:dyDescent="0.25">
      <c r="A19" s="588" t="s">
        <v>132</v>
      </c>
      <c r="B19" s="588"/>
      <c r="C19" s="589">
        <f t="shared" ref="C19:I19" si="17">SUM(C10:C18)</f>
        <v>518347848</v>
      </c>
      <c r="D19" s="590">
        <f t="shared" si="17"/>
        <v>0</v>
      </c>
      <c r="E19" s="591">
        <f t="shared" si="17"/>
        <v>394240411</v>
      </c>
      <c r="F19" s="590">
        <f t="shared" si="17"/>
        <v>23930393</v>
      </c>
      <c r="G19" s="592">
        <f t="shared" si="17"/>
        <v>7597662</v>
      </c>
      <c r="H19" s="593">
        <f t="shared" si="17"/>
        <v>31528055</v>
      </c>
      <c r="I19" s="592">
        <f t="shared" si="17"/>
        <v>401838073</v>
      </c>
      <c r="J19" s="594">
        <f>H19/I19</f>
        <v>7.8459601313089114E-2</v>
      </c>
      <c r="K19" s="590">
        <f>SUM(K10:K18)</f>
        <v>1241074</v>
      </c>
      <c r="L19" s="591">
        <f>SUM(L10:L18)</f>
        <v>125348511</v>
      </c>
      <c r="M19" s="590">
        <f>SUM(M10:M18)</f>
        <v>0</v>
      </c>
      <c r="N19" s="593">
        <f>SUM(N10:N18)</f>
        <v>527186584</v>
      </c>
      <c r="O19" s="594">
        <f>(N19-$C19)/$C19</f>
        <v>1.7051746301452765E-2</v>
      </c>
      <c r="P19" s="553"/>
      <c r="Q19" s="590">
        <f>SUM(Q10:Q18)</f>
        <v>20263958</v>
      </c>
      <c r="R19" s="592">
        <f>SUM(R10:R18)</f>
        <v>11575878</v>
      </c>
      <c r="S19" s="593">
        <f>SUM(S10:S18)</f>
        <v>31839836</v>
      </c>
      <c r="T19" s="592">
        <f>SUM(T10:T18)</f>
        <v>405816289</v>
      </c>
      <c r="U19" s="594">
        <f>S19/T19</f>
        <v>7.8458743187610189E-2</v>
      </c>
      <c r="V19" s="590">
        <f>SUM(V10:V18)</f>
        <v>2482149</v>
      </c>
      <c r="W19" s="591">
        <f>SUM(W10:W18)</f>
        <v>126589586</v>
      </c>
      <c r="X19" s="590">
        <f>SUM(X10:X18)</f>
        <v>0</v>
      </c>
      <c r="Y19" s="593">
        <f>SUM(Y10:Y18)</f>
        <v>532405875</v>
      </c>
      <c r="Z19" s="594">
        <f>(Y19-$C19)/$C19</f>
        <v>2.7120836045218807E-2</v>
      </c>
    </row>
    <row r="20" spans="1:26" x14ac:dyDescent="0.25">
      <c r="A20" s="595"/>
      <c r="B20" s="595"/>
      <c r="C20" s="596"/>
      <c r="D20" s="597"/>
      <c r="E20" s="598"/>
      <c r="F20" s="597"/>
      <c r="G20" s="599"/>
      <c r="H20" s="600"/>
      <c r="I20" s="599"/>
      <c r="J20" s="601"/>
      <c r="K20" s="597"/>
      <c r="L20" s="602"/>
      <c r="M20" s="597"/>
      <c r="N20" s="600"/>
      <c r="O20" s="603"/>
      <c r="P20" s="361"/>
      <c r="Q20" s="597"/>
      <c r="R20" s="599"/>
      <c r="S20" s="600"/>
      <c r="T20" s="599"/>
      <c r="U20" s="601"/>
      <c r="V20" s="597"/>
      <c r="W20" s="602"/>
      <c r="X20" s="597"/>
      <c r="Y20" s="600"/>
      <c r="Z20" s="603"/>
    </row>
    <row r="21" spans="1:26" x14ac:dyDescent="0.25">
      <c r="A21" s="587" t="s">
        <v>66</v>
      </c>
      <c r="B21" s="587">
        <v>1</v>
      </c>
      <c r="C21" s="405">
        <v>221894187</v>
      </c>
      <c r="D21" s="408">
        <v>0</v>
      </c>
      <c r="E21" s="352">
        <f>IF($B21 = 1, C21-D21, "")</f>
        <v>221894187</v>
      </c>
      <c r="F21" s="408">
        <f>IF($B21 = 1, ROUND(F$9*$E21, 0), "")</f>
        <v>13468977</v>
      </c>
      <c r="G21" s="503">
        <f>IF($B21 = 1, H21-F21, "")</f>
        <v>-2398576</v>
      </c>
      <c r="H21" s="406">
        <v>11070401</v>
      </c>
      <c r="I21" s="503">
        <f>IF($B21 = 1, $E21+G21, "")</f>
        <v>219495611</v>
      </c>
      <c r="J21" s="475">
        <f>IF($B21 = 1, H21/I21, "")</f>
        <v>5.0435637184563113E-2</v>
      </c>
      <c r="K21" s="408" t="str">
        <f>IF($B21 = 2, ROUND(K$9*$C21, 0), "")</f>
        <v/>
      </c>
      <c r="L21" s="585" t="str">
        <f>IF($B21 = 2, $C21+K21, "")</f>
        <v/>
      </c>
      <c r="M21" s="408">
        <v>0</v>
      </c>
      <c r="N21" s="406">
        <f>IF($B21 = 1, I21+$D21, IF($B21 = 2, L21, 0))+M21</f>
        <v>219495611</v>
      </c>
      <c r="O21" s="586">
        <f>IF($C21 &gt; 0, (N21-$C21)/$C21, "")</f>
        <v>-1.0809548607057471E-2</v>
      </c>
      <c r="P21" s="361"/>
      <c r="Q21" s="408">
        <f>IF($B21 = 1, ROUND(Q$9*$E21, 0), "")</f>
        <v>11405361</v>
      </c>
      <c r="R21" s="503">
        <f>IF($B21 = 1, S21-Q21, "")</f>
        <v>-225126</v>
      </c>
      <c r="S21" s="406">
        <v>11180235</v>
      </c>
      <c r="T21" s="503">
        <f>IF($B21 = 1, $E21+R21, "")</f>
        <v>221669061</v>
      </c>
      <c r="U21" s="475">
        <f>IF($B21 = 1, S21/T21, "")</f>
        <v>5.0436605584755018E-2</v>
      </c>
      <c r="V21" s="408" t="str">
        <f>IF($B21 = 2, ROUND(V$9*$C21, 0), "")</f>
        <v/>
      </c>
      <c r="W21" s="585" t="str">
        <f>IF($B21 = 2, $C21+V21, "")</f>
        <v/>
      </c>
      <c r="X21" s="408">
        <v>0</v>
      </c>
      <c r="Y21" s="406">
        <f>IF($B21 = 1, T21+$D21, IF($B21 = 2, W21, 0))+X21</f>
        <v>221669061</v>
      </c>
      <c r="Z21" s="586">
        <f>IF($C21 &gt; 0, (Y21-$C21)/$C21, "")</f>
        <v>-1.0145646582440666E-3</v>
      </c>
    </row>
    <row r="22" spans="1:26" x14ac:dyDescent="0.25">
      <c r="A22" s="587" t="s">
        <v>67</v>
      </c>
      <c r="B22" s="587">
        <v>1</v>
      </c>
      <c r="C22" s="405">
        <v>43654076</v>
      </c>
      <c r="D22" s="408">
        <v>0</v>
      </c>
      <c r="E22" s="352">
        <f>IF($B22 = 1, C22-D22, "")</f>
        <v>43654076</v>
      </c>
      <c r="F22" s="408">
        <f>IF($B22 = 1, ROUND(F$9*$E22, 0), "")</f>
        <v>2649802</v>
      </c>
      <c r="G22" s="503">
        <f>IF($B22 = 1, H22-F22, "")</f>
        <v>2392180</v>
      </c>
      <c r="H22" s="406">
        <v>5041982</v>
      </c>
      <c r="I22" s="503">
        <f>IF($B22 = 1, $E22+G22, "")</f>
        <v>46046256</v>
      </c>
      <c r="J22" s="475">
        <f>IF($B22 = 1, H22/I22, "")</f>
        <v>0.10949819676978732</v>
      </c>
      <c r="K22" s="408" t="str">
        <f>IF($B22 = 2, ROUND(K$9*$C22, 0), "")</f>
        <v/>
      </c>
      <c r="L22" s="585" t="str">
        <f>IF($B22 = 2, $C22+K22, "")</f>
        <v/>
      </c>
      <c r="M22" s="408">
        <v>0</v>
      </c>
      <c r="N22" s="406">
        <f>IF($B22 = 1, I22+$D22, IF($B22 = 2, L22, 0))+M22</f>
        <v>46046256</v>
      </c>
      <c r="O22" s="586">
        <f>IF($C22 &gt; 0, (N22-$C22)/$C22, "")</f>
        <v>5.4798548479184396E-2</v>
      </c>
      <c r="P22" s="361"/>
      <c r="Q22" s="408">
        <f>IF($B22 = 1, ROUND(Q$9*$E22, 0), "")</f>
        <v>2243820</v>
      </c>
      <c r="R22" s="503">
        <f>IF($B22 = 1, S22-Q22, "")</f>
        <v>2848009</v>
      </c>
      <c r="S22" s="406">
        <v>5091829</v>
      </c>
      <c r="T22" s="503">
        <f>IF($B22 = 1, $E22+R22, "")</f>
        <v>46502085</v>
      </c>
      <c r="U22" s="475">
        <f>IF($B22 = 1, S22/T22, "")</f>
        <v>0.10949678922998829</v>
      </c>
      <c r="V22" s="408" t="str">
        <f>IF($B22 = 2, ROUND(V$9*$C22, 0), "")</f>
        <v/>
      </c>
      <c r="W22" s="585" t="str">
        <f>IF($B22 = 2, $C22+V22, "")</f>
        <v/>
      </c>
      <c r="X22" s="408">
        <v>0</v>
      </c>
      <c r="Y22" s="406">
        <f>IF($B22 = 1, T22+$D22, IF($B22 = 2, W22, 0))+X22</f>
        <v>46502085</v>
      </c>
      <c r="Z22" s="586">
        <f>IF($C22 &gt; 0, (Y22-$C22)/$C22, "")</f>
        <v>6.5240391298168818E-2</v>
      </c>
    </row>
    <row r="23" spans="1:26" x14ac:dyDescent="0.25">
      <c r="A23" s="587" t="s">
        <v>68</v>
      </c>
      <c r="B23" s="587">
        <v>2</v>
      </c>
      <c r="C23" s="405">
        <v>17616120</v>
      </c>
      <c r="D23" s="408"/>
      <c r="E23" s="352" t="str">
        <f>IF($B23 = 1, C23-D23, "")</f>
        <v/>
      </c>
      <c r="F23" s="408" t="str">
        <f>IF($B23 = 1, ROUND(F$9*$E23, 0), "")</f>
        <v/>
      </c>
      <c r="G23" s="503" t="str">
        <f>IF($B23 = 1, H23-F23, "")</f>
        <v/>
      </c>
      <c r="H23" s="406"/>
      <c r="I23" s="503" t="str">
        <f>IF($B23 = 1, $E23+G23, "")</f>
        <v/>
      </c>
      <c r="J23" s="475" t="str">
        <f>IF($B23 = 1, H23/I23, "")</f>
        <v/>
      </c>
      <c r="K23" s="408">
        <f>IF($B23 = 2, ROUND(K$9*$C23, 0), "")</f>
        <v>176161</v>
      </c>
      <c r="L23" s="585">
        <f>IF($B23 = 2, $C23+K23, "")</f>
        <v>17792281</v>
      </c>
      <c r="M23" s="408">
        <v>0</v>
      </c>
      <c r="N23" s="406">
        <f>IF($B23 = 1, I23+$D23, IF($B23 = 2, L23, 0))+M23</f>
        <v>17792281</v>
      </c>
      <c r="O23" s="586">
        <f>IF($C23 &gt; 0, (N23-$C23)/$C23, "")</f>
        <v>9.9999886467621694E-3</v>
      </c>
      <c r="P23" s="361"/>
      <c r="Q23" s="408" t="str">
        <f>IF($B23 = 1, ROUND(Q$9*$E23, 0), "")</f>
        <v/>
      </c>
      <c r="R23" s="503" t="str">
        <f>IF($B23 = 1, S23-Q23, "")</f>
        <v/>
      </c>
      <c r="S23" s="406"/>
      <c r="T23" s="503" t="str">
        <f>IF($B23 = 1, $E23+R23, "")</f>
        <v/>
      </c>
      <c r="U23" s="475" t="str">
        <f>IF($B23 = 1, S23/T23, "")</f>
        <v/>
      </c>
      <c r="V23" s="408">
        <f>IF($B23 = 2, ROUND(V$9*$C23, 0), "")</f>
        <v>352322</v>
      </c>
      <c r="W23" s="585">
        <f>IF($B23 = 2, $C23+V23, "")</f>
        <v>17968442</v>
      </c>
      <c r="X23" s="408">
        <v>0</v>
      </c>
      <c r="Y23" s="406">
        <f>IF($B23 = 1, T23+$D23, IF($B23 = 2, W23, 0))+X23</f>
        <v>17968442</v>
      </c>
      <c r="Z23" s="586">
        <f>IF($C23 &gt; 0, (Y23-$C23)/$C23, "")</f>
        <v>1.9999977293524339E-2</v>
      </c>
    </row>
    <row r="24" spans="1:26" ht="15.75" customHeight="1" thickBot="1" x14ac:dyDescent="0.3">
      <c r="A24" s="587" t="s">
        <v>69</v>
      </c>
      <c r="B24" s="587">
        <v>1</v>
      </c>
      <c r="C24" s="405">
        <v>42622390</v>
      </c>
      <c r="D24" s="408">
        <v>0</v>
      </c>
      <c r="E24" s="352">
        <f>IF($B24 = 1, C24-D24, "")</f>
        <v>42622390</v>
      </c>
      <c r="F24" s="408">
        <f>IF($B24 = 1, ROUND(F$9*$E24, 0), "")</f>
        <v>2587179</v>
      </c>
      <c r="G24" s="503">
        <f>IF($B24 = 1, H24-F24, "")</f>
        <v>202474</v>
      </c>
      <c r="H24" s="406">
        <v>2789653</v>
      </c>
      <c r="I24" s="503">
        <f>IF($B24 = 1, $E24+G24, "")</f>
        <v>42824864</v>
      </c>
      <c r="J24" s="475">
        <f>IF($B24 = 1, H24/I24, "")</f>
        <v>6.5140965771660134E-2</v>
      </c>
      <c r="K24" s="408" t="str">
        <f>IF($B24 = 2, ROUND(K$9*$C24, 0), "")</f>
        <v/>
      </c>
      <c r="L24" s="585" t="str">
        <f>IF($B24 = 2, $C24+K24, "")</f>
        <v/>
      </c>
      <c r="M24" s="408">
        <v>0</v>
      </c>
      <c r="N24" s="406">
        <f>IF($B24 = 1, I24+$D24, IF($B24 = 2, L24, 0))+M24</f>
        <v>42824864</v>
      </c>
      <c r="O24" s="586">
        <f>IF($C24 &gt; 0, (N24-$C24)/$C24, "")</f>
        <v>4.7504140429478498E-3</v>
      </c>
      <c r="P24" s="361"/>
      <c r="Q24" s="408">
        <f>IF($B24 = 1, ROUND(Q$9*$E24, 0), "")</f>
        <v>2190791</v>
      </c>
      <c r="R24" s="503">
        <f>IF($B24 = 1, S24-Q24, "")</f>
        <v>626384</v>
      </c>
      <c r="S24" s="406">
        <v>2817175</v>
      </c>
      <c r="T24" s="503">
        <f>IF($B24 = 1, $E24+R24, "")</f>
        <v>43248774</v>
      </c>
      <c r="U24" s="475">
        <f>IF($B24 = 1, S24/T24, "")</f>
        <v>6.5138840698698186E-2</v>
      </c>
      <c r="V24" s="408" t="str">
        <f>IF($B24 = 2, ROUND(V$9*$C24, 0), "")</f>
        <v/>
      </c>
      <c r="W24" s="585" t="str">
        <f>IF($B24 = 2, $C24+V24, "")</f>
        <v/>
      </c>
      <c r="X24" s="408">
        <v>0</v>
      </c>
      <c r="Y24" s="406">
        <f>IF($B24 = 1, T24+$D24, IF($B24 = 2, W24, 0))+X24</f>
        <v>43248774</v>
      </c>
      <c r="Z24" s="586">
        <f>IF($C24 &gt; 0, (Y24-$C24)/$C24, "")</f>
        <v>1.4696125674792051E-2</v>
      </c>
    </row>
    <row r="25" spans="1:26" ht="15.75" customHeight="1" thickTop="1" x14ac:dyDescent="0.25">
      <c r="A25" s="588" t="s">
        <v>133</v>
      </c>
      <c r="B25" s="588"/>
      <c r="C25" s="589">
        <f t="shared" ref="C25:I25" si="18">SUM(C21:C24)</f>
        <v>325786773</v>
      </c>
      <c r="D25" s="590">
        <f t="shared" si="18"/>
        <v>0</v>
      </c>
      <c r="E25" s="593">
        <f t="shared" si="18"/>
        <v>308170653</v>
      </c>
      <c r="F25" s="590">
        <f t="shared" si="18"/>
        <v>18705958</v>
      </c>
      <c r="G25" s="592">
        <f t="shared" si="18"/>
        <v>196078</v>
      </c>
      <c r="H25" s="593">
        <f t="shared" si="18"/>
        <v>18902036</v>
      </c>
      <c r="I25" s="592">
        <f t="shared" si="18"/>
        <v>308366731</v>
      </c>
      <c r="J25" s="594">
        <f>H25/I25</f>
        <v>6.1297261020028776E-2</v>
      </c>
      <c r="K25" s="590">
        <f>SUM(K21:K24)</f>
        <v>176161</v>
      </c>
      <c r="L25" s="591">
        <f>SUM(L21:L24)</f>
        <v>17792281</v>
      </c>
      <c r="M25" s="590">
        <f>SUM(M21:M24)</f>
        <v>0</v>
      </c>
      <c r="N25" s="593">
        <f>SUM(N21:N24)</f>
        <v>326159012</v>
      </c>
      <c r="O25" s="594">
        <f>(N25-$C25)/$C25</f>
        <v>1.1425847543540387E-3</v>
      </c>
      <c r="P25" s="553"/>
      <c r="Q25" s="590">
        <f>SUM(Q21:Q24)</f>
        <v>15839972</v>
      </c>
      <c r="R25" s="592">
        <f>SUM(R21:R24)</f>
        <v>3249267</v>
      </c>
      <c r="S25" s="593">
        <f>SUM(S21:S24)</f>
        <v>19089239</v>
      </c>
      <c r="T25" s="592">
        <f>SUM(T21:T24)</f>
        <v>311419920</v>
      </c>
      <c r="U25" s="594">
        <f>S25/T25</f>
        <v>6.1297424390835374E-2</v>
      </c>
      <c r="V25" s="590">
        <f>SUM(V21:V24)</f>
        <v>352322</v>
      </c>
      <c r="W25" s="591">
        <f>SUM(W21:W24)</f>
        <v>17968442</v>
      </c>
      <c r="X25" s="590">
        <f>SUM(X21:X24)</f>
        <v>0</v>
      </c>
      <c r="Y25" s="593">
        <f>SUM(Y21:Y24)</f>
        <v>329388362</v>
      </c>
      <c r="Z25" s="594">
        <f>(Y25-$C25)/$C25</f>
        <v>1.1055049800932219E-2</v>
      </c>
    </row>
    <row r="26" spans="1:26" x14ac:dyDescent="0.25">
      <c r="A26" s="595"/>
      <c r="B26" s="595"/>
      <c r="C26" s="596"/>
      <c r="D26" s="597"/>
      <c r="E26" s="598"/>
      <c r="F26" s="597"/>
      <c r="G26" s="599"/>
      <c r="H26" s="600"/>
      <c r="I26" s="599"/>
      <c r="J26" s="601"/>
      <c r="K26" s="597"/>
      <c r="L26" s="602"/>
      <c r="M26" s="597"/>
      <c r="N26" s="600"/>
      <c r="O26" s="603"/>
      <c r="P26" s="361"/>
      <c r="Q26" s="597"/>
      <c r="R26" s="599"/>
      <c r="S26" s="600"/>
      <c r="T26" s="599"/>
      <c r="U26" s="601"/>
      <c r="V26" s="597"/>
      <c r="W26" s="602"/>
      <c r="X26" s="597"/>
      <c r="Y26" s="600"/>
      <c r="Z26" s="603"/>
    </row>
    <row r="27" spans="1:26" x14ac:dyDescent="0.25">
      <c r="A27" s="587" t="s">
        <v>72</v>
      </c>
      <c r="B27" s="587">
        <v>1</v>
      </c>
      <c r="C27" s="405">
        <v>132521659</v>
      </c>
      <c r="D27" s="408">
        <v>0</v>
      </c>
      <c r="E27" s="352">
        <f>IF($B27 = 1, C27-D27, "")</f>
        <v>132521659</v>
      </c>
      <c r="F27" s="408">
        <f>IF($B27 = 1, ROUND(F$9*$E27, 0), "")</f>
        <v>8044065</v>
      </c>
      <c r="G27" s="503">
        <f>IF($B27 = 1, H27-F27, "")</f>
        <v>-79998</v>
      </c>
      <c r="H27" s="406">
        <v>7964067</v>
      </c>
      <c r="I27" s="503">
        <f>IF($B27 = 1, $E27+G27, "")</f>
        <v>132441661</v>
      </c>
      <c r="J27" s="475">
        <f>IF($B27 = 1, H27/I27, "")</f>
        <v>6.013264209967889E-2</v>
      </c>
      <c r="K27" s="408" t="str">
        <f>IF($B27 = 2, ROUND(K$9*$C27, 0), "")</f>
        <v/>
      </c>
      <c r="L27" s="585" t="str">
        <f>IF($B27 = 2, $C27+K27, "")</f>
        <v/>
      </c>
      <c r="M27" s="408">
        <v>0</v>
      </c>
      <c r="N27" s="406">
        <f>IF($B27 = 1, I27+$D27, IF($B27 = 2, L27, 0))+M27</f>
        <v>132441661</v>
      </c>
      <c r="O27" s="586">
        <f>IF($C27 &gt; 0, (N27-$C27)/$C27, "")</f>
        <v>-6.0365981382711181E-4</v>
      </c>
      <c r="P27" s="361"/>
      <c r="Q27" s="408">
        <f>IF($B27 = 1, ROUND(Q$9*$E27, 0), "")</f>
        <v>6811613</v>
      </c>
      <c r="R27" s="503">
        <f>IF($B27 = 1, S27-Q27, "")</f>
        <v>1231352</v>
      </c>
      <c r="S27" s="406">
        <v>8042965</v>
      </c>
      <c r="T27" s="503">
        <f>IF($B27 = 1, $E27+R27, "")</f>
        <v>133753011</v>
      </c>
      <c r="U27" s="475">
        <f>IF($B27 = 1, S27/T27, "")</f>
        <v>6.0132964034731153E-2</v>
      </c>
      <c r="V27" s="408" t="str">
        <f>IF($B27 = 2, ROUND(V$9*$C27, 0), "")</f>
        <v/>
      </c>
      <c r="W27" s="585" t="str">
        <f>IF($B27 = 2, $C27+V27, "")</f>
        <v/>
      </c>
      <c r="X27" s="408">
        <v>0</v>
      </c>
      <c r="Y27" s="406">
        <f>IF($B27 = 1, T27+$D27, IF($B27 = 2, W27, 0))+X27</f>
        <v>133753011</v>
      </c>
      <c r="Z27" s="586">
        <f>IF($C27 &gt; 0, (Y27-$C27)/$C27, "")</f>
        <v>9.2917037810400487E-3</v>
      </c>
    </row>
    <row r="28" spans="1:26" x14ac:dyDescent="0.25">
      <c r="A28" s="587" t="s">
        <v>73</v>
      </c>
      <c r="B28" s="587">
        <v>1</v>
      </c>
      <c r="C28" s="405">
        <v>67923788</v>
      </c>
      <c r="D28" s="408">
        <v>0</v>
      </c>
      <c r="E28" s="352">
        <f>IF($B28 = 1, C28-D28, "")</f>
        <v>67923788</v>
      </c>
      <c r="F28" s="408">
        <f>IF($B28 = 1, ROUND(F$9*$E28, 0), "")</f>
        <v>4122974</v>
      </c>
      <c r="G28" s="503">
        <f>IF($B28 = 1, H28-F28, "")</f>
        <v>3085490</v>
      </c>
      <c r="H28" s="406">
        <v>7208464</v>
      </c>
      <c r="I28" s="503">
        <f>IF($B28 = 1, $E28+G28, "")</f>
        <v>71009278</v>
      </c>
      <c r="J28" s="475">
        <f>IF($B28 = 1, H28/I28, "")</f>
        <v>0.10151439647083864</v>
      </c>
      <c r="K28" s="408" t="str">
        <f>IF($B28 = 2, ROUND(K$9*$C28, 0), "")</f>
        <v/>
      </c>
      <c r="L28" s="585" t="str">
        <f>IF($B28 = 2, $C28+K28, "")</f>
        <v/>
      </c>
      <c r="M28" s="408">
        <v>0</v>
      </c>
      <c r="N28" s="406">
        <f>IF($B28 = 1, I28+$D28, IF($B28 = 2, L28, 0))+M28</f>
        <v>71009278</v>
      </c>
      <c r="O28" s="586">
        <f>IF($C28 &gt; 0, (N28-$C28)/$C28, "")</f>
        <v>4.5425764534804805E-2</v>
      </c>
      <c r="P28" s="361"/>
      <c r="Q28" s="408">
        <f>IF($B28 = 1, ROUND(Q$9*$E28, 0), "")</f>
        <v>3491283</v>
      </c>
      <c r="R28" s="503">
        <f>IF($B28 = 1, S28-Q28, "")</f>
        <v>3788316</v>
      </c>
      <c r="S28" s="406">
        <v>7279599</v>
      </c>
      <c r="T28" s="503">
        <f>IF($B28 = 1, $E28+R28, "")</f>
        <v>71712104</v>
      </c>
      <c r="U28" s="475">
        <f>IF($B28 = 1, S28/T28, "")</f>
        <v>0.10151144080223891</v>
      </c>
      <c r="V28" s="408" t="str">
        <f>IF($B28 = 2, ROUND(V$9*$C28, 0), "")</f>
        <v/>
      </c>
      <c r="W28" s="585" t="str">
        <f>IF($B28 = 2, $C28+V28, "")</f>
        <v/>
      </c>
      <c r="X28" s="408">
        <v>0</v>
      </c>
      <c r="Y28" s="406">
        <f>IF($B28 = 1, T28+$D28, IF($B28 = 2, W28, 0))+X28</f>
        <v>71712104</v>
      </c>
      <c r="Z28" s="586">
        <f>IF($C28 &gt; 0, (Y28-$C28)/$C28, "")</f>
        <v>5.5773037864142679E-2</v>
      </c>
    </row>
    <row r="29" spans="1:26" x14ac:dyDescent="0.25">
      <c r="A29" s="587" t="s">
        <v>74</v>
      </c>
      <c r="B29" s="587">
        <v>1</v>
      </c>
      <c r="C29" s="405">
        <v>46529008</v>
      </c>
      <c r="D29" s="408">
        <v>0</v>
      </c>
      <c r="E29" s="352">
        <f>IF($B29 = 1, C29-D29, "")</f>
        <v>46529008</v>
      </c>
      <c r="F29" s="408">
        <f>IF($B29 = 1, ROUND(F$9*$E29, 0), "")</f>
        <v>2824311</v>
      </c>
      <c r="G29" s="503">
        <f>IF($B29 = 1, H29-F29, "")</f>
        <v>975556</v>
      </c>
      <c r="H29" s="406">
        <v>3799867</v>
      </c>
      <c r="I29" s="503">
        <f>IF($B29 = 1, $E29+G29, "")</f>
        <v>47504564</v>
      </c>
      <c r="J29" s="475">
        <f>IF($B29 = 1, H29/I29, "")</f>
        <v>7.9989514270670914E-2</v>
      </c>
      <c r="K29" s="408" t="str">
        <f>IF($B29 = 2, ROUND(K$9*$C29, 0), "")</f>
        <v/>
      </c>
      <c r="L29" s="585" t="str">
        <f>IF($B29 = 2, $C29+K29, "")</f>
        <v/>
      </c>
      <c r="M29" s="408">
        <v>0</v>
      </c>
      <c r="N29" s="406">
        <f>IF($B29 = 1, I29+$D29, IF($B29 = 2, L29, 0))+M29</f>
        <v>47504564</v>
      </c>
      <c r="O29" s="586">
        <f>IF($C29 &gt; 0, (N29-$C29)/$C29, "")</f>
        <v>2.0966619361409984E-2</v>
      </c>
      <c r="P29" s="361"/>
      <c r="Q29" s="408">
        <f>IF($B29 = 1, ROUND(Q$9*$E29, 0), "")</f>
        <v>2391591</v>
      </c>
      <c r="R29" s="503">
        <f>IF($B29 = 1, S29-Q29, "")</f>
        <v>1445840</v>
      </c>
      <c r="S29" s="406">
        <v>3837431</v>
      </c>
      <c r="T29" s="503">
        <f>IF($B29 = 1, $E29+R29, "")</f>
        <v>47974848</v>
      </c>
      <c r="U29" s="475">
        <f>IF($B29 = 1, S29/T29, "")</f>
        <v>7.998839308464302E-2</v>
      </c>
      <c r="V29" s="408" t="str">
        <f>IF($B29 = 2, ROUND(V$9*$C29, 0), "")</f>
        <v/>
      </c>
      <c r="W29" s="585" t="str">
        <f>IF($B29 = 2, $C29+V29, "")</f>
        <v/>
      </c>
      <c r="X29" s="408">
        <v>0</v>
      </c>
      <c r="Y29" s="406">
        <f>IF($B29 = 1, T29+$D29, IF($B29 = 2, W29, 0))+X29</f>
        <v>47974848</v>
      </c>
      <c r="Z29" s="586">
        <f>IF($C29 &gt; 0, (Y29-$C29)/$C29, "")</f>
        <v>3.1073948535502841E-2</v>
      </c>
    </row>
    <row r="30" spans="1:26" x14ac:dyDescent="0.25">
      <c r="A30" s="587" t="s">
        <v>75</v>
      </c>
      <c r="B30" s="587">
        <v>1</v>
      </c>
      <c r="C30" s="405">
        <v>41117382</v>
      </c>
      <c r="D30" s="408">
        <v>0</v>
      </c>
      <c r="E30" s="352">
        <f>IF($B30 = 1, C30-D30, "")</f>
        <v>41117382</v>
      </c>
      <c r="F30" s="408">
        <f>IF($B30 = 1, ROUND(F$9*$E30, 0), "")</f>
        <v>2495825</v>
      </c>
      <c r="G30" s="503">
        <f>IF($B30 = 1, H30-F30, "")</f>
        <v>1807050</v>
      </c>
      <c r="H30" s="406">
        <v>4302875</v>
      </c>
      <c r="I30" s="503">
        <f>IF($B30 = 1, $E30+G30, "")</f>
        <v>42924432</v>
      </c>
      <c r="J30" s="475">
        <f>IF($B30 = 1, H30/I30, "")</f>
        <v>0.10024302709468584</v>
      </c>
      <c r="K30" s="408" t="str">
        <f>IF($B30 = 2, ROUND(K$9*$C30, 0), "")</f>
        <v/>
      </c>
      <c r="L30" s="585" t="str">
        <f>IF($B30 = 2, $C30+K30, "")</f>
        <v/>
      </c>
      <c r="M30" s="408">
        <v>0</v>
      </c>
      <c r="N30" s="406">
        <f>IF($B30 = 1, I30+$D30, IF($B30 = 2, L30, 0))+M30</f>
        <v>42924432</v>
      </c>
      <c r="O30" s="586">
        <f>IF($C30 &gt; 0, (N30-$C30)/$C30, "")</f>
        <v>4.3948566569729564E-2</v>
      </c>
      <c r="P30" s="361"/>
      <c r="Q30" s="408">
        <f>IF($B30 = 1, ROUND(Q$9*$E30, 0), "")</f>
        <v>2113433</v>
      </c>
      <c r="R30" s="503">
        <f>IF($B30 = 1, S30-Q30, "")</f>
        <v>2232066</v>
      </c>
      <c r="S30" s="406">
        <v>4345499</v>
      </c>
      <c r="T30" s="503">
        <f>IF($B30 = 1, $E30+R30, "")</f>
        <v>43349448</v>
      </c>
      <c r="U30" s="475">
        <f>IF($B30 = 1, S30/T30, "")</f>
        <v>0.10024346792143697</v>
      </c>
      <c r="V30" s="408" t="str">
        <f>IF($B30 = 2, ROUND(V$9*$C30, 0), "")</f>
        <v/>
      </c>
      <c r="W30" s="585" t="str">
        <f>IF($B30 = 2, $C30+V30, "")</f>
        <v/>
      </c>
      <c r="X30" s="408">
        <v>0</v>
      </c>
      <c r="Y30" s="406">
        <f>IF($B30 = 1, T30+$D30, IF($B30 = 2, W30, 0))+X30</f>
        <v>43349448</v>
      </c>
      <c r="Z30" s="586">
        <f>IF($C30 &gt; 0, (Y30-$C30)/$C30, "")</f>
        <v>5.4285216894402473E-2</v>
      </c>
    </row>
    <row r="31" spans="1:26" ht="15.75" customHeight="1" thickBot="1" x14ac:dyDescent="0.3">
      <c r="A31" s="587" t="s">
        <v>76</v>
      </c>
      <c r="B31" s="587">
        <v>1</v>
      </c>
      <c r="C31" s="405">
        <v>227928317</v>
      </c>
      <c r="D31" s="408">
        <v>0</v>
      </c>
      <c r="E31" s="352">
        <f>IF($B31 = 1, C31-D31, "")</f>
        <v>227928317</v>
      </c>
      <c r="F31" s="408">
        <f>IF($B31 = 1, ROUND(F$9*$E31, 0), "")</f>
        <v>13835249</v>
      </c>
      <c r="G31" s="503">
        <f>IF($B31 = 1, H31-F31, "")</f>
        <v>-1398933</v>
      </c>
      <c r="H31" s="406">
        <v>12436316</v>
      </c>
      <c r="I31" s="503">
        <f>IF($B31 = 1, $E31+G31, "")</f>
        <v>226529384</v>
      </c>
      <c r="J31" s="475">
        <f>IF($B31 = 1, H31/I31, "")</f>
        <v>5.4899350275900628E-2</v>
      </c>
      <c r="K31" s="408" t="str">
        <f>IF($B31 = 2, ROUND(K$9*$C31, 0), "")</f>
        <v/>
      </c>
      <c r="L31" s="585" t="str">
        <f>IF($B31 = 2, $C31+K31, "")</f>
        <v/>
      </c>
      <c r="M31" s="408">
        <v>0</v>
      </c>
      <c r="N31" s="406">
        <f>IF($B31 = 1, I31+$D31, IF($B31 = 2, L31, 0))+M31</f>
        <v>226529384</v>
      </c>
      <c r="O31" s="586">
        <f>IF($C31 &gt; 0, (N31-$C31)/$C31, "")</f>
        <v>-6.1376007089106004E-3</v>
      </c>
      <c r="P31" s="361"/>
      <c r="Q31" s="408">
        <f>IF($B31 = 1, ROUND(Q$9*$E31, 0), "")</f>
        <v>11715515</v>
      </c>
      <c r="R31" s="503">
        <f>IF($B31 = 1, S31-Q31, "")</f>
        <v>843420</v>
      </c>
      <c r="S31" s="406">
        <v>12558935</v>
      </c>
      <c r="T31" s="503">
        <f>IF($B31 = 1, $E31+R31, "")</f>
        <v>228771737</v>
      </c>
      <c r="U31" s="475">
        <f>IF($B31 = 1, S31/T31, "")</f>
        <v>5.4897231470511586E-2</v>
      </c>
      <c r="V31" s="408" t="str">
        <f>IF($B31 = 2, ROUND(V$9*$C31, 0), "")</f>
        <v/>
      </c>
      <c r="W31" s="585" t="str">
        <f>IF($B31 = 2, $C31+V31, "")</f>
        <v/>
      </c>
      <c r="X31" s="408">
        <v>0</v>
      </c>
      <c r="Y31" s="406">
        <f>IF($B31 = 1, T31+$D31, IF($B31 = 2, W31, 0))+X31</f>
        <v>228771737</v>
      </c>
      <c r="Z31" s="586">
        <f>IF($C31 &gt; 0, (Y31-$C31)/$C31, "")</f>
        <v>3.7003739206304936E-3</v>
      </c>
    </row>
    <row r="32" spans="1:26" ht="15.75" customHeight="1" thickBot="1" x14ac:dyDescent="0.3">
      <c r="A32" s="604" t="s">
        <v>47</v>
      </c>
      <c r="B32" s="605"/>
      <c r="C32" s="606">
        <f t="shared" ref="C32:I32" si="19">SUM(C19,C25,C27:C31)</f>
        <v>1360154775</v>
      </c>
      <c r="D32" s="446">
        <f t="shared" si="19"/>
        <v>0</v>
      </c>
      <c r="E32" s="607">
        <f t="shared" si="19"/>
        <v>1218431218</v>
      </c>
      <c r="F32" s="446">
        <f t="shared" si="19"/>
        <v>73958775</v>
      </c>
      <c r="G32" s="608">
        <f t="shared" si="19"/>
        <v>12182905</v>
      </c>
      <c r="H32" s="609">
        <f t="shared" si="19"/>
        <v>86141680</v>
      </c>
      <c r="I32" s="608">
        <f t="shared" si="19"/>
        <v>1230614123</v>
      </c>
      <c r="J32" s="610">
        <f>H32/I32</f>
        <v>6.9998936620362509E-2</v>
      </c>
      <c r="K32" s="446">
        <f>SUM(K19,K25,K27:K31)</f>
        <v>1417235</v>
      </c>
      <c r="L32" s="611">
        <f>SUM(L19,L25,L27:L31)</f>
        <v>143140792</v>
      </c>
      <c r="M32" s="446">
        <f>SUM(M19,M25,M27:M31)</f>
        <v>0</v>
      </c>
      <c r="N32" s="609">
        <f>SUM(N19,N25,N27:N31)</f>
        <v>1373754915</v>
      </c>
      <c r="O32" s="610">
        <f>(N32-$C32)/$C32</f>
        <v>9.9989650074933569E-3</v>
      </c>
      <c r="P32" s="413"/>
      <c r="Q32" s="446">
        <f>SUM(Q19,Q25,Q27:Q31)</f>
        <v>62627365</v>
      </c>
      <c r="R32" s="608">
        <f>SUM(R19,R25,R27:R31)</f>
        <v>24366139</v>
      </c>
      <c r="S32" s="609">
        <f>SUM(S19,S25,S27:S31)</f>
        <v>86993504</v>
      </c>
      <c r="T32" s="608">
        <f>SUM(T19,T25,T27:T31)</f>
        <v>1242797357</v>
      </c>
      <c r="U32" s="610">
        <f>S32/T32</f>
        <v>6.9998140493309727E-2</v>
      </c>
      <c r="V32" s="446">
        <f>SUM(V19,V25,V27:V31)</f>
        <v>2834471</v>
      </c>
      <c r="W32" s="611">
        <f>SUM(W19,W25,W27:W31)</f>
        <v>144558028</v>
      </c>
      <c r="X32" s="446">
        <f>SUM(X19,X25,X27:X31)</f>
        <v>0</v>
      </c>
      <c r="Y32" s="609">
        <f>SUM(Y19,Y25,Y27:Y31)</f>
        <v>1387355385</v>
      </c>
      <c r="Z32" s="610">
        <f>(Y32-$C32)/$C32</f>
        <v>1.9998172634434194E-2</v>
      </c>
    </row>
    <row r="34" spans="1:1" ht="15.75" customHeight="1" x14ac:dyDescent="0.25">
      <c r="A34" s="356"/>
    </row>
  </sheetData>
  <mergeCells count="27">
    <mergeCell ref="Q6:Z6"/>
    <mergeCell ref="Z7:Z9"/>
    <mergeCell ref="O7:O9"/>
    <mergeCell ref="N7:N9"/>
    <mergeCell ref="X7:X9"/>
    <mergeCell ref="S8:S9"/>
    <mergeCell ref="T8:T9"/>
    <mergeCell ref="Q7:U7"/>
    <mergeCell ref="V7:W7"/>
    <mergeCell ref="Y7:Y9"/>
    <mergeCell ref="U8:U9"/>
    <mergeCell ref="W8:W9"/>
    <mergeCell ref="R8:R9"/>
    <mergeCell ref="A6:A9"/>
    <mergeCell ref="K7:L7"/>
    <mergeCell ref="C6:C9"/>
    <mergeCell ref="G8:G9"/>
    <mergeCell ref="I8:I9"/>
    <mergeCell ref="L8:L9"/>
    <mergeCell ref="F6:O6"/>
    <mergeCell ref="J8:J9"/>
    <mergeCell ref="F7:J7"/>
    <mergeCell ref="H8:H9"/>
    <mergeCell ref="D6:E7"/>
    <mergeCell ref="D8:D9"/>
    <mergeCell ref="E8:E9"/>
    <mergeCell ref="M7:M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8"/>
  <sheetViews>
    <sheetView zoomScale="80" zoomScaleNormal="80" workbookViewId="0">
      <selection activeCell="B5" sqref="B5 A5:AP9"/>
    </sheetView>
  </sheetViews>
  <sheetFormatPr defaultRowHeight="15" x14ac:dyDescent="0.25"/>
  <cols>
    <col min="1" max="1" width="45.140625" style="339" bestFit="1" customWidth="1"/>
    <col min="2" max="3" width="16.5703125" style="352" customWidth="1"/>
    <col min="4" max="4" width="21.42578125" style="354" customWidth="1"/>
    <col min="5" max="5" width="9.140625" style="339" customWidth="1"/>
    <col min="6" max="6" width="16.5703125" style="352" customWidth="1"/>
    <col min="7" max="7" width="20.42578125" style="354" customWidth="1"/>
  </cols>
  <sheetData>
    <row r="1" spans="1:7" ht="15.75" customHeight="1" x14ac:dyDescent="0.25">
      <c r="A1" s="355" t="s">
        <v>154</v>
      </c>
    </row>
    <row r="2" spans="1:7" ht="15.75" customHeight="1" x14ac:dyDescent="0.25">
      <c r="A2" s="356" t="s">
        <v>31</v>
      </c>
    </row>
    <row r="3" spans="1:7" ht="15.75" customHeight="1" x14ac:dyDescent="0.25">
      <c r="A3" s="356"/>
    </row>
    <row r="4" spans="1:7" x14ac:dyDescent="0.25">
      <c r="A4" s="353" t="s">
        <v>155</v>
      </c>
    </row>
    <row r="5" spans="1:7" ht="15.75" customHeight="1" thickBot="1" x14ac:dyDescent="0.3"/>
    <row r="6" spans="1:7" ht="15.75" customHeight="1" thickBot="1" x14ac:dyDescent="0.3">
      <c r="A6" s="314"/>
      <c r="B6" s="320" t="s">
        <v>156</v>
      </c>
      <c r="C6" s="126" t="s">
        <v>3</v>
      </c>
      <c r="D6" s="311"/>
      <c r="E6" s="357"/>
      <c r="F6" s="126" t="s">
        <v>4</v>
      </c>
      <c r="G6" s="311"/>
    </row>
    <row r="7" spans="1:7" ht="49.5" customHeight="1" thickBot="1" x14ac:dyDescent="0.3">
      <c r="A7" s="158"/>
      <c r="B7" s="315"/>
      <c r="C7" s="358" t="s">
        <v>34</v>
      </c>
      <c r="D7" s="360" t="s">
        <v>142</v>
      </c>
      <c r="E7" s="361"/>
      <c r="F7" s="358" t="s">
        <v>34</v>
      </c>
      <c r="G7" s="360" t="s">
        <v>144</v>
      </c>
    </row>
    <row r="8" spans="1:7" ht="16.5" customHeight="1" x14ac:dyDescent="0.25">
      <c r="A8" s="583" t="s">
        <v>157</v>
      </c>
      <c r="B8" s="584">
        <v>103134439</v>
      </c>
      <c r="C8" s="406">
        <v>104165782</v>
      </c>
      <c r="D8" s="504">
        <f t="shared" ref="D8:D16" si="0">(C8-$B8)/$B8</f>
        <v>9.9999865224457175E-3</v>
      </c>
      <c r="E8" s="361"/>
      <c r="F8" s="406">
        <v>105197128</v>
      </c>
      <c r="G8" s="504">
        <f t="shared" ref="G8:G16" si="1">(F8-$B8)/$B8</f>
        <v>2.0000002133138087E-2</v>
      </c>
    </row>
    <row r="9" spans="1:7" x14ac:dyDescent="0.25">
      <c r="A9" s="587" t="s">
        <v>158</v>
      </c>
      <c r="B9" s="405">
        <v>2244866</v>
      </c>
      <c r="C9" s="406">
        <v>2267315</v>
      </c>
      <c r="D9" s="504">
        <f t="shared" si="0"/>
        <v>1.0000151456701648E-2</v>
      </c>
      <c r="E9" s="361"/>
      <c r="F9" s="406">
        <v>2289763</v>
      </c>
      <c r="G9" s="504">
        <f t="shared" si="1"/>
        <v>1.9999857452516097E-2</v>
      </c>
    </row>
    <row r="10" spans="1:7" ht="16.5" customHeight="1" x14ac:dyDescent="0.25">
      <c r="A10" s="587" t="s">
        <v>159</v>
      </c>
      <c r="B10" s="405">
        <v>2017687</v>
      </c>
      <c r="C10" s="406">
        <v>2037864</v>
      </c>
      <c r="D10" s="504">
        <f t="shared" si="0"/>
        <v>1.0000064430211425E-2</v>
      </c>
      <c r="E10" s="361"/>
      <c r="F10" s="406">
        <v>2058041</v>
      </c>
      <c r="G10" s="504">
        <f t="shared" si="1"/>
        <v>2.000012886042285E-2</v>
      </c>
    </row>
    <row r="11" spans="1:7" ht="16.5" customHeight="1" x14ac:dyDescent="0.25">
      <c r="A11" s="587" t="s">
        <v>160</v>
      </c>
      <c r="B11" s="405">
        <v>2699060</v>
      </c>
      <c r="C11" s="406">
        <v>2726051</v>
      </c>
      <c r="D11" s="504">
        <f t="shared" si="0"/>
        <v>1.0000148199743614E-2</v>
      </c>
      <c r="E11" s="361"/>
      <c r="F11" s="406">
        <v>2753041</v>
      </c>
      <c r="G11" s="504">
        <f t="shared" si="1"/>
        <v>1.9999925900128192E-2</v>
      </c>
    </row>
    <row r="12" spans="1:7" ht="16.5" customHeight="1" x14ac:dyDescent="0.25">
      <c r="A12" s="587" t="s">
        <v>161</v>
      </c>
      <c r="B12" s="405">
        <v>2439983</v>
      </c>
      <c r="C12" s="406">
        <v>2464383</v>
      </c>
      <c r="D12" s="504">
        <f t="shared" si="0"/>
        <v>1.0000069672616572E-2</v>
      </c>
      <c r="E12" s="361"/>
      <c r="F12" s="406">
        <v>2488783</v>
      </c>
      <c r="G12" s="504">
        <f t="shared" si="1"/>
        <v>2.0000139345233144E-2</v>
      </c>
    </row>
    <row r="13" spans="1:7" ht="16.5" customHeight="1" x14ac:dyDescent="0.25">
      <c r="A13" s="587" t="s">
        <v>162</v>
      </c>
      <c r="B13" s="405">
        <v>2452002</v>
      </c>
      <c r="C13" s="406">
        <v>2476522</v>
      </c>
      <c r="D13" s="504">
        <f t="shared" si="0"/>
        <v>9.9999918433998011E-3</v>
      </c>
      <c r="E13" s="361"/>
      <c r="F13" s="406">
        <v>2501042</v>
      </c>
      <c r="G13" s="504">
        <f t="shared" si="1"/>
        <v>1.9999983686799602E-2</v>
      </c>
    </row>
    <row r="14" spans="1:7" x14ac:dyDescent="0.25">
      <c r="A14" s="587" t="s">
        <v>163</v>
      </c>
      <c r="B14" s="405">
        <v>2110734</v>
      </c>
      <c r="C14" s="406">
        <v>2131841</v>
      </c>
      <c r="D14" s="504">
        <f t="shared" si="0"/>
        <v>9.999838918594196E-3</v>
      </c>
      <c r="E14" s="361"/>
      <c r="F14" s="406">
        <v>2152949</v>
      </c>
      <c r="G14" s="504">
        <f t="shared" si="1"/>
        <v>2.0000151606028992E-2</v>
      </c>
    </row>
    <row r="15" spans="1:7" ht="15.75" customHeight="1" thickBot="1" x14ac:dyDescent="0.3">
      <c r="A15" s="587" t="s">
        <v>164</v>
      </c>
      <c r="B15" s="405">
        <v>2158666</v>
      </c>
      <c r="C15" s="406">
        <v>2180253</v>
      </c>
      <c r="D15" s="504">
        <f t="shared" si="0"/>
        <v>1.0000157504681131E-2</v>
      </c>
      <c r="E15" s="361"/>
      <c r="F15" s="406">
        <v>2201839</v>
      </c>
      <c r="G15" s="504">
        <f t="shared" si="1"/>
        <v>1.999985176030011E-2</v>
      </c>
    </row>
    <row r="16" spans="1:7" ht="15.75" customHeight="1" thickBot="1" x14ac:dyDescent="0.3">
      <c r="A16" s="604" t="s">
        <v>47</v>
      </c>
      <c r="B16" s="606">
        <f>SUM(B8:B15)</f>
        <v>119257437</v>
      </c>
      <c r="C16" s="609">
        <f>SUM(C8:C15)</f>
        <v>120450011</v>
      </c>
      <c r="D16" s="612">
        <f t="shared" si="0"/>
        <v>9.9999968974681212E-3</v>
      </c>
      <c r="E16" s="413"/>
      <c r="F16" s="609">
        <f>SUM(F8:F15)</f>
        <v>121642586</v>
      </c>
      <c r="G16" s="612">
        <f t="shared" si="1"/>
        <v>2.0000002180157538E-2</v>
      </c>
    </row>
    <row r="18" spans="1:1" ht="15.75" customHeight="1" x14ac:dyDescent="0.25">
      <c r="A18" s="356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7"/>
  <sheetViews>
    <sheetView zoomScale="80" zoomScaleNormal="80" workbookViewId="0">
      <selection activeCell="B5" sqref="B5 A5:AP9"/>
    </sheetView>
  </sheetViews>
  <sheetFormatPr defaultRowHeight="15" x14ac:dyDescent="0.25"/>
  <cols>
    <col min="1" max="1" width="10.28515625" style="339" customWidth="1"/>
    <col min="2" max="2" width="7.7109375" style="339" customWidth="1"/>
    <col min="3" max="3" width="16.5703125" style="352" customWidth="1"/>
    <col min="4" max="5" width="22.5703125" style="352" customWidth="1"/>
    <col min="6" max="6" width="16.5703125" style="352" customWidth="1"/>
    <col min="7" max="8" width="22.5703125" style="352" customWidth="1"/>
    <col min="9" max="9" width="22.5703125" style="354" customWidth="1"/>
    <col min="10" max="10" width="9.140625" style="339" customWidth="1"/>
    <col min="11" max="11" width="16.5703125" style="352" customWidth="1"/>
    <col min="12" max="13" width="22.5703125" style="352" customWidth="1"/>
    <col min="14" max="14" width="22.5703125" style="490" customWidth="1"/>
  </cols>
  <sheetData>
    <row r="1" spans="1:14" ht="15.75" customHeight="1" x14ac:dyDescent="0.25">
      <c r="A1" s="355" t="s">
        <v>165</v>
      </c>
    </row>
    <row r="2" spans="1:14" ht="15.75" customHeight="1" x14ac:dyDescent="0.25">
      <c r="A2" s="356" t="s">
        <v>31</v>
      </c>
    </row>
    <row r="3" spans="1:14" ht="15.75" customHeight="1" x14ac:dyDescent="0.25">
      <c r="A3" s="356"/>
    </row>
    <row r="4" spans="1:14" x14ac:dyDescent="0.25">
      <c r="A4" s="353" t="s">
        <v>166</v>
      </c>
    </row>
    <row r="5" spans="1:14" ht="15.75" customHeight="1" thickBot="1" x14ac:dyDescent="0.3"/>
    <row r="6" spans="1:14" ht="15.75" customHeight="1" thickBot="1" x14ac:dyDescent="0.3">
      <c r="A6" s="314"/>
      <c r="B6" s="125" t="s">
        <v>167</v>
      </c>
      <c r="C6" s="123" t="s">
        <v>168</v>
      </c>
      <c r="D6" s="122"/>
      <c r="E6" s="121"/>
      <c r="F6" s="120" t="s">
        <v>3</v>
      </c>
      <c r="G6" s="119"/>
      <c r="H6" s="119"/>
      <c r="I6" s="118"/>
      <c r="J6" s="614"/>
      <c r="K6" s="120" t="s">
        <v>4</v>
      </c>
      <c r="L6" s="119"/>
      <c r="M6" s="119"/>
      <c r="N6" s="118"/>
    </row>
    <row r="7" spans="1:14" ht="48" customHeight="1" thickBot="1" x14ac:dyDescent="0.3">
      <c r="A7" s="158"/>
      <c r="B7" s="124"/>
      <c r="C7" s="615" t="s">
        <v>169</v>
      </c>
      <c r="D7" s="616" t="s">
        <v>170</v>
      </c>
      <c r="E7" s="613" t="s">
        <v>171</v>
      </c>
      <c r="F7" s="358" t="s">
        <v>169</v>
      </c>
      <c r="G7" s="359" t="s">
        <v>170</v>
      </c>
      <c r="H7" s="359" t="s">
        <v>171</v>
      </c>
      <c r="I7" s="617" t="s">
        <v>142</v>
      </c>
      <c r="J7" s="618"/>
      <c r="K7" s="358" t="s">
        <v>169</v>
      </c>
      <c r="L7" s="359" t="s">
        <v>170</v>
      </c>
      <c r="M7" s="359" t="s">
        <v>171</v>
      </c>
      <c r="N7" s="617" t="s">
        <v>144</v>
      </c>
    </row>
    <row r="8" spans="1:14" x14ac:dyDescent="0.25">
      <c r="A8" s="583" t="s">
        <v>50</v>
      </c>
      <c r="B8" s="619">
        <v>21635</v>
      </c>
      <c r="C8" s="408">
        <v>200892690</v>
      </c>
      <c r="D8" s="503">
        <v>0</v>
      </c>
      <c r="E8" s="585">
        <f t="shared" ref="E8:E15" si="0">ROUND(SUM(C8,D8)/$B8, 0)</f>
        <v>9286</v>
      </c>
      <c r="F8" s="408">
        <v>199005419</v>
      </c>
      <c r="G8" s="503">
        <v>0</v>
      </c>
      <c r="H8" s="503">
        <f t="shared" ref="H8:H15" si="1">ROUND(SUM(F8,G8)/$B8, 0)</f>
        <v>9198</v>
      </c>
      <c r="I8" s="504">
        <f t="shared" ref="I8:I15" si="2">(H8-$E8)/$E8</f>
        <v>-9.4766314882618989E-3</v>
      </c>
      <c r="J8" s="620"/>
      <c r="K8" s="408">
        <v>200975929</v>
      </c>
      <c r="L8" s="503">
        <v>0</v>
      </c>
      <c r="M8" s="503">
        <f t="shared" ref="M8:M15" si="3">ROUND(SUM(K8,L8)/$B8, 0)</f>
        <v>9289</v>
      </c>
      <c r="N8" s="504">
        <f t="shared" ref="N8:N15" si="4">(M8-$E8)/$E8</f>
        <v>3.2306698255438296E-4</v>
      </c>
    </row>
    <row r="9" spans="1:14" x14ac:dyDescent="0.25">
      <c r="A9" s="587" t="s">
        <v>55</v>
      </c>
      <c r="B9" s="619">
        <v>2131</v>
      </c>
      <c r="C9" s="408">
        <v>11697093</v>
      </c>
      <c r="D9" s="503">
        <v>0</v>
      </c>
      <c r="E9" s="585">
        <f t="shared" si="0"/>
        <v>5489</v>
      </c>
      <c r="F9" s="408">
        <v>13841702</v>
      </c>
      <c r="G9" s="503">
        <v>0</v>
      </c>
      <c r="H9" s="503">
        <f t="shared" si="1"/>
        <v>6495</v>
      </c>
      <c r="I9" s="504">
        <f t="shared" si="2"/>
        <v>0.18327564219347786</v>
      </c>
      <c r="J9" s="620"/>
      <c r="K9" s="408">
        <v>13978605</v>
      </c>
      <c r="L9" s="503">
        <v>0</v>
      </c>
      <c r="M9" s="503">
        <f t="shared" si="3"/>
        <v>6560</v>
      </c>
      <c r="N9" s="504">
        <f t="shared" si="4"/>
        <v>0.19511750774275824</v>
      </c>
    </row>
    <row r="10" spans="1:14" x14ac:dyDescent="0.25">
      <c r="A10" s="587" t="s">
        <v>56</v>
      </c>
      <c r="B10" s="619">
        <v>2479</v>
      </c>
      <c r="C10" s="408">
        <v>14013516</v>
      </c>
      <c r="D10" s="503">
        <v>0</v>
      </c>
      <c r="E10" s="585">
        <f t="shared" si="0"/>
        <v>5653</v>
      </c>
      <c r="F10" s="408">
        <v>15824440</v>
      </c>
      <c r="G10" s="503">
        <v>0</v>
      </c>
      <c r="H10" s="503">
        <f t="shared" si="1"/>
        <v>6383</v>
      </c>
      <c r="I10" s="504">
        <f t="shared" si="2"/>
        <v>0.12913497258093048</v>
      </c>
      <c r="J10" s="620"/>
      <c r="K10" s="408">
        <v>15980980</v>
      </c>
      <c r="L10" s="503">
        <v>0</v>
      </c>
      <c r="M10" s="503">
        <f t="shared" si="3"/>
        <v>6447</v>
      </c>
      <c r="N10" s="504">
        <f t="shared" si="4"/>
        <v>0.14045639483460109</v>
      </c>
    </row>
    <row r="11" spans="1:14" x14ac:dyDescent="0.25">
      <c r="A11" s="587" t="s">
        <v>57</v>
      </c>
      <c r="B11" s="619">
        <v>3375</v>
      </c>
      <c r="C11" s="408">
        <v>17635464</v>
      </c>
      <c r="D11" s="503">
        <v>0</v>
      </c>
      <c r="E11" s="585">
        <f t="shared" si="0"/>
        <v>5225</v>
      </c>
      <c r="F11" s="408">
        <v>18594348</v>
      </c>
      <c r="G11" s="503">
        <v>0</v>
      </c>
      <c r="H11" s="503">
        <f t="shared" si="1"/>
        <v>5509</v>
      </c>
      <c r="I11" s="504">
        <f t="shared" si="2"/>
        <v>5.4354066985645932E-2</v>
      </c>
      <c r="J11" s="620"/>
      <c r="K11" s="408">
        <v>18778368</v>
      </c>
      <c r="L11" s="503">
        <v>0</v>
      </c>
      <c r="M11" s="503">
        <f t="shared" si="3"/>
        <v>5564</v>
      </c>
      <c r="N11" s="504">
        <f t="shared" si="4"/>
        <v>6.4880382775119622E-2</v>
      </c>
    </row>
    <row r="12" spans="1:14" x14ac:dyDescent="0.25">
      <c r="A12" s="587" t="s">
        <v>58</v>
      </c>
      <c r="B12" s="619">
        <v>21392</v>
      </c>
      <c r="C12" s="408">
        <v>105869040</v>
      </c>
      <c r="D12" s="503">
        <v>0</v>
      </c>
      <c r="E12" s="585">
        <f t="shared" si="0"/>
        <v>4949</v>
      </c>
      <c r="F12" s="408">
        <v>109477462</v>
      </c>
      <c r="G12" s="503">
        <v>0</v>
      </c>
      <c r="H12" s="503">
        <f t="shared" si="1"/>
        <v>5118</v>
      </c>
      <c r="I12" s="504">
        <f t="shared" si="2"/>
        <v>3.4148312790462723E-2</v>
      </c>
      <c r="J12" s="620"/>
      <c r="K12" s="408">
        <v>110561301</v>
      </c>
      <c r="L12" s="503">
        <v>0</v>
      </c>
      <c r="M12" s="503">
        <f t="shared" si="3"/>
        <v>5168</v>
      </c>
      <c r="N12" s="504">
        <f t="shared" si="4"/>
        <v>4.4251363911901397E-2</v>
      </c>
    </row>
    <row r="13" spans="1:14" x14ac:dyDescent="0.25">
      <c r="A13" s="587" t="s">
        <v>59</v>
      </c>
      <c r="B13" s="619">
        <v>4342</v>
      </c>
      <c r="C13" s="408">
        <v>23982670</v>
      </c>
      <c r="D13" s="503">
        <v>0</v>
      </c>
      <c r="E13" s="585">
        <f t="shared" si="0"/>
        <v>5523</v>
      </c>
      <c r="F13" s="408">
        <v>24509706</v>
      </c>
      <c r="G13" s="503">
        <v>0</v>
      </c>
      <c r="H13" s="503">
        <f t="shared" si="1"/>
        <v>5645</v>
      </c>
      <c r="I13" s="504">
        <f t="shared" si="2"/>
        <v>2.2089444142676082E-2</v>
      </c>
      <c r="J13" s="620"/>
      <c r="K13" s="408">
        <v>24752314</v>
      </c>
      <c r="L13" s="503">
        <v>0</v>
      </c>
      <c r="M13" s="503">
        <f t="shared" si="3"/>
        <v>5701</v>
      </c>
      <c r="N13" s="504">
        <f t="shared" si="4"/>
        <v>3.2228861126199528E-2</v>
      </c>
    </row>
    <row r="14" spans="1:14" ht="15.75" customHeight="1" thickBot="1" x14ac:dyDescent="0.3">
      <c r="A14" s="587" t="s">
        <v>60</v>
      </c>
      <c r="B14" s="619">
        <v>3018</v>
      </c>
      <c r="C14" s="408">
        <v>20149938</v>
      </c>
      <c r="D14" s="503">
        <v>0</v>
      </c>
      <c r="E14" s="585">
        <f t="shared" si="0"/>
        <v>6677</v>
      </c>
      <c r="F14" s="408">
        <v>20584996</v>
      </c>
      <c r="G14" s="503">
        <v>0</v>
      </c>
      <c r="H14" s="503">
        <f t="shared" si="1"/>
        <v>6821</v>
      </c>
      <c r="I14" s="504">
        <f t="shared" si="2"/>
        <v>2.1566571813688783E-2</v>
      </c>
      <c r="J14" s="620"/>
      <c r="K14" s="408">
        <v>20788792</v>
      </c>
      <c r="L14" s="503">
        <v>0</v>
      </c>
      <c r="M14" s="503">
        <f t="shared" si="3"/>
        <v>6888</v>
      </c>
      <c r="N14" s="504">
        <f t="shared" si="4"/>
        <v>3.1601018421446761E-2</v>
      </c>
    </row>
    <row r="15" spans="1:14" ht="15.75" customHeight="1" thickTop="1" x14ac:dyDescent="0.25">
      <c r="A15" s="588" t="s">
        <v>132</v>
      </c>
      <c r="B15" s="621">
        <f>SUM(B8:B14)</f>
        <v>58372</v>
      </c>
      <c r="C15" s="590">
        <f>SUM(C8:C14)</f>
        <v>394240411</v>
      </c>
      <c r="D15" s="592">
        <f>SUM(D8:D14)</f>
        <v>0</v>
      </c>
      <c r="E15" s="622">
        <f t="shared" si="0"/>
        <v>6754</v>
      </c>
      <c r="F15" s="590">
        <f>SUM(F8:F14)</f>
        <v>401838073</v>
      </c>
      <c r="G15" s="592">
        <f>SUM(G8:G14)</f>
        <v>0</v>
      </c>
      <c r="H15" s="592">
        <f t="shared" si="1"/>
        <v>6884</v>
      </c>
      <c r="I15" s="623">
        <f t="shared" si="2"/>
        <v>1.9247853124074621E-2</v>
      </c>
      <c r="J15" s="624"/>
      <c r="K15" s="590">
        <f>SUM(K8:K14)</f>
        <v>405816289</v>
      </c>
      <c r="L15" s="592">
        <f>SUM(L8:L14)</f>
        <v>0</v>
      </c>
      <c r="M15" s="592">
        <f t="shared" si="3"/>
        <v>6952</v>
      </c>
      <c r="N15" s="623">
        <f t="shared" si="4"/>
        <v>2.9315960912052116E-2</v>
      </c>
    </row>
    <row r="16" spans="1:14" x14ac:dyDescent="0.25">
      <c r="A16" s="595"/>
      <c r="B16" s="625"/>
      <c r="C16" s="597"/>
      <c r="D16" s="599"/>
      <c r="E16" s="602"/>
      <c r="F16" s="597"/>
      <c r="G16" s="599"/>
      <c r="H16" s="599"/>
      <c r="I16" s="626"/>
      <c r="J16" s="620"/>
      <c r="K16" s="597"/>
      <c r="L16" s="599"/>
      <c r="M16" s="599"/>
      <c r="N16" s="626"/>
    </row>
    <row r="17" spans="1:14" x14ac:dyDescent="0.25">
      <c r="A17" s="587" t="s">
        <v>66</v>
      </c>
      <c r="B17" s="619">
        <v>18133</v>
      </c>
      <c r="C17" s="408">
        <v>221894187</v>
      </c>
      <c r="D17" s="503">
        <v>-76235683</v>
      </c>
      <c r="E17" s="585">
        <f>ROUND(SUM(C17,D17)/$B17, 0)</f>
        <v>8033</v>
      </c>
      <c r="F17" s="408">
        <v>219495611</v>
      </c>
      <c r="G17" s="503">
        <v>-76235683</v>
      </c>
      <c r="H17" s="503">
        <f>ROUND(SUM(F17,G17)/$B17, 0)</f>
        <v>7901</v>
      </c>
      <c r="I17" s="504">
        <f>(H17-$E17)/$E17</f>
        <v>-1.6432217104444168E-2</v>
      </c>
      <c r="J17" s="620"/>
      <c r="K17" s="408">
        <v>221669061</v>
      </c>
      <c r="L17" s="503">
        <v>-76235683</v>
      </c>
      <c r="M17" s="503">
        <f>ROUND(SUM(K17,L17)/$B17, 0)</f>
        <v>8020</v>
      </c>
      <c r="N17" s="504">
        <f>(M17-$E17)/$E17</f>
        <v>-1.6183244118013196E-3</v>
      </c>
    </row>
    <row r="18" spans="1:14" x14ac:dyDescent="0.25">
      <c r="A18" s="587" t="s">
        <v>67</v>
      </c>
      <c r="B18" s="619">
        <v>6316</v>
      </c>
      <c r="C18" s="408">
        <v>43654076</v>
      </c>
      <c r="D18" s="503">
        <v>0</v>
      </c>
      <c r="E18" s="585">
        <f>ROUND(SUM(C18,D18)/$B18, 0)</f>
        <v>6912</v>
      </c>
      <c r="F18" s="408">
        <v>46046256</v>
      </c>
      <c r="G18" s="503">
        <v>0</v>
      </c>
      <c r="H18" s="503">
        <f>ROUND(SUM(F18,G18)/$B18, 0)</f>
        <v>7290</v>
      </c>
      <c r="I18" s="504">
        <f>(H18-$E18)/$E18</f>
        <v>5.46875E-2</v>
      </c>
      <c r="J18" s="620"/>
      <c r="K18" s="408">
        <v>46502085</v>
      </c>
      <c r="L18" s="503">
        <v>0</v>
      </c>
      <c r="M18" s="503">
        <f>ROUND(SUM(K18,L18)/$B18, 0)</f>
        <v>7363</v>
      </c>
      <c r="N18" s="504">
        <f>(M18-$E18)/$E18</f>
        <v>6.5248842592592587E-2</v>
      </c>
    </row>
    <row r="19" spans="1:14" ht="15.75" customHeight="1" thickBot="1" x14ac:dyDescent="0.3">
      <c r="A19" s="587" t="s">
        <v>69</v>
      </c>
      <c r="B19" s="619">
        <v>6722</v>
      </c>
      <c r="C19" s="408">
        <v>42622390</v>
      </c>
      <c r="D19" s="503">
        <v>0</v>
      </c>
      <c r="E19" s="585">
        <f>ROUND(SUM(C19,D19)/$B19, 0)</f>
        <v>6341</v>
      </c>
      <c r="F19" s="408">
        <v>42824864</v>
      </c>
      <c r="G19" s="503">
        <v>0</v>
      </c>
      <c r="H19" s="503">
        <f>ROUND(SUM(F19,G19)/$B19, 0)</f>
        <v>6371</v>
      </c>
      <c r="I19" s="504">
        <f>(H19-$E19)/$E19</f>
        <v>4.7311149660936762E-3</v>
      </c>
      <c r="J19" s="620"/>
      <c r="K19" s="408">
        <v>43248774</v>
      </c>
      <c r="L19" s="503">
        <v>0</v>
      </c>
      <c r="M19" s="503">
        <f>ROUND(SUM(K19,L19)/$B19, 0)</f>
        <v>6434</v>
      </c>
      <c r="N19" s="504">
        <f>(M19-$E19)/$E19</f>
        <v>1.4666456394890396E-2</v>
      </c>
    </row>
    <row r="20" spans="1:14" ht="15.75" customHeight="1" thickTop="1" x14ac:dyDescent="0.25">
      <c r="A20" s="588" t="s">
        <v>133</v>
      </c>
      <c r="B20" s="621">
        <f>SUM(B17:B19)</f>
        <v>31171</v>
      </c>
      <c r="C20" s="590">
        <f>SUM(C17:C19)</f>
        <v>308170653</v>
      </c>
      <c r="D20" s="592">
        <f>SUM(D17:D19)</f>
        <v>-76235683</v>
      </c>
      <c r="E20" s="622">
        <f>ROUND(SUM(C20,D20)/$B20, 0)</f>
        <v>7441</v>
      </c>
      <c r="F20" s="590">
        <f>SUM(F17:F19)</f>
        <v>308366731</v>
      </c>
      <c r="G20" s="592">
        <f>SUM(G17:G19)</f>
        <v>-76235683</v>
      </c>
      <c r="H20" s="592">
        <f>ROUND(SUM(F20,G20)/$B20, 0)</f>
        <v>7447</v>
      </c>
      <c r="I20" s="623">
        <f>(H20-$E20)/$E20</f>
        <v>8.063432334363661E-4</v>
      </c>
      <c r="J20" s="624"/>
      <c r="K20" s="590">
        <f>SUM(K17:K19)</f>
        <v>311419920</v>
      </c>
      <c r="L20" s="592">
        <f>SUM(L17:L19)</f>
        <v>-76235683</v>
      </c>
      <c r="M20" s="592">
        <f>ROUND(SUM(K20,L20)/$B20, 0)</f>
        <v>7545</v>
      </c>
      <c r="N20" s="623">
        <f>(M20-$E20)/$E20</f>
        <v>1.3976616046230345E-2</v>
      </c>
    </row>
    <row r="21" spans="1:14" x14ac:dyDescent="0.25">
      <c r="A21" s="595"/>
      <c r="B21" s="625"/>
      <c r="C21" s="597"/>
      <c r="D21" s="599"/>
      <c r="E21" s="602"/>
      <c r="F21" s="597"/>
      <c r="G21" s="599"/>
      <c r="H21" s="599"/>
      <c r="I21" s="626"/>
      <c r="J21" s="620"/>
      <c r="K21" s="597"/>
      <c r="L21" s="599"/>
      <c r="M21" s="599"/>
      <c r="N21" s="626"/>
    </row>
    <row r="22" spans="1:14" x14ac:dyDescent="0.25">
      <c r="A22" s="587" t="s">
        <v>72</v>
      </c>
      <c r="B22" s="619">
        <v>15457</v>
      </c>
      <c r="C22" s="408">
        <v>132521659</v>
      </c>
      <c r="D22" s="503">
        <v>0</v>
      </c>
      <c r="E22" s="585">
        <f t="shared" ref="E22:E27" si="5">ROUND(SUM(C22,D22)/$B22, 0)</f>
        <v>8574</v>
      </c>
      <c r="F22" s="408">
        <v>132441661</v>
      </c>
      <c r="G22" s="503">
        <v>0</v>
      </c>
      <c r="H22" s="503">
        <f t="shared" ref="H22:H27" si="6">ROUND(SUM(F22,G22)/$B22, 0)</f>
        <v>8568</v>
      </c>
      <c r="I22" s="504">
        <f t="shared" ref="I22:I27" si="7">(H22-$E22)/$E22</f>
        <v>-6.9979006298110562E-4</v>
      </c>
      <c r="J22" s="620"/>
      <c r="K22" s="408">
        <v>133753011</v>
      </c>
      <c r="L22" s="503">
        <v>0</v>
      </c>
      <c r="M22" s="503">
        <f t="shared" ref="M22:M27" si="8">ROUND(SUM(K22,L22)/$B22, 0)</f>
        <v>8653</v>
      </c>
      <c r="N22" s="504">
        <f t="shared" ref="N22:N27" si="9">(M22-$E22)/$E22</f>
        <v>9.2139024959178913E-3</v>
      </c>
    </row>
    <row r="23" spans="1:14" x14ac:dyDescent="0.25">
      <c r="A23" s="587" t="s">
        <v>73</v>
      </c>
      <c r="B23" s="619">
        <v>9022</v>
      </c>
      <c r="C23" s="408">
        <v>67923788</v>
      </c>
      <c r="D23" s="503">
        <v>0</v>
      </c>
      <c r="E23" s="585">
        <f t="shared" si="5"/>
        <v>7529</v>
      </c>
      <c r="F23" s="408">
        <v>71009278</v>
      </c>
      <c r="G23" s="503">
        <v>0</v>
      </c>
      <c r="H23" s="503">
        <f t="shared" si="6"/>
        <v>7871</v>
      </c>
      <c r="I23" s="504">
        <f t="shared" si="7"/>
        <v>4.542435914464072E-2</v>
      </c>
      <c r="J23" s="620"/>
      <c r="K23" s="408">
        <v>71712104</v>
      </c>
      <c r="L23" s="503">
        <v>0</v>
      </c>
      <c r="M23" s="503">
        <f t="shared" si="8"/>
        <v>7949</v>
      </c>
      <c r="N23" s="504">
        <f t="shared" si="9"/>
        <v>5.5784300703944745E-2</v>
      </c>
    </row>
    <row r="24" spans="1:14" x14ac:dyDescent="0.25">
      <c r="A24" s="587" t="s">
        <v>74</v>
      </c>
      <c r="B24" s="619">
        <v>6640</v>
      </c>
      <c r="C24" s="408">
        <v>46529008</v>
      </c>
      <c r="D24" s="503">
        <v>0</v>
      </c>
      <c r="E24" s="585">
        <f t="shared" si="5"/>
        <v>7007</v>
      </c>
      <c r="F24" s="408">
        <v>47504564</v>
      </c>
      <c r="G24" s="503">
        <v>0</v>
      </c>
      <c r="H24" s="503">
        <f t="shared" si="6"/>
        <v>7154</v>
      </c>
      <c r="I24" s="504">
        <f t="shared" si="7"/>
        <v>2.097902097902098E-2</v>
      </c>
      <c r="J24" s="620"/>
      <c r="K24" s="408">
        <v>47974848</v>
      </c>
      <c r="L24" s="503">
        <v>0</v>
      </c>
      <c r="M24" s="503">
        <f t="shared" si="8"/>
        <v>7225</v>
      </c>
      <c r="N24" s="504">
        <f t="shared" si="9"/>
        <v>3.1111745397459683E-2</v>
      </c>
    </row>
    <row r="25" spans="1:14" x14ac:dyDescent="0.25">
      <c r="A25" s="587" t="s">
        <v>75</v>
      </c>
      <c r="B25" s="619">
        <v>5025</v>
      </c>
      <c r="C25" s="408">
        <v>41117382</v>
      </c>
      <c r="D25" s="503">
        <v>0</v>
      </c>
      <c r="E25" s="585">
        <f t="shared" si="5"/>
        <v>8183</v>
      </c>
      <c r="F25" s="408">
        <v>42924432</v>
      </c>
      <c r="G25" s="503">
        <v>0</v>
      </c>
      <c r="H25" s="503">
        <f t="shared" si="6"/>
        <v>8542</v>
      </c>
      <c r="I25" s="504">
        <f t="shared" si="7"/>
        <v>4.3871440791885617E-2</v>
      </c>
      <c r="J25" s="620"/>
      <c r="K25" s="408">
        <v>43349448</v>
      </c>
      <c r="L25" s="503">
        <v>0</v>
      </c>
      <c r="M25" s="503">
        <f t="shared" si="8"/>
        <v>8627</v>
      </c>
      <c r="N25" s="504">
        <f t="shared" si="9"/>
        <v>5.4258829280215082E-2</v>
      </c>
    </row>
    <row r="26" spans="1:14" ht="15.75" customHeight="1" thickBot="1" x14ac:dyDescent="0.3">
      <c r="A26" s="587" t="s">
        <v>76</v>
      </c>
      <c r="B26" s="619">
        <v>40570</v>
      </c>
      <c r="C26" s="408">
        <v>227928317</v>
      </c>
      <c r="D26" s="503">
        <v>0</v>
      </c>
      <c r="E26" s="585">
        <f t="shared" si="5"/>
        <v>5618</v>
      </c>
      <c r="F26" s="408">
        <v>226529384</v>
      </c>
      <c r="G26" s="503">
        <v>0</v>
      </c>
      <c r="H26" s="503">
        <f t="shared" si="6"/>
        <v>5584</v>
      </c>
      <c r="I26" s="504">
        <f t="shared" si="7"/>
        <v>-6.0519757920968319E-3</v>
      </c>
      <c r="J26" s="620"/>
      <c r="K26" s="408">
        <v>228771737</v>
      </c>
      <c r="L26" s="503">
        <v>0</v>
      </c>
      <c r="M26" s="503">
        <f t="shared" si="8"/>
        <v>5639</v>
      </c>
      <c r="N26" s="504">
        <f t="shared" si="9"/>
        <v>3.737985048059808E-3</v>
      </c>
    </row>
    <row r="27" spans="1:14" ht="15.75" customHeight="1" thickBot="1" x14ac:dyDescent="0.3">
      <c r="A27" s="604" t="s">
        <v>47</v>
      </c>
      <c r="B27" s="627">
        <f>SUM(B15,B20,B22:B26)</f>
        <v>166257</v>
      </c>
      <c r="C27" s="446">
        <f>SUM(C15,C20,C22:C26)</f>
        <v>1218431218</v>
      </c>
      <c r="D27" s="608">
        <f>SUM(D15,D20,D22:D26)</f>
        <v>-76235683</v>
      </c>
      <c r="E27" s="607">
        <f t="shared" si="5"/>
        <v>6870</v>
      </c>
      <c r="F27" s="446">
        <f>SUM(F15,F20,F22:F26)</f>
        <v>1230614123</v>
      </c>
      <c r="G27" s="608">
        <f>SUM(G15,G20,G22:G26)</f>
        <v>-76235683</v>
      </c>
      <c r="H27" s="608">
        <f t="shared" si="6"/>
        <v>6943</v>
      </c>
      <c r="I27" s="533">
        <f t="shared" si="7"/>
        <v>1.0625909752547307E-2</v>
      </c>
      <c r="J27" s="628"/>
      <c r="K27" s="446">
        <f>SUM(K15,K20,K22:K26)</f>
        <v>1242797357</v>
      </c>
      <c r="L27" s="608">
        <f>SUM(L15,L20,L22:L26)</f>
        <v>-76235683</v>
      </c>
      <c r="M27" s="608">
        <f t="shared" si="8"/>
        <v>7017</v>
      </c>
      <c r="N27" s="533">
        <f t="shared" si="9"/>
        <v>2.1397379912663755E-2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2019-01-09T21:12:20Z</dcterms:modified>
</cp:coreProperties>
</file>